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BOISSEUIL - 19297202 LE/"/>
    </mc:Choice>
  </mc:AlternateContent>
  <xr:revisionPtr revIDLastSave="182" documentId="13_ncr:1_{91C62E09-7A97-40C6-8A6D-8C8B5668C142}" xr6:coauthVersionLast="47" xr6:coauthVersionMax="47" xr10:uidLastSave="{E9F3F2A9-65B4-470B-93DA-9A1B2F4EB68F}"/>
  <bookViews>
    <workbookView xWindow="-28920" yWindow="7515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6" l="1" a="1"/>
  <c r="J23" i="6" s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G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FS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Y154" i="2"/>
  <c r="ED154" i="2"/>
  <c r="EX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FS156" i="2"/>
  <c r="HH156" i="2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X157" i="2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B162" i="2"/>
  <c r="ED161" i="2"/>
  <c r="EW162" i="2"/>
  <c r="DI161" i="2"/>
  <c r="HH162" i="2"/>
  <c r="EC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B163" i="2"/>
  <c r="ED162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FR164" i="2"/>
  <c r="HH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HH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I168" i="2"/>
  <c r="DG168" i="2"/>
  <c r="EC168" i="2"/>
  <c r="EV168" i="2"/>
  <c r="EW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A172" i="2"/>
  <c r="HI172" i="2"/>
  <c r="ED171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EB178" i="2"/>
  <c r="ED177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EW186" i="2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HH189" i="2"/>
  <c r="AA189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V190" i="2"/>
  <c r="EY189" i="2"/>
  <c r="ED189" i="2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B194" i="2"/>
  <c r="HG194" i="2"/>
  <c r="HI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Y194" i="2"/>
  <c r="ED194" i="2"/>
  <c r="FQ195" i="2"/>
  <c r="EX195" i="2"/>
  <c r="HI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FS197" i="2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A199" i="2"/>
  <c r="HH199" i="2"/>
  <c r="EB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 l="1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I202" i="2" l="1"/>
  <c r="EW202" i="2"/>
  <c r="ED201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EI16" i="2" a="1"/>
  <c r="EI16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HJ202" i="2"/>
  <c r="AX200" i="2"/>
  <c r="EI170" i="2" l="1" a="1"/>
  <c r="EI170" i="2" s="1"/>
  <c r="CS105" i="2" a="1"/>
  <c r="CS105" i="2" s="1"/>
  <c r="CS161" i="2" a="1"/>
  <c r="CS161" i="2" s="1"/>
  <c r="CS72" i="2" a="1"/>
  <c r="CS72" i="2" s="1"/>
  <c r="CS56" i="2" a="1"/>
  <c r="CS56" i="2" s="1"/>
  <c r="CS77" i="2" a="1"/>
  <c r="CS77" i="2" s="1"/>
  <c r="CS134" i="2" a="1"/>
  <c r="CS134" i="2" s="1"/>
  <c r="CS137" i="2" a="1"/>
  <c r="CS137" i="2" s="1"/>
  <c r="CS38" i="2" a="1"/>
  <c r="CS38" i="2" s="1"/>
  <c r="CS185" i="2" a="1"/>
  <c r="CS185" i="2" s="1"/>
  <c r="CS129" i="2" a="1"/>
  <c r="CS129" i="2" s="1"/>
  <c r="EI38" i="2" a="1"/>
  <c r="EI38" i="2" s="1"/>
  <c r="FD82" i="2" a="1"/>
  <c r="FD82" i="2" s="1"/>
  <c r="GT15" i="2" a="1"/>
  <c r="GT15" i="2" s="1"/>
  <c r="CS116" i="2" a="1"/>
  <c r="CS116" i="2" s="1"/>
  <c r="EI128" i="2" a="1"/>
  <c r="EI128" i="2" s="1"/>
  <c r="CS120" i="2" a="1"/>
  <c r="CS120" i="2" s="1"/>
  <c r="CS24" i="2" a="1"/>
  <c r="CS24" i="2" s="1"/>
  <c r="BC185" i="2" a="1"/>
  <c r="BC185" i="2" s="1"/>
  <c r="CS66" i="2" a="1"/>
  <c r="CS66" i="2" s="1"/>
  <c r="BC143" i="2" a="1"/>
  <c r="BC143" i="2" s="1"/>
  <c r="GT11" i="2" a="1"/>
  <c r="GT11" i="2" s="1"/>
  <c r="GT138" i="2" a="1"/>
  <c r="GT138" i="2" s="1"/>
  <c r="CS52" i="2" a="1"/>
  <c r="CS52" i="2" s="1"/>
  <c r="CS114" i="2" a="1"/>
  <c r="CS114" i="2" s="1"/>
  <c r="FD159" i="2" a="1"/>
  <c r="FD159" i="2" s="1"/>
  <c r="GT102" i="2" a="1"/>
  <c r="GT102" i="2" s="1"/>
  <c r="EI166" i="2" a="1"/>
  <c r="EI166" i="2" s="1"/>
  <c r="EI195" i="2" a="1"/>
  <c r="EI195" i="2" s="1"/>
  <c r="DN63" i="2" a="1"/>
  <c r="DN63" i="2" s="1"/>
  <c r="DN113" i="2" a="1"/>
  <c r="DN113" i="2" s="1"/>
  <c r="DN103" i="2" a="1"/>
  <c r="DN103" i="2" s="1"/>
  <c r="DN70" i="2" a="1"/>
  <c r="DN70" i="2" s="1"/>
  <c r="BC31" i="2" a="1"/>
  <c r="BC31" i="2" s="1"/>
  <c r="BC130" i="2" a="1"/>
  <c r="BC130" i="2" s="1"/>
  <c r="BC192" i="2" a="1"/>
  <c r="BC192" i="2" s="1"/>
  <c r="BC55" i="2" a="1"/>
  <c r="BC55" i="2" s="1"/>
  <c r="BC114" i="2" a="1"/>
  <c r="BC114" i="2" s="1"/>
  <c r="BC126" i="2" a="1"/>
  <c r="BC126" i="2" s="1"/>
  <c r="BC18" i="2" a="1"/>
  <c r="BC18" i="2" s="1"/>
  <c r="BC38" i="2" a="1"/>
  <c r="BC38" i="2" s="1"/>
  <c r="BC83" i="2" a="1"/>
  <c r="BC83" i="2" s="1"/>
  <c r="BC151" i="2" a="1"/>
  <c r="BC151" i="2" s="1"/>
  <c r="BC181" i="2" a="1"/>
  <c r="BC181" i="2" s="1"/>
  <c r="BC7" i="2" a="1"/>
  <c r="BC7" i="2" s="1"/>
  <c r="BD7" i="2" s="1"/>
  <c r="BC65" i="2" a="1"/>
  <c r="BC65" i="2" s="1"/>
  <c r="BC47" i="2" a="1"/>
  <c r="BC47" i="2" s="1"/>
  <c r="BC58" i="2" a="1"/>
  <c r="BC58" i="2" s="1"/>
  <c r="BC82" i="2" a="1"/>
  <c r="BC82" i="2" s="1"/>
  <c r="BC84" i="2" a="1"/>
  <c r="BC84" i="2" s="1"/>
  <c r="BC32" i="2" a="1"/>
  <c r="BC32" i="2" s="1"/>
  <c r="BC164" i="2" a="1"/>
  <c r="BC164" i="2" s="1"/>
  <c r="BC34" i="2" a="1"/>
  <c r="BC34" i="2" s="1"/>
  <c r="DN55" i="2" a="1"/>
  <c r="DN55" i="2" s="1"/>
  <c r="DN184" i="2" a="1"/>
  <c r="DN184" i="2" s="1"/>
  <c r="GT152" i="2" a="1"/>
  <c r="GT152" i="2" s="1"/>
  <c r="DN162" i="2" a="1"/>
  <c r="DN162" i="2" s="1"/>
  <c r="EI113" i="2" a="1"/>
  <c r="EI113" i="2" s="1"/>
  <c r="GT191" i="2" a="1"/>
  <c r="GT191" i="2" s="1"/>
  <c r="FY30" i="2" a="1"/>
  <c r="FY30" i="2" s="1"/>
  <c r="DN192" i="2" a="1"/>
  <c r="DN192" i="2" s="1"/>
  <c r="DN43" i="2" a="1"/>
  <c r="DN43" i="2" s="1"/>
  <c r="GT133" i="2" a="1"/>
  <c r="GT133" i="2" s="1"/>
  <c r="BC68" i="2" a="1"/>
  <c r="BC68" i="2" s="1"/>
  <c r="DN31" i="2" a="1"/>
  <c r="DN31" i="2" s="1"/>
  <c r="DN152" i="2" a="1"/>
  <c r="DN152" i="2" s="1"/>
  <c r="DN16" i="2" a="1"/>
  <c r="DN16" i="2" s="1"/>
  <c r="DN41" i="2" a="1"/>
  <c r="DN41" i="2" s="1"/>
  <c r="DN132" i="2" a="1"/>
  <c r="DN132" i="2" s="1"/>
  <c r="DN188" i="2" a="1"/>
  <c r="DN188" i="2" s="1"/>
  <c r="DN137" i="2" a="1"/>
  <c r="DN137" i="2" s="1"/>
  <c r="GT122" i="2" a="1"/>
  <c r="GT122" i="2" s="1"/>
  <c r="FS203" i="2"/>
  <c r="DN30" i="2" a="1"/>
  <c r="DN30" i="2" s="1"/>
  <c r="DN135" i="2" a="1"/>
  <c r="DN135" i="2" s="1"/>
  <c r="EI34" i="2" a="1"/>
  <c r="EI34" i="2" s="1"/>
  <c r="GT74" i="2" a="1"/>
  <c r="GT74" i="2" s="1"/>
  <c r="DN86" i="2" a="1"/>
  <c r="DN86" i="2" s="1"/>
  <c r="GT51" i="2" a="1"/>
  <c r="GT51" i="2" s="1"/>
  <c r="FY104" i="2" a="1"/>
  <c r="FY104" i="2" s="1"/>
  <c r="DN25" i="2" a="1"/>
  <c r="DN25" i="2" s="1"/>
  <c r="GT107" i="2" a="1"/>
  <c r="GT107" i="2" s="1"/>
  <c r="DN150" i="2" a="1"/>
  <c r="DN150" i="2" s="1"/>
  <c r="GT126" i="2" a="1"/>
  <c r="GT126" i="2" s="1"/>
  <c r="GT178" i="2" a="1"/>
  <c r="GT178" i="2" s="1"/>
  <c r="DN177" i="2" a="1"/>
  <c r="DN177" i="2" s="1"/>
  <c r="GT68" i="2" a="1"/>
  <c r="GT68" i="2" s="1"/>
  <c r="FY190" i="2" a="1"/>
  <c r="FY190" i="2" s="1"/>
  <c r="DN123" i="2" a="1"/>
  <c r="DN123" i="2" s="1"/>
  <c r="GT33" i="2" a="1"/>
  <c r="GT33" i="2" s="1"/>
  <c r="FY196" i="2" a="1"/>
  <c r="FY196" i="2" s="1"/>
  <c r="DN46" i="2" a="1"/>
  <c r="DN46" i="2" s="1"/>
  <c r="AH163" i="2" a="1"/>
  <c r="AH163" i="2" s="1"/>
  <c r="DN115" i="2" a="1"/>
  <c r="DN115" i="2" s="1"/>
  <c r="DN124" i="2" a="1"/>
  <c r="DN124" i="2" s="1"/>
  <c r="GT181" i="2" a="1"/>
  <c r="GT181" i="2" s="1"/>
  <c r="AH92" i="2" a="1"/>
  <c r="AH92" i="2" s="1"/>
  <c r="DN110" i="2" a="1"/>
  <c r="DN110" i="2" s="1"/>
  <c r="BX107" i="2" a="1"/>
  <c r="BX107" i="2" s="1"/>
  <c r="GT174" i="2" a="1"/>
  <c r="GT174" i="2" s="1"/>
  <c r="GT190" i="2" a="1"/>
  <c r="GT190" i="2" s="1"/>
  <c r="GT121" i="2" a="1"/>
  <c r="GT121" i="2" s="1"/>
  <c r="DN38" i="2" a="1"/>
  <c r="DN38" i="2" s="1"/>
  <c r="DN153" i="2" a="1"/>
  <c r="DN153" i="2" s="1"/>
  <c r="GT184" i="2" a="1"/>
  <c r="GT184" i="2" s="1"/>
  <c r="FY78" i="2" a="1"/>
  <c r="FY78" i="2" s="1"/>
  <c r="DN187" i="2" a="1"/>
  <c r="DN187" i="2" s="1"/>
  <c r="DN186" i="2" a="1"/>
  <c r="DN186" i="2" s="1"/>
  <c r="DN164" i="2" a="1"/>
  <c r="DN164" i="2" s="1"/>
  <c r="EI71" i="2" a="1"/>
  <c r="EI71" i="2" s="1"/>
  <c r="GT198" i="2" a="1"/>
  <c r="GT198" i="2" s="1"/>
  <c r="DN190" i="2" a="1"/>
  <c r="DN190" i="2" s="1"/>
  <c r="AH199" i="2" a="1"/>
  <c r="AH199" i="2" s="1"/>
  <c r="DN170" i="2" a="1"/>
  <c r="DN170" i="2" s="1"/>
  <c r="DN155" i="2" a="1"/>
  <c r="DN155" i="2" s="1"/>
  <c r="GT115" i="2" a="1"/>
  <c r="GT115" i="2" s="1"/>
  <c r="FY186" i="2" a="1"/>
  <c r="FY186" i="2" s="1"/>
  <c r="GT147" i="2" a="1"/>
  <c r="GT147" i="2" s="1"/>
  <c r="DN29" i="2" a="1"/>
  <c r="DN29" i="2" s="1"/>
  <c r="GT38" i="2" a="1"/>
  <c r="GT38" i="2" s="1"/>
  <c r="GT189" i="2" a="1"/>
  <c r="GT189" i="2" s="1"/>
  <c r="DN176" i="2" a="1"/>
  <c r="DN176" i="2" s="1"/>
  <c r="AH62" i="2" a="1"/>
  <c r="AH62" i="2" s="1"/>
  <c r="DN80" i="2" a="1"/>
  <c r="DN80" i="2" s="1"/>
  <c r="GT21" i="2" a="1"/>
  <c r="GT21" i="2" s="1"/>
  <c r="EI87" i="2" a="1"/>
  <c r="EI87" i="2" s="1"/>
  <c r="GT12" i="2" a="1"/>
  <c r="GT12" i="2" s="1"/>
  <c r="DN129" i="2" a="1"/>
  <c r="DN129" i="2" s="1"/>
  <c r="EI142" i="2" a="1"/>
  <c r="EI142" i="2" s="1"/>
  <c r="DN56" i="2" a="1"/>
  <c r="DN56" i="2" s="1"/>
  <c r="FY69" i="2" a="1"/>
  <c r="FY69" i="2" s="1"/>
  <c r="DN167" i="2" a="1"/>
  <c r="DN167" i="2" s="1"/>
  <c r="DN45" i="2" a="1"/>
  <c r="DN45" i="2" s="1"/>
  <c r="DN49" i="2" a="1"/>
  <c r="DN49" i="2" s="1"/>
  <c r="DN66" i="2" a="1"/>
  <c r="DN66" i="2" s="1"/>
  <c r="EI20" i="2" a="1"/>
  <c r="EI20" i="2" s="1"/>
  <c r="EI165" i="2" a="1"/>
  <c r="EI165" i="2" s="1"/>
  <c r="EI57" i="2" a="1"/>
  <c r="EI57" i="2" s="1"/>
  <c r="EI36" i="2" a="1"/>
  <c r="EI36" i="2" s="1"/>
  <c r="DN133" i="2" a="1"/>
  <c r="DN133" i="2" s="1"/>
  <c r="DN65" i="2" a="1"/>
  <c r="DN65" i="2" s="1"/>
  <c r="DN168" i="2" a="1"/>
  <c r="DN168" i="2" s="1"/>
  <c r="EI109" i="2" a="1"/>
  <c r="EI109" i="2" s="1"/>
  <c r="FD160" i="2" a="1"/>
  <c r="FD160" i="2" s="1"/>
  <c r="DN114" i="2" a="1"/>
  <c r="DN114" i="2" s="1"/>
  <c r="DN50" i="2" a="1"/>
  <c r="DN50" i="2" s="1"/>
  <c r="EI106" i="2" a="1"/>
  <c r="EI106" i="2" s="1"/>
  <c r="BC117" i="2" a="1"/>
  <c r="BC117" i="2" s="1"/>
  <c r="FY35" i="2" a="1"/>
  <c r="FY3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EY203" i="2"/>
  <c r="DI203" i="2"/>
  <c r="ED203" i="2"/>
  <c r="CN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96" i="2"/>
  <c r="CY33" i="2"/>
  <c r="CY119" i="2"/>
  <c r="CY34" i="2"/>
  <c r="CY67" i="2"/>
  <c r="CY22" i="2"/>
  <c r="CY144" i="2"/>
  <c r="CY30" i="2"/>
  <c r="CY168" i="2"/>
  <c r="CY88" i="2"/>
  <c r="CY121" i="2"/>
  <c r="CY133" i="2"/>
  <c r="CY116" i="2"/>
  <c r="CY75" i="2"/>
  <c r="CY65" i="2"/>
  <c r="CY149" i="2"/>
  <c r="CY169" i="2"/>
  <c r="CY126" i="2"/>
  <c r="CY31" i="2"/>
  <c r="CY190" i="2"/>
  <c r="CY179" i="2"/>
  <c r="CY181" i="2"/>
  <c r="CY101" i="2"/>
  <c r="CY42" i="2"/>
  <c r="CY198" i="2"/>
  <c r="CY104" i="2"/>
  <c r="CY92" i="2"/>
  <c r="CY197" i="2"/>
  <c r="CY25" i="2"/>
  <c r="CY79" i="2"/>
  <c r="CY68" i="2"/>
  <c r="CY185" i="2"/>
  <c r="CY170" i="2"/>
  <c r="CY150" i="2"/>
  <c r="CY143" i="2"/>
  <c r="CY72" i="2"/>
  <c r="CY105" i="2"/>
  <c r="CY118" i="2"/>
  <c r="CY164" i="2"/>
  <c r="CY142" i="2"/>
  <c r="CY202" i="2"/>
  <c r="CY173" i="2"/>
  <c r="CY60" i="2"/>
  <c r="CY161" i="2"/>
  <c r="CY59" i="2"/>
  <c r="CY58" i="2"/>
  <c r="CY131" i="2"/>
  <c r="CY4" i="2"/>
  <c r="CY103" i="2"/>
  <c r="CY47" i="2"/>
  <c r="CY163" i="2"/>
  <c r="CY130" i="2"/>
  <c r="CY53" i="2"/>
  <c r="CY155" i="2"/>
  <c r="CY134" i="2"/>
  <c r="CY152" i="2"/>
  <c r="CY138" i="2"/>
  <c r="CY52" i="2"/>
  <c r="CY114" i="2"/>
  <c r="CY86" i="2"/>
  <c r="CY23" i="2"/>
  <c r="CY9" i="2"/>
  <c r="CY196" i="2"/>
  <c r="CY182" i="2"/>
  <c r="CY174" i="2"/>
  <c r="CY10" i="2"/>
  <c r="CY117" i="2"/>
  <c r="CY54" i="2"/>
  <c r="CY69" i="2"/>
  <c r="CY36" i="2"/>
  <c r="CY78" i="2"/>
  <c r="CY113" i="2"/>
  <c r="CY120" i="2"/>
  <c r="CY49" i="2"/>
  <c r="CY203" i="2"/>
  <c r="CY132" i="2"/>
  <c r="CY62" i="2"/>
  <c r="CY28" i="2"/>
  <c r="CY89" i="2"/>
  <c r="CY37" i="2"/>
  <c r="CY39" i="2"/>
  <c r="CY5" i="2"/>
  <c r="CY77" i="2"/>
  <c r="CY115" i="2"/>
  <c r="CY110" i="2"/>
  <c r="CY106" i="2"/>
  <c r="CY122" i="2"/>
  <c r="CY61" i="2"/>
  <c r="CY166" i="2"/>
  <c r="CY80" i="2"/>
  <c r="CY29" i="2"/>
  <c r="CY18" i="2"/>
  <c r="CY172" i="2"/>
  <c r="CY112" i="2"/>
  <c r="CY94" i="2"/>
  <c r="CY129" i="2"/>
  <c r="CY17" i="2"/>
  <c r="CY55" i="2"/>
  <c r="CY177" i="2"/>
  <c r="CY157" i="2"/>
  <c r="CY187" i="2"/>
  <c r="CY84" i="2"/>
  <c r="CY175" i="2"/>
  <c r="CY136" i="2"/>
  <c r="CY45" i="2"/>
  <c r="CY6" i="2"/>
  <c r="CY27" i="2"/>
  <c r="CY97" i="2"/>
  <c r="CY40" i="2"/>
  <c r="CY15" i="2"/>
  <c r="CY93" i="2"/>
  <c r="CY64" i="2"/>
  <c r="CY160" i="2"/>
  <c r="CY57" i="2"/>
  <c r="CY44" i="2"/>
  <c r="CY85" i="2"/>
  <c r="CY19" i="2"/>
  <c r="CY7" i="2"/>
  <c r="CY91" i="2"/>
  <c r="CY128" i="2"/>
  <c r="CY159" i="2"/>
  <c r="CY184" i="2"/>
  <c r="CY140" i="2"/>
  <c r="CY200" i="2"/>
  <c r="CY48" i="2"/>
  <c r="CY186" i="2"/>
  <c r="CY63" i="2"/>
  <c r="CY199" i="2"/>
  <c r="CY193" i="2"/>
  <c r="CY195" i="2"/>
  <c r="CY176" i="2"/>
  <c r="CY83" i="2"/>
  <c r="CY26" i="2"/>
  <c r="CY137" i="2"/>
  <c r="CY165" i="2"/>
  <c r="CY8" i="2"/>
  <c r="CY98" i="2"/>
  <c r="CY41" i="2"/>
  <c r="CY43" i="2"/>
  <c r="CY50" i="2"/>
  <c r="CY109" i="2"/>
  <c r="CY111" i="2"/>
  <c r="CY99" i="2"/>
  <c r="CY188" i="2"/>
  <c r="CY146" i="2"/>
  <c r="CY191" i="2"/>
  <c r="CY71" i="2"/>
  <c r="CY123" i="2"/>
  <c r="CY153" i="2"/>
  <c r="CY81" i="2"/>
  <c r="CY139" i="2"/>
  <c r="CY16" i="2"/>
  <c r="CY151" i="2"/>
  <c r="CY192" i="2"/>
  <c r="CY167" i="2"/>
  <c r="CY90" i="2"/>
  <c r="CY145" i="2"/>
  <c r="CY178" i="2"/>
  <c r="CY46" i="2"/>
  <c r="CY74" i="2"/>
  <c r="CY73" i="2"/>
  <c r="CY76" i="2"/>
  <c r="CY180" i="2"/>
  <c r="CY147" i="2"/>
  <c r="CY87" i="2"/>
  <c r="CY189" i="2"/>
  <c r="CY82" i="2"/>
  <c r="CY12" i="2"/>
  <c r="CY194" i="2"/>
  <c r="CY51" i="2"/>
  <c r="CY135" i="2"/>
  <c r="CY148" i="2"/>
  <c r="CY32" i="2"/>
  <c r="CY141" i="2"/>
  <c r="CY14" i="2"/>
  <c r="CY13" i="2"/>
  <c r="CY66" i="2"/>
  <c r="CY158" i="2"/>
  <c r="CY38" i="2"/>
  <c r="CY125" i="2"/>
  <c r="CY56" i="2"/>
  <c r="CY201" i="2"/>
  <c r="CY100" i="2"/>
  <c r="CY35" i="2"/>
  <c r="CY171" i="2"/>
  <c r="CY11" i="2"/>
  <c r="CY108" i="2"/>
  <c r="CY156" i="2"/>
  <c r="CY102" i="2"/>
  <c r="CY107" i="2"/>
  <c r="CY183" i="2"/>
  <c r="CY70" i="2"/>
  <c r="CY20" i="2"/>
  <c r="CY95" i="2"/>
  <c r="CY154" i="2"/>
  <c r="CY21" i="2"/>
  <c r="CY3" i="2"/>
  <c r="C10" i="4" s="1"/>
  <c r="E10" i="4" s="1"/>
  <c r="F10" i="4" s="1"/>
  <c r="G10" i="4" s="1"/>
  <c r="L10" i="4" s="1"/>
  <c r="CY162" i="2"/>
  <c r="CY127" i="2"/>
  <c r="CY12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126" i="2" l="1"/>
  <c r="CD183" i="2"/>
  <c r="CD29" i="2"/>
  <c r="CD154" i="2"/>
  <c r="CD139" i="2"/>
  <c r="CD55" i="2"/>
  <c r="CD78" i="2"/>
  <c r="CD71" i="2"/>
  <c r="CD24" i="2"/>
  <c r="CD82" i="2"/>
  <c r="CD11" i="2"/>
  <c r="CD124" i="2"/>
  <c r="CD189" i="2"/>
  <c r="CD53" i="2"/>
  <c r="CD87" i="2"/>
  <c r="CD123" i="2"/>
  <c r="CD181" i="2"/>
  <c r="CD133" i="2"/>
  <c r="CD152" i="2"/>
  <c r="CD54" i="2"/>
  <c r="CD121" i="2"/>
  <c r="CD175" i="2"/>
  <c r="CD88" i="2"/>
  <c r="CD188" i="2"/>
  <c r="CD153" i="2"/>
  <c r="CD63" i="2"/>
  <c r="CD119" i="2"/>
  <c r="CD173" i="2"/>
  <c r="CD15" i="2"/>
  <c r="CD39" i="2"/>
  <c r="CD104" i="2"/>
  <c r="CD84" i="2"/>
  <c r="CD85" i="2"/>
  <c r="CD72" i="2"/>
  <c r="CD125" i="2"/>
  <c r="CD191" i="2"/>
  <c r="CD129" i="2"/>
  <c r="CD33" i="2"/>
  <c r="CD99" i="2"/>
  <c r="CD58" i="2"/>
  <c r="CD165" i="2"/>
  <c r="CD68" i="2"/>
  <c r="CD177" i="2"/>
  <c r="CD96" i="2"/>
  <c r="CD13" i="2"/>
  <c r="CD196" i="2"/>
  <c r="CD56" i="2"/>
  <c r="CD60" i="2"/>
  <c r="CD70" i="2"/>
  <c r="CD174" i="2"/>
  <c r="CD117" i="2"/>
  <c r="CD109" i="2"/>
  <c r="CD91" i="2"/>
  <c r="CD65" i="2"/>
  <c r="CD27" i="2"/>
  <c r="CD77" i="2"/>
  <c r="CD114" i="2"/>
  <c r="CD107" i="2"/>
  <c r="CD161" i="2"/>
  <c r="CD158" i="2"/>
  <c r="CD155" i="2"/>
  <c r="CD148" i="2"/>
  <c r="CD166" i="2"/>
  <c r="CD17" i="2"/>
  <c r="CD8" i="2"/>
  <c r="CD162" i="2"/>
  <c r="CD192" i="2"/>
  <c r="CD137" i="2"/>
  <c r="CD197" i="2"/>
  <c r="CD113" i="2"/>
  <c r="CD10" i="2"/>
  <c r="CD147" i="2"/>
  <c r="CD198" i="2"/>
  <c r="CD127" i="2"/>
  <c r="CD51" i="2"/>
  <c r="CD108" i="2"/>
  <c r="CD28" i="2"/>
  <c r="CD111" i="2"/>
  <c r="CD7" i="2"/>
  <c r="CD103" i="2"/>
  <c r="CD25" i="2"/>
  <c r="CD185" i="2"/>
  <c r="CD106" i="2"/>
  <c r="CD76" i="2"/>
  <c r="CD157" i="2"/>
  <c r="CD172" i="2"/>
  <c r="CD19" i="2"/>
  <c r="CD89" i="2"/>
  <c r="CD179" i="2"/>
  <c r="CD187" i="2"/>
  <c r="CD40" i="2"/>
  <c r="CD36" i="2"/>
  <c r="CD151" i="2"/>
  <c r="CD62" i="2"/>
  <c r="CD201" i="2"/>
  <c r="CD146" i="2"/>
  <c r="CD32" i="2"/>
  <c r="CD145" i="2"/>
  <c r="CD73" i="2"/>
  <c r="CD140" i="2"/>
  <c r="CD30" i="2"/>
  <c r="CD186" i="2"/>
  <c r="CD93" i="2"/>
  <c r="CD164" i="2"/>
  <c r="CD50" i="2"/>
  <c r="CD167" i="2"/>
  <c r="CD14" i="2"/>
  <c r="CD64" i="2"/>
  <c r="CD81" i="2"/>
  <c r="CD110" i="2"/>
  <c r="CD74" i="2"/>
  <c r="CD98" i="2"/>
  <c r="CD102" i="2"/>
  <c r="CD52" i="2"/>
  <c r="CD120" i="2"/>
  <c r="CD202" i="2"/>
  <c r="CD141" i="2"/>
  <c r="CD48" i="2"/>
  <c r="CD67" i="2"/>
  <c r="CD49" i="2"/>
  <c r="CD43" i="2"/>
  <c r="CD144" i="2"/>
  <c r="CD3" i="2"/>
  <c r="C9" i="4" s="1"/>
  <c r="E9" i="4" s="1"/>
  <c r="F9" i="4" s="1"/>
  <c r="G9" i="4" s="1"/>
  <c r="L9" i="4" s="1"/>
  <c r="CD190" i="2"/>
  <c r="CD136" i="2"/>
  <c r="CD163" i="2"/>
  <c r="CD90" i="2"/>
  <c r="CD92" i="2"/>
  <c r="CD38" i="2"/>
  <c r="CD20" i="2"/>
  <c r="CD83" i="2"/>
  <c r="CD37" i="2"/>
  <c r="CD22" i="2"/>
  <c r="CD47" i="2"/>
  <c r="CD116" i="2"/>
  <c r="CD159" i="2"/>
  <c r="CD46" i="2"/>
  <c r="CD150" i="2"/>
  <c r="CD57" i="2"/>
  <c r="CD101" i="2"/>
  <c r="CD168" i="2"/>
  <c r="CD23" i="2"/>
  <c r="CD199" i="2"/>
  <c r="CD112" i="2"/>
  <c r="CD95" i="2"/>
  <c r="CD21" i="2"/>
  <c r="CD184" i="2"/>
  <c r="CD156" i="2"/>
  <c r="CD180" i="2"/>
  <c r="CD169" i="2"/>
  <c r="CD61" i="2"/>
  <c r="CD5" i="2"/>
  <c r="CD170" i="2"/>
  <c r="CD9" i="2"/>
  <c r="CD97" i="2"/>
  <c r="CD149" i="2"/>
  <c r="CD34" i="2"/>
  <c r="CD80" i="2"/>
  <c r="CD193" i="2"/>
  <c r="CD16" i="2"/>
  <c r="CD143" i="2"/>
  <c r="CD142" i="2"/>
  <c r="CD138" i="2"/>
  <c r="CD178" i="2"/>
  <c r="CD12" i="2"/>
  <c r="CD41" i="2"/>
  <c r="CD176" i="2"/>
  <c r="CD160" i="2"/>
  <c r="CD200" i="2"/>
  <c r="CD131" i="2"/>
  <c r="CD182" i="2"/>
  <c r="CD194" i="2"/>
  <c r="CD66" i="2"/>
  <c r="CD122" i="2"/>
  <c r="CD100" i="2"/>
  <c r="CD69" i="2"/>
  <c r="CD203" i="2"/>
  <c r="CD35" i="2"/>
  <c r="CD195" i="2"/>
  <c r="CD135" i="2"/>
  <c r="CD26" i="2"/>
  <c r="CD31" i="2"/>
  <c r="CD44" i="2"/>
  <c r="CD4" i="2"/>
  <c r="CD6" i="2"/>
  <c r="CD134" i="2"/>
  <c r="CD75" i="2"/>
  <c r="CD94" i="2"/>
  <c r="CD45" i="2"/>
  <c r="CD115" i="2"/>
  <c r="CD171" i="2"/>
  <c r="CD86" i="2"/>
  <c r="CD118" i="2"/>
  <c r="CD42" i="2"/>
  <c r="CD132" i="2"/>
  <c r="CD128" i="2"/>
  <c r="CD79" i="2"/>
  <c r="CD105" i="2"/>
  <c r="CD59" i="2"/>
  <c r="CD18" i="2"/>
  <c r="CD130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89" i="2" l="1"/>
  <c r="AN185" i="2"/>
  <c r="AN27" i="2"/>
  <c r="AN154" i="2"/>
  <c r="AN100" i="2"/>
  <c r="AN188" i="2"/>
  <c r="AN103" i="2"/>
  <c r="AN171" i="2"/>
  <c r="AN121" i="2"/>
  <c r="AN96" i="2"/>
  <c r="AN79" i="2"/>
  <c r="AN136" i="2"/>
  <c r="AN55" i="2"/>
  <c r="AN166" i="2"/>
  <c r="AN49" i="2"/>
  <c r="AN131" i="2"/>
  <c r="AN202" i="2"/>
  <c r="AN6" i="2"/>
  <c r="AN138" i="2"/>
  <c r="AN173" i="2"/>
  <c r="AN10" i="2"/>
  <c r="AN15" i="2"/>
  <c r="AN23" i="2"/>
  <c r="AN19" i="2"/>
  <c r="AN113" i="2"/>
  <c r="AN187" i="2"/>
  <c r="AN34" i="2"/>
  <c r="AN30" i="2"/>
  <c r="AN108" i="2"/>
  <c r="AN32" i="2"/>
  <c r="AN132" i="2"/>
  <c r="AN72" i="2"/>
  <c r="AN70" i="2"/>
  <c r="AN165" i="2"/>
  <c r="AN48" i="2"/>
  <c r="AN47" i="2"/>
  <c r="AN84" i="2"/>
  <c r="AN38" i="2"/>
  <c r="AN58" i="2"/>
  <c r="AN26" i="2"/>
  <c r="AN120" i="2"/>
  <c r="AN184" i="2"/>
  <c r="AN14" i="2"/>
  <c r="AN182" i="2"/>
  <c r="AN9" i="2"/>
  <c r="AN125" i="2"/>
  <c r="AN157" i="2"/>
  <c r="AN57" i="2"/>
  <c r="AN97" i="2"/>
  <c r="AN68" i="2"/>
  <c r="AN104" i="2"/>
  <c r="AN140" i="2"/>
  <c r="AN129" i="2"/>
  <c r="AN11" i="2"/>
  <c r="AN142" i="2"/>
  <c r="AN143" i="2"/>
  <c r="AN66" i="2"/>
  <c r="AN135" i="2"/>
  <c r="AN146" i="2"/>
  <c r="AN177" i="2"/>
  <c r="AN109" i="2"/>
  <c r="AN200" i="2"/>
  <c r="AN28" i="2"/>
  <c r="AN106" i="2"/>
  <c r="AN122" i="2"/>
  <c r="AN105" i="2"/>
  <c r="AN63" i="2"/>
  <c r="AN130" i="2"/>
  <c r="AN178" i="2"/>
  <c r="AN4" i="2"/>
  <c r="AN8" i="2"/>
  <c r="AN13" i="2"/>
  <c r="AN180" i="2"/>
  <c r="AN124" i="2"/>
  <c r="AN31" i="2"/>
  <c r="AN83" i="2"/>
  <c r="AN75" i="2"/>
  <c r="AN199" i="2"/>
  <c r="AN181" i="2"/>
  <c r="AN133" i="2"/>
  <c r="AN197" i="2"/>
  <c r="AN167" i="2"/>
  <c r="AN53" i="2"/>
  <c r="AN24" i="2"/>
  <c r="AN81" i="2"/>
  <c r="AN54" i="2"/>
  <c r="AN160" i="2"/>
  <c r="AN37" i="2"/>
  <c r="AN107" i="2"/>
  <c r="AN46" i="2"/>
  <c r="AN64" i="2"/>
  <c r="AN164" i="2"/>
  <c r="AN3" i="2"/>
  <c r="C7" i="4" s="1"/>
  <c r="E7" i="4" s="1"/>
  <c r="F7" i="4" s="1"/>
  <c r="G7" i="4" s="1"/>
  <c r="L7" i="4" s="1"/>
  <c r="AN25" i="2"/>
  <c r="AN139" i="2"/>
  <c r="AN61" i="2"/>
  <c r="AN161" i="2"/>
  <c r="AN175" i="2"/>
  <c r="AN5" i="2"/>
  <c r="AN35" i="2"/>
  <c r="AN110" i="2"/>
  <c r="AN20" i="2"/>
  <c r="AN88" i="2"/>
  <c r="AN80" i="2"/>
  <c r="AN43" i="2"/>
  <c r="AN192" i="2"/>
  <c r="AN92" i="2"/>
  <c r="AN67" i="2"/>
  <c r="AN117" i="2"/>
  <c r="AN91" i="2"/>
  <c r="AN62" i="2"/>
  <c r="AN174" i="2"/>
  <c r="AN52" i="2"/>
  <c r="AN119" i="2"/>
  <c r="AN77" i="2"/>
  <c r="AN56" i="2"/>
  <c r="AN148" i="2"/>
  <c r="AN86" i="2"/>
  <c r="AN158" i="2"/>
  <c r="AN102" i="2"/>
  <c r="AN195" i="2"/>
  <c r="AN82" i="2"/>
  <c r="AN69" i="2"/>
  <c r="AN42" i="2"/>
  <c r="AN172" i="2"/>
  <c r="AN90" i="2"/>
  <c r="AN193" i="2"/>
  <c r="AN22" i="2"/>
  <c r="AN51" i="2"/>
  <c r="AN94" i="2"/>
  <c r="AN12" i="2"/>
  <c r="AN87" i="2"/>
  <c r="AN21" i="2"/>
  <c r="AN71" i="2"/>
  <c r="AN74" i="2"/>
  <c r="AN111" i="2"/>
  <c r="AN99" i="2"/>
  <c r="AN29" i="2"/>
  <c r="AN183" i="2"/>
  <c r="AN176" i="2"/>
  <c r="AN76" i="2"/>
  <c r="AN191" i="2"/>
  <c r="AN126" i="2"/>
  <c r="AN196" i="2"/>
  <c r="AN45" i="2"/>
  <c r="AN127" i="2"/>
  <c r="AN190" i="2"/>
  <c r="AN203" i="2"/>
  <c r="AN112" i="2"/>
  <c r="AN44" i="2"/>
  <c r="AN73" i="2"/>
  <c r="AN201" i="2"/>
  <c r="AN7" i="2"/>
  <c r="AN40" i="2"/>
  <c r="AN36" i="2"/>
  <c r="AN50" i="2"/>
  <c r="AN134" i="2"/>
  <c r="AN114" i="2"/>
  <c r="AN156" i="2"/>
  <c r="AN170" i="2"/>
  <c r="AN93" i="2"/>
  <c r="AN18" i="2"/>
  <c r="AN162" i="2"/>
  <c r="AN150" i="2"/>
  <c r="AN153" i="2"/>
  <c r="AN189" i="2"/>
  <c r="AN168" i="2"/>
  <c r="AN33" i="2"/>
  <c r="AN141" i="2"/>
  <c r="AN98" i="2"/>
  <c r="AN149" i="2"/>
  <c r="AN85" i="2"/>
  <c r="AN137" i="2"/>
  <c r="AN101" i="2"/>
  <c r="AN152" i="2"/>
  <c r="AN169" i="2"/>
  <c r="AN179" i="2"/>
  <c r="AN159" i="2"/>
  <c r="AN39" i="2"/>
  <c r="AN78" i="2"/>
  <c r="AN198" i="2"/>
  <c r="AN65" i="2"/>
  <c r="AN59" i="2"/>
  <c r="AN123" i="2"/>
  <c r="AN155" i="2"/>
  <c r="AN115" i="2"/>
  <c r="AN95" i="2"/>
  <c r="AN16" i="2"/>
  <c r="AN186" i="2"/>
  <c r="AN194" i="2"/>
  <c r="AN128" i="2"/>
  <c r="AN41" i="2"/>
  <c r="AN163" i="2"/>
  <c r="AN151" i="2"/>
  <c r="AN118" i="2"/>
  <c r="AN17" i="2"/>
  <c r="AN60" i="2"/>
  <c r="AN144" i="2"/>
  <c r="AN147" i="2"/>
  <c r="AN116" i="2"/>
  <c r="AN14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78" i="2" l="1"/>
  <c r="BI126" i="2"/>
  <c r="BI99" i="2"/>
  <c r="BI47" i="2"/>
  <c r="BI85" i="2"/>
  <c r="BI159" i="2"/>
  <c r="BI112" i="2"/>
  <c r="BI34" i="2"/>
  <c r="BI4" i="2"/>
  <c r="BI171" i="2"/>
  <c r="BI53" i="2"/>
  <c r="BI82" i="2"/>
  <c r="BI96" i="2"/>
  <c r="BI127" i="2"/>
  <c r="BI106" i="2"/>
  <c r="BI36" i="2"/>
  <c r="BI66" i="2"/>
  <c r="BI61" i="2"/>
  <c r="BI169" i="2"/>
  <c r="BI88" i="2"/>
  <c r="BI170" i="2"/>
  <c r="BI87" i="2"/>
  <c r="BI62" i="2"/>
  <c r="BI50" i="2"/>
  <c r="BI17" i="2"/>
  <c r="BI114" i="2"/>
  <c r="BI130" i="2"/>
  <c r="BI30" i="2"/>
  <c r="BI13" i="2"/>
  <c r="BI152" i="2"/>
  <c r="BI72" i="2"/>
  <c r="BI143" i="2"/>
  <c r="BI157" i="2"/>
  <c r="BI52" i="2"/>
  <c r="BI135" i="2"/>
  <c r="BI124" i="2"/>
  <c r="BI95" i="2"/>
  <c r="BI37" i="2"/>
  <c r="BI168" i="2"/>
  <c r="BI180" i="2"/>
  <c r="BI22" i="2"/>
  <c r="BI84" i="2"/>
  <c r="BI59" i="2"/>
  <c r="BI38" i="2"/>
  <c r="BI68" i="2"/>
  <c r="BI156" i="2"/>
  <c r="BI134" i="2"/>
  <c r="BI201" i="2"/>
  <c r="BI86" i="2"/>
  <c r="BI20" i="2"/>
  <c r="BI89" i="2"/>
  <c r="BI74" i="2"/>
  <c r="BI198" i="2"/>
  <c r="BI136" i="2"/>
  <c r="BI151" i="2"/>
  <c r="BI103" i="2"/>
  <c r="BI202" i="2"/>
  <c r="BI111" i="2"/>
  <c r="BI141" i="2"/>
  <c r="BI203" i="2"/>
  <c r="BI121" i="2"/>
  <c r="BI100" i="2"/>
  <c r="BI32" i="2"/>
  <c r="BI98" i="2"/>
  <c r="BI164" i="2"/>
  <c r="BI79" i="2"/>
  <c r="BI122" i="2"/>
  <c r="BI6" i="2"/>
  <c r="BI146" i="2"/>
  <c r="BI117" i="2"/>
  <c r="BI194" i="2"/>
  <c r="BI31" i="2"/>
  <c r="BI129" i="2"/>
  <c r="BI44" i="2"/>
  <c r="BI60" i="2"/>
  <c r="BI40" i="2"/>
  <c r="BI132" i="2"/>
  <c r="BI107" i="2"/>
  <c r="BI142" i="2"/>
  <c r="BI120" i="2"/>
  <c r="BI8" i="2"/>
  <c r="BI116" i="2"/>
  <c r="BI186" i="2"/>
  <c r="BI193" i="2"/>
  <c r="BI42" i="2"/>
  <c r="BI177" i="2"/>
  <c r="BI185" i="2"/>
  <c r="BI199" i="2"/>
  <c r="BI172" i="2"/>
  <c r="BI11" i="2"/>
  <c r="BI25" i="2"/>
  <c r="BI101" i="2"/>
  <c r="BI102" i="2"/>
  <c r="BI153" i="2"/>
  <c r="BI26" i="2"/>
  <c r="BI45" i="2"/>
  <c r="BI55" i="2"/>
  <c r="BI167" i="2"/>
  <c r="BI162" i="2"/>
  <c r="BI119" i="2"/>
  <c r="BI178" i="2"/>
  <c r="BI197" i="2"/>
  <c r="BI12" i="2"/>
  <c r="BI46" i="2"/>
  <c r="BI75" i="2"/>
  <c r="BI10" i="2"/>
  <c r="BI3" i="2"/>
  <c r="C8" i="4" s="1"/>
  <c r="E8" i="4" s="1"/>
  <c r="F8" i="4" s="1"/>
  <c r="G8" i="4" s="1"/>
  <c r="L8" i="4" s="1"/>
  <c r="BI105" i="2"/>
  <c r="BI28" i="2"/>
  <c r="BI131" i="2"/>
  <c r="BI35" i="2"/>
  <c r="BI138" i="2"/>
  <c r="BI176" i="2"/>
  <c r="BI23" i="2"/>
  <c r="BI189" i="2"/>
  <c r="BI161" i="2"/>
  <c r="BI97" i="2"/>
  <c r="BI110" i="2"/>
  <c r="BI109" i="2"/>
  <c r="BI195" i="2"/>
  <c r="BI54" i="2"/>
  <c r="BI71" i="2"/>
  <c r="BI133" i="2"/>
  <c r="BI144" i="2"/>
  <c r="BI69" i="2"/>
  <c r="BI137" i="2"/>
  <c r="BI200" i="2"/>
  <c r="BI115" i="2"/>
  <c r="BI76" i="2"/>
  <c r="BI57" i="2"/>
  <c r="BI182" i="2"/>
  <c r="BI19" i="2"/>
  <c r="BI41" i="2"/>
  <c r="BI166" i="2"/>
  <c r="BI77" i="2"/>
  <c r="BI192" i="2"/>
  <c r="BI165" i="2"/>
  <c r="BI43" i="2"/>
  <c r="BI123" i="2"/>
  <c r="BI158" i="2"/>
  <c r="BI63" i="2"/>
  <c r="BI48" i="2"/>
  <c r="BI108" i="2"/>
  <c r="BI104" i="2"/>
  <c r="BI147" i="2"/>
  <c r="BI51" i="2"/>
  <c r="BI49" i="2"/>
  <c r="BI39" i="2"/>
  <c r="BI65" i="2"/>
  <c r="BI81" i="2"/>
  <c r="BI191" i="2"/>
  <c r="BI93" i="2"/>
  <c r="BI5" i="2"/>
  <c r="BI148" i="2"/>
  <c r="BI181" i="2"/>
  <c r="BI15" i="2"/>
  <c r="BI29" i="2"/>
  <c r="BI92" i="2"/>
  <c r="BI190" i="2"/>
  <c r="BI154" i="2"/>
  <c r="BI140" i="2"/>
  <c r="BI64" i="2"/>
  <c r="BI33" i="2"/>
  <c r="BI160" i="2"/>
  <c r="BI179" i="2"/>
  <c r="BI24" i="2"/>
  <c r="BI128" i="2"/>
  <c r="BI125" i="2"/>
  <c r="BI14" i="2"/>
  <c r="BI196" i="2"/>
  <c r="BI155" i="2"/>
  <c r="BI80" i="2"/>
  <c r="BI149" i="2"/>
  <c r="BI91" i="2"/>
  <c r="BI9" i="2"/>
  <c r="BI67" i="2"/>
  <c r="BI184" i="2"/>
  <c r="BI188" i="2"/>
  <c r="BI27" i="2"/>
  <c r="BI21" i="2"/>
  <c r="BI175" i="2"/>
  <c r="BI94" i="2"/>
  <c r="BI187" i="2"/>
  <c r="BI90" i="2"/>
  <c r="BI150" i="2"/>
  <c r="BI58" i="2"/>
  <c r="BI83" i="2"/>
  <c r="BI145" i="2"/>
  <c r="BI173" i="2"/>
  <c r="BI118" i="2"/>
  <c r="BI70" i="2"/>
  <c r="BI18" i="2"/>
  <c r="BI7" i="2"/>
  <c r="BI174" i="2"/>
  <c r="BI183" i="2"/>
  <c r="BI73" i="2"/>
  <c r="BI16" i="2"/>
  <c r="BI139" i="2"/>
  <c r="BI113" i="2"/>
  <c r="BI163" i="2"/>
  <c r="BI56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<sst xmlns="http://schemas.openxmlformats.org/spreadsheetml/2006/main" count="1172" uniqueCount="327">
  <si>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</si>
  <si>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</si>
  <si>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</si>
  <si>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</si>
  <si>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</si>
  <si>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</si>
  <si>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</si>
  <si>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</si>
  <si>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</si>
  <si>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</si>
  <si>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</si>
  <si>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</si>
  <si>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</si>
  <si>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</si>
  <si>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</si>
  <si>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</si>
  <si>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</si>
  <si>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</si>
  <si>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</si>
  <si>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</si>
  <si>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</si>
  <si>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</si>
  <si>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</si>
  <si>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</si>
  <si>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</si>
  <si>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</si>
  <si>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</si>
  <si>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</si>
  <si>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</si>
  <si>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</si>
  <si>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</si>
  <si>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</si>
  <si>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</si>
  <si>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</si>
  <si>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</si>
  <si>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</si>
  <si>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</si>
  <si>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</si>
  <si>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</si>
  <si>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</si>
  <si>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</si>
  <si>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</si>
  <si>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</si>
  <si>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</si>
  <si>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</si>
  <si>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</si>
  <si>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</si>
  <si>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</si>
  <si>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</si>
  <si>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</si>
  <si>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</si>
  <si>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</si>
  <si>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</si>
  <si>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</si>
  <si>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</si>
  <si>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</si>
  <si>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</si>
  <si>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</si>
  <si>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</si>
  <si>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</si>
  <si>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</si>
  <si>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</si>
  <si>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</si>
  <si>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</si>
  <si>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</si>
  <si>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</si>
  <si>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</si>
  <si>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</si>
  <si>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</si>
  <si>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</si>
  <si>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</si>
  <si>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</si>
  <si>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</si>
  <si>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</si>
  <si>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</si>
  <si>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</si>
  <si>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</si>
  <si>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</si>
  <si>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</si>
  <si>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</si>
  <si>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</si>
  <si>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</si>
  <si>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</si>
  <si>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</si>
  <si>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</si>
  <si>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</si>
  <si>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</si>
  <si>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</si>
  <si>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</si>
  <si>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</si>
  <si>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</si>
  <si>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</si>
  <si>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</si>
  <si>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</si>
  <si>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</si>
  <si>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</si>
  <si>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</si>
  <si>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</si>
  <si>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</si>
  <si>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</si>
  <si>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</si>
  <si>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</si>
  <si>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</si>
  <si>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</si>
  <si>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</si>
  <si>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</si>
  <si>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</si>
  <si>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</si>
  <si>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</si>
  <si>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</si>
  <si>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</si>
  <si>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</si>
  <si>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</si>
  <si>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</si>
  <si>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</si>
  <si>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</si>
  <si>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</si>
  <si>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</si>
  <si>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</si>
  <si>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</si>
  <si>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</si>
  <si>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</si>
  <si>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</si>
  <si>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</si>
  <si>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</si>
  <si>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</si>
  <si>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</si>
  <si>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</si>
  <si>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</si>
  <si>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</si>
  <si>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</si>
  <si>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</si>
  <si>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</si>
  <si>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</si>
  <si>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</si>
  <si>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</si>
  <si>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</si>
  <si>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</si>
  <si>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</si>
  <si>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</si>
  <si>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</si>
  <si>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</si>
  <si>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</si>
  <si>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</si>
  <si>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</si>
  <si>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</si>
  <si>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</si>
  <si>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</si>
  <si>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</si>
  <si>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</si>
  <si>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</si>
  <si>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</si>
  <si>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</si>
  <si>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</si>
  <si>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</si>
  <si>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</si>
  <si>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</si>
  <si>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</si>
  <si>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</si>
  <si>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</si>
  <si>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</si>
  <si>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</si>
  <si>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</si>
  <si>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</si>
  <si>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</si>
  <si>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</si>
  <si>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</si>
  <si>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</si>
  <si>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</si>
  <si>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</si>
  <si>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</si>
  <si>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</si>
  <si>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</si>
  <si>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</si>
  <si>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</si>
  <si>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</si>
  <si>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</si>
  <si>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</si>
  <si>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</si>
  <si>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</si>
  <si>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</si>
  <si>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</si>
  <si>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</si>
  <si>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</si>
  <si>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</si>
  <si>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</si>
  <si>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</si>
  <si>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</si>
  <si>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</si>
  <si>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</si>
  <si>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</si>
  <si>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</si>
  <si>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</si>
  <si>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</si>
  <si>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</si>
  <si>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</si>
  <si>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</si>
  <si>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</si>
  <si>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</si>
  <si>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</si>
  <si>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</si>
  <si>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</si>
  <si>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</si>
  <si>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</si>
  <si>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</si>
  <si>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</si>
  <si>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</si>
  <si>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</si>
  <si>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</si>
  <si>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</si>
  <si>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</si>
  <si>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</si>
  <si>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</si>
  <si>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</si>
  <si>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</si>
  <si>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</si>
  <si>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</si>
  <si>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</si>
  <si>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</si>
  <si>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</si>
  <si>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</si>
  <si>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</si>
  <si>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</si>
  <si>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</si>
  <si>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</si>
  <si>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</si>
  <si>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</si>
  <si>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</si>
  <si>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</si>
  <si>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</si>
  <si>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</si>
  <si>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</si>
  <si>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</si>
  <si>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</si>
  <si>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</si>
  <si>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</si>
  <si>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</si>
  <si>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</si>
  <si>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</si>
  <si>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</si>
  <si>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</si>
  <si>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</si>
  <si>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</si>
  <si>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</si>
  <si>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</si>
  <si>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</si>
  <si>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</si>
  <si>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</si>
  <si>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</si>
  <si>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</si>
  <si>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</si>
  <si>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</si>
  <si>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</si>
  <si>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</si>
  <si>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</si>
  <si>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</si>
  <si>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</si>
  <si>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</si>
  <si>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</si>
  <si>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</si>
  <si>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</si>
  <si>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</si>
  <si>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</si>
  <si>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</si>
  <si>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</si>
  <si>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</si>
  <si>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</si>
  <si>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</si>
  <si>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</si>
  <si>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</si>
  <si>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</si>
  <si>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</si>
  <si>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</si>
  <si>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</si>
  <si>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</si>
  <si>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</si>
  <si>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</si>
  <si>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</si>
  <si>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</si>
  <si>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</si>
  <si>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</si>
  <si>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</si>
  <si>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</si>
  <si>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</si>
  <si>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</si>
  <si>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</si>
  <si>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</si>
  <si>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</si>
  <si>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</si>
  <si>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</si>
  <si>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</si>
  <si>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</si>
  <si>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</si>
  <si>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</si>
  <si>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</si>
  <si>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</si>
  <si>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</si>
  <si>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</si>
  <si>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</si>
  <si>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</si>
  <si>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</si>
  <si>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</si>
  <si>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</si>
  <si>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</si>
  <si>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</si>
  <si>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</si>
  <si>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</si>
  <si>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</si>
  <si>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</si>
  <si>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</si>
  <si>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</si>
  <si>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</si>
  <si>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</si>
  <si>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</si>
  <si>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</si>
  <si>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</si>
  <si>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</si>
  <si>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</si>
  <si>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</si>
  <si>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</si>
  <si>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</si>
  <si>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</si>
  <si>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</si>
  <si>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</si>
  <si>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ONF_F3</t>
  </si>
  <si>
    <t>ONF_F2_N-E France</t>
  </si>
  <si>
    <t>UK for com_F10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</si>
</sst>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7.3800406658039828</c:v>
                </c:pt>
                <c:pt idx="2">
                  <c:v>14.430122778312859</c:v>
                </c:pt>
                <c:pt idx="3">
                  <c:v>21.373644840990689</c:v>
                </c:pt>
                <c:pt idx="4">
                  <c:v>28.251480809573795</c:v>
                </c:pt>
                <c:pt idx="5">
                  <c:v>35.082156100738764</c:v>
                </c:pt>
                <c:pt idx="6">
                  <c:v>41.876238385615665</c:v>
                </c:pt>
                <c:pt idx="7">
                  <c:v>48.640540233177099</c:v>
                </c:pt>
                <c:pt idx="8">
                  <c:v>55.379806866672531</c:v>
                </c:pt>
                <c:pt idx="9">
                  <c:v>62.097526085554399</c:v>
                </c:pt>
                <c:pt idx="10">
                  <c:v>68.796365153350322</c:v>
                </c:pt>
                <c:pt idx="11">
                  <c:v>75.47842701139993</c:v>
                </c:pt>
                <c:pt idx="12">
                  <c:v>82.145410317563559</c:v>
                </c:pt>
                <c:pt idx="13">
                  <c:v>88.79871447595167</c:v>
                </c:pt>
                <c:pt idx="14">
                  <c:v>95.439511367710338</c:v>
                </c:pt>
                <c:pt idx="15">
                  <c:v>102.06879597606302</c:v>
                </c:pt>
                <c:pt idx="16">
                  <c:v>108.68742311436408</c:v>
                </c:pt>
                <c:pt idx="17">
                  <c:v>115.29613470502277</c:v>
                </c:pt>
                <c:pt idx="18">
                  <c:v>121.89558045466629</c:v>
                </c:pt>
                <c:pt idx="19">
                  <c:v>128.48633380310281</c:v>
                </c:pt>
                <c:pt idx="20">
                  <c:v>135.06890441882061</c:v>
                </c:pt>
                <c:pt idx="21">
                  <c:v>141.64374812436762</c:v>
                </c:pt>
                <c:pt idx="22">
                  <c:v>148.21127487761666</c:v>
                </c:pt>
                <c:pt idx="23">
                  <c:v>154.77185526087118</c:v>
                </c:pt>
                <c:pt idx="24">
                  <c:v>161.32582580958686</c:v>
                </c:pt>
                <c:pt idx="25">
                  <c:v>167.87349342794758</c:v>
                </c:pt>
                <c:pt idx="26">
                  <c:v>174.41513907806188</c:v>
                </c:pt>
                <c:pt idx="27">
                  <c:v>180.95102088562683</c:v>
                </c:pt>
                <c:pt idx="28">
                  <c:v>187.48137677255966</c:v>
                </c:pt>
                <c:pt idx="29">
                  <c:v>194.00642670297006</c:v>
                </c:pt>
                <c:pt idx="30">
                  <c:v>200.52637461064015</c:v>
                </c:pt>
                <c:pt idx="31">
                  <c:v>207.04141006228784</c:v>
                </c:pt>
                <c:pt idx="32">
                  <c:v>213.55170970018628</c:v>
                </c:pt>
                <c:pt idx="33">
                  <c:v>220.05743849939086</c:v>
                </c:pt>
                <c:pt idx="34">
                  <c:v>226.55875086829255</c:v>
                </c:pt>
                <c:pt idx="35">
                  <c:v>233.05579161605704</c:v>
                </c:pt>
                <c:pt idx="36">
                  <c:v>239.5486968063905</c:v>
                </c:pt>
                <c:pt idx="37">
                  <c:v>246.03759451377718</c:v>
                </c:pt>
                <c:pt idx="38">
                  <c:v>252.5226054956606</c:v>
                </c:pt>
                <c:pt idx="39">
                  <c:v>259.00384379188023</c:v>
                </c:pt>
                <c:pt idx="40">
                  <c:v>265.48141726089602</c:v>
                </c:pt>
                <c:pt idx="41">
                  <c:v>271.95542806088224</c:v>
                </c:pt>
                <c:pt idx="42">
                  <c:v>278.42597308256319</c:v>
                </c:pt>
                <c:pt idx="43">
                  <c:v>284.89314433966507</c:v>
                </c:pt>
                <c:pt idx="44">
                  <c:v>291.35702932202412</c:v>
                </c:pt>
                <c:pt idx="45">
                  <c:v>297.8177113156882</c:v>
                </c:pt>
                <c:pt idx="46">
                  <c:v>304.27526969376351</c:v>
                </c:pt>
                <c:pt idx="47">
                  <c:v>310.72978018125599</c:v>
                </c:pt>
                <c:pt idx="48">
                  <c:v>317.1813150967381</c:v>
                </c:pt>
                <c:pt idx="49">
                  <c:v>323.62994357330712</c:v>
                </c:pt>
                <c:pt idx="50">
                  <c:v>330.0757317609972</c:v>
                </c:pt>
                <c:pt idx="51">
                  <c:v>336.51874301254134</c:v>
                </c:pt>
                <c:pt idx="52">
                  <c:v>247.01200248677006</c:v>
                </c:pt>
                <c:pt idx="53">
                  <c:v>259.43488785150095</c:v>
                </c:pt>
                <c:pt idx="54">
                  <c:v>271.84433604206578</c:v>
                </c:pt>
                <c:pt idx="55">
                  <c:v>284.24104711596163</c:v>
                </c:pt>
                <c:pt idx="56">
                  <c:v>296.6256550515152</c:v>
                </c:pt>
                <c:pt idx="57">
                  <c:v>308.99873654266725</c:v>
                </c:pt>
                <c:pt idx="58">
                  <c:v>321.36081831054946</c:v>
                </c:pt>
                <c:pt idx="59">
                  <c:v>333.71238323059265</c:v>
                </c:pt>
                <c:pt idx="60">
                  <c:v>346.05387550468822</c:v>
                </c:pt>
                <c:pt idx="61">
                  <c:v>358.3857050566765</c:v>
                </c:pt>
                <c:pt idx="62">
                  <c:v>370.70825129105378</c:v>
                </c:pt>
                <c:pt idx="63">
                  <c:v>383.02186632567759</c:v>
                </c:pt>
                <c:pt idx="64">
                  <c:v>278.73116194548425</c:v>
                </c:pt>
                <c:pt idx="65">
                  <c:v>290.09879353244492</c:v>
                </c:pt>
                <c:pt idx="66">
                  <c:v>301.4564733796521</c:v>
                </c:pt>
                <c:pt idx="67">
                  <c:v>312.80462944093028</c:v>
                </c:pt>
                <c:pt idx="68">
                  <c:v>324.1436560691223</c:v>
                </c:pt>
                <c:pt idx="69">
                  <c:v>335.47391776262225</c:v>
                </c:pt>
                <c:pt idx="70">
                  <c:v>346.7957523790833</c:v>
                </c:pt>
                <c:pt idx="71">
                  <c:v>358.10947390735413</c:v>
                </c:pt>
                <c:pt idx="72">
                  <c:v>369.41537487070042</c:v>
                </c:pt>
                <c:pt idx="73">
                  <c:v>380.71372842036959</c:v>
                </c:pt>
                <c:pt idx="74">
                  <c:v>392.00479016759505</c:v>
                </c:pt>
                <c:pt idx="75">
                  <c:v>403.28879979346425</c:v>
                </c:pt>
                <c:pt idx="76">
                  <c:v>320.09055988993907</c:v>
                </c:pt>
                <c:pt idx="77">
                  <c:v>330.51376496417566</c:v>
                </c:pt>
                <c:pt idx="78">
                  <c:v>340.9297203238948</c:v>
                </c:pt>
                <c:pt idx="79">
                  <c:v>351.33867878828346</c:v>
                </c:pt>
                <c:pt idx="80">
                  <c:v>361.74087696659825</c:v>
                </c:pt>
                <c:pt idx="81">
                  <c:v>372.13653674377588</c:v>
                </c:pt>
                <c:pt idx="82">
                  <c:v>382.52586659131663</c:v>
                </c:pt>
                <c:pt idx="83">
                  <c:v>392.90906272827596</c:v>
                </c:pt>
                <c:pt idx="84">
                  <c:v>403.28631015309378</c:v>
                </c:pt>
                <c:pt idx="85">
                  <c:v>413.6577835636549</c:v>
                </c:pt>
                <c:pt idx="86">
                  <c:v>424.02364818024301</c:v>
                </c:pt>
                <c:pt idx="87">
                  <c:v>434.38406048380944</c:v>
                </c:pt>
                <c:pt idx="88">
                  <c:v>351.58422801050841</c:v>
                </c:pt>
                <c:pt idx="89">
                  <c:v>360.99635900937443</c:v>
                </c:pt>
                <c:pt idx="90">
                  <c:v>370.40312470931332</c:v>
                </c:pt>
                <c:pt idx="91">
                  <c:v>379.80468065192116</c:v>
                </c:pt>
                <c:pt idx="92">
                  <c:v>389.20117404606736</c:v>
                </c:pt>
                <c:pt idx="93">
                  <c:v>398.59274440905824</c:v>
                </c:pt>
                <c:pt idx="94">
                  <c:v>407.97952414419888</c:v>
                </c:pt>
                <c:pt idx="95">
                  <c:v>417.36163906241222</c:v>
                </c:pt>
                <c:pt idx="96">
                  <c:v>426.73920885449638</c:v>
                </c:pt>
                <c:pt idx="97">
                  <c:v>436.11234751969567</c:v>
                </c:pt>
                <c:pt idx="98">
                  <c:v>445.48116375549813</c:v>
                </c:pt>
                <c:pt idx="99">
                  <c:v>454.84576131292738</c:v>
                </c:pt>
                <c:pt idx="100">
                  <c:v>238.64812478518766</c:v>
                </c:pt>
                <c:pt idx="101">
                  <c:v>245.25745220730889</c:v>
                </c:pt>
                <c:pt idx="102">
                  <c:v>251.86273322597432</c:v>
                </c:pt>
                <c:pt idx="103">
                  <c:v>258.46408908205132</c:v>
                </c:pt>
                <c:pt idx="104">
                  <c:v>265.06163430905343</c:v>
                </c:pt>
                <c:pt idx="105">
                  <c:v>271.65547726567394</c:v>
                </c:pt>
                <c:pt idx="106">
                  <c:v>278.2457206138526</c:v>
                </c:pt>
                <c:pt idx="107">
                  <c:v>284.83246174913438</c:v>
                </c:pt>
                <c:pt idx="108">
                  <c:v>291.41579318909641</c:v>
                </c:pt>
                <c:pt idx="109">
                  <c:v>297.99580292480601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10.048304616950057</c:v>
                </c:pt>
                <c:pt idx="2">
                  <c:v>19.659137741821663</c:v>
                </c:pt>
                <c:pt idx="3">
                  <c:v>29.128689534447123</c:v>
                </c:pt>
                <c:pt idx="4">
                  <c:v>38.511152226622073</c:v>
                </c:pt>
                <c:pt idx="5">
                  <c:v>47.831087514335131</c:v>
                </c:pt>
                <c:pt idx="6">
                  <c:v>57.102506414457658</c:v>
                </c:pt>
                <c:pt idx="7">
                  <c:v>66.334441287822742</c:v>
                </c:pt>
                <c:pt idx="8">
                  <c:v>75.53318353034804</c:v>
                </c:pt>
                <c:pt idx="9">
                  <c:v>84.70335739806599</c:v>
                </c:pt>
                <c:pt idx="10">
                  <c:v>93.848499249538975</c:v>
                </c:pt>
                <c:pt idx="11">
                  <c:v>102.97139724369315</c:v>
                </c:pt>
                <c:pt idx="12">
                  <c:v>112.07430352517288</c:v>
                </c:pt>
                <c:pt idx="13">
                  <c:v>121.15907347671678</c:v>
                </c:pt>
                <c:pt idx="14">
                  <c:v>130.22726082253777</c:v>
                </c:pt>
                <c:pt idx="15">
                  <c:v>139.28018474891235</c:v>
                </c:pt>
                <c:pt idx="16">
                  <c:v>148.31897859961927</c:v>
                </c:pt>
                <c:pt idx="17">
                  <c:v>157.3446260433652</c:v>
                </c:pt>
                <c:pt idx="18">
                  <c:v>166.35798848569573</c:v>
                </c:pt>
                <c:pt idx="19">
                  <c:v>175.35982621473178</c:v>
                </c:pt>
                <c:pt idx="20">
                  <c:v>184.35081496817375</c:v>
                </c:pt>
                <c:pt idx="21">
                  <c:v>193.33155909274402</c:v>
                </c:pt>
                <c:pt idx="22">
                  <c:v>202.30260212604904</c:v>
                </c:pt>
                <c:pt idx="23">
                  <c:v>211.26443540008074</c:v>
                </c:pt>
                <c:pt idx="24">
                  <c:v>220.21750510623642</c:v>
                </c:pt>
                <c:pt idx="25">
                  <c:v>229.16221814965567</c:v>
                </c:pt>
                <c:pt idx="26">
                  <c:v>238.09894704049665</c:v>
                </c:pt>
                <c:pt idx="27">
                  <c:v>247.02803401154202</c:v>
                </c:pt>
                <c:pt idx="28">
                  <c:v>255.94979450864125</c:v>
                </c:pt>
                <c:pt idx="29">
                  <c:v>264.86452016850518</c:v>
                </c:pt>
                <c:pt idx="30">
                  <c:v>273.77248137423243</c:v>
                </c:pt>
                <c:pt idx="31">
                  <c:v>282.67392946052559</c:v>
                </c:pt>
                <c:pt idx="32">
                  <c:v>291.56909862637139</c:v>
                </c:pt>
                <c:pt idx="33">
                  <c:v>300.45820760191901</c:v>
                </c:pt>
                <c:pt idx="34">
                  <c:v>309.34146110763578</c:v>
                </c:pt>
                <c:pt idx="35">
                  <c:v>318.21905113697397</c:v>
                </c:pt>
                <c:pt idx="36">
                  <c:v>327.09115808832604</c:v>
                </c:pt>
                <c:pt idx="37">
                  <c:v>335.95795176767251</c:v>
                </c:pt>
                <c:pt idx="38">
                  <c:v>344.81959227978564</c:v>
                </c:pt>
                <c:pt idx="39">
                  <c:v>353.67623082298468</c:v>
                </c:pt>
                <c:pt idx="40">
                  <c:v>362.52801040008325</c:v>
                </c:pt>
                <c:pt idx="41">
                  <c:v>371.3750664562408</c:v>
                </c:pt>
                <c:pt idx="42">
                  <c:v>380.21752745283328</c:v>
                </c:pt>
                <c:pt idx="43">
                  <c:v>389.05551538512827</c:v>
                </c:pt>
                <c:pt idx="44">
                  <c:v>397.8891462504501</c:v>
                </c:pt>
                <c:pt idx="45">
                  <c:v>268.3332207978392</c:v>
                </c:pt>
                <c:pt idx="46">
                  <c:v>287.12426874710326</c:v>
                </c:pt>
                <c:pt idx="47">
                  <c:v>305.88781482274101</c:v>
                </c:pt>
                <c:pt idx="48">
                  <c:v>324.62578288235642</c:v>
                </c:pt>
                <c:pt idx="49">
                  <c:v>343.33985656629596</c:v>
                </c:pt>
                <c:pt idx="50">
                  <c:v>362.0315210237124</c:v>
                </c:pt>
                <c:pt idx="51">
                  <c:v>380.70209556651133</c:v>
                </c:pt>
                <c:pt idx="52">
                  <c:v>304.14921959879979</c:v>
                </c:pt>
                <c:pt idx="53">
                  <c:v>321.868890544267</c:v>
                </c:pt>
                <c:pt idx="54">
                  <c:v>339.56699231057195</c:v>
                </c:pt>
                <c:pt idx="55">
                  <c:v>357.24480696016116</c:v>
                </c:pt>
                <c:pt idx="56">
                  <c:v>374.90347933824819</c:v>
                </c:pt>
                <c:pt idx="57">
                  <c:v>392.54403766469613</c:v>
                </c:pt>
                <c:pt idx="58">
                  <c:v>410.16741023037071</c:v>
                </c:pt>
                <c:pt idx="59">
                  <c:v>427.77443907396082</c:v>
                </c:pt>
                <c:pt idx="60">
                  <c:v>342.61772102411163</c:v>
                </c:pt>
                <c:pt idx="61">
                  <c:v>359.16062505062047</c:v>
                </c:pt>
                <c:pt idx="62">
                  <c:v>375.68686388798625</c:v>
                </c:pt>
                <c:pt idx="63">
                  <c:v>392.19727364217937</c:v>
                </c:pt>
                <c:pt idx="64">
                  <c:v>408.6926142945477</c:v>
                </c:pt>
                <c:pt idx="65">
                  <c:v>425.17357948922836</c:v>
                </c:pt>
                <c:pt idx="66">
                  <c:v>441.64080472385695</c:v>
                </c:pt>
                <c:pt idx="67">
                  <c:v>458.09487425506512</c:v>
                </c:pt>
                <c:pt idx="68">
                  <c:v>389.00384145999186</c:v>
                </c:pt>
                <c:pt idx="69">
                  <c:v>404.88840808380127</c:v>
                </c:pt>
                <c:pt idx="70">
                  <c:v>420.75950620505029</c:v>
                </c:pt>
                <c:pt idx="71">
                  <c:v>436.61771524956117</c:v>
                </c:pt>
                <c:pt idx="72">
                  <c:v>452.46356913105257</c:v>
                </c:pt>
                <c:pt idx="73">
                  <c:v>468.29756132773349</c:v>
                </c:pt>
                <c:pt idx="74">
                  <c:v>484.12014923664145</c:v>
                </c:pt>
                <c:pt idx="75">
                  <c:v>499.93175792920005</c:v>
                </c:pt>
                <c:pt idx="76">
                  <c:v>432.23287601174712</c:v>
                </c:pt>
                <c:pt idx="77">
                  <c:v>447.64293801816285</c:v>
                </c:pt>
                <c:pt idx="78">
                  <c:v>463.04164880223556</c:v>
                </c:pt>
                <c:pt idx="79">
                  <c:v>478.42943889795788</c:v>
                </c:pt>
                <c:pt idx="80">
                  <c:v>493.80670889501863</c:v>
                </c:pt>
                <c:pt idx="81">
                  <c:v>509.17383240843407</c:v>
                </c:pt>
                <c:pt idx="82">
                  <c:v>524.53115867111683</c:v>
                </c:pt>
                <c:pt idx="83">
                  <c:v>539.879014807114</c:v>
                </c:pt>
                <c:pt idx="84">
                  <c:v>555.21770783299235</c:v>
                </c:pt>
                <c:pt idx="85">
                  <c:v>474.82491637704396</c:v>
                </c:pt>
                <c:pt idx="86">
                  <c:v>489.58681562555012</c:v>
                </c:pt>
                <c:pt idx="87">
                  <c:v>504.33927544305925</c:v>
                </c:pt>
                <c:pt idx="88">
                  <c:v>519.08261074179791</c:v>
                </c:pt>
                <c:pt idx="89">
                  <c:v>533.81711709291642</c:v>
                </c:pt>
                <c:pt idx="90">
                  <c:v>548.54307242652112</c:v>
                </c:pt>
                <c:pt idx="91">
                  <c:v>563.26073853972309</c:v>
                </c:pt>
                <c:pt idx="92">
                  <c:v>577.97036243893194</c:v>
                </c:pt>
                <c:pt idx="93">
                  <c:v>592.67217753845057</c:v>
                </c:pt>
                <c:pt idx="94">
                  <c:v>525.39800785268062</c:v>
                </c:pt>
                <c:pt idx="95">
                  <c:v>540.1830286906735</c:v>
                </c:pt>
                <c:pt idx="96">
                  <c:v>554.95955132926986</c:v>
                </c:pt>
                <c:pt idx="97">
                  <c:v>569.727833819701</c:v>
                </c:pt>
                <c:pt idx="98">
                  <c:v>584.48811975027968</c:v>
                </c:pt>
                <c:pt idx="99">
                  <c:v>599.24063940933604</c:v>
                </c:pt>
                <c:pt idx="100">
                  <c:v>613.98561082773153</c:v>
                </c:pt>
                <c:pt idx="101">
                  <c:v>628.72324071607227</c:v>
                </c:pt>
                <c:pt idx="102">
                  <c:v>643.45372530952898</c:v>
                </c:pt>
                <c:pt idx="103">
                  <c:v>658.17725113131621</c:v>
                </c:pt>
                <c:pt idx="104">
                  <c:v>564.13309016863479</c:v>
                </c:pt>
                <c:pt idx="105">
                  <c:v>578.49132971991378</c:v>
                </c:pt>
                <c:pt idx="106">
                  <c:v>592.84213641116253</c:v>
                </c:pt>
                <c:pt idx="107">
                  <c:v>607.18571543100336</c:v>
                </c:pt>
                <c:pt idx="108">
                  <c:v>621.52226148809166</c:v>
                </c:pt>
                <c:pt idx="109">
                  <c:v>635.85195958078464</c:v>
                </c:pt>
                <c:pt idx="110">
                  <c:v>650.17498569385816</c:v>
                </c:pt>
                <c:pt idx="111">
                  <c:v>664.4915074306748</c:v>
                </c:pt>
                <c:pt idx="112">
                  <c:v>678.80168458807077</c:v>
                </c:pt>
                <c:pt idx="113">
                  <c:v>693.1056696802774</c:v>
                </c:pt>
                <c:pt idx="114">
                  <c:v>621.05803334398831</c:v>
                </c:pt>
                <c:pt idx="115">
                  <c:v>636.03374756047731</c:v>
                </c:pt>
                <c:pt idx="116">
                  <c:v>651.00217703731926</c:v>
                </c:pt>
                <c:pt idx="117">
                  <c:v>665.96351276314715</c:v>
                </c:pt>
                <c:pt idx="118">
                  <c:v>680.91793645117184</c:v>
                </c:pt>
                <c:pt idx="119">
                  <c:v>695.86562118765994</c:v>
                </c:pt>
                <c:pt idx="120">
                  <c:v>710.80673202183868</c:v>
                </c:pt>
                <c:pt idx="121">
                  <c:v>725.74142650365923</c:v>
                </c:pt>
                <c:pt idx="122">
                  <c:v>740.66985517502701</c:v>
                </c:pt>
                <c:pt idx="123">
                  <c:v>755.59216201940251</c:v>
                </c:pt>
                <c:pt idx="124">
                  <c:v>770.50848487406813</c:v>
                </c:pt>
                <c:pt idx="125">
                  <c:v>785.41895580883818</c:v>
                </c:pt>
                <c:pt idx="126">
                  <c:v>667.10335010791766</c:v>
                </c:pt>
                <c:pt idx="127">
                  <c:v>681.93031271442624</c:v>
                </c:pt>
                <c:pt idx="128">
                  <c:v>696.75066156269395</c:v>
                </c:pt>
                <c:pt idx="129">
                  <c:v>711.56455705323924</c:v>
                </c:pt>
                <c:pt idx="130">
                  <c:v>726.37215236822306</c:v>
                </c:pt>
                <c:pt idx="131">
                  <c:v>741.17359393984896</c:v>
                </c:pt>
                <c:pt idx="132">
                  <c:v>755.96902187943522</c:v>
                </c:pt>
                <c:pt idx="133">
                  <c:v>770.75857037117385</c:v>
                </c:pt>
                <c:pt idx="134">
                  <c:v>785.54236803412675</c:v>
                </c:pt>
                <c:pt idx="135">
                  <c:v>800.32053825557568</c:v>
                </c:pt>
                <c:pt idx="136">
                  <c:v>815.0931994984943</c:v>
                </c:pt>
                <c:pt idx="137">
                  <c:v>829.86046558559235</c:v>
                </c:pt>
                <c:pt idx="138">
                  <c:v>702.45053268798029</c:v>
                </c:pt>
                <c:pt idx="139">
                  <c:v>716.91008548011894</c:v>
                </c:pt>
                <c:pt idx="140">
                  <c:v>731.36368508615408</c:v>
                </c:pt>
                <c:pt idx="141">
                  <c:v>745.81146564640403</c:v>
                </c:pt>
                <c:pt idx="142">
                  <c:v>760.25355568429995</c:v>
                </c:pt>
                <c:pt idx="143">
                  <c:v>774.69007844601583</c:v>
                </c:pt>
                <c:pt idx="144">
                  <c:v>789.12115221348574</c:v>
                </c:pt>
                <c:pt idx="145">
                  <c:v>803.54689059335408</c:v>
                </c:pt>
                <c:pt idx="146">
                  <c:v>817.96740278411835</c:v>
                </c:pt>
                <c:pt idx="147">
                  <c:v>832.38279382346775</c:v>
                </c:pt>
                <c:pt idx="148">
                  <c:v>846.79316481761714</c:v>
                </c:pt>
                <c:pt idx="149">
                  <c:v>861.1986131542327</c:v>
                </c:pt>
                <c:pt idx="150">
                  <c:v>533.64327606171275</c:v>
                </c:pt>
                <c:pt idx="151">
                  <c:v>542.45026377233353</c:v>
                </c:pt>
                <c:pt idx="152">
                  <c:v>551.25424958322492</c:v>
                </c:pt>
                <c:pt idx="153">
                  <c:v>560.0552882026393</c:v>
                </c:pt>
                <c:pt idx="154">
                  <c:v>367.85381429737589</c:v>
                </c:pt>
                <c:pt idx="155">
                  <c:v>373.21124685754739</c:v>
                </c:pt>
                <c:pt idx="156">
                  <c:v>378.56700327841526</c:v>
                </c:pt>
                <c:pt idx="157">
                  <c:v>383.92111064505872</c:v>
                </c:pt>
                <c:pt idx="158">
                  <c:v>257.32741893799079</c:v>
                </c:pt>
                <c:pt idx="159">
                  <c:v>260.6667052891749</c:v>
                </c:pt>
                <c:pt idx="160">
                  <c:v>264.00502543298677</c:v>
                </c:pt>
                <c:pt idx="161">
                  <c:v>267.34239333724963</c:v>
                </c:pt>
                <c:pt idx="162">
                  <c:v>1.1479655194098737E-11</c:v>
                </c:pt>
                <c:pt idx="163">
                  <c:v>1.1479655194098737E-11</c:v>
                </c:pt>
                <c:pt idx="164">
                  <c:v>1.1479655194098737E-11</c:v>
                </c:pt>
                <c:pt idx="165">
                  <c:v>1.1479655194098737E-11</c:v>
                </c:pt>
                <c:pt idx="166">
                  <c:v>1.1479655194098737E-11</c:v>
                </c:pt>
                <c:pt idx="167">
                  <c:v>1.1479655194098737E-11</c:v>
                </c:pt>
                <c:pt idx="168">
                  <c:v>1.1479655194098737E-11</c:v>
                </c:pt>
                <c:pt idx="169">
                  <c:v>1.1479655194098737E-11</c:v>
                </c:pt>
                <c:pt idx="170">
                  <c:v>1.1479655194098737E-11</c:v>
                </c:pt>
                <c:pt idx="171">
                  <c:v>1.1479655194098737E-11</c:v>
                </c:pt>
                <c:pt idx="172">
                  <c:v>1.1479655194098737E-11</c:v>
                </c:pt>
                <c:pt idx="173">
                  <c:v>1.1479655194098737E-11</c:v>
                </c:pt>
                <c:pt idx="174">
                  <c:v>1.1479655194098737E-11</c:v>
                </c:pt>
                <c:pt idx="175">
                  <c:v>1.1479655194098737E-11</c:v>
                </c:pt>
                <c:pt idx="176">
                  <c:v>1.1479655194098737E-11</c:v>
                </c:pt>
                <c:pt idx="177">
                  <c:v>1.1479655194098737E-11</c:v>
                </c:pt>
                <c:pt idx="178">
                  <c:v>1.1479655194098737E-11</c:v>
                </c:pt>
                <c:pt idx="179">
                  <c:v>1.1479655194098737E-11</c:v>
                </c:pt>
                <c:pt idx="180">
                  <c:v>1.1479655194098737E-11</c:v>
                </c:pt>
                <c:pt idx="181">
                  <c:v>1.1479655194098737E-11</c:v>
                </c:pt>
                <c:pt idx="182">
                  <c:v>1.1479655194098737E-11</c:v>
                </c:pt>
                <c:pt idx="183">
                  <c:v>1.1479655194098737E-11</c:v>
                </c:pt>
                <c:pt idx="184">
                  <c:v>1.1479655194098737E-11</c:v>
                </c:pt>
                <c:pt idx="185">
                  <c:v>1.1479655194098737E-11</c:v>
                </c:pt>
                <c:pt idx="186">
                  <c:v>1.1479655194098737E-11</c:v>
                </c:pt>
                <c:pt idx="187">
                  <c:v>1.1479655194098737E-11</c:v>
                </c:pt>
                <c:pt idx="188">
                  <c:v>1.1479655194098737E-11</c:v>
                </c:pt>
                <c:pt idx="189">
                  <c:v>1.1479655194098737E-11</c:v>
                </c:pt>
                <c:pt idx="190">
                  <c:v>1.1479655194098737E-11</c:v>
                </c:pt>
                <c:pt idx="191">
                  <c:v>1.1479655194098737E-11</c:v>
                </c:pt>
                <c:pt idx="192">
                  <c:v>1.1479655194098737E-11</c:v>
                </c:pt>
                <c:pt idx="193">
                  <c:v>1.1479655194098737E-11</c:v>
                </c:pt>
                <c:pt idx="194">
                  <c:v>1.1479655194098737E-11</c:v>
                </c:pt>
                <c:pt idx="195">
                  <c:v>1.1479655194098737E-11</c:v>
                </c:pt>
                <c:pt idx="196">
                  <c:v>1.1479655194098737E-11</c:v>
                </c:pt>
                <c:pt idx="197">
                  <c:v>1.1479655194098737E-11</c:v>
                </c:pt>
                <c:pt idx="198">
                  <c:v>1.1479655194098737E-11</c:v>
                </c:pt>
                <c:pt idx="199">
                  <c:v>1.1479655194098737E-11</c:v>
                </c:pt>
                <c:pt idx="200">
                  <c:v>1.1479655194098737E-11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B5" zoomScale="85" zoomScaleNormal="85" workbookViewId="0">
      <selection activeCell="B9" sqref="B9:C11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2.4339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22</v>
      </c>
      <c r="C9" s="32">
        <v>2.8931245745405038E-2</v>
      </c>
      <c r="D9" s="33">
        <f t="shared" ref="D9:D18" si="0">C9*$C$5</f>
        <v>7.0415759019741314E-2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164</v>
      </c>
      <c r="C10" s="32">
        <v>0.85194009530292714</v>
      </c>
      <c r="D10" s="33">
        <f t="shared" si="0"/>
        <v>2.0735369979577944</v>
      </c>
      <c r="E10" s="34">
        <v>109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14</v>
      </c>
      <c r="C11" s="32">
        <v>0.1191286589516678</v>
      </c>
      <c r="D11" s="33">
        <f t="shared" si="0"/>
        <v>0.28994724302246427</v>
      </c>
      <c r="E11" s="34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2.4339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326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Erable plane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15</v>
      </c>
      <c r="B36" s="60">
        <v>65</v>
      </c>
      <c r="C36" s="60">
        <v>1</v>
      </c>
      <c r="D36" s="60">
        <v>32</v>
      </c>
      <c r="E36" s="51">
        <v>0</v>
      </c>
      <c r="F36" s="51">
        <v>0.25</v>
      </c>
      <c r="G36" s="51">
        <v>0.25</v>
      </c>
      <c r="H36" s="51">
        <v>0.5</v>
      </c>
      <c r="I36" s="49">
        <f>IFERROR(B36/A36,"")</f>
        <v>4.333333333333333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20</v>
      </c>
      <c r="B37" s="60">
        <v>102</v>
      </c>
      <c r="C37" s="60">
        <v>2</v>
      </c>
      <c r="D37" s="60">
        <v>35</v>
      </c>
      <c r="E37" s="51">
        <v>0</v>
      </c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13.8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25</v>
      </c>
      <c r="B38" s="60">
        <v>141</v>
      </c>
      <c r="C38" s="60">
        <v>3</v>
      </c>
      <c r="D38" s="60">
        <v>35</v>
      </c>
      <c r="E38" s="51">
        <v>0</v>
      </c>
      <c r="F38" s="51">
        <v>0.25</v>
      </c>
      <c r="G38" s="51">
        <v>0.25</v>
      </c>
      <c r="H38" s="51">
        <v>0.5</v>
      </c>
      <c r="I38" s="53">
        <f t="shared" si="1"/>
        <v>14.8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30</v>
      </c>
      <c r="B39" s="60">
        <v>177</v>
      </c>
      <c r="C39" s="60">
        <v>4</v>
      </c>
      <c r="D39" s="60">
        <v>35</v>
      </c>
      <c r="E39" s="51">
        <v>0.25</v>
      </c>
      <c r="F39" s="51">
        <v>0.25</v>
      </c>
      <c r="G39" s="51">
        <v>0.25</v>
      </c>
      <c r="H39" s="51">
        <v>0.25</v>
      </c>
      <c r="I39" s="49">
        <f t="shared" si="1"/>
        <v>14.2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35</v>
      </c>
      <c r="B40" s="60">
        <v>206</v>
      </c>
      <c r="C40" s="60">
        <v>5</v>
      </c>
      <c r="D40" s="60">
        <v>35</v>
      </c>
      <c r="E40" s="51">
        <v>0.25</v>
      </c>
      <c r="F40" s="51">
        <v>0.25</v>
      </c>
      <c r="G40" s="51">
        <v>0.25</v>
      </c>
      <c r="H40" s="51">
        <v>0.25</v>
      </c>
      <c r="I40" s="49">
        <f t="shared" si="1"/>
        <v>12.8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40</v>
      </c>
      <c r="B41" s="60">
        <v>228</v>
      </c>
      <c r="C41" s="60">
        <v>6</v>
      </c>
      <c r="D41" s="60">
        <v>35</v>
      </c>
      <c r="E41" s="51">
        <v>0.25</v>
      </c>
      <c r="F41" s="51">
        <v>0.25</v>
      </c>
      <c r="G41" s="51">
        <v>0.25</v>
      </c>
      <c r="H41" s="51">
        <v>0.25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45</v>
      </c>
      <c r="B42" s="60">
        <v>242</v>
      </c>
      <c r="C42" s="60">
        <v>7</v>
      </c>
      <c r="D42" s="60">
        <v>24</v>
      </c>
      <c r="E42" s="51">
        <v>0.25</v>
      </c>
      <c r="F42" s="51">
        <v>0.25</v>
      </c>
      <c r="G42" s="51">
        <v>0.25</v>
      </c>
      <c r="H42" s="51">
        <v>0.25</v>
      </c>
      <c r="I42" s="53">
        <f t="shared" si="1"/>
        <v>9.8000000000000007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50</v>
      </c>
      <c r="B43" s="60">
        <v>261</v>
      </c>
      <c r="C43" s="60">
        <v>8</v>
      </c>
      <c r="D43" s="60">
        <v>19</v>
      </c>
      <c r="E43" s="51">
        <v>0.25</v>
      </c>
      <c r="F43" s="51">
        <v>0.25</v>
      </c>
      <c r="G43" s="51">
        <v>0.25</v>
      </c>
      <c r="H43" s="51">
        <v>0.25</v>
      </c>
      <c r="I43" s="49">
        <f t="shared" si="1"/>
        <v>8.6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55</v>
      </c>
      <c r="B44" s="60">
        <v>279</v>
      </c>
      <c r="C44" s="60">
        <v>9</v>
      </c>
      <c r="D44" s="60">
        <v>16</v>
      </c>
      <c r="E44" s="51">
        <v>0.25</v>
      </c>
      <c r="F44" s="51">
        <v>0.25</v>
      </c>
      <c r="G44" s="51">
        <v>0.25</v>
      </c>
      <c r="H44" s="51">
        <v>0.25</v>
      </c>
      <c r="I44" s="49">
        <f t="shared" si="1"/>
        <v>7.4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60</v>
      </c>
      <c r="B45" s="60">
        <v>294</v>
      </c>
      <c r="C45" s="60">
        <v>10</v>
      </c>
      <c r="D45" s="60">
        <v>14</v>
      </c>
      <c r="E45" s="51">
        <v>0.25</v>
      </c>
      <c r="F45" s="51">
        <v>0.25</v>
      </c>
      <c r="G45" s="51">
        <v>0.25</v>
      </c>
      <c r="H45" s="51">
        <v>0.25</v>
      </c>
      <c r="I45" s="49">
        <f t="shared" si="1"/>
        <v>6.2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65</v>
      </c>
      <c r="B46" s="60">
        <v>306</v>
      </c>
      <c r="C46" s="60">
        <v>11</v>
      </c>
      <c r="D46" s="60">
        <v>13</v>
      </c>
      <c r="E46" s="51">
        <v>0.25</v>
      </c>
      <c r="F46" s="51">
        <v>0.25</v>
      </c>
      <c r="G46" s="51">
        <v>0.25</v>
      </c>
      <c r="H46" s="51">
        <v>0.25</v>
      </c>
      <c r="I46" s="49">
        <f t="shared" si="1"/>
        <v>5.2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70</v>
      </c>
      <c r="B47" s="60">
        <v>316</v>
      </c>
      <c r="C47" s="60">
        <v>12</v>
      </c>
      <c r="D47" s="60">
        <v>13</v>
      </c>
      <c r="E47" s="51">
        <v>0.25</v>
      </c>
      <c r="F47" s="51">
        <v>0.25</v>
      </c>
      <c r="G47" s="51">
        <v>0.25</v>
      </c>
      <c r="H47" s="51">
        <v>0.25</v>
      </c>
      <c r="I47" s="49">
        <f t="shared" si="1"/>
        <v>4.5999999999999996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75</v>
      </c>
      <c r="B48" s="60">
        <v>324</v>
      </c>
      <c r="C48" s="60">
        <v>13</v>
      </c>
      <c r="D48" s="60">
        <v>12</v>
      </c>
      <c r="E48" s="51">
        <v>0.25</v>
      </c>
      <c r="F48" s="51">
        <v>0.25</v>
      </c>
      <c r="G48" s="51">
        <v>0.25</v>
      </c>
      <c r="H48" s="51">
        <v>0.25</v>
      </c>
      <c r="I48" s="49">
        <f t="shared" si="1"/>
        <v>4.2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80</v>
      </c>
      <c r="B49" s="60">
        <v>330</v>
      </c>
      <c r="C49" s="60">
        <v>14</v>
      </c>
      <c r="D49" s="60">
        <v>330</v>
      </c>
      <c r="E49" s="51">
        <v>0.25</v>
      </c>
      <c r="F49" s="51">
        <v>0.25</v>
      </c>
      <c r="G49" s="51">
        <v>0.25</v>
      </c>
      <c r="H49" s="51">
        <v>0.25</v>
      </c>
      <c r="I49" s="49">
        <f t="shared" si="1"/>
        <v>3.6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324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51</v>
      </c>
      <c r="B62" s="60">
        <v>328.59</v>
      </c>
      <c r="C62" s="60">
        <v>1</v>
      </c>
      <c r="D62" s="60">
        <v>101.57999999999998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6.4429411764705877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63</v>
      </c>
      <c r="B63" s="60">
        <v>375.17</v>
      </c>
      <c r="C63" s="60">
        <v>2</v>
      </c>
      <c r="D63" s="60">
        <v>115.59000000000003</v>
      </c>
      <c r="E63" s="51">
        <v>0.6</v>
      </c>
      <c r="F63" s="51">
        <v>0.2</v>
      </c>
      <c r="G63" s="51">
        <v>0.2</v>
      </c>
      <c r="H63" s="51">
        <v>0</v>
      </c>
      <c r="I63" s="49">
        <f>IF(A63&lt;&gt;0,(B63-(B62-D62))/(A63-A62),"")</f>
        <v>12.346666666666669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75</v>
      </c>
      <c r="B64" s="60">
        <v>395.51</v>
      </c>
      <c r="C64" s="60">
        <v>3</v>
      </c>
      <c r="D64" s="60">
        <v>93.759999999999991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11.327500000000001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87</v>
      </c>
      <c r="B65" s="60">
        <v>426.76</v>
      </c>
      <c r="C65" s="60">
        <v>4</v>
      </c>
      <c r="D65" s="60">
        <v>92.519999999999982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10.417499999999999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99</v>
      </c>
      <c r="B66" s="60">
        <v>447.35</v>
      </c>
      <c r="C66" s="60">
        <v>5</v>
      </c>
      <c r="D66" s="60">
        <v>222.86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9.4258333333333351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109</v>
      </c>
      <c r="B67" s="60">
        <v>290.11</v>
      </c>
      <c r="C67" s="60">
        <v>6</v>
      </c>
      <c r="D67" s="60">
        <v>290.11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6.5620000000000003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325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44</v>
      </c>
      <c r="B88" s="60">
        <v>201.77</v>
      </c>
      <c r="C88" s="60">
        <v>1</v>
      </c>
      <c r="D88" s="60">
        <v>76.680000000000007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4.5856818181818184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51</v>
      </c>
      <c r="B89" s="60">
        <v>192.85</v>
      </c>
      <c r="C89" s="60">
        <v>2</v>
      </c>
      <c r="D89" s="60">
        <v>48.769999999999982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9.6799999999999979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59</v>
      </c>
      <c r="B90" s="60">
        <v>217.3</v>
      </c>
      <c r="C90" s="60">
        <v>3</v>
      </c>
      <c r="D90" s="60">
        <v>52.75</v>
      </c>
      <c r="E90" s="87">
        <v>0.35</v>
      </c>
      <c r="F90" s="87">
        <v>0.2</v>
      </c>
      <c r="G90" s="87">
        <v>0.1</v>
      </c>
      <c r="H90" s="87">
        <v>0.35</v>
      </c>
      <c r="I90" s="53">
        <f t="shared" si="3"/>
        <v>9.1524999999999999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67</v>
      </c>
      <c r="B91" s="60">
        <v>233.08</v>
      </c>
      <c r="C91" s="60">
        <v>4</v>
      </c>
      <c r="D91" s="60">
        <v>44.170000000000016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8.5662500000000001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75</v>
      </c>
      <c r="B92" s="60">
        <v>254.89</v>
      </c>
      <c r="C92" s="60">
        <v>5</v>
      </c>
      <c r="D92" s="60">
        <v>43.289999999999992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8.2474999999999987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84</v>
      </c>
      <c r="B93" s="60">
        <v>283.77</v>
      </c>
      <c r="C93" s="60">
        <v>6</v>
      </c>
      <c r="D93" s="60">
        <v>49.669999999999987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8.0188888888888883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93</v>
      </c>
      <c r="B94" s="60">
        <v>303.37</v>
      </c>
      <c r="C94" s="60">
        <v>7</v>
      </c>
      <c r="D94" s="60">
        <v>42.910000000000025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7.6966666666666681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103</v>
      </c>
      <c r="B95" s="60">
        <v>337.71</v>
      </c>
      <c r="C95" s="60">
        <v>8</v>
      </c>
      <c r="D95" s="60">
        <v>56.789999999999964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7.7249999999999996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113</v>
      </c>
      <c r="B96" s="60">
        <v>356.05</v>
      </c>
      <c r="C96" s="60">
        <v>9</v>
      </c>
      <c r="D96" s="60">
        <v>45.660000000000025</v>
      </c>
      <c r="E96" s="87">
        <v>0.5</v>
      </c>
      <c r="F96" s="87">
        <v>0.2</v>
      </c>
      <c r="G96" s="87">
        <v>0</v>
      </c>
      <c r="H96" s="87">
        <v>0.3</v>
      </c>
      <c r="I96" s="53">
        <f t="shared" si="3"/>
        <v>7.5129999999999999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125</v>
      </c>
      <c r="B97" s="60">
        <v>404.61</v>
      </c>
      <c r="C97" s="60">
        <v>10</v>
      </c>
      <c r="D97" s="60">
        <v>70</v>
      </c>
      <c r="E97" s="87">
        <v>0.5</v>
      </c>
      <c r="F97" s="87">
        <v>0.2</v>
      </c>
      <c r="G97" s="87">
        <v>0</v>
      </c>
      <c r="H97" s="87">
        <v>0.3</v>
      </c>
      <c r="I97" s="53">
        <f t="shared" si="3"/>
        <v>7.8516666666666692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137</v>
      </c>
      <c r="B98" s="60">
        <v>428.03</v>
      </c>
      <c r="C98" s="60">
        <v>11</v>
      </c>
      <c r="D98" s="60">
        <v>74.669999999999959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7.7849999999999966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149</v>
      </c>
      <c r="B99" s="60">
        <v>444.56</v>
      </c>
      <c r="C99" s="60">
        <v>12</v>
      </c>
      <c r="D99" s="60">
        <v>176.67000000000002</v>
      </c>
      <c r="E99" s="87">
        <v>0.45</v>
      </c>
      <c r="F99" s="87">
        <v>0.05</v>
      </c>
      <c r="G99" s="87">
        <v>0.05</v>
      </c>
      <c r="H99" s="87">
        <v>0.45</v>
      </c>
      <c r="I99" s="53">
        <f t="shared" si="3"/>
        <v>7.5999999999999988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153</v>
      </c>
      <c r="B100" s="60">
        <v>286.3</v>
      </c>
      <c r="C100" s="60">
        <v>13</v>
      </c>
      <c r="D100" s="60">
        <v>102.89000000000001</v>
      </c>
      <c r="E100" s="65">
        <v>0.45</v>
      </c>
      <c r="F100" s="65">
        <v>0.05</v>
      </c>
      <c r="G100" s="65">
        <v>0.05</v>
      </c>
      <c r="H100" s="65">
        <v>0.45</v>
      </c>
      <c r="I100" s="53">
        <f t="shared" si="3"/>
        <v>4.6025000000000063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157</v>
      </c>
      <c r="B101" s="60">
        <v>194.52</v>
      </c>
      <c r="C101" s="60">
        <v>14</v>
      </c>
      <c r="D101" s="60">
        <v>67.13000000000001</v>
      </c>
      <c r="E101" s="65">
        <v>0.45</v>
      </c>
      <c r="F101" s="65">
        <v>0.05</v>
      </c>
      <c r="G101" s="65">
        <v>0.05</v>
      </c>
      <c r="H101" s="65">
        <v>0.45</v>
      </c>
      <c r="I101" s="53">
        <f t="shared" si="3"/>
        <v>2.7775000000000034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161</v>
      </c>
      <c r="B102" s="50">
        <v>134.26</v>
      </c>
      <c r="C102" s="60">
        <v>15</v>
      </c>
      <c r="D102" s="50">
        <v>134.26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1.7174999999999976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3" zoomScaleNormal="100" workbookViewId="0">
      <selection activeCell="C27" sqref="C27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Erable plane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Cèdre de l'Atlas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 sessile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353.37479213497227</v>
      </c>
      <c r="T3" s="59">
        <f>IF('Données projet'!E9&gt;30,$R$33-$H$33,LOOKUP('Données projet'!$E$9,$A$3:$A$203,R3:R203)-LOOKUP('Données projet'!$E$9,$A$3:$A$203,$H$3:$H$203))</f>
        <v>345.4750813433123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293.15557501692803</v>
      </c>
      <c r="AO3" s="59">
        <f>IF('Données projet'!E10&gt;30,$AM$33-$H$33,LOOKUP('Données projet'!$E$10,$A$3:$A$203,AM3:AM203)-LOOKUP('Données projet'!$E$10,$A$3:$A$203,$H$3:$H$203))</f>
        <v>237.1930412773068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490.06222615476065</v>
      </c>
      <c r="BJ3" s="59">
        <f>IF('Données projet'!E11&gt;30,$BH$33-$H$33,LOOKUP('Données projet'!$E$11,$A$3:$A$203,BH3:BH203)-LOOKUP('Données projet'!$E$11,$A$3:$A$203,$H$3:$H$203))</f>
        <v>310.43914804089906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4.333333333333333</v>
      </c>
      <c r="N4" s="13">
        <f>IF('Données projet'!$A$36&gt;35,N3+M4-V3,IF(A4&lt;'Données projet'!$A$36,$K$205^A4,IF(A4='Données projet'!$A$36,'Données projet'!$B$36,N3+M4-V3)))</f>
        <v>1.3208724756526424</v>
      </c>
      <c r="O4" s="13">
        <f>N4*VLOOKUP('Données projet'!$B$9,Paramètres!$A$1:$I$89,3,0)*VLOOKUP('Données projet'!$B$9,Paramètres!$A$1:$I$89,5,0)</f>
        <v>1.0508861416292423</v>
      </c>
      <c r="P4" s="13">
        <f>EXP(-1.0587+0.8836*LN(O4)+0.284)</f>
        <v>0.48150261531866312</v>
      </c>
      <c r="Q4" s="20">
        <f t="shared" ref="Q4:Q34" si="2">(O4+P4)*0.475*44/12</f>
        <v>2.6689104183509347</v>
      </c>
      <c r="R4" s="59">
        <f t="shared" si="0"/>
        <v>260.5577993072398</v>
      </c>
      <c r="S4" s="59">
        <f ca="1">AVERAGE(OFFSET($R$3,0,0,'Données projet'!$E$9+1,1))-AVERAGE(OFFSET($H$3,0,0,'Données projet'!$E$9+1,1))</f>
        <v>353.37479213497227</v>
      </c>
      <c r="T4" s="59">
        <f>$T$3</f>
        <v>345.4750813433123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6.4429411764705877</v>
      </c>
      <c r="AI4" s="13">
        <f>IF('Données projet'!$A$62&gt;35,AI3+AH4-AQ3,IF(A4&lt;'Données projet'!$A$62,$AF$205^A4,IF(A4='Données projet'!$A$62,'Données projet'!$B$62,AI3+AH4-AQ3)))</f>
        <v>6.4429411764705877</v>
      </c>
      <c r="AJ4" s="13">
        <f>AI4*VLOOKUP('Données projet'!$B$10,Paramètres!$A$1:$I$89,3,0)*VLOOKUP('Données projet'!$B$10,Paramètres!$A$1:$I$89,5,0)</f>
        <v>3.0152964705882348</v>
      </c>
      <c r="AK4" s="13">
        <f>EXP(-1.0587+0.8836*LN(AJ4)+0.284)</f>
        <v>1.2220474523614206</v>
      </c>
      <c r="AL4" s="20">
        <f t="shared" ref="AL4:AL67" si="4">(AJ4+AK4)*0.475*44/12</f>
        <v>7.3800406658039828</v>
      </c>
      <c r="AM4" s="59">
        <f t="shared" ref="AM4:AM67" si="5">AL4+(AD4+AE4)*44/12</f>
        <v>265.26892955469282</v>
      </c>
      <c r="AN4" s="59">
        <f ca="1">AVERAGE(OFFSET($AM$3,0,0,'Données projet'!$E$10+1,1))-AVERAGE(OFFSET($H$3,0,0,'Données projet'!$E$10+1,1))</f>
        <v>293.15557501692803</v>
      </c>
      <c r="AO4" s="59">
        <f>$AO$3</f>
        <v>237.1930412773068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4.5856818181818184</v>
      </c>
      <c r="BD4" s="12">
        <f>IF('Données projet'!$A$88&gt;35,BD3+BC4-BL3,IF(A4&lt;'Données projet'!$A$88,$BA$205^A4,IF(A4='Données projet'!$A$88,'Données projet'!$B$88,BD3+BC4-BL3)))</f>
        <v>4.5856818181818184</v>
      </c>
      <c r="BE4" s="13">
        <f>BD4*VLOOKUP('Données projet'!$B$11,Paramètres!$A$1:$I$89,3,0)*VLOOKUP('Données projet'!$B$11,Paramètres!$A$1:$I$89,5,0)</f>
        <v>4.1491249090909088</v>
      </c>
      <c r="BF4" s="13">
        <f>EXP(-1.0587+0.8836*LN(BE4)+0.284)</f>
        <v>1.6202365934641478</v>
      </c>
      <c r="BG4" s="20">
        <f t="shared" ref="BG4:BG67" si="7">(BE4+BF4)*0.475*44/12</f>
        <v>10.048304616950057</v>
      </c>
      <c r="BH4" s="59">
        <f t="shared" ref="BH4:BH67" si="8">BG4+(AY4+AZ4)*44/12</f>
        <v>267.93719350583893</v>
      </c>
      <c r="BI4" s="59">
        <f ca="1">AVERAGE(OFFSET($BH$3,0,0,'Données projet'!$E$11+1,1))-AVERAGE(OFFSET($H$3,0,0,'Données projet'!$E$11+1,1))</f>
        <v>490.06222615476065</v>
      </c>
      <c r="BJ4" s="59">
        <f>$BJ$3</f>
        <v>310.43914804089906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4.333333333333333</v>
      </c>
      <c r="N5" s="13">
        <f>IF('Données projet'!$A$36&gt;35,N4+M5-V4,IF(A5&lt;'Données projet'!$A$36,$K$205^A5,IF(A5='Données projet'!$A$36,'Données projet'!$B$36,N4+M5-V4)))</f>
        <v>1.7447040969367404</v>
      </c>
      <c r="O5" s="13">
        <f>N5*VLOOKUP('Données projet'!$B$9,Paramètres!$A$1:$I$89,3,0)*VLOOKUP('Données projet'!$B$9,Paramètres!$A$1:$I$89,5,0)</f>
        <v>1.3880865795228707</v>
      </c>
      <c r="P5" s="13">
        <f t="shared" ref="P5:P68" si="33">EXP(-1.0587+0.8836*LN(O5)+0.284)</f>
        <v>0.61573144482258502</v>
      </c>
      <c r="Q5" s="20">
        <f t="shared" si="2"/>
        <v>3.4899830590683352</v>
      </c>
      <c r="R5" s="59">
        <f t="shared" si="0"/>
        <v>262.60109417017946</v>
      </c>
      <c r="S5" s="59">
        <f ca="1">AVERAGE(OFFSET($R$3,0,0,'Données projet'!$E$9+1,1))-AVERAGE(OFFSET($H$3,0,0,'Données projet'!$E$9+1,1))</f>
        <v>353.37479213497227</v>
      </c>
      <c r="T5" s="59">
        <f t="shared" ref="T5:T68" si="34">$T$3</f>
        <v>345.4750813433123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6.4429411764705877</v>
      </c>
      <c r="AI5" s="13">
        <f>IF('Données projet'!$A$62&gt;35,AI4+AH5-AQ4,IF(A5&lt;'Données projet'!$A$62,$AF$205^A5,IF(A5='Données projet'!$A$62,'Données projet'!$B$62,AI4+AH5-AQ4)))</f>
        <v>12.885882352941175</v>
      </c>
      <c r="AJ5" s="13">
        <f>AI5*VLOOKUP('Données projet'!$B$10,Paramètres!$A$1:$I$89,3,0)*VLOOKUP('Données projet'!$B$10,Paramètres!$A$1:$I$89,5,0)</f>
        <v>6.0305929411764696</v>
      </c>
      <c r="AK5" s="13">
        <f t="shared" ref="AK5:AK68" si="35">EXP(-1.0587+0.8836*LN(AJ5)+0.284)</f>
        <v>2.2546450176634503</v>
      </c>
      <c r="AL5" s="20">
        <f t="shared" si="4"/>
        <v>14.430122778312859</v>
      </c>
      <c r="AM5" s="59">
        <f t="shared" si="5"/>
        <v>273.54123388942401</v>
      </c>
      <c r="AN5" s="59">
        <f ca="1">AVERAGE(OFFSET($AM$3,0,0,'Données projet'!$E$10+1,1))-AVERAGE(OFFSET($H$3,0,0,'Données projet'!$E$10+1,1))</f>
        <v>293.15557501692803</v>
      </c>
      <c r="AO5" s="59">
        <f t="shared" ref="AO5:AO68" si="36">$AO$3</f>
        <v>237.1930412773068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4.5856818181818184</v>
      </c>
      <c r="BD5" s="12">
        <f>IF('Données projet'!$A$88&gt;35,BD4+BC5-BL4,IF(A5&lt;'Données projet'!$A$88,$BA$205^A5,IF(A5='Données projet'!$A$88,'Données projet'!$B$88,BD4+BC5-BL4)))</f>
        <v>9.1713636363636368</v>
      </c>
      <c r="BE5" s="13">
        <f>BD5*VLOOKUP('Données projet'!$B$11,Paramètres!$A$1:$I$89,3,0)*VLOOKUP('Données projet'!$B$11,Paramètres!$A$1:$I$89,5,0)</f>
        <v>8.2982498181818176</v>
      </c>
      <c r="BF5" s="13">
        <f t="shared" ref="BF5:BF68" si="37">EXP(-1.0587+0.8836*LN(BE5)+0.284)</f>
        <v>2.9892933828641128</v>
      </c>
      <c r="BG5" s="20">
        <f t="shared" si="7"/>
        <v>19.659137741821663</v>
      </c>
      <c r="BH5" s="59">
        <f t="shared" si="8"/>
        <v>278.77024885293281</v>
      </c>
      <c r="BI5" s="59">
        <f ca="1">AVERAGE(OFFSET($BH$3,0,0,'Données projet'!$E$11+1,1))-AVERAGE(OFFSET($H$3,0,0,'Données projet'!$E$11+1,1))</f>
        <v>490.06222615476065</v>
      </c>
      <c r="BJ5" s="59">
        <f t="shared" ref="BJ5:BJ68" si="38">$BJ$3</f>
        <v>310.43914804089906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4.333333333333333</v>
      </c>
      <c r="N6" s="13">
        <f>IF('Données projet'!$A$36&gt;35,N5+M6-V5,IF(A6&lt;'Données projet'!$A$36,$K$205^A6,IF(A6='Données projet'!$A$36,'Données projet'!$B$36,N5+M6-V5)))</f>
        <v>2.3045316198021402</v>
      </c>
      <c r="O6" s="13">
        <f>N6*VLOOKUP('Données projet'!$B$9,Paramètres!$A$1:$I$89,3,0)*VLOOKUP('Données projet'!$B$9,Paramètres!$A$1:$I$89,5,0)</f>
        <v>1.833485356714583</v>
      </c>
      <c r="P6" s="13">
        <f t="shared" si="33"/>
        <v>0.78737934142351296</v>
      </c>
      <c r="Q6" s="20">
        <f t="shared" si="2"/>
        <v>4.5646726825905164</v>
      </c>
      <c r="R6" s="59">
        <f t="shared" si="0"/>
        <v>264.89800601592384</v>
      </c>
      <c r="S6" s="59">
        <f ca="1">AVERAGE(OFFSET($R$3,0,0,'Données projet'!$E$9+1,1))-AVERAGE(OFFSET($H$3,0,0,'Données projet'!$E$9+1,1))</f>
        <v>353.37479213497227</v>
      </c>
      <c r="T6" s="59">
        <f t="shared" si="34"/>
        <v>345.4750813433123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6.4429411764705877</v>
      </c>
      <c r="AI6" s="13">
        <f>IF('Données projet'!$A$62&gt;35,AI5+AH6-AQ5,IF(A6&lt;'Données projet'!$A$62,$AF$205^A6,IF(A6='Données projet'!$A$62,'Données projet'!$B$62,AI5+AH6-AQ5)))</f>
        <v>19.328823529411764</v>
      </c>
      <c r="AJ6" s="13">
        <f>AI6*VLOOKUP('Données projet'!$B$10,Paramètres!$A$1:$I$89,3,0)*VLOOKUP('Données projet'!$B$10,Paramètres!$A$1:$I$89,5,0)</f>
        <v>9.0458894117647048</v>
      </c>
      <c r="AK6" s="13">
        <f t="shared" si="35"/>
        <v>3.2260597792347325</v>
      </c>
      <c r="AL6" s="20">
        <f t="shared" si="4"/>
        <v>21.373644840990689</v>
      </c>
      <c r="AM6" s="59">
        <f t="shared" si="5"/>
        <v>281.70697817432398</v>
      </c>
      <c r="AN6" s="59">
        <f ca="1">AVERAGE(OFFSET($AM$3,0,0,'Données projet'!$E$10+1,1))-AVERAGE(OFFSET($H$3,0,0,'Données projet'!$E$10+1,1))</f>
        <v>293.15557501692803</v>
      </c>
      <c r="AO6" s="59">
        <f t="shared" si="36"/>
        <v>237.1930412773068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4.5856818181818184</v>
      </c>
      <c r="BD6" s="12">
        <f>IF('Données projet'!$A$88&gt;35,BD5+BC6-BL5,IF(A6&lt;'Données projet'!$A$88,$BA$205^A6,IF(A6='Données projet'!$A$88,'Données projet'!$B$88,BD5+BC6-BL5)))</f>
        <v>13.757045454545455</v>
      </c>
      <c r="BE6" s="13">
        <f>BD6*VLOOKUP('Données projet'!$B$11,Paramètres!$A$1:$I$89,3,0)*VLOOKUP('Données projet'!$B$11,Paramètres!$A$1:$I$89,5,0)</f>
        <v>12.447374727272727</v>
      </c>
      <c r="BF6" s="13">
        <f t="shared" si="37"/>
        <v>4.2772317039887771</v>
      </c>
      <c r="BG6" s="20">
        <f t="shared" si="7"/>
        <v>29.128689534447123</v>
      </c>
      <c r="BH6" s="59">
        <f t="shared" si="8"/>
        <v>289.46202286778043</v>
      </c>
      <c r="BI6" s="59">
        <f ca="1">AVERAGE(OFFSET($BH$3,0,0,'Données projet'!$E$11+1,1))-AVERAGE(OFFSET($H$3,0,0,'Données projet'!$E$11+1,1))</f>
        <v>490.06222615476065</v>
      </c>
      <c r="BJ6" s="59">
        <f t="shared" si="38"/>
        <v>310.43914804089906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4.333333333333333</v>
      </c>
      <c r="N7" s="13">
        <f>IF('Données projet'!$A$36&gt;35,N6+M7-V6,IF(A7&lt;'Données projet'!$A$36,$K$205^A7,IF(A7='Données projet'!$A$36,'Données projet'!$B$36,N6+M7-V6)))</f>
        <v>3.0439923858678468</v>
      </c>
      <c r="O7" s="13">
        <f>N7*VLOOKUP('Données projet'!$B$9,Paramètres!$A$1:$I$89,3,0)*VLOOKUP('Données projet'!$B$9,Paramètres!$A$1:$I$89,5,0)</f>
        <v>2.4218003421964593</v>
      </c>
      <c r="P7" s="13">
        <f t="shared" si="33"/>
        <v>1.0068776453006392</v>
      </c>
      <c r="Q7" s="20">
        <f t="shared" si="2"/>
        <v>5.9716141615574472</v>
      </c>
      <c r="R7" s="59">
        <f t="shared" si="0"/>
        <v>267.527169717113</v>
      </c>
      <c r="S7" s="59">
        <f ca="1">AVERAGE(OFFSET($R$3,0,0,'Données projet'!$E$9+1,1))-AVERAGE(OFFSET($H$3,0,0,'Données projet'!$E$9+1,1))</f>
        <v>353.37479213497227</v>
      </c>
      <c r="T7" s="59">
        <f t="shared" si="34"/>
        <v>345.4750813433123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6.4429411764705877</v>
      </c>
      <c r="AI7" s="13">
        <f>IF('Données projet'!$A$62&gt;35,AI6+AH7-AQ6,IF(A7&lt;'Données projet'!$A$62,$AF$205^A7,IF(A7='Données projet'!$A$62,'Données projet'!$B$62,AI6+AH7-AQ6)))</f>
        <v>25.771764705882351</v>
      </c>
      <c r="AJ7" s="13">
        <f>AI7*VLOOKUP('Données projet'!$B$10,Paramètres!$A$1:$I$89,3,0)*VLOOKUP('Données projet'!$B$10,Paramètres!$A$1:$I$89,5,0)</f>
        <v>12.061185882352939</v>
      </c>
      <c r="AK7" s="13">
        <f t="shared" si="35"/>
        <v>4.1597600370195753</v>
      </c>
      <c r="AL7" s="20">
        <f t="shared" si="4"/>
        <v>28.251480809573795</v>
      </c>
      <c r="AM7" s="59">
        <f t="shared" si="5"/>
        <v>289.80703636512936</v>
      </c>
      <c r="AN7" s="59">
        <f ca="1">AVERAGE(OFFSET($AM$3,0,0,'Données projet'!$E$10+1,1))-AVERAGE(OFFSET($H$3,0,0,'Données projet'!$E$10+1,1))</f>
        <v>293.15557501692803</v>
      </c>
      <c r="AO7" s="59">
        <f t="shared" si="36"/>
        <v>237.1930412773068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4.5856818181818184</v>
      </c>
      <c r="BD7" s="12">
        <f>IF('Données projet'!$A$88&gt;35,BD6+BC7-BL6,IF(A7&lt;'Données projet'!$A$88,$BA$205^A7,IF(A7='Données projet'!$A$88,'Données projet'!$B$88,BD6+BC7-BL6)))</f>
        <v>18.342727272727274</v>
      </c>
      <c r="BE7" s="13">
        <f>BD7*VLOOKUP('Données projet'!$B$11,Paramètres!$A$1:$I$89,3,0)*VLOOKUP('Données projet'!$B$11,Paramètres!$A$1:$I$89,5,0)</f>
        <v>16.596499636363635</v>
      </c>
      <c r="BF7" s="13">
        <f t="shared" si="37"/>
        <v>5.5151667138499949</v>
      </c>
      <c r="BG7" s="20">
        <f t="shared" si="7"/>
        <v>38.511152226622073</v>
      </c>
      <c r="BH7" s="59">
        <f t="shared" si="8"/>
        <v>300.06670778217762</v>
      </c>
      <c r="BI7" s="59">
        <f ca="1">AVERAGE(OFFSET($BH$3,0,0,'Données projet'!$E$11+1,1))-AVERAGE(OFFSET($H$3,0,0,'Données projet'!$E$11+1,1))</f>
        <v>490.06222615476065</v>
      </c>
      <c r="BJ7" s="59">
        <f t="shared" si="38"/>
        <v>310.43914804089906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4.333333333333333</v>
      </c>
      <c r="N8" s="13">
        <f>IF('Données projet'!$A$36&gt;35,N7+M8-V7,IF(A8&lt;'Données projet'!$A$36,$K$205^A8,IF(A8='Données projet'!$A$36,'Données projet'!$B$36,N7+M8-V7)))</f>
        <v>4.0207257585890561</v>
      </c>
      <c r="O8" s="13">
        <f>N8*VLOOKUP('Données projet'!$B$9,Paramètres!$A$1:$I$89,3,0)*VLOOKUP('Données projet'!$B$9,Paramètres!$A$1:$I$89,5,0)</f>
        <v>3.1988894135334531</v>
      </c>
      <c r="P8" s="13">
        <f t="shared" si="33"/>
        <v>1.2875656488183871</v>
      </c>
      <c r="Q8" s="20">
        <f t="shared" si="2"/>
        <v>7.8139092335961218</v>
      </c>
      <c r="R8" s="59">
        <f t="shared" si="0"/>
        <v>270.59168701137389</v>
      </c>
      <c r="S8" s="59">
        <f ca="1">AVERAGE(OFFSET($R$3,0,0,'Données projet'!$E$9+1,1))-AVERAGE(OFFSET($H$3,0,0,'Données projet'!$E$9+1,1))</f>
        <v>353.37479213497227</v>
      </c>
      <c r="T8" s="59">
        <f t="shared" si="34"/>
        <v>345.4750813433123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6.4429411764705877</v>
      </c>
      <c r="AI8" s="13">
        <f>IF('Données projet'!$A$62&gt;35,AI7+AH8-AQ7,IF(A8&lt;'Données projet'!$A$62,$AF$205^A8,IF(A8='Données projet'!$A$62,'Données projet'!$B$62,AI7+AH8-AQ7)))</f>
        <v>32.214705882352938</v>
      </c>
      <c r="AJ8" s="13">
        <f>AI8*VLOOKUP('Données projet'!$B$10,Paramètres!$A$1:$I$89,3,0)*VLOOKUP('Données projet'!$B$10,Paramètres!$A$1:$I$89,5,0)</f>
        <v>15.076482352941174</v>
      </c>
      <c r="AK8" s="13">
        <f t="shared" si="35"/>
        <v>5.0663823938944823</v>
      </c>
      <c r="AL8" s="20">
        <f t="shared" si="4"/>
        <v>35.082156100738764</v>
      </c>
      <c r="AM8" s="59">
        <f t="shared" si="5"/>
        <v>297.85993387851653</v>
      </c>
      <c r="AN8" s="59">
        <f ca="1">AVERAGE(OFFSET($AM$3,0,0,'Données projet'!$E$10+1,1))-AVERAGE(OFFSET($H$3,0,0,'Données projet'!$E$10+1,1))</f>
        <v>293.15557501692803</v>
      </c>
      <c r="AO8" s="59">
        <f t="shared" si="36"/>
        <v>237.1930412773068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4.5856818181818184</v>
      </c>
      <c r="BD8" s="12">
        <f>IF('Données projet'!$A$88&gt;35,BD7+BC8-BL7,IF(A8&lt;'Données projet'!$A$88,$BA$205^A8,IF(A8='Données projet'!$A$88,'Données projet'!$B$88,BD7+BC8-BL7)))</f>
        <v>22.928409090909092</v>
      </c>
      <c r="BE8" s="13">
        <f>BD8*VLOOKUP('Données projet'!$B$11,Paramètres!$A$1:$I$89,3,0)*VLOOKUP('Données projet'!$B$11,Paramètres!$A$1:$I$89,5,0)</f>
        <v>20.745624545454547</v>
      </c>
      <c r="BF8" s="13">
        <f t="shared" si="37"/>
        <v>6.7172008216278272</v>
      </c>
      <c r="BG8" s="20">
        <f t="shared" si="7"/>
        <v>47.831087514335131</v>
      </c>
      <c r="BH8" s="59">
        <f t="shared" si="8"/>
        <v>310.60886529211291</v>
      </c>
      <c r="BI8" s="59">
        <f ca="1">AVERAGE(OFFSET($BH$3,0,0,'Données projet'!$E$11+1,1))-AVERAGE(OFFSET($H$3,0,0,'Données projet'!$E$11+1,1))</f>
        <v>490.06222615476065</v>
      </c>
      <c r="BJ8" s="59">
        <f t="shared" si="38"/>
        <v>310.43914804089906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4.333333333333333</v>
      </c>
      <c r="N9" s="13">
        <f>IF('Données projet'!$A$36&gt;35,N8+M9-V8,IF(A9&lt;'Données projet'!$A$36,$K$205^A9,IF(A9='Données projet'!$A$36,'Données projet'!$B$36,N8+M9-V8)))</f>
        <v>5.310865986667876</v>
      </c>
      <c r="O9" s="13">
        <f>N9*VLOOKUP('Données projet'!$B$9,Paramètres!$A$1:$I$89,3,0)*VLOOKUP('Données projet'!$B$9,Paramètres!$A$1:$I$89,5,0)</f>
        <v>4.2253249789929628</v>
      </c>
      <c r="P9" s="13">
        <f t="shared" si="33"/>
        <v>1.6465012484432624</v>
      </c>
      <c r="Q9" s="20">
        <f t="shared" si="2"/>
        <v>10.226764012784757</v>
      </c>
      <c r="R9" s="59">
        <f t="shared" si="0"/>
        <v>274.22676401278477</v>
      </c>
      <c r="S9" s="59">
        <f ca="1">AVERAGE(OFFSET($R$3,0,0,'Données projet'!$E$9+1,1))-AVERAGE(OFFSET($H$3,0,0,'Données projet'!$E$9+1,1))</f>
        <v>353.37479213497227</v>
      </c>
      <c r="T9" s="59">
        <f t="shared" si="34"/>
        <v>345.4750813433123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6.4429411764705877</v>
      </c>
      <c r="AI9" s="13">
        <f>IF('Données projet'!$A$62&gt;35,AI8+AH9-AQ8,IF(A9&lt;'Données projet'!$A$62,$AF$205^A9,IF(A9='Données projet'!$A$62,'Données projet'!$B$62,AI8+AH9-AQ8)))</f>
        <v>38.657647058823528</v>
      </c>
      <c r="AJ9" s="13">
        <f>AI9*VLOOKUP('Données projet'!$B$10,Paramètres!$A$1:$I$89,3,0)*VLOOKUP('Données projet'!$B$10,Paramètres!$A$1:$I$89,5,0)</f>
        <v>18.09177882352941</v>
      </c>
      <c r="AK9" s="13">
        <f t="shared" si="35"/>
        <v>5.9519944122307828</v>
      </c>
      <c r="AL9" s="20">
        <f t="shared" si="4"/>
        <v>41.876238385615665</v>
      </c>
      <c r="AM9" s="59">
        <f t="shared" si="5"/>
        <v>305.87623838561569</v>
      </c>
      <c r="AN9" s="59">
        <f ca="1">AVERAGE(OFFSET($AM$3,0,0,'Données projet'!$E$10+1,1))-AVERAGE(OFFSET($H$3,0,0,'Données projet'!$E$10+1,1))</f>
        <v>293.15557501692803</v>
      </c>
      <c r="AO9" s="59">
        <f t="shared" si="36"/>
        <v>237.1930412773068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4.5856818181818184</v>
      </c>
      <c r="BD9" s="12">
        <f>IF('Données projet'!$A$88&gt;35,BD8+BC9-BL8,IF(A9&lt;'Données projet'!$A$88,$BA$205^A9,IF(A9='Données projet'!$A$88,'Données projet'!$B$88,BD8+BC9-BL8)))</f>
        <v>27.51409090909091</v>
      </c>
      <c r="BE9" s="13">
        <f>BD9*VLOOKUP('Données projet'!$B$11,Paramètres!$A$1:$I$89,3,0)*VLOOKUP('Données projet'!$B$11,Paramètres!$A$1:$I$89,5,0)</f>
        <v>24.894749454545455</v>
      </c>
      <c r="BF9" s="13">
        <f t="shared" si="37"/>
        <v>7.8913786303106157</v>
      </c>
      <c r="BG9" s="20">
        <f t="shared" si="7"/>
        <v>57.102506414457658</v>
      </c>
      <c r="BH9" s="59">
        <f t="shared" si="8"/>
        <v>321.10250641445765</v>
      </c>
      <c r="BI9" s="59">
        <f ca="1">AVERAGE(OFFSET($BH$3,0,0,'Données projet'!$E$11+1,1))-AVERAGE(OFFSET($H$3,0,0,'Données projet'!$E$11+1,1))</f>
        <v>490.06222615476065</v>
      </c>
      <c r="BJ9" s="59">
        <f t="shared" si="38"/>
        <v>310.43914804089906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4.333333333333333</v>
      </c>
      <c r="N10" s="13">
        <f>IF('Données projet'!$A$36&gt;35,N9+M10-V9,IF(A10&lt;'Données projet'!$A$36,$K$205^A10,IF(A10='Données projet'!$A$36,'Données projet'!$B$36,N9+M10-V9)))</f>
        <v>7.0149767036694106</v>
      </c>
      <c r="O10" s="13">
        <f>N10*VLOOKUP('Données projet'!$B$9,Paramètres!$A$1:$I$89,3,0)*VLOOKUP('Données projet'!$B$9,Paramètres!$A$1:$I$89,5,0)</f>
        <v>5.5811154654393826</v>
      </c>
      <c r="P10" s="13">
        <f t="shared" si="33"/>
        <v>2.1054975826771263</v>
      </c>
      <c r="Q10" s="20">
        <f t="shared" si="2"/>
        <v>13.387517725469587</v>
      </c>
      <c r="R10" s="59">
        <f t="shared" si="0"/>
        <v>278.60973994769182</v>
      </c>
      <c r="S10" s="59">
        <f ca="1">AVERAGE(OFFSET($R$3,0,0,'Données projet'!$E$9+1,1))-AVERAGE(OFFSET($H$3,0,0,'Données projet'!$E$9+1,1))</f>
        <v>353.37479213497227</v>
      </c>
      <c r="T10" s="59">
        <f t="shared" si="34"/>
        <v>345.4750813433123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6.4429411764705877</v>
      </c>
      <c r="AI10" s="13">
        <f>IF('Données projet'!$A$62&gt;35,AI9+AH10-AQ9,IF(A10&lt;'Données projet'!$A$62,$AF$205^A10,IF(A10='Données projet'!$A$62,'Données projet'!$B$62,AI9+AH10-AQ9)))</f>
        <v>45.100588235294119</v>
      </c>
      <c r="AJ10" s="13">
        <f>AI10*VLOOKUP('Données projet'!$B$10,Paramètres!$A$1:$I$89,3,0)*VLOOKUP('Données projet'!$B$10,Paramètres!$A$1:$I$89,5,0)</f>
        <v>21.107075294117646</v>
      </c>
      <c r="AK10" s="13">
        <f t="shared" si="35"/>
        <v>6.8205076148835628</v>
      </c>
      <c r="AL10" s="20">
        <f t="shared" si="4"/>
        <v>48.640540233177099</v>
      </c>
      <c r="AM10" s="59">
        <f t="shared" si="5"/>
        <v>313.86276245539932</v>
      </c>
      <c r="AN10" s="59">
        <f ca="1">AVERAGE(OFFSET($AM$3,0,0,'Données projet'!$E$10+1,1))-AVERAGE(OFFSET($H$3,0,0,'Données projet'!$E$10+1,1))</f>
        <v>293.15557501692803</v>
      </c>
      <c r="AO10" s="59">
        <f t="shared" si="36"/>
        <v>237.1930412773068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4.5856818181818184</v>
      </c>
      <c r="BD10" s="12">
        <f>IF('Données projet'!$A$88&gt;35,BD9+BC10-BL9,IF(A10&lt;'Données projet'!$A$88,$BA$205^A10,IF(A10='Données projet'!$A$88,'Données projet'!$B$88,BD9+BC10-BL9)))</f>
        <v>32.099772727272729</v>
      </c>
      <c r="BE10" s="13">
        <f>BD10*VLOOKUP('Données projet'!$B$11,Paramètres!$A$1:$I$89,3,0)*VLOOKUP('Données projet'!$B$11,Paramètres!$A$1:$I$89,5,0)</f>
        <v>29.043874363636363</v>
      </c>
      <c r="BF10" s="13">
        <f t="shared" si="37"/>
        <v>9.0428861843958348</v>
      </c>
      <c r="BG10" s="20">
        <f t="shared" si="7"/>
        <v>66.334441287822742</v>
      </c>
      <c r="BH10" s="59">
        <f t="shared" si="8"/>
        <v>331.55666351004498</v>
      </c>
      <c r="BI10" s="59">
        <f ca="1">AVERAGE(OFFSET($BH$3,0,0,'Données projet'!$E$11+1,1))-AVERAGE(OFFSET($H$3,0,0,'Données projet'!$E$11+1,1))</f>
        <v>490.06222615476065</v>
      </c>
      <c r="BJ10" s="59">
        <f t="shared" si="38"/>
        <v>310.43914804089906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4.333333333333333</v>
      </c>
      <c r="N11" s="13">
        <f>IF('Données projet'!$A$36&gt;35,N10+M11-V10,IF(A11&lt;'Données projet'!$A$36,$K$205^A11,IF(A11='Données projet'!$A$36,'Données projet'!$B$36,N10+M11-V10)))</f>
        <v>9.2658896452214261</v>
      </c>
      <c r="O11" s="13">
        <f>N11*VLOOKUP('Données projet'!$B$9,Paramètres!$A$1:$I$89,3,0)*VLOOKUP('Données projet'!$B$9,Paramètres!$A$1:$I$89,5,0)</f>
        <v>7.3719418017381662</v>
      </c>
      <c r="P11" s="13">
        <f t="shared" si="33"/>
        <v>2.6924486542908248</v>
      </c>
      <c r="Q11" s="20">
        <f t="shared" si="2"/>
        <v>17.528813377583827</v>
      </c>
      <c r="R11" s="59">
        <f t="shared" si="0"/>
        <v>283.9732578220283</v>
      </c>
      <c r="S11" s="59">
        <f ca="1">AVERAGE(OFFSET($R$3,0,0,'Données projet'!$E$9+1,1))-AVERAGE(OFFSET($H$3,0,0,'Données projet'!$E$9+1,1))</f>
        <v>353.37479213497227</v>
      </c>
      <c r="T11" s="59">
        <f t="shared" si="34"/>
        <v>345.4750813433123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6.4429411764705877</v>
      </c>
      <c r="AI11" s="13">
        <f>IF('Données projet'!$A$62&gt;35,AI10+AH11-AQ10,IF(A11&lt;'Données projet'!$A$62,$AF$205^A11,IF(A11='Données projet'!$A$62,'Données projet'!$B$62,AI10+AH11-AQ10)))</f>
        <v>51.543529411764709</v>
      </c>
      <c r="AJ11" s="13">
        <f>AI11*VLOOKUP('Données projet'!$B$10,Paramètres!$A$1:$I$89,3,0)*VLOOKUP('Données projet'!$B$10,Paramètres!$A$1:$I$89,5,0)</f>
        <v>24.122371764705882</v>
      </c>
      <c r="AK11" s="13">
        <f t="shared" si="35"/>
        <v>7.6746465319482056</v>
      </c>
      <c r="AL11" s="20">
        <f t="shared" si="4"/>
        <v>55.379806866672531</v>
      </c>
      <c r="AM11" s="59">
        <f t="shared" si="5"/>
        <v>321.824251311117</v>
      </c>
      <c r="AN11" s="59">
        <f ca="1">AVERAGE(OFFSET($AM$3,0,0,'Données projet'!$E$10+1,1))-AVERAGE(OFFSET($H$3,0,0,'Données projet'!$E$10+1,1))</f>
        <v>293.15557501692803</v>
      </c>
      <c r="AO11" s="59">
        <f t="shared" si="36"/>
        <v>237.1930412773068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4.5856818181818184</v>
      </c>
      <c r="BD11" s="12">
        <f>IF('Données projet'!$A$88&gt;35,BD10+BC11-BL10,IF(A11&lt;'Données projet'!$A$88,$BA$205^A11,IF(A11='Données projet'!$A$88,'Données projet'!$B$88,BD10+BC11-BL10)))</f>
        <v>36.685454545454547</v>
      </c>
      <c r="BE11" s="13">
        <f>BD11*VLOOKUP('Données projet'!$B$11,Paramètres!$A$1:$I$89,3,0)*VLOOKUP('Données projet'!$B$11,Paramètres!$A$1:$I$89,5,0)</f>
        <v>33.19299927272727</v>
      </c>
      <c r="BF11" s="13">
        <f t="shared" si="37"/>
        <v>10.175335768620887</v>
      </c>
      <c r="BG11" s="20">
        <f t="shared" si="7"/>
        <v>75.53318353034804</v>
      </c>
      <c r="BH11" s="59">
        <f t="shared" si="8"/>
        <v>341.97762797479248</v>
      </c>
      <c r="BI11" s="59">
        <f ca="1">AVERAGE(OFFSET($BH$3,0,0,'Données projet'!$E$11+1,1))-AVERAGE(OFFSET($H$3,0,0,'Données projet'!$E$11+1,1))</f>
        <v>490.06222615476065</v>
      </c>
      <c r="BJ11" s="59">
        <f t="shared" si="38"/>
        <v>310.43914804089906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4.333333333333333</v>
      </c>
      <c r="N12" s="13">
        <f>IF('Données projet'!$A$36&gt;35,N11+M12-V11,IF(A12&lt;'Données projet'!$A$36,$K$205^A12,IF(A12='Données projet'!$A$36,'Données projet'!$B$36,N11+M12-V11)))</f>
        <v>12.23905859480781</v>
      </c>
      <c r="O12" s="13">
        <f>N12*VLOOKUP('Données projet'!$B$9,Paramètres!$A$1:$I$89,3,0)*VLOOKUP('Données projet'!$B$9,Paramètres!$A$1:$I$89,5,0)</f>
        <v>9.737395018029094</v>
      </c>
      <c r="P12" s="13">
        <f t="shared" si="33"/>
        <v>3.4430244972188757</v>
      </c>
      <c r="Q12" s="20">
        <f t="shared" si="2"/>
        <v>22.955897322390214</v>
      </c>
      <c r="R12" s="59">
        <f t="shared" si="0"/>
        <v>290.62256398905691</v>
      </c>
      <c r="S12" s="59">
        <f ca="1">AVERAGE(OFFSET($R$3,0,0,'Données projet'!$E$9+1,1))-AVERAGE(OFFSET($H$3,0,0,'Données projet'!$E$9+1,1))</f>
        <v>353.37479213497227</v>
      </c>
      <c r="T12" s="59">
        <f t="shared" si="34"/>
        <v>345.4750813433123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6.4429411764705877</v>
      </c>
      <c r="AI12" s="13">
        <f>IF('Données projet'!$A$62&gt;35,AI11+AH12-AQ11,IF(A12&lt;'Données projet'!$A$62,$AF$205^A12,IF(A12='Données projet'!$A$62,'Données projet'!$B$62,AI11+AH12-AQ11)))</f>
        <v>57.986470588235299</v>
      </c>
      <c r="AJ12" s="13">
        <f>AI12*VLOOKUP('Données projet'!$B$10,Paramètres!$A$1:$I$89,3,0)*VLOOKUP('Données projet'!$B$10,Paramètres!$A$1:$I$89,5,0)</f>
        <v>27.137668235294122</v>
      </c>
      <c r="AK12" s="13">
        <f t="shared" si="35"/>
        <v>8.5164137277036307</v>
      </c>
      <c r="AL12" s="20">
        <f t="shared" si="4"/>
        <v>62.097526085554399</v>
      </c>
      <c r="AM12" s="59">
        <f t="shared" si="5"/>
        <v>329.76419275222111</v>
      </c>
      <c r="AN12" s="59">
        <f ca="1">AVERAGE(OFFSET($AM$3,0,0,'Données projet'!$E$10+1,1))-AVERAGE(OFFSET($H$3,0,0,'Données projet'!$E$10+1,1))</f>
        <v>293.15557501692803</v>
      </c>
      <c r="AO12" s="59">
        <f t="shared" si="36"/>
        <v>237.1930412773068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4.5856818181818184</v>
      </c>
      <c r="BD12" s="12">
        <f>IF('Données projet'!$A$88&gt;35,BD11+BC12-BL11,IF(A12&lt;'Données projet'!$A$88,$BA$205^A12,IF(A12='Données projet'!$A$88,'Données projet'!$B$88,BD11+BC12-BL11)))</f>
        <v>41.271136363636366</v>
      </c>
      <c r="BE12" s="13">
        <f>BD12*VLOOKUP('Données projet'!$B$11,Paramètres!$A$1:$I$89,3,0)*VLOOKUP('Données projet'!$B$11,Paramètres!$A$1:$I$89,5,0)</f>
        <v>37.342124181818185</v>
      </c>
      <c r="BF12" s="13">
        <f t="shared" si="37"/>
        <v>11.291382458219708</v>
      </c>
      <c r="BG12" s="20">
        <f t="shared" si="7"/>
        <v>84.70335739806599</v>
      </c>
      <c r="BH12" s="59">
        <f t="shared" si="8"/>
        <v>352.37002406473266</v>
      </c>
      <c r="BI12" s="59">
        <f ca="1">AVERAGE(OFFSET($BH$3,0,0,'Données projet'!$E$11+1,1))-AVERAGE(OFFSET($H$3,0,0,'Données projet'!$E$11+1,1))</f>
        <v>490.06222615476065</v>
      </c>
      <c r="BJ12" s="59">
        <f t="shared" si="38"/>
        <v>310.43914804089906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4.333333333333333</v>
      </c>
      <c r="N13" s="13">
        <f>IF('Données projet'!$A$36&gt;35,N12+M13-V12,IF(A13&lt;'Données projet'!$A$36,$K$205^A13,IF(A13='Données projet'!$A$36,'Données projet'!$B$36,N12+M13-V12)))</f>
        <v>16.166235625781542</v>
      </c>
      <c r="O13" s="13">
        <f>N13*VLOOKUP('Données projet'!$B$9,Paramètres!$A$1:$I$89,3,0)*VLOOKUP('Données projet'!$B$9,Paramètres!$A$1:$I$89,5,0)</f>
        <v>12.861857063871796</v>
      </c>
      <c r="P13" s="13">
        <f t="shared" si="33"/>
        <v>4.4028389063455258</v>
      </c>
      <c r="Q13" s="20">
        <f t="shared" si="2"/>
        <v>30.069345481461834</v>
      </c>
      <c r="R13" s="59">
        <f t="shared" si="0"/>
        <v>298.95823437035068</v>
      </c>
      <c r="S13" s="59">
        <f ca="1">AVERAGE(OFFSET($R$3,0,0,'Données projet'!$E$9+1,1))-AVERAGE(OFFSET($H$3,0,0,'Données projet'!$E$9+1,1))</f>
        <v>353.37479213497227</v>
      </c>
      <c r="T13" s="59">
        <f t="shared" si="34"/>
        <v>345.4750813433123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6.4429411764705877</v>
      </c>
      <c r="AI13" s="13">
        <f>IF('Données projet'!$A$62&gt;35,AI12+AH13-AQ12,IF(A13&lt;'Données projet'!$A$62,$AF$205^A13,IF(A13='Données projet'!$A$62,'Données projet'!$B$62,AI12+AH13-AQ12)))</f>
        <v>64.42941176470589</v>
      </c>
      <c r="AJ13" s="13">
        <f>AI13*VLOOKUP('Données projet'!$B$10,Paramètres!$A$1:$I$89,3,0)*VLOOKUP('Données projet'!$B$10,Paramètres!$A$1:$I$89,5,0)</f>
        <v>30.152964705882358</v>
      </c>
      <c r="AK13" s="13">
        <f t="shared" si="35"/>
        <v>9.3473406453235626</v>
      </c>
      <c r="AL13" s="20">
        <f t="shared" si="4"/>
        <v>68.796365153350322</v>
      </c>
      <c r="AM13" s="59">
        <f t="shared" si="5"/>
        <v>337.68525404223919</v>
      </c>
      <c r="AN13" s="59">
        <f ca="1">AVERAGE(OFFSET($AM$3,0,0,'Données projet'!$E$10+1,1))-AVERAGE(OFFSET($H$3,0,0,'Données projet'!$E$10+1,1))</f>
        <v>293.15557501692803</v>
      </c>
      <c r="AO13" s="59">
        <f t="shared" si="36"/>
        <v>237.1930412773068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4.5856818181818184</v>
      </c>
      <c r="BD13" s="12">
        <f>IF('Données projet'!$A$88&gt;35,BD12+BC13-BL12,IF(A13&lt;'Données projet'!$A$88,$BA$205^A13,IF(A13='Données projet'!$A$88,'Données projet'!$B$88,BD12+BC13-BL12)))</f>
        <v>45.856818181818184</v>
      </c>
      <c r="BE13" s="13">
        <f>BD13*VLOOKUP('Données projet'!$B$11,Paramètres!$A$1:$I$89,3,0)*VLOOKUP('Données projet'!$B$11,Paramètres!$A$1:$I$89,5,0)</f>
        <v>41.491249090909093</v>
      </c>
      <c r="BF13" s="13">
        <f t="shared" si="37"/>
        <v>12.393056698299885</v>
      </c>
      <c r="BG13" s="20">
        <f t="shared" si="7"/>
        <v>93.848499249538975</v>
      </c>
      <c r="BH13" s="59">
        <f t="shared" si="8"/>
        <v>362.73738813842783</v>
      </c>
      <c r="BI13" s="59">
        <f ca="1">AVERAGE(OFFSET($BH$3,0,0,'Données projet'!$E$11+1,1))-AVERAGE(OFFSET($H$3,0,0,'Données projet'!$E$11+1,1))</f>
        <v>490.06222615476065</v>
      </c>
      <c r="BJ13" s="59">
        <f t="shared" si="38"/>
        <v>310.43914804089906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4.333333333333333</v>
      </c>
      <c r="N14" s="13">
        <f>IF('Données projet'!$A$36&gt;35,N13+M14-V13,IF(A14&lt;'Données projet'!$A$36,$K$205^A14,IF(A14='Données projet'!$A$36,'Données projet'!$B$36,N13+M14-V13)))</f>
        <v>21.353535673010011</v>
      </c>
      <c r="O14" s="13">
        <f>N14*VLOOKUP('Données projet'!$B$9,Paramètres!$A$1:$I$89,3,0)*VLOOKUP('Données projet'!$B$9,Paramètres!$A$1:$I$89,5,0)</f>
        <v>16.988872981446764</v>
      </c>
      <c r="P14" s="13">
        <f t="shared" si="33"/>
        <v>5.6302214668783828</v>
      </c>
      <c r="Q14" s="20">
        <f t="shared" si="2"/>
        <v>39.394922830832961</v>
      </c>
      <c r="R14" s="59">
        <f t="shared" si="0"/>
        <v>309.50603394194411</v>
      </c>
      <c r="S14" s="59">
        <f ca="1">AVERAGE(OFFSET($R$3,0,0,'Données projet'!$E$9+1,1))-AVERAGE(OFFSET($H$3,0,0,'Données projet'!$E$9+1,1))</f>
        <v>353.37479213497227</v>
      </c>
      <c r="T14" s="59">
        <f t="shared" si="34"/>
        <v>345.4750813433123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6.4429411764705877</v>
      </c>
      <c r="AI14" s="13">
        <f>IF('Données projet'!$A$62&gt;35,AI13+AH14-AQ13,IF(A14&lt;'Données projet'!$A$62,$AF$205^A14,IF(A14='Données projet'!$A$62,'Données projet'!$B$62,AI13+AH14-AQ13)))</f>
        <v>70.872352941176473</v>
      </c>
      <c r="AJ14" s="13">
        <f>AI14*VLOOKUP('Données projet'!$B$10,Paramètres!$A$1:$I$89,3,0)*VLOOKUP('Données projet'!$B$10,Paramètres!$A$1:$I$89,5,0)</f>
        <v>33.168261176470587</v>
      </c>
      <c r="AK14" s="13">
        <f t="shared" si="35"/>
        <v>10.168634715242291</v>
      </c>
      <c r="AL14" s="20">
        <f t="shared" si="4"/>
        <v>75.47842701139993</v>
      </c>
      <c r="AM14" s="59">
        <f t="shared" si="5"/>
        <v>345.58953812251104</v>
      </c>
      <c r="AN14" s="59">
        <f ca="1">AVERAGE(OFFSET($AM$3,0,0,'Données projet'!$E$10+1,1))-AVERAGE(OFFSET($H$3,0,0,'Données projet'!$E$10+1,1))</f>
        <v>293.15557501692803</v>
      </c>
      <c r="AO14" s="59">
        <f t="shared" si="36"/>
        <v>237.1930412773068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4.5856818181818184</v>
      </c>
      <c r="BD14" s="12">
        <f>IF('Données projet'!$A$88&gt;35,BD13+BC14-BL13,IF(A14&lt;'Données projet'!$A$88,$BA$205^A14,IF(A14='Données projet'!$A$88,'Données projet'!$B$88,BD13+BC14-BL13)))</f>
        <v>50.442500000000003</v>
      </c>
      <c r="BE14" s="13">
        <f>BD14*VLOOKUP('Données projet'!$B$11,Paramètres!$A$1:$I$89,3,0)*VLOOKUP('Données projet'!$B$11,Paramètres!$A$1:$I$89,5,0)</f>
        <v>45.640374000000001</v>
      </c>
      <c r="BF14" s="13">
        <f t="shared" si="37"/>
        <v>13.481959345661139</v>
      </c>
      <c r="BG14" s="20">
        <f t="shared" si="7"/>
        <v>102.97139724369315</v>
      </c>
      <c r="BH14" s="59">
        <f t="shared" si="8"/>
        <v>373.0825083548043</v>
      </c>
      <c r="BI14" s="59">
        <f ca="1">AVERAGE(OFFSET($BH$3,0,0,'Données projet'!$E$11+1,1))-AVERAGE(OFFSET($H$3,0,0,'Données projet'!$E$11+1,1))</f>
        <v>490.06222615476065</v>
      </c>
      <c r="BJ14" s="59">
        <f t="shared" si="38"/>
        <v>310.43914804089906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4.333333333333333</v>
      </c>
      <c r="N15" s="13">
        <f>IF('Données projet'!$A$36&gt;35,N14+M15-V14,IF(A15&lt;'Données projet'!$A$36,$K$205^A15,IF(A15='Données projet'!$A$36,'Données projet'!$B$36,N14+M15-V14)))</f>
        <v>28.205297528345746</v>
      </c>
      <c r="O15" s="13">
        <f>N15*VLOOKUP('Données projet'!$B$9,Paramètres!$A$1:$I$89,3,0)*VLOOKUP('Données projet'!$B$9,Paramètres!$A$1:$I$89,5,0)</f>
        <v>22.440134713551878</v>
      </c>
      <c r="P15" s="13">
        <f t="shared" si="33"/>
        <v>7.1997623443392129</v>
      </c>
      <c r="Q15" s="20">
        <f t="shared" si="2"/>
        <v>51.622820709160315</v>
      </c>
      <c r="R15" s="59">
        <f t="shared" si="0"/>
        <v>322.95615404249361</v>
      </c>
      <c r="S15" s="59">
        <f ca="1">AVERAGE(OFFSET($R$3,0,0,'Données projet'!$E$9+1,1))-AVERAGE(OFFSET($H$3,0,0,'Données projet'!$E$9+1,1))</f>
        <v>353.37479213497227</v>
      </c>
      <c r="T15" s="59">
        <f t="shared" si="34"/>
        <v>345.4750813433123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6.4429411764705877</v>
      </c>
      <c r="AI15" s="13">
        <f>IF('Données projet'!$A$62&gt;35,AI14+AH15-AQ14,IF(A15&lt;'Données projet'!$A$62,$AF$205^A15,IF(A15='Données projet'!$A$62,'Données projet'!$B$62,AI14+AH15-AQ14)))</f>
        <v>77.315294117647056</v>
      </c>
      <c r="AJ15" s="13">
        <f>AI15*VLOOKUP('Données projet'!$B$10,Paramètres!$A$1:$I$89,3,0)*VLOOKUP('Données projet'!$B$10,Paramètres!$A$1:$I$89,5,0)</f>
        <v>36.183557647058819</v>
      </c>
      <c r="AK15" s="13">
        <f t="shared" si="35"/>
        <v>10.981271243408294</v>
      </c>
      <c r="AL15" s="20">
        <f t="shared" si="4"/>
        <v>82.145410317563559</v>
      </c>
      <c r="AM15" s="59">
        <f t="shared" si="5"/>
        <v>353.47874365089689</v>
      </c>
      <c r="AN15" s="59">
        <f ca="1">AVERAGE(OFFSET($AM$3,0,0,'Données projet'!$E$10+1,1))-AVERAGE(OFFSET($H$3,0,0,'Données projet'!$E$10+1,1))</f>
        <v>293.15557501692803</v>
      </c>
      <c r="AO15" s="59">
        <f t="shared" si="36"/>
        <v>237.1930412773068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4.5856818181818184</v>
      </c>
      <c r="BD15" s="12">
        <f>IF('Données projet'!$A$88&gt;35,BD14+BC15-BL14,IF(A15&lt;'Données projet'!$A$88,$BA$205^A15,IF(A15='Données projet'!$A$88,'Données projet'!$B$88,BD14+BC15-BL14)))</f>
        <v>55.028181818181821</v>
      </c>
      <c r="BE15" s="13">
        <f>BD15*VLOOKUP('Données projet'!$B$11,Paramètres!$A$1:$I$89,3,0)*VLOOKUP('Données projet'!$B$11,Paramètres!$A$1:$I$89,5,0)</f>
        <v>49.789498909090909</v>
      </c>
      <c r="BF15" s="13">
        <f t="shared" si="37"/>
        <v>14.559383497706923</v>
      </c>
      <c r="BG15" s="20">
        <f t="shared" si="7"/>
        <v>112.07430352517288</v>
      </c>
      <c r="BH15" s="59">
        <f t="shared" si="8"/>
        <v>383.40763685850618</v>
      </c>
      <c r="BI15" s="59">
        <f ca="1">AVERAGE(OFFSET($BH$3,0,0,'Données projet'!$E$11+1,1))-AVERAGE(OFFSET($H$3,0,0,'Données projet'!$E$11+1,1))</f>
        <v>490.06222615476065</v>
      </c>
      <c r="BJ15" s="59">
        <f t="shared" si="38"/>
        <v>310.43914804089906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4.333333333333333</v>
      </c>
      <c r="N16" s="13">
        <f>IF('Données projet'!$A$36&gt;35,N15+M16-V15,IF(A16&lt;'Données projet'!$A$36,$K$205^A16,IF(A16='Données projet'!$A$36,'Données projet'!$B$36,N15+M16-V15)))</f>
        <v>37.255601172785397</v>
      </c>
      <c r="O16" s="13">
        <f>N16*VLOOKUP('Données projet'!$B$9,Paramètres!$A$1:$I$89,3,0)*VLOOKUP('Données projet'!$B$9,Paramètres!$A$1:$I$89,5,0)</f>
        <v>29.640556293068066</v>
      </c>
      <c r="P16" s="13">
        <f t="shared" si="33"/>
        <v>9.2068452582035114</v>
      </c>
      <c r="Q16" s="20">
        <f t="shared" si="2"/>
        <v>67.659224368464649</v>
      </c>
      <c r="R16" s="59">
        <f t="shared" si="0"/>
        <v>340.21477992402021</v>
      </c>
      <c r="S16" s="59">
        <f ca="1">AVERAGE(OFFSET($R$3,0,0,'Données projet'!$E$9+1,1))-AVERAGE(OFFSET($H$3,0,0,'Données projet'!$E$9+1,1))</f>
        <v>353.37479213497227</v>
      </c>
      <c r="T16" s="59">
        <f t="shared" si="34"/>
        <v>345.4750813433123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6.4429411764705877</v>
      </c>
      <c r="AI16" s="13">
        <f>IF('Données projet'!$A$62&gt;35,AI15+AH16-AQ15,IF(A16&lt;'Données projet'!$A$62,$AF$205^A16,IF(A16='Données projet'!$A$62,'Données projet'!$B$62,AI15+AH16-AQ15)))</f>
        <v>83.75823529411764</v>
      </c>
      <c r="AJ16" s="13">
        <f>AI16*VLOOKUP('Données projet'!$B$10,Paramètres!$A$1:$I$89,3,0)*VLOOKUP('Données projet'!$B$10,Paramètres!$A$1:$I$89,5,0)</f>
        <v>39.198854117647059</v>
      </c>
      <c r="AK16" s="13">
        <f t="shared" si="35"/>
        <v>11.786053715435241</v>
      </c>
      <c r="AL16" s="20">
        <f t="shared" si="4"/>
        <v>88.79871447595167</v>
      </c>
      <c r="AM16" s="59">
        <f t="shared" si="5"/>
        <v>361.35427003150721</v>
      </c>
      <c r="AN16" s="59">
        <f ca="1">AVERAGE(OFFSET($AM$3,0,0,'Données projet'!$E$10+1,1))-AVERAGE(OFFSET($H$3,0,0,'Données projet'!$E$10+1,1))</f>
        <v>293.15557501692803</v>
      </c>
      <c r="AO16" s="59">
        <f t="shared" si="36"/>
        <v>237.1930412773068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4.5856818181818184</v>
      </c>
      <c r="BD16" s="12">
        <f>IF('Données projet'!$A$88&gt;35,BD15+BC16-BL15,IF(A16&lt;'Données projet'!$A$88,$BA$205^A16,IF(A16='Données projet'!$A$88,'Données projet'!$B$88,BD15+BC16-BL15)))</f>
        <v>59.613863636363639</v>
      </c>
      <c r="BE16" s="13">
        <f>BD16*VLOOKUP('Données projet'!$B$11,Paramètres!$A$1:$I$89,3,0)*VLOOKUP('Données projet'!$B$11,Paramètres!$A$1:$I$89,5,0)</f>
        <v>53.938623818181817</v>
      </c>
      <c r="BF16" s="13">
        <f t="shared" si="37"/>
        <v>15.62639444596179</v>
      </c>
      <c r="BG16" s="20">
        <f t="shared" si="7"/>
        <v>121.15907347671678</v>
      </c>
      <c r="BH16" s="59">
        <f t="shared" si="8"/>
        <v>393.71462903227234</v>
      </c>
      <c r="BI16" s="59">
        <f ca="1">AVERAGE(OFFSET($BH$3,0,0,'Données projet'!$E$11+1,1))-AVERAGE(OFFSET($H$3,0,0,'Données projet'!$E$11+1,1))</f>
        <v>490.06222615476065</v>
      </c>
      <c r="BJ16" s="59">
        <f t="shared" si="38"/>
        <v>310.43914804089906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4.333333333333333</v>
      </c>
      <c r="N17" s="13">
        <f>IF('Données projet'!$A$36&gt;35,N16+M17-V16,IF(A17&lt;'Données projet'!$A$36,$K$205^A17,IF(A17='Données projet'!$A$36,'Données projet'!$B$36,N16+M17-V16)))</f>
        <v>49.209898153024547</v>
      </c>
      <c r="O17" s="13">
        <f>N17*VLOOKUP('Données projet'!$B$9,Paramètres!$A$1:$I$89,3,0)*VLOOKUP('Données projet'!$B$9,Paramètres!$A$1:$I$89,5,0)</f>
        <v>39.151394970546335</v>
      </c>
      <c r="P17" s="13">
        <f t="shared" si="33"/>
        <v>11.773444115853561</v>
      </c>
      <c r="Q17" s="20">
        <f t="shared" si="2"/>
        <v>88.69409474214649</v>
      </c>
      <c r="R17" s="59">
        <f t="shared" si="0"/>
        <v>362.47187251992426</v>
      </c>
      <c r="S17" s="59">
        <f ca="1">AVERAGE(OFFSET($R$3,0,0,'Données projet'!$E$9+1,1))-AVERAGE(OFFSET($H$3,0,0,'Données projet'!$E$9+1,1))</f>
        <v>353.37479213497227</v>
      </c>
      <c r="T17" s="59">
        <f t="shared" si="34"/>
        <v>345.4750813433123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6.4429411764705877</v>
      </c>
      <c r="AI17" s="13">
        <f>IF('Données projet'!$A$62&gt;35,AI16+AH17-AQ16,IF(A17&lt;'Données projet'!$A$62,$AF$205^A17,IF(A17='Données projet'!$A$62,'Données projet'!$B$62,AI16+AH17-AQ16)))</f>
        <v>90.201176470588223</v>
      </c>
      <c r="AJ17" s="13">
        <f>AI17*VLOOKUP('Données projet'!$B$10,Paramètres!$A$1:$I$89,3,0)*VLOOKUP('Données projet'!$B$10,Paramètres!$A$1:$I$89,5,0)</f>
        <v>42.214150588235285</v>
      </c>
      <c r="AK17" s="13">
        <f t="shared" si="35"/>
        <v>12.583654981741942</v>
      </c>
      <c r="AL17" s="20">
        <f t="shared" si="4"/>
        <v>95.439511367710338</v>
      </c>
      <c r="AM17" s="59">
        <f t="shared" si="5"/>
        <v>369.21728914548811</v>
      </c>
      <c r="AN17" s="59">
        <f ca="1">AVERAGE(OFFSET($AM$3,0,0,'Données projet'!$E$10+1,1))-AVERAGE(OFFSET($H$3,0,0,'Données projet'!$E$10+1,1))</f>
        <v>293.15557501692803</v>
      </c>
      <c r="AO17" s="59">
        <f t="shared" si="36"/>
        <v>237.1930412773068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4.5856818181818184</v>
      </c>
      <c r="BD17" s="12">
        <f>IF('Données projet'!$A$88&gt;35,BD16+BC17-BL16,IF(A17&lt;'Données projet'!$A$88,$BA$205^A17,IF(A17='Données projet'!$A$88,'Données projet'!$B$88,BD16+BC17-BL16)))</f>
        <v>64.199545454545458</v>
      </c>
      <c r="BE17" s="13">
        <f>BD17*VLOOKUP('Données projet'!$B$11,Paramètres!$A$1:$I$89,3,0)*VLOOKUP('Données projet'!$B$11,Paramètres!$A$1:$I$89,5,0)</f>
        <v>58.087748727272725</v>
      </c>
      <c r="BF17" s="13">
        <f t="shared" si="37"/>
        <v>16.683884280882914</v>
      </c>
      <c r="BG17" s="20">
        <f t="shared" si="7"/>
        <v>130.22726082253777</v>
      </c>
      <c r="BH17" s="59">
        <f t="shared" si="8"/>
        <v>404.00503860031552</v>
      </c>
      <c r="BI17" s="59">
        <f ca="1">AVERAGE(OFFSET($BH$3,0,0,'Données projet'!$E$11+1,1))-AVERAGE(OFFSET($H$3,0,0,'Données projet'!$E$11+1,1))</f>
        <v>490.06222615476065</v>
      </c>
      <c r="BJ17" s="59">
        <f t="shared" si="38"/>
        <v>310.43914804089906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65</v>
      </c>
      <c r="L18" s="12">
        <f>VLOOKUP(A18,'Données projet'!$A$35:$I$55,9,0)</f>
        <v>4.333333333333333</v>
      </c>
      <c r="M18" s="12">
        <f t="array" ref="M18">INDEX(L:L,MIN(IF(ISNUMBER(L18:L214),ROW(L18:L214),"")))</f>
        <v>4.333333333333333</v>
      </c>
      <c r="N18" s="13">
        <f>IF('Données projet'!$A$36&gt;35,N17+M18-V17,IF(A18&lt;'Données projet'!$A$36,$K$205^A18,IF(A18='Données projet'!$A$36,'Données projet'!$B$36,N17+M18-V17)))</f>
        <v>65</v>
      </c>
      <c r="O18" s="13">
        <f>N18*VLOOKUP('Données projet'!$B$9,Paramètres!$A$1:$I$89,3,0)*VLOOKUP('Données projet'!$B$9,Paramètres!$A$1:$I$89,5,0)</f>
        <v>51.713999999999999</v>
      </c>
      <c r="P18" s="13">
        <f t="shared" si="33"/>
        <v>15.055535578337075</v>
      </c>
      <c r="Q18" s="20">
        <f t="shared" si="2"/>
        <v>116.29027446560372</v>
      </c>
      <c r="R18" s="59">
        <f t="shared" si="0"/>
        <v>391.29027446560372</v>
      </c>
      <c r="S18" s="59">
        <f ca="1">AVERAGE(OFFSET($R$3,0,0,'Données projet'!$E$9+1,1))-AVERAGE(OFFSET($H$3,0,0,'Données projet'!$E$9+1,1))</f>
        <v>353.37479213497227</v>
      </c>
      <c r="T18" s="59">
        <f t="shared" si="34"/>
        <v>345.4750813433123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32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0.13250000000000001</v>
      </c>
      <c r="Y18" s="16">
        <f>IF(ISNA(VLOOKUP(A18,'Données projet'!$A$35:$I$55,7,0)),0%,VLOOKUP(A18,'Données projet'!$A$35:$I$55,7,0))</f>
        <v>0.25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3.7144488588845932</v>
      </c>
      <c r="AB18" s="21">
        <f>EXP(-LN(2)/2)*AB17+(1-EXP(-LN(2)/2))/(LN(2)/2)*V18*Y18*VLOOKUP('Données projet'!$B$9,Paramètres!$A$1:$I$89,3,0)*0.475*44/12</f>
        <v>6.0053601060803743</v>
      </c>
      <c r="AC18" s="22">
        <f t="shared" si="3"/>
        <v>9.719808964964967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6.4429411764705877</v>
      </c>
      <c r="AI18" s="13">
        <f>IF('Données projet'!$A$62&gt;35,AI17+AH18-AQ17,IF(A18&lt;'Données projet'!$A$62,$AF$205^A18,IF(A18='Données projet'!$A$62,'Données projet'!$B$62,AI17+AH18-AQ17)))</f>
        <v>96.644117647058806</v>
      </c>
      <c r="AJ18" s="13">
        <f>AI18*VLOOKUP('Données projet'!$B$10,Paramètres!$A$1:$I$89,3,0)*VLOOKUP('Données projet'!$B$10,Paramètres!$A$1:$I$89,5,0)</f>
        <v>45.229447058823517</v>
      </c>
      <c r="AK18" s="13">
        <f t="shared" si="35"/>
        <v>13.374646324561946</v>
      </c>
      <c r="AL18" s="20">
        <f t="shared" si="4"/>
        <v>102.06879597606302</v>
      </c>
      <c r="AM18" s="59">
        <f t="shared" si="5"/>
        <v>377.06879597606303</v>
      </c>
      <c r="AN18" s="59">
        <f ca="1">AVERAGE(OFFSET($AM$3,0,0,'Données projet'!$E$10+1,1))-AVERAGE(OFFSET($H$3,0,0,'Données projet'!$E$10+1,1))</f>
        <v>293.15557501692803</v>
      </c>
      <c r="AO18" s="59">
        <f t="shared" si="36"/>
        <v>237.1930412773068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4.5856818181818184</v>
      </c>
      <c r="BD18" s="12">
        <f>IF('Données projet'!$A$88&gt;35,BD17+BC18-BL17,IF(A18&lt;'Données projet'!$A$88,$BA$205^A18,IF(A18='Données projet'!$A$88,'Données projet'!$B$88,BD17+BC18-BL17)))</f>
        <v>68.785227272727269</v>
      </c>
      <c r="BE18" s="13">
        <f>BD18*VLOOKUP('Données projet'!$B$11,Paramètres!$A$1:$I$89,3,0)*VLOOKUP('Données projet'!$B$11,Paramètres!$A$1:$I$89,5,0)</f>
        <v>62.236873636363626</v>
      </c>
      <c r="BF18" s="13">
        <f t="shared" si="37"/>
        <v>17.732610429997528</v>
      </c>
      <c r="BG18" s="20">
        <f t="shared" si="7"/>
        <v>139.28018474891235</v>
      </c>
      <c r="BH18" s="59">
        <f t="shared" si="8"/>
        <v>414.28018474891235</v>
      </c>
      <c r="BI18" s="59">
        <f ca="1">AVERAGE(OFFSET($BH$3,0,0,'Données projet'!$E$11+1,1))-AVERAGE(OFFSET($H$3,0,0,'Données projet'!$E$11+1,1))</f>
        <v>490.06222615476065</v>
      </c>
      <c r="BJ18" s="59">
        <f t="shared" si="38"/>
        <v>310.43914804089906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13.8</v>
      </c>
      <c r="N19" s="13">
        <f>IF('Données projet'!$A$36&gt;35,N18+M19-V18,IF(A19&lt;'Données projet'!$A$36,$K$205^A19,IF(A19='Données projet'!$A$36,'Données projet'!$B$36,N18+M19-V18)))</f>
        <v>46.8</v>
      </c>
      <c r="O19" s="13">
        <f>N19*VLOOKUP('Données projet'!$B$9,Paramètres!$A$1:$I$89,3,0)*VLOOKUP('Données projet'!$B$9,Paramètres!$A$1:$I$89,5,0)</f>
        <v>37.234079999999999</v>
      </c>
      <c r="P19" s="13">
        <f t="shared" si="33"/>
        <v>11.262510356679771</v>
      </c>
      <c r="Q19" s="20">
        <f t="shared" si="2"/>
        <v>84.464894871217254</v>
      </c>
      <c r="R19" s="59">
        <f t="shared" si="0"/>
        <v>360.6871170934395</v>
      </c>
      <c r="S19" s="59">
        <f ca="1">AVERAGE(OFFSET($R$3,0,0,'Données projet'!$E$9+1,1))-AVERAGE(OFFSET($H$3,0,0,'Données projet'!$E$9+1,1))</f>
        <v>353.37479213497227</v>
      </c>
      <c r="T19" s="59">
        <f t="shared" si="34"/>
        <v>345.4750813433123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3.6128770595040178</v>
      </c>
      <c r="AB19" s="21">
        <f>EXP(-LN(2)/2)*AB18+(1-EXP(-LN(2)/2))/(LN(2)/2)*V19*Y19*VLOOKUP('Données projet'!$B$9,Paramètres!$A$1:$I$89,3,0)*0.475*44/12</f>
        <v>4.2464308544765972</v>
      </c>
      <c r="AC19" s="22">
        <f t="shared" si="3"/>
        <v>7.859307913980615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6.4429411764705877</v>
      </c>
      <c r="AI19" s="13">
        <f>IF('Données projet'!$A$62&gt;35,AI18+AH19-AQ18,IF(A19&lt;'Données projet'!$A$62,$AF$205^A19,IF(A19='Données projet'!$A$62,'Données projet'!$B$62,AI18+AH19-AQ18)))</f>
        <v>103.08705882352939</v>
      </c>
      <c r="AJ19" s="13">
        <f>AI19*VLOOKUP('Données projet'!$B$10,Paramètres!$A$1:$I$89,3,0)*VLOOKUP('Données projet'!$B$10,Paramètres!$A$1:$I$89,5,0)</f>
        <v>48.244743529411757</v>
      </c>
      <c r="AK19" s="13">
        <f t="shared" si="35"/>
        <v>14.159518545821207</v>
      </c>
      <c r="AL19" s="20">
        <f t="shared" si="4"/>
        <v>108.68742311436408</v>
      </c>
      <c r="AM19" s="59">
        <f t="shared" si="5"/>
        <v>384.90964533658632</v>
      </c>
      <c r="AN19" s="59">
        <f ca="1">AVERAGE(OFFSET($AM$3,0,0,'Données projet'!$E$10+1,1))-AVERAGE(OFFSET($H$3,0,0,'Données projet'!$E$10+1,1))</f>
        <v>293.15557501692803</v>
      </c>
      <c r="AO19" s="59">
        <f t="shared" si="36"/>
        <v>237.1930412773068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4.5856818181818184</v>
      </c>
      <c r="BD19" s="12">
        <f>IF('Données projet'!$A$88&gt;35,BD18+BC19-BL18,IF(A19&lt;'Données projet'!$A$88,$BA$205^A19,IF(A19='Données projet'!$A$88,'Données projet'!$B$88,BD18+BC19-BL18)))</f>
        <v>73.370909090909095</v>
      </c>
      <c r="BE19" s="13">
        <f>BD19*VLOOKUP('Données projet'!$B$11,Paramètres!$A$1:$I$89,3,0)*VLOOKUP('Données projet'!$B$11,Paramètres!$A$1:$I$89,5,0)</f>
        <v>66.385998545454541</v>
      </c>
      <c r="BF19" s="13">
        <f t="shared" si="37"/>
        <v>18.773223617006281</v>
      </c>
      <c r="BG19" s="20">
        <f t="shared" si="7"/>
        <v>148.31897859961927</v>
      </c>
      <c r="BH19" s="59">
        <f t="shared" si="8"/>
        <v>424.54120082184147</v>
      </c>
      <c r="BI19" s="59">
        <f ca="1">AVERAGE(OFFSET($BH$3,0,0,'Données projet'!$E$11+1,1))-AVERAGE(OFFSET($H$3,0,0,'Données projet'!$E$11+1,1))</f>
        <v>490.06222615476065</v>
      </c>
      <c r="BJ19" s="59">
        <f t="shared" si="38"/>
        <v>310.43914804089906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13.8</v>
      </c>
      <c r="N20" s="13">
        <f>IF('Données projet'!$A$36&gt;35,N19+M20-V19,IF(A20&lt;'Données projet'!$A$36,$K$205^A20,IF(A20='Données projet'!$A$36,'Données projet'!$B$36,N19+M20-V19)))</f>
        <v>60.599999999999994</v>
      </c>
      <c r="O20" s="13">
        <f>N20*VLOOKUP('Données projet'!$B$9,Paramètres!$A$1:$I$89,3,0)*VLOOKUP('Données projet'!$B$9,Paramètres!$A$1:$I$89,5,0)</f>
        <v>48.213360000000002</v>
      </c>
      <c r="P20" s="13">
        <f t="shared" si="33"/>
        <v>14.151379520104694</v>
      </c>
      <c r="Q20" s="20">
        <f t="shared" si="2"/>
        <v>108.61858799751566</v>
      </c>
      <c r="R20" s="59">
        <f t="shared" si="0"/>
        <v>386.0630324419601</v>
      </c>
      <c r="S20" s="59">
        <f ca="1">AVERAGE(OFFSET($R$3,0,0,'Données projet'!$E$9+1,1))-AVERAGE(OFFSET($H$3,0,0,'Données projet'!$E$9+1,1))</f>
        <v>353.37479213497227</v>
      </c>
      <c r="T20" s="59">
        <f t="shared" si="34"/>
        <v>345.4750813433123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3.514082746318933</v>
      </c>
      <c r="AB20" s="21">
        <f>EXP(-LN(2)/2)*AB19+(1-EXP(-LN(2)/2))/(LN(2)/2)*V20*Y20*VLOOKUP('Données projet'!$B$9,Paramètres!$A$1:$I$89,3,0)*0.475*44/12</f>
        <v>3.0026800530401876</v>
      </c>
      <c r="AC20" s="22">
        <f t="shared" si="3"/>
        <v>6.5167627993591211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6.4429411764705877</v>
      </c>
      <c r="AI20" s="13">
        <f>IF('Données projet'!$A$62&gt;35,AI19+AH20-AQ19,IF(A20&lt;'Données projet'!$A$62,$AF$205^A20,IF(A20='Données projet'!$A$62,'Données projet'!$B$62,AI19+AH20-AQ19)))</f>
        <v>109.52999999999997</v>
      </c>
      <c r="AJ20" s="13">
        <f>AI20*VLOOKUP('Données projet'!$B$10,Paramètres!$A$1:$I$89,3,0)*VLOOKUP('Données projet'!$B$10,Paramètres!$A$1:$I$89,5,0)</f>
        <v>51.260039999999989</v>
      </c>
      <c r="AK20" s="13">
        <f t="shared" si="35"/>
        <v>14.938697629678151</v>
      </c>
      <c r="AL20" s="20">
        <f t="shared" si="4"/>
        <v>115.29613470502277</v>
      </c>
      <c r="AM20" s="59">
        <f t="shared" si="5"/>
        <v>392.74057914946724</v>
      </c>
      <c r="AN20" s="59">
        <f ca="1">AVERAGE(OFFSET($AM$3,0,0,'Données projet'!$E$10+1,1))-AVERAGE(OFFSET($H$3,0,0,'Données projet'!$E$10+1,1))</f>
        <v>293.15557501692803</v>
      </c>
      <c r="AO20" s="59">
        <f t="shared" si="36"/>
        <v>237.1930412773068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4.5856818181818184</v>
      </c>
      <c r="BD20" s="12">
        <f>IF('Données projet'!$A$88&gt;35,BD19+BC20-BL19,IF(A20&lt;'Données projet'!$A$88,$BA$205^A20,IF(A20='Données projet'!$A$88,'Données projet'!$B$88,BD19+BC20-BL19)))</f>
        <v>77.95659090909092</v>
      </c>
      <c r="BE20" s="13">
        <f>BD20*VLOOKUP('Données projet'!$B$11,Paramètres!$A$1:$I$89,3,0)*VLOOKUP('Données projet'!$B$11,Paramètres!$A$1:$I$89,5,0)</f>
        <v>70.53512345454547</v>
      </c>
      <c r="BF20" s="13">
        <f t="shared" si="37"/>
        <v>19.806288627769469</v>
      </c>
      <c r="BG20" s="20">
        <f t="shared" si="7"/>
        <v>157.3446260433652</v>
      </c>
      <c r="BH20" s="59">
        <f t="shared" si="8"/>
        <v>434.78907048780968</v>
      </c>
      <c r="BI20" s="59">
        <f ca="1">AVERAGE(OFFSET($BH$3,0,0,'Données projet'!$E$11+1,1))-AVERAGE(OFFSET($H$3,0,0,'Données projet'!$E$11+1,1))</f>
        <v>490.06222615476065</v>
      </c>
      <c r="BJ20" s="59">
        <f t="shared" si="38"/>
        <v>310.43914804089906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13.8</v>
      </c>
      <c r="N21" s="13">
        <f>IF('Données projet'!$A$36&gt;35,N20+M21-V20,IF(A21&lt;'Données projet'!$A$36,$K$205^A21,IF(A21='Données projet'!$A$36,'Données projet'!$B$36,N20+M21-V20)))</f>
        <v>74.399999999999991</v>
      </c>
      <c r="O21" s="13">
        <f>N21*VLOOKUP('Données projet'!$B$9,Paramètres!$A$1:$I$89,3,0)*VLOOKUP('Données projet'!$B$9,Paramètres!$A$1:$I$89,5,0)</f>
        <v>59.192639999999997</v>
      </c>
      <c r="P21" s="13">
        <f t="shared" si="33"/>
        <v>16.963982408330725</v>
      </c>
      <c r="Q21" s="20">
        <f t="shared" si="2"/>
        <v>132.63945069450935</v>
      </c>
      <c r="R21" s="59">
        <f t="shared" si="0"/>
        <v>411.30611736117601</v>
      </c>
      <c r="S21" s="59">
        <f ca="1">AVERAGE(OFFSET($R$3,0,0,'Données projet'!$E$9+1,1))-AVERAGE(OFFSET($H$3,0,0,'Données projet'!$E$9+1,1))</f>
        <v>353.37479213497227</v>
      </c>
      <c r="T21" s="59">
        <f t="shared" si="34"/>
        <v>345.4750813433123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3.4179899688232616</v>
      </c>
      <c r="AB21" s="21">
        <f>EXP(-LN(2)/2)*AB20+(1-EXP(-LN(2)/2))/(LN(2)/2)*V21*Y21*VLOOKUP('Données projet'!$B$9,Paramètres!$A$1:$I$89,3,0)*0.475*44/12</f>
        <v>2.123215427238299</v>
      </c>
      <c r="AC21" s="22">
        <f t="shared" si="3"/>
        <v>5.5412053960615602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6.4429411764705877</v>
      </c>
      <c r="AI21" s="13">
        <f>IF('Données projet'!$A$62&gt;35,AI20+AH21-AQ20,IF(A21&lt;'Données projet'!$A$62,$AF$205^A21,IF(A21='Données projet'!$A$62,'Données projet'!$B$62,AI20+AH21-AQ20)))</f>
        <v>115.97294117647056</v>
      </c>
      <c r="AJ21" s="13">
        <f>AI21*VLOOKUP('Données projet'!$B$10,Paramètres!$A$1:$I$89,3,0)*VLOOKUP('Données projet'!$B$10,Paramètres!$A$1:$I$89,5,0)</f>
        <v>54.275336470588222</v>
      </c>
      <c r="AK21" s="13">
        <f t="shared" si="35"/>
        <v>15.712556613430714</v>
      </c>
      <c r="AL21" s="20">
        <f t="shared" si="4"/>
        <v>121.89558045466629</v>
      </c>
      <c r="AM21" s="59">
        <f t="shared" si="5"/>
        <v>400.56224712133297</v>
      </c>
      <c r="AN21" s="59">
        <f ca="1">AVERAGE(OFFSET($AM$3,0,0,'Données projet'!$E$10+1,1))-AVERAGE(OFFSET($H$3,0,0,'Données projet'!$E$10+1,1))</f>
        <v>293.15557501692803</v>
      </c>
      <c r="AO21" s="59">
        <f t="shared" si="36"/>
        <v>237.1930412773068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4.5856818181818184</v>
      </c>
      <c r="BD21" s="12">
        <f>IF('Données projet'!$A$88&gt;35,BD20+BC21-BL20,IF(A21&lt;'Données projet'!$A$88,$BA$205^A21,IF(A21='Données projet'!$A$88,'Données projet'!$B$88,BD20+BC21-BL20)))</f>
        <v>82.542272727272746</v>
      </c>
      <c r="BE21" s="13">
        <f>BD21*VLOOKUP('Données projet'!$B$11,Paramètres!$A$1:$I$89,3,0)*VLOOKUP('Données projet'!$B$11,Paramètres!$A$1:$I$89,5,0)</f>
        <v>74.684248363636371</v>
      </c>
      <c r="BF21" s="13">
        <f t="shared" si="37"/>
        <v>20.832300049203276</v>
      </c>
      <c r="BG21" s="20">
        <f t="shared" si="7"/>
        <v>166.35798848569573</v>
      </c>
      <c r="BH21" s="59">
        <f t="shared" si="8"/>
        <v>445.02465515236241</v>
      </c>
      <c r="BI21" s="59">
        <f ca="1">AVERAGE(OFFSET($BH$3,0,0,'Données projet'!$E$11+1,1))-AVERAGE(OFFSET($H$3,0,0,'Données projet'!$E$11+1,1))</f>
        <v>490.06222615476065</v>
      </c>
      <c r="BJ21" s="59">
        <f t="shared" si="38"/>
        <v>310.43914804089906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13.8</v>
      </c>
      <c r="N22" s="13">
        <f>IF('Données projet'!$A$36&gt;35,N21+M22-V21,IF(A22&lt;'Données projet'!$A$36,$K$205^A22,IF(A22='Données projet'!$A$36,'Données projet'!$B$36,N21+M22-V21)))</f>
        <v>88.199999999999989</v>
      </c>
      <c r="O22" s="13">
        <f>N22*VLOOKUP('Données projet'!$B$9,Paramètres!$A$1:$I$89,3,0)*VLOOKUP('Données projet'!$B$9,Paramètres!$A$1:$I$89,5,0)</f>
        <v>70.171919999999986</v>
      </c>
      <c r="P22" s="13">
        <f t="shared" si="33"/>
        <v>19.716145269554726</v>
      </c>
      <c r="Q22" s="20">
        <f t="shared" si="2"/>
        <v>156.55504701114111</v>
      </c>
      <c r="R22" s="59">
        <f t="shared" si="0"/>
        <v>436.44393590002994</v>
      </c>
      <c r="S22" s="59">
        <f ca="1">AVERAGE(OFFSET($R$3,0,0,'Données projet'!$E$9+1,1))-AVERAGE(OFFSET($H$3,0,0,'Données projet'!$E$9+1,1))</f>
        <v>353.37479213497227</v>
      </c>
      <c r="T22" s="59">
        <f t="shared" si="34"/>
        <v>345.4750813433123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3.3245248533815088</v>
      </c>
      <c r="AB22" s="21">
        <f>EXP(-LN(2)/2)*AB21+(1-EXP(-LN(2)/2))/(LN(2)/2)*V22*Y22*VLOOKUP('Données projet'!$B$9,Paramètres!$A$1:$I$89,3,0)*0.475*44/12</f>
        <v>1.501340026520094</v>
      </c>
      <c r="AC22" s="22">
        <f t="shared" si="3"/>
        <v>4.8258648799016033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6.4429411764705877</v>
      </c>
      <c r="AI22" s="13">
        <f>IF('Données projet'!$A$62&gt;35,AI21+AH22-AQ21,IF(A22&lt;'Données projet'!$A$62,$AF$205^A22,IF(A22='Données projet'!$A$62,'Données projet'!$B$62,AI21+AH22-AQ21)))</f>
        <v>122.41588235294114</v>
      </c>
      <c r="AJ22" s="13">
        <f>AI22*VLOOKUP('Données projet'!$B$10,Paramètres!$A$1:$I$89,3,0)*VLOOKUP('Données projet'!$B$10,Paramètres!$A$1:$I$89,5,0)</f>
        <v>57.290632941176455</v>
      </c>
      <c r="AK22" s="13">
        <f t="shared" si="35"/>
        <v>16.481424744815605</v>
      </c>
      <c r="AL22" s="20">
        <f t="shared" si="4"/>
        <v>128.48633380310281</v>
      </c>
      <c r="AM22" s="59">
        <f t="shared" si="5"/>
        <v>408.37522269199167</v>
      </c>
      <c r="AN22" s="59">
        <f ca="1">AVERAGE(OFFSET($AM$3,0,0,'Données projet'!$E$10+1,1))-AVERAGE(OFFSET($H$3,0,0,'Données projet'!$E$10+1,1))</f>
        <v>293.15557501692803</v>
      </c>
      <c r="AO22" s="59">
        <f t="shared" si="36"/>
        <v>237.1930412773068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4.5856818181818184</v>
      </c>
      <c r="BD22" s="12">
        <f>IF('Données projet'!$A$88&gt;35,BD21+BC22-BL21,IF(A22&lt;'Données projet'!$A$88,$BA$205^A22,IF(A22='Données projet'!$A$88,'Données projet'!$B$88,BD21+BC22-BL21)))</f>
        <v>87.127954545454571</v>
      </c>
      <c r="BE22" s="13">
        <f>BD22*VLOOKUP('Données projet'!$B$11,Paramètres!$A$1:$I$89,3,0)*VLOOKUP('Données projet'!$B$11,Paramètres!$A$1:$I$89,5,0)</f>
        <v>78.833373272727286</v>
      </c>
      <c r="BF22" s="13">
        <f t="shared" si="37"/>
        <v>21.851694410372286</v>
      </c>
      <c r="BG22" s="20">
        <f t="shared" si="7"/>
        <v>175.35982621473178</v>
      </c>
      <c r="BH22" s="59">
        <f t="shared" si="8"/>
        <v>455.24871510362061</v>
      </c>
      <c r="BI22" s="59">
        <f ca="1">AVERAGE(OFFSET($BH$3,0,0,'Données projet'!$E$11+1,1))-AVERAGE(OFFSET($H$3,0,0,'Données projet'!$E$11+1,1))</f>
        <v>490.06222615476065</v>
      </c>
      <c r="BJ22" s="59">
        <f t="shared" si="38"/>
        <v>310.43914804089906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102</v>
      </c>
      <c r="L23" s="12">
        <f>VLOOKUP(A23,'Données projet'!$A$35:$I$55,9,0)</f>
        <v>13.8</v>
      </c>
      <c r="M23" s="12">
        <f t="array" ref="M23">INDEX(L:L,MIN(IF(ISNUMBER(L23:L219),ROW(L23:L219),"")))</f>
        <v>13.8</v>
      </c>
      <c r="N23" s="13">
        <f>IF('Données projet'!$A$36&gt;35,N22+M23-V22,IF(A23&lt;'Données projet'!$A$36,$K$205^A23,IF(A23='Données projet'!$A$36,'Données projet'!$B$36,N22+M23-V22)))</f>
        <v>101.99999999999999</v>
      </c>
      <c r="O23" s="13">
        <f>N23*VLOOKUP('Données projet'!$B$9,Paramètres!$A$1:$I$89,3,0)*VLOOKUP('Données projet'!$B$9,Paramètres!$A$1:$I$89,5,0)</f>
        <v>81.151200000000003</v>
      </c>
      <c r="P23" s="13">
        <f t="shared" si="33"/>
        <v>22.418424032002342</v>
      </c>
      <c r="Q23" s="20">
        <f t="shared" si="2"/>
        <v>180.38376185573739</v>
      </c>
      <c r="R23" s="59">
        <f t="shared" si="0"/>
        <v>461.49487296684856</v>
      </c>
      <c r="S23" s="59">
        <f ca="1">AVERAGE(OFFSET($R$3,0,0,'Données projet'!$E$9+1,1))-AVERAGE(OFFSET($H$3,0,0,'Données projet'!$E$9+1,1))</f>
        <v>353.37479213497227</v>
      </c>
      <c r="T23" s="59">
        <f t="shared" si="34"/>
        <v>345.4750813433123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35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0.13250000000000001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7.2962939858416513</v>
      </c>
      <c r="AB23" s="21">
        <f>EXP(-LN(2)/2)*AB22+(1-EXP(-LN(2)/2))/(LN(2)/2)*V23*Y23*VLOOKUP('Données projet'!$B$9,Paramètres!$A$1:$I$89,3,0)*0.475*44/12</f>
        <v>7.6299703296445607</v>
      </c>
      <c r="AC23" s="22">
        <f t="shared" si="3"/>
        <v>14.926264315486211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6.4429411764705877</v>
      </c>
      <c r="AI23" s="13">
        <f>IF('Données projet'!$A$62&gt;35,AI22+AH23-AQ22,IF(A23&lt;'Données projet'!$A$62,$AF$205^A23,IF(A23='Données projet'!$A$62,'Données projet'!$B$62,AI22+AH23-AQ22)))</f>
        <v>128.85882352941172</v>
      </c>
      <c r="AJ23" s="13">
        <f>AI23*VLOOKUP('Données projet'!$B$10,Paramètres!$A$1:$I$89,3,0)*VLOOKUP('Données projet'!$B$10,Paramètres!$A$1:$I$89,5,0)</f>
        <v>60.305929411764687</v>
      </c>
      <c r="AK23" s="13">
        <f t="shared" si="35"/>
        <v>17.245594656457669</v>
      </c>
      <c r="AL23" s="20">
        <f t="shared" si="4"/>
        <v>135.06890441882061</v>
      </c>
      <c r="AM23" s="59">
        <f t="shared" si="5"/>
        <v>416.18001552993178</v>
      </c>
      <c r="AN23" s="59">
        <f ca="1">AVERAGE(OFFSET($AM$3,0,0,'Données projet'!$E$10+1,1))-AVERAGE(OFFSET($H$3,0,0,'Données projet'!$E$10+1,1))</f>
        <v>293.15557501692803</v>
      </c>
      <c r="AO23" s="59">
        <f t="shared" si="36"/>
        <v>237.1930412773068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4.5856818181818184</v>
      </c>
      <c r="BD23" s="12">
        <f>IF('Données projet'!$A$88&gt;35,BD22+BC23-BL22,IF(A23&lt;'Données projet'!$A$88,$BA$205^A23,IF(A23='Données projet'!$A$88,'Données projet'!$B$88,BD22+BC23-BL22)))</f>
        <v>91.713636363636397</v>
      </c>
      <c r="BE23" s="13">
        <f>BD23*VLOOKUP('Données projet'!$B$11,Paramètres!$A$1:$I$89,3,0)*VLOOKUP('Données projet'!$B$11,Paramètres!$A$1:$I$89,5,0)</f>
        <v>82.982498181818215</v>
      </c>
      <c r="BF23" s="13">
        <f t="shared" si="37"/>
        <v>22.86485969464519</v>
      </c>
      <c r="BG23" s="20">
        <f t="shared" si="7"/>
        <v>184.35081496817375</v>
      </c>
      <c r="BH23" s="59">
        <f t="shared" si="8"/>
        <v>465.46192607928492</v>
      </c>
      <c r="BI23" s="59">
        <f ca="1">AVERAGE(OFFSET($BH$3,0,0,'Données projet'!$E$11+1,1))-AVERAGE(OFFSET($H$3,0,0,'Données projet'!$E$11+1,1))</f>
        <v>490.06222615476065</v>
      </c>
      <c r="BJ23" s="59">
        <f t="shared" si="38"/>
        <v>310.43914804089906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14.8</v>
      </c>
      <c r="N24" s="13">
        <f>IF('Données projet'!$A$36&gt;35,N23+M24-V23,IF(A24&lt;'Données projet'!$A$36,$K$205^A24,IF(A24='Données projet'!$A$36,'Données projet'!$B$36,N23+M24-V23)))</f>
        <v>81.799999999999983</v>
      </c>
      <c r="O24" s="13">
        <f>N24*VLOOKUP('Données projet'!$B$9,Paramètres!$A$1:$I$89,3,0)*VLOOKUP('Données projet'!$B$9,Paramètres!$A$1:$I$89,5,0)</f>
        <v>65.080079999999981</v>
      </c>
      <c r="P24" s="13">
        <f t="shared" si="33"/>
        <v>18.44653442602603</v>
      </c>
      <c r="Q24" s="20">
        <f t="shared" si="2"/>
        <v>145.47552012532864</v>
      </c>
      <c r="R24" s="59">
        <f t="shared" si="0"/>
        <v>427.80885345866193</v>
      </c>
      <c r="S24" s="59">
        <f ca="1">AVERAGE(OFFSET($R$3,0,0,'Données projet'!$E$9+1,1))-AVERAGE(OFFSET($H$3,0,0,'Données projet'!$E$9+1,1))</f>
        <v>353.37479213497227</v>
      </c>
      <c r="T24" s="59">
        <f t="shared" si="34"/>
        <v>345.4750813433123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7.0967764431033862</v>
      </c>
      <c r="AB24" s="21">
        <f>EXP(-LN(2)/2)*AB23+(1-EXP(-LN(2)/2))/(LN(2)/2)*V24*Y24*VLOOKUP('Données projet'!$B$9,Paramètres!$A$1:$I$89,3,0)*0.475*44/12</f>
        <v>5.3952037603438265</v>
      </c>
      <c r="AC24" s="22">
        <f t="shared" si="3"/>
        <v>12.491980203447213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6.4429411764705877</v>
      </c>
      <c r="AI24" s="13">
        <f>IF('Données projet'!$A$62&gt;35,AI23+AH24-AQ23,IF(A24&lt;'Données projet'!$A$62,$AF$205^A24,IF(A24='Données projet'!$A$62,'Données projet'!$B$62,AI23+AH24-AQ23)))</f>
        <v>135.30176470588231</v>
      </c>
      <c r="AJ24" s="13">
        <f>AI24*VLOOKUP('Données projet'!$B$10,Paramètres!$A$1:$I$89,3,0)*VLOOKUP('Données projet'!$B$10,Paramètres!$A$1:$I$89,5,0)</f>
        <v>63.32122588235292</v>
      </c>
      <c r="AK24" s="13">
        <f t="shared" si="35"/>
        <v>18.005328064652414</v>
      </c>
      <c r="AL24" s="20">
        <f t="shared" si="4"/>
        <v>141.64374812436762</v>
      </c>
      <c r="AM24" s="59">
        <f t="shared" si="5"/>
        <v>423.97708145770093</v>
      </c>
      <c r="AN24" s="59">
        <f ca="1">AVERAGE(OFFSET($AM$3,0,0,'Données projet'!$E$10+1,1))-AVERAGE(OFFSET($H$3,0,0,'Données projet'!$E$10+1,1))</f>
        <v>293.15557501692803</v>
      </c>
      <c r="AO24" s="59">
        <f t="shared" si="36"/>
        <v>237.1930412773068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4.5856818181818184</v>
      </c>
      <c r="BD24" s="12">
        <f>IF('Données projet'!$A$88&gt;35,BD23+BC24-BL23,IF(A24&lt;'Données projet'!$A$88,$BA$205^A24,IF(A24='Données projet'!$A$88,'Données projet'!$B$88,BD23+BC24-BL23)))</f>
        <v>96.299318181818222</v>
      </c>
      <c r="BE24" s="13">
        <f>BD24*VLOOKUP('Données projet'!$B$11,Paramètres!$A$1:$I$89,3,0)*VLOOKUP('Données projet'!$B$11,Paramètres!$A$1:$I$89,5,0)</f>
        <v>87.13162309090913</v>
      </c>
      <c r="BF24" s="13">
        <f t="shared" si="37"/>
        <v>23.872142895355385</v>
      </c>
      <c r="BG24" s="20">
        <f t="shared" si="7"/>
        <v>193.33155909274402</v>
      </c>
      <c r="BH24" s="59">
        <f t="shared" si="8"/>
        <v>475.66489242607736</v>
      </c>
      <c r="BI24" s="59">
        <f ca="1">AVERAGE(OFFSET($BH$3,0,0,'Données projet'!$E$11+1,1))-AVERAGE(OFFSET($H$3,0,0,'Données projet'!$E$11+1,1))</f>
        <v>490.06222615476065</v>
      </c>
      <c r="BJ24" s="59">
        <f t="shared" si="38"/>
        <v>310.43914804089906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14.8</v>
      </c>
      <c r="N25" s="13">
        <f>IF('Données projet'!$A$36&gt;35,N24+M25-V24,IF(A25&lt;'Données projet'!$A$36,$K$205^A25,IF(A25='Données projet'!$A$36,'Données projet'!$B$36,N24+M25-V24)))</f>
        <v>96.59999999999998</v>
      </c>
      <c r="O25" s="13">
        <f>N25*VLOOKUP('Données projet'!$B$9,Paramètres!$A$1:$I$89,3,0)*VLOOKUP('Données projet'!$B$9,Paramètres!$A$1:$I$89,5,0)</f>
        <v>76.854959999999991</v>
      </c>
      <c r="P25" s="13">
        <f t="shared" si="33"/>
        <v>21.366419773799993</v>
      </c>
      <c r="Q25" s="20">
        <f t="shared" si="2"/>
        <v>171.06890310603498</v>
      </c>
      <c r="R25" s="59">
        <f t="shared" si="0"/>
        <v>454.62445866159055</v>
      </c>
      <c r="S25" s="59">
        <f ca="1">AVERAGE(OFFSET($R$3,0,0,'Données projet'!$E$9+1,1))-AVERAGE(OFFSET($H$3,0,0,'Données projet'!$E$9+1,1))</f>
        <v>353.37479213497227</v>
      </c>
      <c r="T25" s="59">
        <f t="shared" si="34"/>
        <v>345.4750813433123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6.9027147180634705</v>
      </c>
      <c r="AB25" s="21">
        <f>EXP(-LN(2)/2)*AB24+(1-EXP(-LN(2)/2))/(LN(2)/2)*V25*Y25*VLOOKUP('Données projet'!$B$9,Paramètres!$A$1:$I$89,3,0)*0.475*44/12</f>
        <v>3.8149851648222808</v>
      </c>
      <c r="AC25" s="22">
        <f t="shared" si="3"/>
        <v>10.717699882885752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6.4429411764705877</v>
      </c>
      <c r="AI25" s="13">
        <f>IF('Données projet'!$A$62&gt;35,AI24+AH25-AQ24,IF(A25&lt;'Données projet'!$A$62,$AF$205^A25,IF(A25='Données projet'!$A$62,'Données projet'!$B$62,AI24+AH25-AQ24)))</f>
        <v>141.74470588235289</v>
      </c>
      <c r="AJ25" s="13">
        <f>AI25*VLOOKUP('Données projet'!$B$10,Paramètres!$A$1:$I$89,3,0)*VLOOKUP('Données projet'!$B$10,Paramètres!$A$1:$I$89,5,0)</f>
        <v>66.336522352941145</v>
      </c>
      <c r="AK25" s="13">
        <f t="shared" si="35"/>
        <v>18.760860351910516</v>
      </c>
      <c r="AL25" s="20">
        <f t="shared" si="4"/>
        <v>148.21127487761666</v>
      </c>
      <c r="AM25" s="59">
        <f t="shared" si="5"/>
        <v>431.76683043317223</v>
      </c>
      <c r="AN25" s="59">
        <f ca="1">AVERAGE(OFFSET($AM$3,0,0,'Données projet'!$E$10+1,1))-AVERAGE(OFFSET($H$3,0,0,'Données projet'!$E$10+1,1))</f>
        <v>293.15557501692803</v>
      </c>
      <c r="AO25" s="59">
        <f t="shared" si="36"/>
        <v>237.1930412773068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4.5856818181818184</v>
      </c>
      <c r="BD25" s="12">
        <f>IF('Données projet'!$A$88&gt;35,BD24+BC25-BL24,IF(A25&lt;'Données projet'!$A$88,$BA$205^A25,IF(A25='Données projet'!$A$88,'Données projet'!$B$88,BD24+BC25-BL24)))</f>
        <v>100.88500000000005</v>
      </c>
      <c r="BE25" s="13">
        <f>BD25*VLOOKUP('Données projet'!$B$11,Paramètres!$A$1:$I$89,3,0)*VLOOKUP('Données projet'!$B$11,Paramètres!$A$1:$I$89,5,0)</f>
        <v>91.280748000000031</v>
      </c>
      <c r="BF25" s="13">
        <f t="shared" si="37"/>
        <v>24.873856091511385</v>
      </c>
      <c r="BG25" s="20">
        <f t="shared" si="7"/>
        <v>202.30260212604904</v>
      </c>
      <c r="BH25" s="59">
        <f t="shared" si="8"/>
        <v>485.85815768160455</v>
      </c>
      <c r="BI25" s="59">
        <f ca="1">AVERAGE(OFFSET($BH$3,0,0,'Données projet'!$E$11+1,1))-AVERAGE(OFFSET($H$3,0,0,'Données projet'!$E$11+1,1))</f>
        <v>490.06222615476065</v>
      </c>
      <c r="BJ25" s="59">
        <f t="shared" si="38"/>
        <v>310.43914804089906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14.8</v>
      </c>
      <c r="N26" s="13">
        <f>IF('Données projet'!$A$36&gt;35,N25+M26-V25,IF(A26&lt;'Données projet'!$A$36,$K$205^A26,IF(A26='Données projet'!$A$36,'Données projet'!$B$36,N25+M26-V25)))</f>
        <v>111.39999999999998</v>
      </c>
      <c r="O26" s="13">
        <f>N26*VLOOKUP('Données projet'!$B$9,Paramètres!$A$1:$I$89,3,0)*VLOOKUP('Données projet'!$B$9,Paramètres!$A$1:$I$89,5,0)</f>
        <v>88.629839999999987</v>
      </c>
      <c r="P26" s="13">
        <f t="shared" si="33"/>
        <v>24.23448093253452</v>
      </c>
      <c r="Q26" s="20">
        <f t="shared" si="2"/>
        <v>196.57202562416424</v>
      </c>
      <c r="R26" s="59">
        <f t="shared" si="0"/>
        <v>481.34980340194204</v>
      </c>
      <c r="S26" s="59">
        <f ca="1">AVERAGE(OFFSET($R$3,0,0,'Données projet'!$E$9+1,1))-AVERAGE(OFFSET($H$3,0,0,'Données projet'!$E$9+1,1))</f>
        <v>353.37479213497227</v>
      </c>
      <c r="T26" s="59">
        <f t="shared" si="34"/>
        <v>345.4750813433123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6.7139596211000345</v>
      </c>
      <c r="AB26" s="21">
        <f>EXP(-LN(2)/2)*AB25+(1-EXP(-LN(2)/2))/(LN(2)/2)*V26*Y26*VLOOKUP('Données projet'!$B$9,Paramètres!$A$1:$I$89,3,0)*0.475*44/12</f>
        <v>2.6976018801719137</v>
      </c>
      <c r="AC26" s="22">
        <f t="shared" si="3"/>
        <v>9.4115615012719473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6.4429411764705877</v>
      </c>
      <c r="AI26" s="13">
        <f>IF('Données projet'!$A$62&gt;35,AI25+AH26-AQ25,IF(A26&lt;'Données projet'!$A$62,$AF$205^A26,IF(A26='Données projet'!$A$62,'Données projet'!$B$62,AI25+AH26-AQ25)))</f>
        <v>148.18764705882347</v>
      </c>
      <c r="AJ26" s="13">
        <f>AI26*VLOOKUP('Données projet'!$B$10,Paramètres!$A$1:$I$89,3,0)*VLOOKUP('Données projet'!$B$10,Paramètres!$A$1:$I$89,5,0)</f>
        <v>69.351818823529385</v>
      </c>
      <c r="AK26" s="13">
        <f t="shared" si="35"/>
        <v>19.512404292760284</v>
      </c>
      <c r="AL26" s="20">
        <f t="shared" si="4"/>
        <v>154.77185526087118</v>
      </c>
      <c r="AM26" s="59">
        <f t="shared" si="5"/>
        <v>439.54963303864895</v>
      </c>
      <c r="AN26" s="59">
        <f ca="1">AVERAGE(OFFSET($AM$3,0,0,'Données projet'!$E$10+1,1))-AVERAGE(OFFSET($H$3,0,0,'Données projet'!$E$10+1,1))</f>
        <v>293.15557501692803</v>
      </c>
      <c r="AO26" s="59">
        <f t="shared" si="36"/>
        <v>237.1930412773068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4.5856818181818184</v>
      </c>
      <c r="BD26" s="12">
        <f>IF('Données projet'!$A$88&gt;35,BD25+BC26-BL25,IF(A26&lt;'Données projet'!$A$88,$BA$205^A26,IF(A26='Données projet'!$A$88,'Données projet'!$B$88,BD25+BC26-BL25)))</f>
        <v>105.47068181818187</v>
      </c>
      <c r="BE26" s="13">
        <f>BD26*VLOOKUP('Données projet'!$B$11,Paramètres!$A$1:$I$89,3,0)*VLOOKUP('Données projet'!$B$11,Paramètres!$A$1:$I$89,5,0)</f>
        <v>95.429872909090946</v>
      </c>
      <c r="BF26" s="13">
        <f t="shared" si="37"/>
        <v>25.870281387606134</v>
      </c>
      <c r="BG26" s="20">
        <f t="shared" si="7"/>
        <v>211.26443540008074</v>
      </c>
      <c r="BH26" s="59">
        <f t="shared" si="8"/>
        <v>496.04221317785851</v>
      </c>
      <c r="BI26" s="59">
        <f ca="1">AVERAGE(OFFSET($BH$3,0,0,'Données projet'!$E$11+1,1))-AVERAGE(OFFSET($H$3,0,0,'Données projet'!$E$11+1,1))</f>
        <v>490.06222615476065</v>
      </c>
      <c r="BJ26" s="59">
        <f t="shared" si="38"/>
        <v>310.43914804089906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14.8</v>
      </c>
      <c r="N27" s="13">
        <f>IF('Données projet'!$A$36&gt;35,N26+M27-V26,IF(A27&lt;'Données projet'!$A$36,$K$205^A27,IF(A27='Données projet'!$A$36,'Données projet'!$B$36,N26+M27-V26)))</f>
        <v>126.19999999999997</v>
      </c>
      <c r="O27" s="13">
        <f>N27*VLOOKUP('Données projet'!$B$9,Paramètres!$A$1:$I$89,3,0)*VLOOKUP('Données projet'!$B$9,Paramètres!$A$1:$I$89,5,0)</f>
        <v>100.40472</v>
      </c>
      <c r="P27" s="13">
        <f t="shared" si="33"/>
        <v>27.058393830330502</v>
      </c>
      <c r="Q27" s="20">
        <f t="shared" si="2"/>
        <v>221.99825658782561</v>
      </c>
      <c r="R27" s="59">
        <f t="shared" si="0"/>
        <v>507.99825658782561</v>
      </c>
      <c r="S27" s="59">
        <f ca="1">AVERAGE(OFFSET($R$3,0,0,'Données projet'!$E$9+1,1))-AVERAGE(OFFSET($H$3,0,0,'Données projet'!$E$9+1,1))</f>
        <v>353.37479213497227</v>
      </c>
      <c r="T27" s="59">
        <f t="shared" si="34"/>
        <v>345.4750813433123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6.5303660421892626</v>
      </c>
      <c r="AB27" s="21">
        <f>EXP(-LN(2)/2)*AB26+(1-EXP(-LN(2)/2))/(LN(2)/2)*V27*Y27*VLOOKUP('Données projet'!$B$9,Paramètres!$A$1:$I$89,3,0)*0.475*44/12</f>
        <v>1.9074925824111406</v>
      </c>
      <c r="AC27" s="22">
        <f t="shared" si="3"/>
        <v>8.4378586246004037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6.4429411764705877</v>
      </c>
      <c r="AI27" s="13">
        <f>IF('Données projet'!$A$62&gt;35,AI26+AH27-AQ26,IF(A27&lt;'Données projet'!$A$62,$AF$205^A27,IF(A27='Données projet'!$A$62,'Données projet'!$B$62,AI26+AH27-AQ26)))</f>
        <v>154.63058823529406</v>
      </c>
      <c r="AJ27" s="13">
        <f>AI27*VLOOKUP('Données projet'!$B$10,Paramètres!$A$1:$I$89,3,0)*VLOOKUP('Données projet'!$B$10,Paramètres!$A$1:$I$89,5,0)</f>
        <v>72.36711529411761</v>
      </c>
      <c r="AK27" s="13">
        <f t="shared" si="35"/>
        <v>20.260153113300689</v>
      </c>
      <c r="AL27" s="20">
        <f t="shared" si="4"/>
        <v>161.32582580958686</v>
      </c>
      <c r="AM27" s="59">
        <f t="shared" si="5"/>
        <v>447.32582580958683</v>
      </c>
      <c r="AN27" s="59">
        <f ca="1">AVERAGE(OFFSET($AM$3,0,0,'Données projet'!$E$10+1,1))-AVERAGE(OFFSET($H$3,0,0,'Données projet'!$E$10+1,1))</f>
        <v>293.15557501692803</v>
      </c>
      <c r="AO27" s="59">
        <f t="shared" si="36"/>
        <v>237.1930412773068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4.5856818181818184</v>
      </c>
      <c r="BD27" s="12">
        <f>IF('Données projet'!$A$88&gt;35,BD26+BC27-BL26,IF(A27&lt;'Données projet'!$A$88,$BA$205^A27,IF(A27='Données projet'!$A$88,'Données projet'!$B$88,BD26+BC27-BL26)))</f>
        <v>110.0563636363637</v>
      </c>
      <c r="BE27" s="13">
        <f>BD27*VLOOKUP('Données projet'!$B$11,Paramètres!$A$1:$I$89,3,0)*VLOOKUP('Données projet'!$B$11,Paramètres!$A$1:$I$89,5,0)</f>
        <v>99.578997818181875</v>
      </c>
      <c r="BF27" s="13">
        <f t="shared" si="37"/>
        <v>26.861674970087829</v>
      </c>
      <c r="BG27" s="20">
        <f t="shared" si="7"/>
        <v>220.21750510623642</v>
      </c>
      <c r="BH27" s="59">
        <f t="shared" si="8"/>
        <v>506.21750510623644</v>
      </c>
      <c r="BI27" s="59">
        <f ca="1">AVERAGE(OFFSET($BH$3,0,0,'Données projet'!$E$11+1,1))-AVERAGE(OFFSET($H$3,0,0,'Données projet'!$E$11+1,1))</f>
        <v>490.06222615476065</v>
      </c>
      <c r="BJ27" s="59">
        <f t="shared" si="38"/>
        <v>310.43914804089906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141</v>
      </c>
      <c r="L28" s="12">
        <f>VLOOKUP(A28,'Données projet'!$A$35:$I$55,9,0)</f>
        <v>14.8</v>
      </c>
      <c r="M28" s="12">
        <f t="array" ref="M28">INDEX(L:L,MIN(IF(ISNUMBER(L28:L224),ROW(L28:L224),"")))</f>
        <v>14.8</v>
      </c>
      <c r="N28" s="13">
        <f>IF('Données projet'!$A$36&gt;35,N27+M28-V27,IF(A28&lt;'Données projet'!$A$36,$K$205^A28,IF(A28='Données projet'!$A$36,'Données projet'!$B$36,N27+M28-V27)))</f>
        <v>140.99999999999997</v>
      </c>
      <c r="O28" s="13">
        <f>N28*VLOOKUP('Données projet'!$B$9,Paramètres!$A$1:$I$89,3,0)*VLOOKUP('Données projet'!$B$9,Paramètres!$A$1:$I$89,5,0)</f>
        <v>112.17959999999998</v>
      </c>
      <c r="P28" s="13">
        <f t="shared" si="33"/>
        <v>29.8439274472838</v>
      </c>
      <c r="Q28" s="20">
        <f t="shared" si="2"/>
        <v>247.35764363735257</v>
      </c>
      <c r="R28" s="59">
        <f t="shared" si="0"/>
        <v>534.57986585957474</v>
      </c>
      <c r="S28" s="59">
        <f ca="1">AVERAGE(OFFSET($R$3,0,0,'Données projet'!$E$9+1,1))-AVERAGE(OFFSET($H$3,0,0,'Données projet'!$E$9+1,1))</f>
        <v>353.37479213497227</v>
      </c>
      <c r="T28" s="59">
        <f t="shared" si="34"/>
        <v>345.4750813433123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35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0.13250000000000001</v>
      </c>
      <c r="Y28" s="16">
        <f>IF(ISNA(VLOOKUP(A28,'Données projet'!$A$35:$I$55,7,0)),0%,VLOOKUP(A28,'Données projet'!$A$35:$I$55,7,0))</f>
        <v>0.25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10.414471278753595</v>
      </c>
      <c r="AB28" s="21">
        <f>EXP(-LN(2)/2)*AB27+(1-EXP(-LN(2)/2))/(LN(2)/2)*V28*Y28*VLOOKUP('Données projet'!$B$9,Paramètres!$A$1:$I$89,3,0)*0.475*44/12</f>
        <v>7.917163556111368</v>
      </c>
      <c r="AC28" s="22">
        <f t="shared" si="3"/>
        <v>18.331634834864964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6.4429411764705877</v>
      </c>
      <c r="AI28" s="13">
        <f>IF('Données projet'!$A$62&gt;35,AI27+AH28-AQ27,IF(A28&lt;'Données projet'!$A$62,$AF$205^A28,IF(A28='Données projet'!$A$62,'Données projet'!$B$62,AI27+AH28-AQ27)))</f>
        <v>161.07352941176464</v>
      </c>
      <c r="AJ28" s="13">
        <f>AI28*VLOOKUP('Données projet'!$B$10,Paramètres!$A$1:$I$89,3,0)*VLOOKUP('Données projet'!$B$10,Paramètres!$A$1:$I$89,5,0)</f>
        <v>75.38241176470585</v>
      </c>
      <c r="AK28" s="13">
        <f t="shared" si="35"/>
        <v>21.004283026460243</v>
      </c>
      <c r="AL28" s="20">
        <f t="shared" si="4"/>
        <v>167.87349342794758</v>
      </c>
      <c r="AM28" s="59">
        <f t="shared" si="5"/>
        <v>455.09571565016984</v>
      </c>
      <c r="AN28" s="59">
        <f ca="1">AVERAGE(OFFSET($AM$3,0,0,'Données projet'!$E$10+1,1))-AVERAGE(OFFSET($H$3,0,0,'Données projet'!$E$10+1,1))</f>
        <v>293.15557501692803</v>
      </c>
      <c r="AO28" s="59">
        <f t="shared" si="36"/>
        <v>237.1930412773068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4.5856818181818184</v>
      </c>
      <c r="BD28" s="12">
        <f>IF('Données projet'!$A$88&gt;35,BD27+BC28-BL27,IF(A28&lt;'Données projet'!$A$88,$BA$205^A28,IF(A28='Données projet'!$A$88,'Données projet'!$B$88,BD27+BC28-BL27)))</f>
        <v>114.64204545454552</v>
      </c>
      <c r="BE28" s="13">
        <f>BD28*VLOOKUP('Données projet'!$B$11,Paramètres!$A$1:$I$89,3,0)*VLOOKUP('Données projet'!$B$11,Paramètres!$A$1:$I$89,5,0)</f>
        <v>103.72812272727279</v>
      </c>
      <c r="BF28" s="13">
        <f t="shared" si="37"/>
        <v>27.848270468701784</v>
      </c>
      <c r="BG28" s="20">
        <f t="shared" si="7"/>
        <v>229.16221814965567</v>
      </c>
      <c r="BH28" s="59">
        <f t="shared" si="8"/>
        <v>516.38444037187787</v>
      </c>
      <c r="BI28" s="59">
        <f ca="1">AVERAGE(OFFSET($BH$3,0,0,'Données projet'!$E$11+1,1))-AVERAGE(OFFSET($H$3,0,0,'Données projet'!$E$11+1,1))</f>
        <v>490.06222615476065</v>
      </c>
      <c r="BJ28" s="59">
        <f t="shared" si="38"/>
        <v>310.43914804089906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14.2</v>
      </c>
      <c r="N29" s="13">
        <f>IF('Données projet'!$A$36&gt;35,N28+M29-V28,IF(A29&lt;'Données projet'!$A$36,$K$205^A29,IF(A29='Données projet'!$A$36,'Données projet'!$B$36,N28+M29-V28)))</f>
        <v>120.19999999999996</v>
      </c>
      <c r="O29" s="13">
        <f>N29*VLOOKUP('Données projet'!$B$9,Paramètres!$A$1:$I$89,3,0)*VLOOKUP('Données projet'!$B$9,Paramètres!$A$1:$I$89,5,0)</f>
        <v>95.631119999999967</v>
      </c>
      <c r="P29" s="13">
        <f t="shared" si="33"/>
        <v>25.918481589892234</v>
      </c>
      <c r="Q29" s="20">
        <f t="shared" si="2"/>
        <v>211.69888943572892</v>
      </c>
      <c r="R29" s="59">
        <f t="shared" si="0"/>
        <v>500.14333388017337</v>
      </c>
      <c r="S29" s="59">
        <f ca="1">AVERAGE(OFFSET($R$3,0,0,'Données projet'!$E$9+1,1))-AVERAGE(OFFSET($H$3,0,0,'Données projet'!$E$9+1,1))</f>
        <v>353.37479213497227</v>
      </c>
      <c r="T29" s="59">
        <f t="shared" si="34"/>
        <v>345.4750813433123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10.129687013962837</v>
      </c>
      <c r="AB29" s="21">
        <f>EXP(-LN(2)/2)*AB28+(1-EXP(-LN(2)/2))/(LN(2)/2)*V29*Y29*VLOOKUP('Données projet'!$B$9,Paramètres!$A$1:$I$89,3,0)*0.475*44/12</f>
        <v>5.5982800382893503</v>
      </c>
      <c r="AC29" s="22">
        <f t="shared" si="3"/>
        <v>15.727967052252186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6.4429411764705877</v>
      </c>
      <c r="AI29" s="13">
        <f>IF('Données projet'!$A$62&gt;35,AI28+AH29-AQ28,IF(A29&lt;'Données projet'!$A$62,$AF$205^A29,IF(A29='Données projet'!$A$62,'Données projet'!$B$62,AI28+AH29-AQ28)))</f>
        <v>167.51647058823522</v>
      </c>
      <c r="AJ29" s="13">
        <f>AI29*VLOOKUP('Données projet'!$B$10,Paramètres!$A$1:$I$89,3,0)*VLOOKUP('Données projet'!$B$10,Paramètres!$A$1:$I$89,5,0)</f>
        <v>78.39770823529409</v>
      </c>
      <c r="AK29" s="13">
        <f t="shared" si="35"/>
        <v>21.744955350195998</v>
      </c>
      <c r="AL29" s="20">
        <f t="shared" si="4"/>
        <v>174.41513907806188</v>
      </c>
      <c r="AM29" s="59">
        <f t="shared" si="5"/>
        <v>462.85958352250634</v>
      </c>
      <c r="AN29" s="59">
        <f ca="1">AVERAGE(OFFSET($AM$3,0,0,'Données projet'!$E$10+1,1))-AVERAGE(OFFSET($H$3,0,0,'Données projet'!$E$10+1,1))</f>
        <v>293.15557501692803</v>
      </c>
      <c r="AO29" s="59">
        <f t="shared" si="36"/>
        <v>237.1930412773068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4.5856818181818184</v>
      </c>
      <c r="BD29" s="12">
        <f>IF('Données projet'!$A$88&gt;35,BD28+BC29-BL28,IF(A29&lt;'Données projet'!$A$88,$BA$205^A29,IF(A29='Données projet'!$A$88,'Données projet'!$B$88,BD28+BC29-BL28)))</f>
        <v>119.22772727272735</v>
      </c>
      <c r="BE29" s="13">
        <f>BD29*VLOOKUP('Données projet'!$B$11,Paramètres!$A$1:$I$89,3,0)*VLOOKUP('Données projet'!$B$11,Paramètres!$A$1:$I$89,5,0)</f>
        <v>107.87724763636369</v>
      </c>
      <c r="BF29" s="13">
        <f t="shared" si="37"/>
        <v>28.830281764878382</v>
      </c>
      <c r="BG29" s="20">
        <f t="shared" si="7"/>
        <v>238.09894704049665</v>
      </c>
      <c r="BH29" s="59">
        <f t="shared" si="8"/>
        <v>526.54339148494114</v>
      </c>
      <c r="BI29" s="59">
        <f ca="1">AVERAGE(OFFSET($BH$3,0,0,'Données projet'!$E$11+1,1))-AVERAGE(OFFSET($H$3,0,0,'Données projet'!$E$11+1,1))</f>
        <v>490.06222615476065</v>
      </c>
      <c r="BJ29" s="59">
        <f t="shared" si="38"/>
        <v>310.43914804089906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14.2</v>
      </c>
      <c r="N30" s="13">
        <f>IF('Données projet'!$A$36&gt;35,N29+M30-V29,IF(A30&lt;'Données projet'!$A$36,$K$205^A30,IF(A30='Données projet'!$A$36,'Données projet'!$B$36,N29+M30-V29)))</f>
        <v>134.39999999999995</v>
      </c>
      <c r="O30" s="13">
        <f>N30*VLOOKUP('Données projet'!$B$9,Paramètres!$A$1:$I$89,3,0)*VLOOKUP('Données projet'!$B$9,Paramètres!$A$1:$I$89,5,0)</f>
        <v>106.92863999999996</v>
      </c>
      <c r="P30" s="13">
        <f t="shared" si="33"/>
        <v>28.606159868782917</v>
      </c>
      <c r="Q30" s="20">
        <f t="shared" si="2"/>
        <v>236.05644310479681</v>
      </c>
      <c r="R30" s="59">
        <f t="shared" si="0"/>
        <v>525.72310977146344</v>
      </c>
      <c r="S30" s="59">
        <f ca="1">AVERAGE(OFFSET($R$3,0,0,'Données projet'!$E$9+1,1))-AVERAGE(OFFSET($H$3,0,0,'Données projet'!$E$9+1,1))</f>
        <v>353.37479213497227</v>
      </c>
      <c r="T30" s="59">
        <f t="shared" si="34"/>
        <v>345.4750813433123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9.8526901898689339</v>
      </c>
      <c r="AB30" s="21">
        <f>EXP(-LN(2)/2)*AB29+(1-EXP(-LN(2)/2))/(LN(2)/2)*V30*Y30*VLOOKUP('Données projet'!$B$9,Paramètres!$A$1:$I$89,3,0)*0.475*44/12</f>
        <v>3.9585817780556849</v>
      </c>
      <c r="AC30" s="22">
        <f t="shared" si="3"/>
        <v>13.811271967924618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6.4429411764705877</v>
      </c>
      <c r="AI30" s="13">
        <f>IF('Données projet'!$A$62&gt;35,AI29+AH30-AQ29,IF(A30&lt;'Données projet'!$A$62,$AF$205^A30,IF(A30='Données projet'!$A$62,'Données projet'!$B$62,AI29+AH30-AQ29)))</f>
        <v>173.95941176470581</v>
      </c>
      <c r="AJ30" s="13">
        <f>AI30*VLOOKUP('Données projet'!$B$10,Paramètres!$A$1:$I$89,3,0)*VLOOKUP('Données projet'!$B$10,Paramètres!$A$1:$I$89,5,0)</f>
        <v>81.413004705882315</v>
      </c>
      <c r="AK30" s="13">
        <f t="shared" si="35"/>
        <v>22.48231829064984</v>
      </c>
      <c r="AL30" s="20">
        <f t="shared" si="4"/>
        <v>180.95102088562683</v>
      </c>
      <c r="AM30" s="59">
        <f t="shared" si="5"/>
        <v>470.61768755229355</v>
      </c>
      <c r="AN30" s="59">
        <f ca="1">AVERAGE(OFFSET($AM$3,0,0,'Données projet'!$E$10+1,1))-AVERAGE(OFFSET($H$3,0,0,'Données projet'!$E$10+1,1))</f>
        <v>293.15557501692803</v>
      </c>
      <c r="AO30" s="59">
        <f t="shared" si="36"/>
        <v>237.1930412773068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4.5856818181818184</v>
      </c>
      <c r="BD30" s="12">
        <f>IF('Données projet'!$A$88&gt;35,BD29+BC30-BL29,IF(A30&lt;'Données projet'!$A$88,$BA$205^A30,IF(A30='Données projet'!$A$88,'Données projet'!$B$88,BD29+BC30-BL29)))</f>
        <v>123.81340909090918</v>
      </c>
      <c r="BE30" s="13">
        <f>BD30*VLOOKUP('Données projet'!$B$11,Paramètres!$A$1:$I$89,3,0)*VLOOKUP('Données projet'!$B$11,Paramètres!$A$1:$I$89,5,0)</f>
        <v>112.02637254545461</v>
      </c>
      <c r="BF30" s="13">
        <f t="shared" si="37"/>
        <v>29.807905355909242</v>
      </c>
      <c r="BG30" s="20">
        <f t="shared" si="7"/>
        <v>247.02803401154202</v>
      </c>
      <c r="BH30" s="59">
        <f t="shared" si="8"/>
        <v>536.69470067820873</v>
      </c>
      <c r="BI30" s="59">
        <f ca="1">AVERAGE(OFFSET($BH$3,0,0,'Données projet'!$E$11+1,1))-AVERAGE(OFFSET($H$3,0,0,'Données projet'!$E$11+1,1))</f>
        <v>490.06222615476065</v>
      </c>
      <c r="BJ30" s="59">
        <f t="shared" si="38"/>
        <v>310.43914804089906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14.2</v>
      </c>
      <c r="N31" s="13">
        <f>IF('Données projet'!$A$36&gt;35,N30+M31-V30,IF(A31&lt;'Données projet'!$A$36,$K$205^A31,IF(A31='Données projet'!$A$36,'Données projet'!$B$36,N30+M31-V30)))</f>
        <v>148.59999999999994</v>
      </c>
      <c r="O31" s="13">
        <f>N31*VLOOKUP('Données projet'!$B$9,Paramètres!$A$1:$I$89,3,0)*VLOOKUP('Données projet'!$B$9,Paramètres!$A$1:$I$89,5,0)</f>
        <v>118.22615999999996</v>
      </c>
      <c r="P31" s="13">
        <f t="shared" si="33"/>
        <v>31.260922342884676</v>
      </c>
      <c r="Q31" s="20">
        <f t="shared" si="2"/>
        <v>260.35666841385739</v>
      </c>
      <c r="R31" s="59">
        <f t="shared" si="0"/>
        <v>551.24555730274619</v>
      </c>
      <c r="S31" s="59">
        <f ca="1">AVERAGE(OFFSET($R$3,0,0,'Données projet'!$E$9+1,1))-AVERAGE(OFFSET($H$3,0,0,'Données projet'!$E$9+1,1))</f>
        <v>353.37479213497227</v>
      </c>
      <c r="T31" s="59">
        <f t="shared" si="34"/>
        <v>345.4750813433123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9.5832678584965088</v>
      </c>
      <c r="AB31" s="21">
        <f>EXP(-LN(2)/2)*AB30+(1-EXP(-LN(2)/2))/(LN(2)/2)*V31*Y31*VLOOKUP('Données projet'!$B$9,Paramètres!$A$1:$I$89,3,0)*0.475*44/12</f>
        <v>2.7991400191446756</v>
      </c>
      <c r="AC31" s="22">
        <f t="shared" si="3"/>
        <v>12.382407877641185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6.4429411764705877</v>
      </c>
      <c r="AI31" s="13">
        <f>IF('Données projet'!$A$62&gt;35,AI30+AH31-AQ30,IF(A31&lt;'Données projet'!$A$62,$AF$205^A31,IF(A31='Données projet'!$A$62,'Données projet'!$B$62,AI30+AH31-AQ30)))</f>
        <v>180.40235294117639</v>
      </c>
      <c r="AJ31" s="13">
        <f>AI31*VLOOKUP('Données projet'!$B$10,Paramètres!$A$1:$I$89,3,0)*VLOOKUP('Données projet'!$B$10,Paramètres!$A$1:$I$89,5,0)</f>
        <v>84.428301176470555</v>
      </c>
      <c r="AK31" s="13">
        <f t="shared" si="35"/>
        <v>23.216508453707245</v>
      </c>
      <c r="AL31" s="20">
        <f t="shared" si="4"/>
        <v>187.48137677255966</v>
      </c>
      <c r="AM31" s="59">
        <f t="shared" si="5"/>
        <v>478.37026566144851</v>
      </c>
      <c r="AN31" s="59">
        <f ca="1">AVERAGE(OFFSET($AM$3,0,0,'Données projet'!$E$10+1,1))-AVERAGE(OFFSET($H$3,0,0,'Données projet'!$E$10+1,1))</f>
        <v>293.15557501692803</v>
      </c>
      <c r="AO31" s="59">
        <f t="shared" si="36"/>
        <v>237.1930412773068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4.5856818181818184</v>
      </c>
      <c r="BD31" s="12">
        <f>IF('Données projet'!$A$88&gt;35,BD30+BC31-BL30,IF(A31&lt;'Données projet'!$A$88,$BA$205^A31,IF(A31='Données projet'!$A$88,'Données projet'!$B$88,BD30+BC31-BL30)))</f>
        <v>128.399090909091</v>
      </c>
      <c r="BE31" s="13">
        <f>BD31*VLOOKUP('Données projet'!$B$11,Paramètres!$A$1:$I$89,3,0)*VLOOKUP('Données projet'!$B$11,Paramètres!$A$1:$I$89,5,0)</f>
        <v>116.17549745454552</v>
      </c>
      <c r="BF31" s="13">
        <f t="shared" si="37"/>
        <v>30.781322359028373</v>
      </c>
      <c r="BG31" s="20">
        <f t="shared" si="7"/>
        <v>255.94979450864125</v>
      </c>
      <c r="BH31" s="59">
        <f t="shared" si="8"/>
        <v>546.83868339753008</v>
      </c>
      <c r="BI31" s="59">
        <f ca="1">AVERAGE(OFFSET($BH$3,0,0,'Données projet'!$E$11+1,1))-AVERAGE(OFFSET($H$3,0,0,'Données projet'!$E$11+1,1))</f>
        <v>490.06222615476065</v>
      </c>
      <c r="BJ31" s="59">
        <f t="shared" si="38"/>
        <v>310.43914804089906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14.2</v>
      </c>
      <c r="N32" s="13">
        <f>IF('Données projet'!$A$36&gt;35,N31+M32-V31,IF(A32&lt;'Données projet'!$A$36,$K$205^A32,IF(A32='Données projet'!$A$36,'Données projet'!$B$36,N31+M32-V31)))</f>
        <v>162.79999999999993</v>
      </c>
      <c r="O32" s="13">
        <f>N32*VLOOKUP('Données projet'!$B$9,Paramètres!$A$1:$I$89,3,0)*VLOOKUP('Données projet'!$B$9,Paramètres!$A$1:$I$89,5,0)</f>
        <v>129.52367999999996</v>
      </c>
      <c r="P32" s="13">
        <f t="shared" si="33"/>
        <v>33.886272262901727</v>
      </c>
      <c r="Q32" s="20">
        <f t="shared" si="2"/>
        <v>284.60566685788712</v>
      </c>
      <c r="R32" s="59">
        <f t="shared" si="0"/>
        <v>576.71677796899826</v>
      </c>
      <c r="S32" s="59">
        <f ca="1">AVERAGE(OFFSET($R$3,0,0,'Données projet'!$E$9+1,1))-AVERAGE(OFFSET($H$3,0,0,'Données projet'!$E$9+1,1))</f>
        <v>353.37479213497227</v>
      </c>
      <c r="T32" s="59">
        <f t="shared" si="34"/>
        <v>345.4750813433123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9.321212894943768</v>
      </c>
      <c r="AB32" s="21">
        <f>EXP(-LN(2)/2)*AB31+(1-EXP(-LN(2)/2))/(LN(2)/2)*V32*Y32*VLOOKUP('Données projet'!$B$9,Paramètres!$A$1:$I$89,3,0)*0.475*44/12</f>
        <v>1.9792908890278427</v>
      </c>
      <c r="AC32" s="22">
        <f t="shared" si="3"/>
        <v>11.30050378397161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6.4429411764705877</v>
      </c>
      <c r="AI32" s="13">
        <f>IF('Données projet'!$A$62&gt;35,AI31+AH32-AQ31,IF(A32&lt;'Données projet'!$A$62,$AF$205^A32,IF(A32='Données projet'!$A$62,'Données projet'!$B$62,AI31+AH32-AQ31)))</f>
        <v>186.84529411764697</v>
      </c>
      <c r="AJ32" s="13">
        <f>AI32*VLOOKUP('Données projet'!$B$10,Paramètres!$A$1:$I$89,3,0)*VLOOKUP('Données projet'!$B$10,Paramètres!$A$1:$I$89,5,0)</f>
        <v>87.443597647058795</v>
      </c>
      <c r="AK32" s="13">
        <f t="shared" si="35"/>
        <v>23.947652134550808</v>
      </c>
      <c r="AL32" s="20">
        <f t="shared" si="4"/>
        <v>194.00642670297006</v>
      </c>
      <c r="AM32" s="59">
        <f t="shared" si="5"/>
        <v>486.11753781408117</v>
      </c>
      <c r="AN32" s="59">
        <f ca="1">AVERAGE(OFFSET($AM$3,0,0,'Données projet'!$E$10+1,1))-AVERAGE(OFFSET($H$3,0,0,'Données projet'!$E$10+1,1))</f>
        <v>293.15557501692803</v>
      </c>
      <c r="AO32" s="59">
        <f t="shared" si="36"/>
        <v>237.1930412773068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4.5856818181818184</v>
      </c>
      <c r="BD32" s="12">
        <f>IF('Données projet'!$A$88&gt;35,BD31+BC32-BL31,IF(A32&lt;'Données projet'!$A$88,$BA$205^A32,IF(A32='Données projet'!$A$88,'Données projet'!$B$88,BD31+BC32-BL31)))</f>
        <v>132.98477272727283</v>
      </c>
      <c r="BE32" s="13">
        <f>BD32*VLOOKUP('Données projet'!$B$11,Paramètres!$A$1:$I$89,3,0)*VLOOKUP('Données projet'!$B$11,Paramètres!$A$1:$I$89,5,0)</f>
        <v>120.32462236363645</v>
      </c>
      <c r="BF32" s="13">
        <f t="shared" si="37"/>
        <v>31.750700221151241</v>
      </c>
      <c r="BG32" s="20">
        <f t="shared" si="7"/>
        <v>264.86452016850518</v>
      </c>
      <c r="BH32" s="59">
        <f t="shared" si="8"/>
        <v>556.97563127961632</v>
      </c>
      <c r="BI32" s="59">
        <f ca="1">AVERAGE(OFFSET($BH$3,0,0,'Données projet'!$E$11+1,1))-AVERAGE(OFFSET($H$3,0,0,'Données projet'!$E$11+1,1))</f>
        <v>490.06222615476065</v>
      </c>
      <c r="BJ32" s="59">
        <f t="shared" si="38"/>
        <v>310.43914804089906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177</v>
      </c>
      <c r="L33" s="12">
        <f>VLOOKUP(A33,'Données projet'!$A$35:$I$55,9,0)</f>
        <v>14.2</v>
      </c>
      <c r="M33" s="12">
        <f t="array" ref="M33">INDEX(L:L,MIN(IF(ISNUMBER(L33:L229),ROW(L33:L229),"")))</f>
        <v>14.2</v>
      </c>
      <c r="N33" s="13">
        <f>IF('Données projet'!$A$36&gt;35,N32+M33-V32,IF(A33&lt;'Données projet'!$A$36,$K$205^A33,IF(A33='Données projet'!$A$36,'Données projet'!$B$36,N32+M33-V32)))</f>
        <v>176.99999999999991</v>
      </c>
      <c r="O33" s="13">
        <f>N33*VLOOKUP('Données projet'!$B$9,Paramètres!$A$1:$I$89,3,0)*VLOOKUP('Données projet'!$B$9,Paramètres!$A$1:$I$89,5,0)</f>
        <v>140.82119999999992</v>
      </c>
      <c r="P33" s="13">
        <f t="shared" si="33"/>
        <v>36.485066799987997</v>
      </c>
      <c r="Q33" s="20">
        <f t="shared" si="2"/>
        <v>308.80841467664561</v>
      </c>
      <c r="R33" s="59">
        <f t="shared" si="0"/>
        <v>602.14174800997898</v>
      </c>
      <c r="S33" s="59">
        <f ca="1">AVERAGE(OFFSET($R$3,0,0,'Données projet'!$E$9+1,1))-AVERAGE(OFFSET($H$3,0,0,'Données projet'!$E$9+1,1))</f>
        <v>353.37479213497227</v>
      </c>
      <c r="T33" s="59">
        <f t="shared" si="34"/>
        <v>345.4750813433123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35</v>
      </c>
      <c r="W33" s="16">
        <f>IF(ISNA(VLOOKUP(A33,'Données projet'!$A$35:$I$55,5,0)),0%,VLOOKUP(A33,'Données projet'!$A$35:$I$55,5,0)*VLOOKUP('Données projet'!$B$9,Paramètres!$A$1:$I$89,7,0))</f>
        <v>0.13250000000000001</v>
      </c>
      <c r="X33" s="16">
        <f>IF(ISNA(VLOOKUP(A33,'Données projet'!$A$35:$I$55,6,0)),0%,VLOOKUP(A33,'Données projet'!$A$35:$I$55,6,0)*VLOOKUP('Données projet'!$B$9,Paramètres!$A$1:$I$89,7,0))</f>
        <v>0.13250000000000001</v>
      </c>
      <c r="Y33" s="16">
        <f>IF(ISNA(VLOOKUP(A33,'Données projet'!$A$35:$I$55,7,0)),0%,VLOOKUP(A33,'Données projet'!$A$35:$I$55,7,0))</f>
        <v>0.25</v>
      </c>
      <c r="Z33" s="21">
        <f>EXP(-LN(2)/35)*Z32+(1-EXP(-LN(2)/35))/(LN(2)/35)*V33*W33*VLOOKUP('Données projet'!$B$9,Paramètres!$A$1:$I$89,3,0)*0.475*44/12</f>
        <v>4.078737984972876</v>
      </c>
      <c r="AA33" s="21">
        <f>EXP(-LN(2)/25)*AA32+(1-EXP(-LN(2)/25))/(LN(2)/25)*Calculateur!V33*Calculateur!X33*VLOOKUP('Données projet'!$B$9,Paramètres!$A$1:$I$89,3,0)*0.475*44/12</f>
        <v>13.129002277555273</v>
      </c>
      <c r="AB33" s="21">
        <f>EXP(-LN(2)/2)*AB32+(1-EXP(-LN(2)/2))/(LN(2)/2)*V33*Y33*VLOOKUP('Données projet'!$B$9,Paramètres!$A$1:$I$89,3,0)*0.475*44/12</f>
        <v>7.967932625597749</v>
      </c>
      <c r="AC33" s="22">
        <f t="shared" si="3"/>
        <v>25.175672888125895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6.4429411764705877</v>
      </c>
      <c r="AI33" s="13">
        <f>IF('Données projet'!$A$62&gt;35,AI32+AH33-AQ32,IF(A33&lt;'Données projet'!$A$62,$AF$205^A33,IF(A33='Données projet'!$A$62,'Données projet'!$B$62,AI32+AH33-AQ32)))</f>
        <v>193.28823529411756</v>
      </c>
      <c r="AJ33" s="13">
        <f>AI33*VLOOKUP('Données projet'!$B$10,Paramètres!$A$1:$I$89,3,0)*VLOOKUP('Données projet'!$B$10,Paramètres!$A$1:$I$89,5,0)</f>
        <v>90.45889411764702</v>
      </c>
      <c r="AK33" s="13">
        <f t="shared" si="35"/>
        <v>24.67586642434733</v>
      </c>
      <c r="AL33" s="20">
        <f t="shared" si="4"/>
        <v>200.52637461064015</v>
      </c>
      <c r="AM33" s="59">
        <f t="shared" si="5"/>
        <v>493.85970794397349</v>
      </c>
      <c r="AN33" s="59">
        <f ca="1">AVERAGE(OFFSET($AM$3,0,0,'Données projet'!$E$10+1,1))-AVERAGE(OFFSET($H$3,0,0,'Données projet'!$E$10+1,1))</f>
        <v>293.15557501692803</v>
      </c>
      <c r="AO33" s="59">
        <f t="shared" si="36"/>
        <v>237.1930412773068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4.5856818181818184</v>
      </c>
      <c r="BD33" s="12">
        <f>IF('Données projet'!$A$88&gt;35,BD32+BC33-BL32,IF(A33&lt;'Données projet'!$A$88,$BA$205^A33,IF(A33='Données projet'!$A$88,'Données projet'!$B$88,BD32+BC33-BL32)))</f>
        <v>137.57045454545465</v>
      </c>
      <c r="BE33" s="13">
        <f>BD33*VLOOKUP('Données projet'!$B$11,Paramètres!$A$1:$I$89,3,0)*VLOOKUP('Données projet'!$B$11,Paramètres!$A$1:$I$89,5,0)</f>
        <v>124.47374727272737</v>
      </c>
      <c r="BF33" s="13">
        <f t="shared" si="37"/>
        <v>32.716194186162085</v>
      </c>
      <c r="BG33" s="20">
        <f t="shared" si="7"/>
        <v>273.77248137423243</v>
      </c>
      <c r="BH33" s="59">
        <f t="shared" si="8"/>
        <v>567.10581470756574</v>
      </c>
      <c r="BI33" s="59">
        <f ca="1">AVERAGE(OFFSET($BH$3,0,0,'Données projet'!$E$11+1,1))-AVERAGE(OFFSET($H$3,0,0,'Données projet'!$E$11+1,1))</f>
        <v>490.06222615476065</v>
      </c>
      <c r="BJ33" s="59">
        <f t="shared" si="38"/>
        <v>310.43914804089906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12.8</v>
      </c>
      <c r="N34" s="13">
        <f>IF('Données projet'!$A$36&gt;35,N33+M34-V33,IF(A34&lt;'Données projet'!$A$36,$K$205^A34,IF(A34='Données projet'!$A$36,'Données projet'!$B$36,N33+M34-V33)))</f>
        <v>154.79999999999993</v>
      </c>
      <c r="O34" s="13">
        <f>N34*VLOOKUP('Données projet'!$B$9,Paramètres!$A$1:$I$89,3,0)*VLOOKUP('Données projet'!$B$9,Paramètres!$A$1:$I$89,5,0)</f>
        <v>123.15887999999995</v>
      </c>
      <c r="P34" s="13">
        <f t="shared" si="33"/>
        <v>32.410638331814873</v>
      </c>
      <c r="Q34" s="20">
        <f t="shared" si="2"/>
        <v>270.95024442791083</v>
      </c>
      <c r="R34" s="59">
        <f t="shared" si="0"/>
        <v>564.28357776124415</v>
      </c>
      <c r="S34" s="59">
        <f ca="1">AVERAGE(OFFSET($R$3,0,0,'Données projet'!$E$9+1,1))-AVERAGE(OFFSET($H$3,0,0,'Données projet'!$E$9+1,1))</f>
        <v>353.37479213497227</v>
      </c>
      <c r="T34" s="59">
        <f t="shared" si="34"/>
        <v>345.4750813433123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3.9987564208720805</v>
      </c>
      <c r="AA34" s="21">
        <f>EXP(-LN(2)/25)*AA33+(1-EXP(-LN(2)/25))/(LN(2)/25)*Calculateur!V34*Calculateur!X34*VLOOKUP('Données projet'!$B$9,Paramètres!$A$1:$I$89,3,0)*0.475*44/12</f>
        <v>12.7699890198513</v>
      </c>
      <c r="AB34" s="21">
        <f>EXP(-LN(2)/2)*AB33+(1-EXP(-LN(2)/2))/(LN(2)/2)*V34*Y34*VLOOKUP('Données projet'!$B$9,Paramètres!$A$1:$I$89,3,0)*0.475*44/12</f>
        <v>5.6341791915977009</v>
      </c>
      <c r="AC34" s="22">
        <f t="shared" si="3"/>
        <v>22.402924632321081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6.4429411764705877</v>
      </c>
      <c r="AI34" s="13">
        <f>IF('Données projet'!$A$62&gt;35,AI33+AH34-AQ33,IF(A34&lt;'Données projet'!$A$62,$AF$205^A34,IF(A34='Données projet'!$A$62,'Données projet'!$B$62,AI33+AH34-AQ33)))</f>
        <v>199.73117647058814</v>
      </c>
      <c r="AJ34" s="13">
        <f>AI34*VLOOKUP('Données projet'!$B$10,Paramètres!$A$1:$I$89,3,0)*VLOOKUP('Données projet'!$B$10,Paramètres!$A$1:$I$89,5,0)</f>
        <v>93.47419058823526</v>
      </c>
      <c r="AK34" s="13">
        <f t="shared" si="35"/>
        <v>25.401260165231442</v>
      </c>
      <c r="AL34" s="20">
        <f t="shared" si="4"/>
        <v>207.04141006228784</v>
      </c>
      <c r="AM34" s="59">
        <f t="shared" si="5"/>
        <v>500.37474339562118</v>
      </c>
      <c r="AN34" s="59">
        <f ca="1">AVERAGE(OFFSET($AM$3,0,0,'Données projet'!$E$10+1,1))-AVERAGE(OFFSET($H$3,0,0,'Données projet'!$E$10+1,1))</f>
        <v>293.15557501692803</v>
      </c>
      <c r="AO34" s="59">
        <f t="shared" si="36"/>
        <v>237.1930412773068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4.5856818181818184</v>
      </c>
      <c r="BD34" s="12">
        <f>IF('Données projet'!$A$88&gt;35,BD33+BC34-BL33,IF(A34&lt;'Données projet'!$A$88,$BA$205^A34,IF(A34='Données projet'!$A$88,'Données projet'!$B$88,BD33+BC34-BL33)))</f>
        <v>142.15613636363648</v>
      </c>
      <c r="BE34" s="13">
        <f>BD34*VLOOKUP('Données projet'!$B$11,Paramètres!$A$1:$I$89,3,0)*VLOOKUP('Données projet'!$B$11,Paramètres!$A$1:$I$89,5,0)</f>
        <v>128.62287218181828</v>
      </c>
      <c r="BF34" s="13">
        <f t="shared" si="37"/>
        <v>33.67794856106724</v>
      </c>
      <c r="BG34" s="20">
        <f t="shared" si="7"/>
        <v>282.67392946052559</v>
      </c>
      <c r="BH34" s="59">
        <f t="shared" si="8"/>
        <v>576.0072627938589</v>
      </c>
      <c r="BI34" s="59">
        <f ca="1">AVERAGE(OFFSET($BH$3,0,0,'Données projet'!$E$11+1,1))-AVERAGE(OFFSET($H$3,0,0,'Données projet'!$E$11+1,1))</f>
        <v>490.06222615476065</v>
      </c>
      <c r="BJ34" s="59">
        <f t="shared" si="38"/>
        <v>310.43914804089906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12.8</v>
      </c>
      <c r="N35" s="13">
        <f>IF('Données projet'!$A$36&gt;35,N34+M35-V34,IF(A35&lt;'Données projet'!$A$36,$K$205^A35,IF(A35='Données projet'!$A$36,'Données projet'!$B$36,N34+M35-V34)))</f>
        <v>167.59999999999994</v>
      </c>
      <c r="O35" s="13">
        <f>N35*VLOOKUP('Données projet'!$B$9,Paramètres!$A$1:$I$89,3,0)*VLOOKUP('Données projet'!$B$9,Paramètres!$A$1:$I$89,5,0)</f>
        <v>133.34255999999996</v>
      </c>
      <c r="P35" s="13">
        <f t="shared" si="33"/>
        <v>34.767581918978188</v>
      </c>
      <c r="Q35" s="20">
        <f t="shared" ref="Q35:Q66" si="53">(O35+P35)*0.475*44/12</f>
        <v>292.7918305088869</v>
      </c>
      <c r="R35" s="59">
        <f t="shared" si="0"/>
        <v>586.12516384222022</v>
      </c>
      <c r="S35" s="59">
        <f ca="1">AVERAGE(OFFSET($R$3,0,0,'Données projet'!$E$9+1,1))-AVERAGE(OFFSET($H$3,0,0,'Données projet'!$E$9+1,1))</f>
        <v>353.37479213497227</v>
      </c>
      <c r="T35" s="59">
        <f t="shared" si="34"/>
        <v>345.4750813433123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3.9203432464593644</v>
      </c>
      <c r="AA35" s="21">
        <f>EXP(-LN(2)/25)*AA34+(1-EXP(-LN(2)/25))/(LN(2)/25)*Calculateur!V35*Calculateur!X35*VLOOKUP('Données projet'!$B$9,Paramètres!$A$1:$I$89,3,0)*0.475*44/12</f>
        <v>12.42079299855893</v>
      </c>
      <c r="AB35" s="21">
        <f>EXP(-LN(2)/2)*AB34+(1-EXP(-LN(2)/2))/(LN(2)/2)*V35*Y35*VLOOKUP('Données projet'!$B$9,Paramètres!$A$1:$I$89,3,0)*0.475*44/12</f>
        <v>3.9839663127988749</v>
      </c>
      <c r="AC35" s="22">
        <f t="shared" si="3"/>
        <v>20.325102557817168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6.4429411764705877</v>
      </c>
      <c r="AI35" s="13">
        <f>IF('Données projet'!$A$62&gt;35,AI34+AH35-AQ34,IF(A35&lt;'Données projet'!$A$62,$AF$205^A35,IF(A35='Données projet'!$A$62,'Données projet'!$B$62,AI34+AH35-AQ34)))</f>
        <v>206.17411764705872</v>
      </c>
      <c r="AJ35" s="13">
        <f>AI35*VLOOKUP('Données projet'!$B$10,Paramètres!$A$1:$I$89,3,0)*VLOOKUP('Données projet'!$B$10,Paramètres!$A$1:$I$89,5,0)</f>
        <v>96.489487058823485</v>
      </c>
      <c r="AK35" s="13">
        <f t="shared" si="35"/>
        <v>26.123934778604053</v>
      </c>
      <c r="AL35" s="20">
        <f t="shared" si="4"/>
        <v>213.55170970018628</v>
      </c>
      <c r="AM35" s="59">
        <f t="shared" si="5"/>
        <v>506.88504303351959</v>
      </c>
      <c r="AN35" s="59">
        <f ca="1">AVERAGE(OFFSET($AM$3,0,0,'Données projet'!$E$10+1,1))-AVERAGE(OFFSET($H$3,0,0,'Données projet'!$E$10+1,1))</f>
        <v>293.15557501692803</v>
      </c>
      <c r="AO35" s="59">
        <f t="shared" si="36"/>
        <v>237.1930412773068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4.5856818181818184</v>
      </c>
      <c r="BD35" s="12">
        <f>IF('Données projet'!$A$88&gt;35,BD34+BC35-BL34,IF(A35&lt;'Données projet'!$A$88,$BA$205^A35,IF(A35='Données projet'!$A$88,'Données projet'!$B$88,BD34+BC35-BL34)))</f>
        <v>146.7418181818183</v>
      </c>
      <c r="BE35" s="13">
        <f>BD35*VLOOKUP('Données projet'!$B$11,Paramètres!$A$1:$I$89,3,0)*VLOOKUP('Données projet'!$B$11,Paramètres!$A$1:$I$89,5,0)</f>
        <v>132.7719970909092</v>
      </c>
      <c r="BF35" s="13">
        <f t="shared" si="37"/>
        <v>34.636097814184424</v>
      </c>
      <c r="BG35" s="20">
        <f t="shared" si="7"/>
        <v>291.56909862637139</v>
      </c>
      <c r="BH35" s="59">
        <f t="shared" si="8"/>
        <v>584.9024319597047</v>
      </c>
      <c r="BI35" s="59">
        <f ca="1">AVERAGE(OFFSET($BH$3,0,0,'Données projet'!$E$11+1,1))-AVERAGE(OFFSET($H$3,0,0,'Données projet'!$E$11+1,1))</f>
        <v>490.06222615476065</v>
      </c>
      <c r="BJ35" s="59">
        <f t="shared" si="38"/>
        <v>310.43914804089906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12.8</v>
      </c>
      <c r="N36" s="13">
        <f>IF('Données projet'!$A$36&gt;35,N35+M36-V35,IF(A36&lt;'Données projet'!$A$36,$K$205^A36,IF(A36='Données projet'!$A$36,'Données projet'!$B$36,N35+M36-V35)))</f>
        <v>180.39999999999995</v>
      </c>
      <c r="O36" s="13">
        <f>N36*VLOOKUP('Données projet'!$B$9,Paramètres!$A$1:$I$89,3,0)*VLOOKUP('Données projet'!$B$9,Paramètres!$A$1:$I$89,5,0)</f>
        <v>143.52623999999997</v>
      </c>
      <c r="P36" s="13">
        <f t="shared" si="33"/>
        <v>37.103644337236275</v>
      </c>
      <c r="Q36" s="20">
        <f t="shared" si="53"/>
        <v>314.59704855401981</v>
      </c>
      <c r="R36" s="59">
        <f t="shared" si="0"/>
        <v>607.93038188735318</v>
      </c>
      <c r="S36" s="59">
        <f ca="1">AVERAGE(OFFSET($R$3,0,0,'Données projet'!$E$9+1,1))-AVERAGE(OFFSET($H$3,0,0,'Données projet'!$E$9+1,1))</f>
        <v>353.37479213497227</v>
      </c>
      <c r="T36" s="59">
        <f t="shared" si="34"/>
        <v>345.4750813433123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3.8434677065695677</v>
      </c>
      <c r="AA36" s="21">
        <f>EXP(-LN(2)/25)*AA35+(1-EXP(-LN(2)/25))/(LN(2)/25)*Calculateur!V36*Calculateur!X36*VLOOKUP('Données projet'!$B$9,Paramètres!$A$1:$I$89,3,0)*0.475*44/12</f>
        <v>12.081145760832221</v>
      </c>
      <c r="AB36" s="21">
        <f>EXP(-LN(2)/2)*AB35+(1-EXP(-LN(2)/2))/(LN(2)/2)*V36*Y36*VLOOKUP('Données projet'!$B$9,Paramètres!$A$1:$I$89,3,0)*0.475*44/12</f>
        <v>2.8170895957988509</v>
      </c>
      <c r="AC36" s="22">
        <f t="shared" si="3"/>
        <v>18.741703063200639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6.4429411764705877</v>
      </c>
      <c r="AI36" s="13">
        <f>IF('Données projet'!$A$62&gt;35,AI35+AH36-AQ35,IF(A36&lt;'Données projet'!$A$62,$AF$205^A36,IF(A36='Données projet'!$A$62,'Données projet'!$B$62,AI35+AH36-AQ35)))</f>
        <v>212.61705882352931</v>
      </c>
      <c r="AJ36" s="13">
        <f>AI36*VLOOKUP('Données projet'!$B$10,Paramètres!$A$1:$I$89,3,0)*VLOOKUP('Données projet'!$B$10,Paramètres!$A$1:$I$89,5,0)</f>
        <v>99.504783529411725</v>
      </c>
      <c r="AK36" s="13">
        <f t="shared" si="35"/>
        <v>26.84398498698495</v>
      </c>
      <c r="AL36" s="20">
        <f t="shared" si="4"/>
        <v>220.05743849939086</v>
      </c>
      <c r="AM36" s="59">
        <f t="shared" si="5"/>
        <v>513.39077183272411</v>
      </c>
      <c r="AN36" s="59">
        <f ca="1">AVERAGE(OFFSET($AM$3,0,0,'Données projet'!$E$10+1,1))-AVERAGE(OFFSET($H$3,0,0,'Données projet'!$E$10+1,1))</f>
        <v>293.15557501692803</v>
      </c>
      <c r="AO36" s="59">
        <f t="shared" si="36"/>
        <v>237.1930412773068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4.5856818181818184</v>
      </c>
      <c r="BD36" s="12">
        <f>IF('Données projet'!$A$88&gt;35,BD35+BC36-BL35,IF(A36&lt;'Données projet'!$A$88,$BA$205^A36,IF(A36='Données projet'!$A$88,'Données projet'!$B$88,BD35+BC36-BL35)))</f>
        <v>151.32750000000013</v>
      </c>
      <c r="BE36" s="13">
        <f>BD36*VLOOKUP('Données projet'!$B$11,Paramètres!$A$1:$I$89,3,0)*VLOOKUP('Données projet'!$B$11,Paramètres!$A$1:$I$89,5,0)</f>
        <v>136.92112200000011</v>
      </c>
      <c r="BF36" s="13">
        <f t="shared" si="37"/>
        <v>35.5907675322022</v>
      </c>
      <c r="BG36" s="20">
        <f t="shared" si="7"/>
        <v>300.45820760191901</v>
      </c>
      <c r="BH36" s="59">
        <f t="shared" si="8"/>
        <v>593.79154093525233</v>
      </c>
      <c r="BI36" s="59">
        <f ca="1">AVERAGE(OFFSET($BH$3,0,0,'Données projet'!$E$11+1,1))-AVERAGE(OFFSET($H$3,0,0,'Données projet'!$E$11+1,1))</f>
        <v>490.06222615476065</v>
      </c>
      <c r="BJ36" s="59">
        <f t="shared" si="38"/>
        <v>310.43914804089906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12.8</v>
      </c>
      <c r="N37" s="13">
        <f>IF('Données projet'!$A$36&gt;35,N36+M37-V36,IF(A37&lt;'Données projet'!$A$36,$K$205^A37,IF(A37='Données projet'!$A$36,'Données projet'!$B$36,N36+M37-V36)))</f>
        <v>193.19999999999996</v>
      </c>
      <c r="O37" s="13">
        <f>N37*VLOOKUP('Données projet'!$B$9,Paramètres!$A$1:$I$89,3,0)*VLOOKUP('Données projet'!$B$9,Paramètres!$A$1:$I$89,5,0)</f>
        <v>153.70991999999998</v>
      </c>
      <c r="P37" s="13">
        <f t="shared" si="33"/>
        <v>39.420475690379831</v>
      </c>
      <c r="Q37" s="20">
        <f t="shared" si="53"/>
        <v>336.3687724940782</v>
      </c>
      <c r="R37" s="59">
        <f t="shared" si="0"/>
        <v>629.70210582741151</v>
      </c>
      <c r="S37" s="59">
        <f ca="1">AVERAGE(OFFSET($R$3,0,0,'Données projet'!$E$9+1,1))-AVERAGE(OFFSET($H$3,0,0,'Données projet'!$E$9+1,1))</f>
        <v>353.37479213497227</v>
      </c>
      <c r="T37" s="59">
        <f t="shared" si="34"/>
        <v>345.4750813433123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3.7680996491275609</v>
      </c>
      <c r="AA37" s="21">
        <f>EXP(-LN(2)/25)*AA36+(1-EXP(-LN(2)/25))/(LN(2)/25)*Calculateur!V37*Calculateur!X37*VLOOKUP('Données projet'!$B$9,Paramètres!$A$1:$I$89,3,0)*0.475*44/12</f>
        <v>11.750786194682421</v>
      </c>
      <c r="AB37" s="21">
        <f>EXP(-LN(2)/2)*AB36+(1-EXP(-LN(2)/2))/(LN(2)/2)*V37*Y37*VLOOKUP('Données projet'!$B$9,Paramètres!$A$1:$I$89,3,0)*0.475*44/12</f>
        <v>1.9919831563994377</v>
      </c>
      <c r="AC37" s="22">
        <f t="shared" si="3"/>
        <v>17.510869000209421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6.4429411764705877</v>
      </c>
      <c r="AI37" s="13">
        <f>IF('Données projet'!$A$62&gt;35,AI36+AH37-AQ36,IF(A37&lt;'Données projet'!$A$62,$AF$205^A37,IF(A37='Données projet'!$A$62,'Données projet'!$B$62,AI36+AH37-AQ36)))</f>
        <v>219.05999999999989</v>
      </c>
      <c r="AJ37" s="13">
        <f>AI37*VLOOKUP('Données projet'!$B$10,Paramètres!$A$1:$I$89,3,0)*VLOOKUP('Données projet'!$B$10,Paramètres!$A$1:$I$89,5,0)</f>
        <v>102.52007999999994</v>
      </c>
      <c r="AK37" s="13">
        <f t="shared" si="35"/>
        <v>27.561499445909675</v>
      </c>
      <c r="AL37" s="20">
        <f t="shared" si="4"/>
        <v>226.55875086829255</v>
      </c>
      <c r="AM37" s="59">
        <f t="shared" si="5"/>
        <v>519.89208420162583</v>
      </c>
      <c r="AN37" s="59">
        <f ca="1">AVERAGE(OFFSET($AM$3,0,0,'Données projet'!$E$10+1,1))-AVERAGE(OFFSET($H$3,0,0,'Données projet'!$E$10+1,1))</f>
        <v>293.15557501692803</v>
      </c>
      <c r="AO37" s="59">
        <f t="shared" si="36"/>
        <v>237.1930412773068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4.5856818181818184</v>
      </c>
      <c r="BD37" s="12">
        <f>IF('Données projet'!$A$88&gt;35,BD36+BC37-BL36,IF(A37&lt;'Données projet'!$A$88,$BA$205^A37,IF(A37='Données projet'!$A$88,'Données projet'!$B$88,BD36+BC37-BL36)))</f>
        <v>155.91318181818195</v>
      </c>
      <c r="BE37" s="13">
        <f>BD37*VLOOKUP('Données projet'!$B$11,Paramètres!$A$1:$I$89,3,0)*VLOOKUP('Données projet'!$B$11,Paramètres!$A$1:$I$89,5,0)</f>
        <v>141.07024690909103</v>
      </c>
      <c r="BF37" s="13">
        <f t="shared" si="37"/>
        <v>36.542075257972613</v>
      </c>
      <c r="BG37" s="20">
        <f t="shared" si="7"/>
        <v>309.34146110763578</v>
      </c>
      <c r="BH37" s="59">
        <f t="shared" si="8"/>
        <v>602.67479444096909</v>
      </c>
      <c r="BI37" s="59">
        <f ca="1">AVERAGE(OFFSET($BH$3,0,0,'Données projet'!$E$11+1,1))-AVERAGE(OFFSET($H$3,0,0,'Données projet'!$E$11+1,1))</f>
        <v>490.06222615476065</v>
      </c>
      <c r="BJ37" s="59">
        <f t="shared" si="38"/>
        <v>310.43914804089906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206</v>
      </c>
      <c r="L38" s="12">
        <f>VLOOKUP(A38,'Données projet'!$A$35:$I$55,9,0)</f>
        <v>12.8</v>
      </c>
      <c r="M38" s="12">
        <f t="array" ref="M38">INDEX(L:L,MIN(IF(ISNUMBER(L38:L234),ROW(L38:L234),"")))</f>
        <v>12.8</v>
      </c>
      <c r="N38" s="13">
        <f>IF('Données projet'!$A$36&gt;35,N37+M38-V37,IF(A38&lt;'Données projet'!$A$36,$K$205^A38,IF(A38='Données projet'!$A$36,'Données projet'!$B$36,N37+M38-V37)))</f>
        <v>205.99999999999997</v>
      </c>
      <c r="O38" s="13">
        <f>N38*VLOOKUP('Données projet'!$B$9,Paramètres!$A$1:$I$89,3,0)*VLOOKUP('Données projet'!$B$9,Paramètres!$A$1:$I$89,5,0)</f>
        <v>163.89359999999999</v>
      </c>
      <c r="P38" s="13">
        <f t="shared" si="33"/>
        <v>41.71949506642347</v>
      </c>
      <c r="Q38" s="20">
        <f t="shared" si="53"/>
        <v>358.10947390735419</v>
      </c>
      <c r="R38" s="59">
        <f t="shared" si="0"/>
        <v>651.44280724068744</v>
      </c>
      <c r="S38" s="59">
        <f ca="1">AVERAGE(OFFSET($R$3,0,0,'Données projet'!$E$9+1,1))-AVERAGE(OFFSET($H$3,0,0,'Données projet'!$E$9+1,1))</f>
        <v>353.37479213497227</v>
      </c>
      <c r="T38" s="59">
        <f t="shared" si="34"/>
        <v>345.4750813433123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35</v>
      </c>
      <c r="W38" s="16">
        <f>IF(ISNA(VLOOKUP(A38,'Données projet'!$A$35:$I$55,5,0)),0%,VLOOKUP(A38,'Données projet'!$A$35:$I$55,5,0)*VLOOKUP('Données projet'!$B$9,Paramètres!$A$1:$I$89,7,0))</f>
        <v>0.13250000000000001</v>
      </c>
      <c r="X38" s="16">
        <f>IF(ISNA(VLOOKUP(A38,'Données projet'!$A$35:$I$55,6,0)),0%,VLOOKUP(A38,'Données projet'!$A$35:$I$55,6,0)*VLOOKUP('Données projet'!$B$9,Paramètres!$A$1:$I$89,7,0))</f>
        <v>0.13250000000000001</v>
      </c>
      <c r="Y38" s="16">
        <f>IF(ISNA(VLOOKUP(A38,'Données projet'!$A$35:$I$55,7,0)),0%,VLOOKUP(A38,'Données projet'!$A$35:$I$55,7,0))</f>
        <v>0.25</v>
      </c>
      <c r="Z38" s="21">
        <f>EXP(-LN(2)/35)*Z37+(1-EXP(-LN(2)/35))/(LN(2)/35)*V38*W38*VLOOKUP('Données projet'!$B$9,Paramètres!$A$1:$I$89,3,0)*0.475*44/12</f>
        <v>7.7729474982948918</v>
      </c>
      <c r="AA38" s="21">
        <f>EXP(-LN(2)/25)*AA37+(1-EXP(-LN(2)/25))/(LN(2)/25)*Calculateur!V38*Calculateur!X38*VLOOKUP('Données projet'!$B$9,Paramètres!$A$1:$I$89,3,0)*0.475*44/12</f>
        <v>15.492138767646864</v>
      </c>
      <c r="AB38" s="21">
        <f>EXP(-LN(2)/2)*AB37+(1-EXP(-LN(2)/2))/(LN(2)/2)*V38*Y38*VLOOKUP('Données projet'!$B$9,Paramètres!$A$1:$I$89,3,0)*0.475*44/12</f>
        <v>7.9769074139248364</v>
      </c>
      <c r="AC38" s="22">
        <f t="shared" si="3"/>
        <v>31.241993679866589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6.4429411764705877</v>
      </c>
      <c r="AI38" s="13">
        <f>IF('Données projet'!$A$62&gt;35,AI37+AH38-AQ37,IF(A38&lt;'Données projet'!$A$62,$AF$205^A38,IF(A38='Données projet'!$A$62,'Données projet'!$B$62,AI37+AH38-AQ37)))</f>
        <v>225.50294117647047</v>
      </c>
      <c r="AJ38" s="13">
        <f>AI38*VLOOKUP('Données projet'!$B$10,Paramètres!$A$1:$I$89,3,0)*VLOOKUP('Données projet'!$B$10,Paramètres!$A$1:$I$89,5,0)</f>
        <v>105.53537647058819</v>
      </c>
      <c r="AK38" s="13">
        <f t="shared" si="35"/>
        <v>28.276561299396725</v>
      </c>
      <c r="AL38" s="20">
        <f t="shared" si="4"/>
        <v>233.05579161605704</v>
      </c>
      <c r="AM38" s="59">
        <f t="shared" si="5"/>
        <v>526.38912494939041</v>
      </c>
      <c r="AN38" s="59">
        <f ca="1">AVERAGE(OFFSET($AM$3,0,0,'Données projet'!$E$10+1,1))-AVERAGE(OFFSET($H$3,0,0,'Données projet'!$E$10+1,1))</f>
        <v>293.15557501692803</v>
      </c>
      <c r="AO38" s="59">
        <f t="shared" si="36"/>
        <v>237.1930412773068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4.5856818181818184</v>
      </c>
      <c r="BD38" s="12">
        <f>IF('Données projet'!$A$88&gt;35,BD37+BC38-BL37,IF(A38&lt;'Données projet'!$A$88,$BA$205^A38,IF(A38='Données projet'!$A$88,'Données projet'!$B$88,BD37+BC38-BL37)))</f>
        <v>160.49886363636378</v>
      </c>
      <c r="BE38" s="13">
        <f>BD38*VLOOKUP('Données projet'!$B$11,Paramètres!$A$1:$I$89,3,0)*VLOOKUP('Données projet'!$B$11,Paramètres!$A$1:$I$89,5,0)</f>
        <v>145.21937181818194</v>
      </c>
      <c r="BF38" s="13">
        <f t="shared" si="37"/>
        <v>37.49013122697059</v>
      </c>
      <c r="BG38" s="20">
        <f t="shared" si="7"/>
        <v>318.21905113697397</v>
      </c>
      <c r="BH38" s="59">
        <f t="shared" si="8"/>
        <v>611.55238447030729</v>
      </c>
      <c r="BI38" s="59">
        <f ca="1">AVERAGE(OFFSET($BH$3,0,0,'Données projet'!$E$11+1,1))-AVERAGE(OFFSET($H$3,0,0,'Données projet'!$E$11+1,1))</f>
        <v>490.06222615476065</v>
      </c>
      <c r="BJ38" s="59">
        <f t="shared" si="38"/>
        <v>310.43914804089906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11.4</v>
      </c>
      <c r="N39" s="13">
        <f>IF('Données projet'!$A$36&gt;35,N38+M39-V38,IF(A39&lt;'Données projet'!$A$36,$K$205^A39,IF(A39='Données projet'!$A$36,'Données projet'!$B$36,N38+M39-V38)))</f>
        <v>182.39999999999998</v>
      </c>
      <c r="O39" s="13">
        <f>N39*VLOOKUP('Données projet'!$B$9,Paramètres!$A$1:$I$89,3,0)*VLOOKUP('Données projet'!$B$9,Paramètres!$A$1:$I$89,5,0)</f>
        <v>145.11743999999999</v>
      </c>
      <c r="P39" s="13">
        <f t="shared" si="33"/>
        <v>37.466878406916173</v>
      </c>
      <c r="Q39" s="20">
        <f t="shared" si="53"/>
        <v>318.00102122537896</v>
      </c>
      <c r="R39" s="59">
        <f t="shared" si="0"/>
        <v>611.33435455871222</v>
      </c>
      <c r="S39" s="59">
        <f ca="1">AVERAGE(OFFSET($R$3,0,0,'Données projet'!$E$9+1,1))-AVERAGE(OFFSET($H$3,0,0,'Données projet'!$E$9+1,1))</f>
        <v>353.37479213497227</v>
      </c>
      <c r="T39" s="59">
        <f t="shared" si="34"/>
        <v>345.4750813433123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7.620524738883165</v>
      </c>
      <c r="AA39" s="21">
        <f>EXP(-LN(2)/25)*AA38+(1-EXP(-LN(2)/25))/(LN(2)/25)*Calculateur!V39*Calculateur!X39*VLOOKUP('Données projet'!$B$9,Paramètres!$A$1:$I$89,3,0)*0.475*44/12</f>
        <v>15.068505418349391</v>
      </c>
      <c r="AB39" s="21">
        <f>EXP(-LN(2)/2)*AB38+(1-EXP(-LN(2)/2))/(LN(2)/2)*V39*Y39*VLOOKUP('Données projet'!$B$9,Paramètres!$A$1:$I$89,3,0)*0.475*44/12</f>
        <v>5.6405253252834981</v>
      </c>
      <c r="AC39" s="22">
        <f t="shared" si="3"/>
        <v>28.329555482516053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6.4429411764705877</v>
      </c>
      <c r="AI39" s="13">
        <f>IF('Données projet'!$A$62&gt;35,AI38+AH39-AQ38,IF(A39&lt;'Données projet'!$A$62,$AF$205^A39,IF(A39='Données projet'!$A$62,'Données projet'!$B$62,AI38+AH39-AQ38)))</f>
        <v>231.94588235294106</v>
      </c>
      <c r="AJ39" s="13">
        <f>AI39*VLOOKUP('Données projet'!$B$10,Paramètres!$A$1:$I$89,3,0)*VLOOKUP('Données projet'!$B$10,Paramètres!$A$1:$I$89,5,0)</f>
        <v>108.5506729411764</v>
      </c>
      <c r="AK39" s="13">
        <f t="shared" si="35"/>
        <v>28.989248670148307</v>
      </c>
      <c r="AL39" s="20">
        <f t="shared" si="4"/>
        <v>239.5486968063905</v>
      </c>
      <c r="AM39" s="59">
        <f t="shared" si="5"/>
        <v>532.88203013972384</v>
      </c>
      <c r="AN39" s="59">
        <f ca="1">AVERAGE(OFFSET($AM$3,0,0,'Données projet'!$E$10+1,1))-AVERAGE(OFFSET($H$3,0,0,'Données projet'!$E$10+1,1))</f>
        <v>293.15557501692803</v>
      </c>
      <c r="AO39" s="59">
        <f t="shared" si="36"/>
        <v>237.1930412773068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4.5856818181818184</v>
      </c>
      <c r="BD39" s="12">
        <f>IF('Données projet'!$A$88&gt;35,BD38+BC39-BL38,IF(A39&lt;'Données projet'!$A$88,$BA$205^A39,IF(A39='Données projet'!$A$88,'Données projet'!$B$88,BD38+BC39-BL38)))</f>
        <v>165.08454545454561</v>
      </c>
      <c r="BE39" s="13">
        <f>BD39*VLOOKUP('Données projet'!$B$11,Paramètres!$A$1:$I$89,3,0)*VLOOKUP('Données projet'!$B$11,Paramètres!$A$1:$I$89,5,0)</f>
        <v>149.36849672727286</v>
      </c>
      <c r="BF39" s="13">
        <f t="shared" si="37"/>
        <v>38.435039017220589</v>
      </c>
      <c r="BG39" s="20">
        <f t="shared" si="7"/>
        <v>327.09115808832604</v>
      </c>
      <c r="BH39" s="59">
        <f t="shared" si="8"/>
        <v>620.42449142165935</v>
      </c>
      <c r="BI39" s="59">
        <f ca="1">AVERAGE(OFFSET($BH$3,0,0,'Données projet'!$E$11+1,1))-AVERAGE(OFFSET($H$3,0,0,'Données projet'!$E$11+1,1))</f>
        <v>490.06222615476065</v>
      </c>
      <c r="BJ39" s="59">
        <f t="shared" si="38"/>
        <v>310.43914804089906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11.4</v>
      </c>
      <c r="N40" s="13">
        <f>IF('Données projet'!$A$36&gt;35,N39+M40-V39,IF(A40&lt;'Données projet'!$A$36,$K$205^A40,IF(A40='Données projet'!$A$36,'Données projet'!$B$36,N39+M40-V39)))</f>
        <v>193.79999999999998</v>
      </c>
      <c r="O40" s="13">
        <f>N40*VLOOKUP('Données projet'!$B$9,Paramètres!$A$1:$I$89,3,0)*VLOOKUP('Données projet'!$B$9,Paramètres!$A$1:$I$89,5,0)</f>
        <v>154.18727999999999</v>
      </c>
      <c r="P40" s="13">
        <f t="shared" si="33"/>
        <v>39.528629863903078</v>
      </c>
      <c r="Q40" s="20">
        <f t="shared" si="53"/>
        <v>337.38854301296448</v>
      </c>
      <c r="R40" s="59">
        <f t="shared" si="0"/>
        <v>630.72187634629779</v>
      </c>
      <c r="S40" s="59">
        <f ca="1">AVERAGE(OFFSET($R$3,0,0,'Données projet'!$E$9+1,1))-AVERAGE(OFFSET($H$3,0,0,'Données projet'!$E$9+1,1))</f>
        <v>353.37479213497227</v>
      </c>
      <c r="T40" s="59">
        <f t="shared" si="34"/>
        <v>345.4750813433123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7.4710908968147987</v>
      </c>
      <c r="AA40" s="21">
        <f>EXP(-LN(2)/25)*AA39+(1-EXP(-LN(2)/25))/(LN(2)/25)*Calculateur!V40*Calculateur!X40*VLOOKUP('Données projet'!$B$9,Paramètres!$A$1:$I$89,3,0)*0.475*44/12</f>
        <v>14.656456345266367</v>
      </c>
      <c r="AB40" s="21">
        <f>EXP(-LN(2)/2)*AB39+(1-EXP(-LN(2)/2))/(LN(2)/2)*V40*Y40*VLOOKUP('Données projet'!$B$9,Paramètres!$A$1:$I$89,3,0)*0.475*44/12</f>
        <v>3.9884537069624186</v>
      </c>
      <c r="AC40" s="22">
        <f t="shared" si="3"/>
        <v>26.116000949043581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6.4429411764705877</v>
      </c>
      <c r="AI40" s="13">
        <f>IF('Données projet'!$A$62&gt;35,AI39+AH40-AQ39,IF(A40&lt;'Données projet'!$A$62,$AF$205^A40,IF(A40='Données projet'!$A$62,'Données projet'!$B$62,AI39+AH40-AQ39)))</f>
        <v>238.38882352941164</v>
      </c>
      <c r="AJ40" s="13">
        <f>AI40*VLOOKUP('Données projet'!$B$10,Paramètres!$A$1:$I$89,3,0)*VLOOKUP('Données projet'!$B$10,Paramètres!$A$1:$I$89,5,0)</f>
        <v>111.56596941176464</v>
      </c>
      <c r="AK40" s="13">
        <f t="shared" si="35"/>
        <v>29.699635093753383</v>
      </c>
      <c r="AL40" s="20">
        <f t="shared" si="4"/>
        <v>246.03759451377718</v>
      </c>
      <c r="AM40" s="59">
        <f t="shared" si="5"/>
        <v>539.37092784711047</v>
      </c>
      <c r="AN40" s="59">
        <f ca="1">AVERAGE(OFFSET($AM$3,0,0,'Données projet'!$E$10+1,1))-AVERAGE(OFFSET($H$3,0,0,'Données projet'!$E$10+1,1))</f>
        <v>293.15557501692803</v>
      </c>
      <c r="AO40" s="59">
        <f t="shared" si="36"/>
        <v>237.1930412773068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4.5856818181818184</v>
      </c>
      <c r="BD40" s="12">
        <f>IF('Données projet'!$A$88&gt;35,BD39+BC40-BL39,IF(A40&lt;'Données projet'!$A$88,$BA$205^A40,IF(A40='Données projet'!$A$88,'Données projet'!$B$88,BD39+BC40-BL39)))</f>
        <v>169.67022727272743</v>
      </c>
      <c r="BE40" s="13">
        <f>BD40*VLOOKUP('Données projet'!$B$11,Paramètres!$A$1:$I$89,3,0)*VLOOKUP('Données projet'!$B$11,Paramètres!$A$1:$I$89,5,0)</f>
        <v>153.51762163636377</v>
      </c>
      <c r="BF40" s="13">
        <f t="shared" si="37"/>
        <v>39.376896124979325</v>
      </c>
      <c r="BG40" s="20">
        <f t="shared" si="7"/>
        <v>335.95795176767251</v>
      </c>
      <c r="BH40" s="59">
        <f t="shared" si="8"/>
        <v>629.29128510100577</v>
      </c>
      <c r="BI40" s="59">
        <f ca="1">AVERAGE(OFFSET($BH$3,0,0,'Données projet'!$E$11+1,1))-AVERAGE(OFFSET($H$3,0,0,'Données projet'!$E$11+1,1))</f>
        <v>490.06222615476065</v>
      </c>
      <c r="BJ40" s="59">
        <f t="shared" si="38"/>
        <v>310.43914804089906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11.4</v>
      </c>
      <c r="N41" s="13">
        <f>IF('Données projet'!$A$36&gt;35,N40+M41-V40,IF(A41&lt;'Données projet'!$A$36,$K$205^A41,IF(A41='Données projet'!$A$36,'Données projet'!$B$36,N40+M41-V40)))</f>
        <v>205.2</v>
      </c>
      <c r="O41" s="13">
        <f>N41*VLOOKUP('Données projet'!$B$9,Paramètres!$A$1:$I$89,3,0)*VLOOKUP('Données projet'!$B$9,Paramètres!$A$1:$I$89,5,0)</f>
        <v>163.25712000000001</v>
      </c>
      <c r="P41" s="13">
        <f t="shared" si="33"/>
        <v>41.576304038313076</v>
      </c>
      <c r="Q41" s="20">
        <f t="shared" si="53"/>
        <v>356.75154686672863</v>
      </c>
      <c r="R41" s="59">
        <f t="shared" si="0"/>
        <v>650.08488020006189</v>
      </c>
      <c r="S41" s="59">
        <f ca="1">AVERAGE(OFFSET($R$3,0,0,'Données projet'!$E$9+1,1))-AVERAGE(OFFSET($H$3,0,0,'Données projet'!$E$9+1,1))</f>
        <v>353.37479213497227</v>
      </c>
      <c r="T41" s="59">
        <f t="shared" si="34"/>
        <v>345.4750813433123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7.3245873612437498</v>
      </c>
      <c r="AA41" s="21">
        <f>EXP(-LN(2)/25)*AA40+(1-EXP(-LN(2)/25))/(LN(2)/25)*Calculateur!V41*Calculateur!X41*VLOOKUP('Données projet'!$B$9,Paramètres!$A$1:$I$89,3,0)*0.475*44/12</f>
        <v>14.255674775755518</v>
      </c>
      <c r="AB41" s="21">
        <f>EXP(-LN(2)/2)*AB40+(1-EXP(-LN(2)/2))/(LN(2)/2)*V41*Y41*VLOOKUP('Données projet'!$B$9,Paramètres!$A$1:$I$89,3,0)*0.475*44/12</f>
        <v>2.8202626626417495</v>
      </c>
      <c r="AC41" s="22">
        <f t="shared" si="3"/>
        <v>24.400524799641016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6.4429411764705877</v>
      </c>
      <c r="AI41" s="13">
        <f>IF('Données projet'!$A$62&gt;35,AI40+AH41-AQ40,IF(A41&lt;'Données projet'!$A$62,$AF$205^A41,IF(A41='Données projet'!$A$62,'Données projet'!$B$62,AI40+AH41-AQ40)))</f>
        <v>244.83176470588222</v>
      </c>
      <c r="AJ41" s="13">
        <f>AI41*VLOOKUP('Données projet'!$B$10,Paramètres!$A$1:$I$89,3,0)*VLOOKUP('Données projet'!$B$10,Paramètres!$A$1:$I$89,5,0)</f>
        <v>114.58126588235287</v>
      </c>
      <c r="AK41" s="13">
        <f t="shared" si="35"/>
        <v>30.407789904629308</v>
      </c>
      <c r="AL41" s="20">
        <f t="shared" si="4"/>
        <v>252.5226054956606</v>
      </c>
      <c r="AM41" s="59">
        <f t="shared" si="5"/>
        <v>545.85593882899389</v>
      </c>
      <c r="AN41" s="59">
        <f ca="1">AVERAGE(OFFSET($AM$3,0,0,'Données projet'!$E$10+1,1))-AVERAGE(OFFSET($H$3,0,0,'Données projet'!$E$10+1,1))</f>
        <v>293.15557501692803</v>
      </c>
      <c r="AO41" s="59">
        <f t="shared" si="36"/>
        <v>237.1930412773068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4.5856818181818184</v>
      </c>
      <c r="BD41" s="12">
        <f>IF('Données projet'!$A$88&gt;35,BD40+BC41-BL40,IF(A41&lt;'Données projet'!$A$88,$BA$205^A41,IF(A41='Données projet'!$A$88,'Données projet'!$B$88,BD40+BC41-BL40)))</f>
        <v>174.25590909090926</v>
      </c>
      <c r="BE41" s="13">
        <f>BD41*VLOOKUP('Données projet'!$B$11,Paramètres!$A$1:$I$89,3,0)*VLOOKUP('Données projet'!$B$11,Paramètres!$A$1:$I$89,5,0)</f>
        <v>157.66674654545469</v>
      </c>
      <c r="BF41" s="13">
        <f t="shared" si="37"/>
        <v>40.315794476431826</v>
      </c>
      <c r="BG41" s="20">
        <f t="shared" si="7"/>
        <v>344.81959227978564</v>
      </c>
      <c r="BH41" s="59">
        <f t="shared" si="8"/>
        <v>638.1529256131189</v>
      </c>
      <c r="BI41" s="59">
        <f ca="1">AVERAGE(OFFSET($BH$3,0,0,'Données projet'!$E$11+1,1))-AVERAGE(OFFSET($H$3,0,0,'Données projet'!$E$11+1,1))</f>
        <v>490.06222615476065</v>
      </c>
      <c r="BJ41" s="59">
        <f t="shared" si="38"/>
        <v>310.43914804089906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11.4</v>
      </c>
      <c r="N42" s="13">
        <f>IF('Données projet'!$A$36&gt;35,N41+M42-V41,IF(A42&lt;'Données projet'!$A$36,$K$205^A42,IF(A42='Données projet'!$A$36,'Données projet'!$B$36,N41+M42-V41)))</f>
        <v>216.6</v>
      </c>
      <c r="O42" s="13">
        <f>N42*VLOOKUP('Données projet'!$B$9,Paramètres!$A$1:$I$89,3,0)*VLOOKUP('Données projet'!$B$9,Paramètres!$A$1:$I$89,5,0)</f>
        <v>172.32695999999999</v>
      </c>
      <c r="P42" s="13">
        <f t="shared" si="33"/>
        <v>43.61077213808133</v>
      </c>
      <c r="Q42" s="20">
        <f t="shared" si="53"/>
        <v>376.09155014049156</v>
      </c>
      <c r="R42" s="59">
        <f t="shared" si="0"/>
        <v>669.42488347382482</v>
      </c>
      <c r="S42" s="59">
        <f ca="1">AVERAGE(OFFSET($R$3,0,0,'Données projet'!$E$9+1,1))-AVERAGE(OFFSET($H$3,0,0,'Données projet'!$E$9+1,1))</f>
        <v>353.37479213497227</v>
      </c>
      <c r="T42" s="59">
        <f t="shared" si="34"/>
        <v>345.4750813433123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7.1809566706469159</v>
      </c>
      <c r="AA42" s="21">
        <f>EXP(-LN(2)/25)*AA41+(1-EXP(-LN(2)/25))/(LN(2)/25)*Calculateur!V42*Calculateur!X42*VLOOKUP('Données projet'!$B$9,Paramètres!$A$1:$I$89,3,0)*0.475*44/12</f>
        <v>13.865852599339128</v>
      </c>
      <c r="AB42" s="21">
        <f>EXP(-LN(2)/2)*AB41+(1-EXP(-LN(2)/2))/(LN(2)/2)*V42*Y42*VLOOKUP('Données projet'!$B$9,Paramètres!$A$1:$I$89,3,0)*0.475*44/12</f>
        <v>1.9942268534812095</v>
      </c>
      <c r="AC42" s="22">
        <f t="shared" si="3"/>
        <v>23.041036123467251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6.4429411764705877</v>
      </c>
      <c r="AI42" s="13">
        <f>IF('Données projet'!$A$62&gt;35,AI41+AH42-AQ41,IF(A42&lt;'Données projet'!$A$62,$AF$205^A42,IF(A42='Données projet'!$A$62,'Données projet'!$B$62,AI41+AH42-AQ41)))</f>
        <v>251.27470588235281</v>
      </c>
      <c r="AJ42" s="13">
        <f>AI42*VLOOKUP('Données projet'!$B$10,Paramètres!$A$1:$I$89,3,0)*VLOOKUP('Données projet'!$B$10,Paramètres!$A$1:$I$89,5,0)</f>
        <v>117.59656235294111</v>
      </c>
      <c r="AK42" s="13">
        <f t="shared" si="35"/>
        <v>31.113778580195845</v>
      </c>
      <c r="AL42" s="20">
        <f t="shared" si="4"/>
        <v>259.00384379188023</v>
      </c>
      <c r="AM42" s="59">
        <f t="shared" si="5"/>
        <v>552.33717712521354</v>
      </c>
      <c r="AN42" s="59">
        <f ca="1">AVERAGE(OFFSET($AM$3,0,0,'Données projet'!$E$10+1,1))-AVERAGE(OFFSET($H$3,0,0,'Données projet'!$E$10+1,1))</f>
        <v>293.15557501692803</v>
      </c>
      <c r="AO42" s="59">
        <f t="shared" si="36"/>
        <v>237.1930412773068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4.5856818181818184</v>
      </c>
      <c r="BD42" s="12">
        <f>IF('Données projet'!$A$88&gt;35,BD41+BC42-BL41,IF(A42&lt;'Données projet'!$A$88,$BA$205^A42,IF(A42='Données projet'!$A$88,'Données projet'!$B$88,BD41+BC42-BL41)))</f>
        <v>178.84159090909108</v>
      </c>
      <c r="BE42" s="13">
        <f>BD42*VLOOKUP('Données projet'!$B$11,Paramètres!$A$1:$I$89,3,0)*VLOOKUP('Données projet'!$B$11,Paramètres!$A$1:$I$89,5,0)</f>
        <v>161.8158714545456</v>
      </c>
      <c r="BF42" s="13">
        <f t="shared" si="37"/>
        <v>41.251820884010222</v>
      </c>
      <c r="BG42" s="20">
        <f t="shared" si="7"/>
        <v>353.67623082298468</v>
      </c>
      <c r="BH42" s="59">
        <f t="shared" si="8"/>
        <v>647.00956415631799</v>
      </c>
      <c r="BI42" s="59">
        <f ca="1">AVERAGE(OFFSET($BH$3,0,0,'Données projet'!$E$11+1,1))-AVERAGE(OFFSET($H$3,0,0,'Données projet'!$E$11+1,1))</f>
        <v>490.06222615476065</v>
      </c>
      <c r="BJ42" s="59">
        <f t="shared" si="38"/>
        <v>310.43914804089906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228</v>
      </c>
      <c r="L43" s="12">
        <f>VLOOKUP(A43,'Données projet'!$A$35:$I$55,9,0)</f>
        <v>11.4</v>
      </c>
      <c r="M43" s="12">
        <f t="array" ref="M43">INDEX(L:L,MIN(IF(ISNUMBER(L43:L239),ROW(L43:L239),"")))</f>
        <v>11.4</v>
      </c>
      <c r="N43" s="13">
        <f>IF('Données projet'!$A$36&gt;35,N42+M43-V42,IF(A43&lt;'Données projet'!$A$36,$K$205^A43,IF(A43='Données projet'!$A$36,'Données projet'!$B$36,N42+M43-V42)))</f>
        <v>228</v>
      </c>
      <c r="O43" s="13">
        <f>N43*VLOOKUP('Données projet'!$B$9,Paramètres!$A$1:$I$89,3,0)*VLOOKUP('Données projet'!$B$9,Paramètres!$A$1:$I$89,5,0)</f>
        <v>181.39680000000001</v>
      </c>
      <c r="P43" s="13">
        <f t="shared" si="33"/>
        <v>45.63280848550832</v>
      </c>
      <c r="Q43" s="20">
        <f t="shared" si="53"/>
        <v>395.40990144559368</v>
      </c>
      <c r="R43" s="59">
        <f t="shared" si="0"/>
        <v>688.74323477892699</v>
      </c>
      <c r="S43" s="59">
        <f ca="1">AVERAGE(OFFSET($R$3,0,0,'Données projet'!$E$9+1,1))-AVERAGE(OFFSET($H$3,0,0,'Données projet'!$E$9+1,1))</f>
        <v>353.37479213497227</v>
      </c>
      <c r="T43" s="59">
        <f t="shared" si="34"/>
        <v>345.4750813433123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35</v>
      </c>
      <c r="W43" s="16">
        <f>IF(ISNA(VLOOKUP(A43,'Données projet'!$A$35:$I$55,5,0)),0%,VLOOKUP(A43,'Données projet'!$A$35:$I$55,5,0)*VLOOKUP('Données projet'!$B$9,Paramètres!$A$1:$I$89,7,0))</f>
        <v>0.13250000000000001</v>
      </c>
      <c r="X43" s="16">
        <f>IF(ISNA(VLOOKUP(A43,'Données projet'!$A$35:$I$55,6,0)),0%,VLOOKUP(A43,'Données projet'!$A$35:$I$55,6,0)*VLOOKUP('Données projet'!$B$9,Paramètres!$A$1:$I$89,7,0))</f>
        <v>0.13250000000000001</v>
      </c>
      <c r="Y43" s="16">
        <f>IF(ISNA(VLOOKUP(A43,'Données projet'!$A$35:$I$55,7,0)),0%,VLOOKUP(A43,'Données projet'!$A$35:$I$55,7,0))</f>
        <v>0.25</v>
      </c>
      <c r="Z43" s="21">
        <f>EXP(-LN(2)/35)*Z42+(1-EXP(-LN(2)/35))/(LN(2)/35)*V43*W43*VLOOKUP('Données projet'!$B$9,Paramètres!$A$1:$I$89,3,0)*0.475*44/12</f>
        <v>11.118880475259491</v>
      </c>
      <c r="AA43" s="21">
        <f>EXP(-LN(2)/25)*AA42+(1-EXP(-LN(2)/25))/(LN(2)/25)*Calculateur!V43*Calculateur!X43*VLOOKUP('Données projet'!$B$9,Paramètres!$A$1:$I$89,3,0)*0.475*44/12</f>
        <v>17.549368570241725</v>
      </c>
      <c r="AB43" s="21">
        <f>EXP(-LN(2)/2)*AB42+(1-EXP(-LN(2)/2))/(LN(2)/2)*V43*Y43*VLOOKUP('Données projet'!$B$9,Paramètres!$A$1:$I$89,3,0)*0.475*44/12</f>
        <v>7.9784939473462853</v>
      </c>
      <c r="AC43" s="22">
        <f t="shared" si="3"/>
        <v>36.6467429928475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6.4429411764705877</v>
      </c>
      <c r="AI43" s="13">
        <f>IF('Données projet'!$A$62&gt;35,AI42+AH43-AQ42,IF(A43&lt;'Données projet'!$A$62,$AF$205^A43,IF(A43='Données projet'!$A$62,'Données projet'!$B$62,AI42+AH43-AQ42)))</f>
        <v>257.71764705882339</v>
      </c>
      <c r="AJ43" s="13">
        <f>AI43*VLOOKUP('Données projet'!$B$10,Paramètres!$A$1:$I$89,3,0)*VLOOKUP('Données projet'!$B$10,Paramètres!$A$1:$I$89,5,0)</f>
        <v>120.61185882352935</v>
      </c>
      <c r="AK43" s="13">
        <f t="shared" si="35"/>
        <v>31.817663048755449</v>
      </c>
      <c r="AL43" s="20">
        <f t="shared" si="4"/>
        <v>265.48141726089602</v>
      </c>
      <c r="AM43" s="59">
        <f t="shared" si="5"/>
        <v>558.81475059422928</v>
      </c>
      <c r="AN43" s="59">
        <f ca="1">AVERAGE(OFFSET($AM$3,0,0,'Données projet'!$E$10+1,1))-AVERAGE(OFFSET($H$3,0,0,'Données projet'!$E$10+1,1))</f>
        <v>293.15557501692803</v>
      </c>
      <c r="AO43" s="59">
        <f t="shared" si="36"/>
        <v>237.1930412773068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4.5856818181818184</v>
      </c>
      <c r="BD43" s="12">
        <f>IF('Données projet'!$A$88&gt;35,BD42+BC43-BL42,IF(A43&lt;'Données projet'!$A$88,$BA$205^A43,IF(A43='Données projet'!$A$88,'Données projet'!$B$88,BD42+BC43-BL42)))</f>
        <v>183.42727272727291</v>
      </c>
      <c r="BE43" s="13">
        <f>BD43*VLOOKUP('Données projet'!$B$11,Paramètres!$A$1:$I$89,3,0)*VLOOKUP('Données projet'!$B$11,Paramètres!$A$1:$I$89,5,0)</f>
        <v>165.96499636363652</v>
      </c>
      <c r="BF43" s="13">
        <f t="shared" si="37"/>
        <v>42.185057454593114</v>
      </c>
      <c r="BG43" s="20">
        <f t="shared" si="7"/>
        <v>362.52801040008325</v>
      </c>
      <c r="BH43" s="59">
        <f t="shared" si="8"/>
        <v>655.86134373341656</v>
      </c>
      <c r="BI43" s="59">
        <f ca="1">AVERAGE(OFFSET($BH$3,0,0,'Données projet'!$E$11+1,1))-AVERAGE(OFFSET($H$3,0,0,'Données projet'!$E$11+1,1))</f>
        <v>490.06222615476065</v>
      </c>
      <c r="BJ43" s="59">
        <f t="shared" si="38"/>
        <v>310.43914804089906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9.8000000000000007</v>
      </c>
      <c r="N44" s="13">
        <f>IF('Données projet'!$A$36&gt;35,N43+M44-V43,IF(A44&lt;'Données projet'!$A$36,$K$205^A44,IF(A44='Données projet'!$A$36,'Données projet'!$B$36,N43+M44-V43)))</f>
        <v>202.8</v>
      </c>
      <c r="O44" s="13">
        <f>N44*VLOOKUP('Données projet'!$B$9,Paramètres!$A$1:$I$89,3,0)*VLOOKUP('Données projet'!$B$9,Paramètres!$A$1:$I$89,5,0)</f>
        <v>161.34768000000003</v>
      </c>
      <c r="P44" s="13">
        <f t="shared" si="33"/>
        <v>41.146339844316657</v>
      </c>
      <c r="Q44" s="20">
        <f t="shared" si="53"/>
        <v>352.6770845621848</v>
      </c>
      <c r="R44" s="59">
        <f t="shared" si="0"/>
        <v>646.01041789551812</v>
      </c>
      <c r="S44" s="59">
        <f ca="1">AVERAGE(OFFSET($R$3,0,0,'Données projet'!$E$9+1,1))-AVERAGE(OFFSET($H$3,0,0,'Données projet'!$E$9+1,1))</f>
        <v>353.37479213497227</v>
      </c>
      <c r="T44" s="59">
        <f t="shared" si="34"/>
        <v>345.4750813433123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10.90084601098709</v>
      </c>
      <c r="AA44" s="21">
        <f>EXP(-LN(2)/25)*AA43+(1-EXP(-LN(2)/25))/(LN(2)/25)*Calculateur!V44*Calculateur!X44*VLOOKUP('Données projet'!$B$9,Paramètres!$A$1:$I$89,3,0)*0.475*44/12</f>
        <v>17.069480163807281</v>
      </c>
      <c r="AB44" s="21">
        <f>EXP(-LN(2)/2)*AB43+(1-EXP(-LN(2)/2))/(LN(2)/2)*V44*Y44*VLOOKUP('Données projet'!$B$9,Paramètres!$A$1:$I$89,3,0)*0.475*44/12</f>
        <v>5.6416471738243841</v>
      </c>
      <c r="AC44" s="22">
        <f t="shared" si="3"/>
        <v>33.611973348618754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6.4429411764705877</v>
      </c>
      <c r="AI44" s="13">
        <f>IF('Données projet'!$A$62&gt;35,AI43+AH44-AQ43,IF(A44&lt;'Données projet'!$A$62,$AF$205^A44,IF(A44='Données projet'!$A$62,'Données projet'!$B$62,AI43+AH44-AQ43)))</f>
        <v>264.16058823529397</v>
      </c>
      <c r="AJ44" s="13">
        <f>AI44*VLOOKUP('Données projet'!$B$10,Paramètres!$A$1:$I$89,3,0)*VLOOKUP('Données projet'!$B$10,Paramètres!$A$1:$I$89,5,0)</f>
        <v>123.62715529411757</v>
      </c>
      <c r="AK44" s="13">
        <f t="shared" si="35"/>
        <v>32.519501965719137</v>
      </c>
      <c r="AL44" s="20">
        <f t="shared" si="4"/>
        <v>271.95542806088224</v>
      </c>
      <c r="AM44" s="59">
        <f t="shared" si="5"/>
        <v>565.2887613942155</v>
      </c>
      <c r="AN44" s="59">
        <f ca="1">AVERAGE(OFFSET($AM$3,0,0,'Données projet'!$E$10+1,1))-AVERAGE(OFFSET($H$3,0,0,'Données projet'!$E$10+1,1))</f>
        <v>293.15557501692803</v>
      </c>
      <c r="AO44" s="59">
        <f t="shared" si="36"/>
        <v>237.1930412773068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4.5856818181818184</v>
      </c>
      <c r="BD44" s="12">
        <f>IF('Données projet'!$A$88&gt;35,BD43+BC44-BL43,IF(A44&lt;'Données projet'!$A$88,$BA$205^A44,IF(A44='Données projet'!$A$88,'Données projet'!$B$88,BD43+BC44-BL43)))</f>
        <v>188.01295454545473</v>
      </c>
      <c r="BE44" s="13">
        <f>BD44*VLOOKUP('Données projet'!$B$11,Paramètres!$A$1:$I$89,3,0)*VLOOKUP('Données projet'!$B$11,Paramètres!$A$1:$I$89,5,0)</f>
        <v>170.11412127272743</v>
      </c>
      <c r="BF44" s="13">
        <f t="shared" si="37"/>
        <v>43.115581955736218</v>
      </c>
      <c r="BG44" s="20">
        <f t="shared" si="7"/>
        <v>371.3750664562408</v>
      </c>
      <c r="BH44" s="59">
        <f t="shared" si="8"/>
        <v>664.70839978957406</v>
      </c>
      <c r="BI44" s="59">
        <f ca="1">AVERAGE(OFFSET($BH$3,0,0,'Données projet'!$E$11+1,1))-AVERAGE(OFFSET($H$3,0,0,'Données projet'!$E$11+1,1))</f>
        <v>490.06222615476065</v>
      </c>
      <c r="BJ44" s="59">
        <f t="shared" si="38"/>
        <v>310.43914804089906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9.8000000000000007</v>
      </c>
      <c r="N45" s="13">
        <f>IF('Données projet'!$A$36&gt;35,N44+M45-V44,IF(A45&lt;'Données projet'!$A$36,$K$205^A45,IF(A45='Données projet'!$A$36,'Données projet'!$B$36,N44+M45-V44)))</f>
        <v>212.60000000000002</v>
      </c>
      <c r="O45" s="13">
        <f>N45*VLOOKUP('Données projet'!$B$9,Paramètres!$A$1:$I$89,3,0)*VLOOKUP('Données projet'!$B$9,Paramètres!$A$1:$I$89,5,0)</f>
        <v>169.14456000000004</v>
      </c>
      <c r="P45" s="13">
        <f t="shared" si="33"/>
        <v>42.898377267189964</v>
      </c>
      <c r="Q45" s="20">
        <f t="shared" si="53"/>
        <v>369.30811574035596</v>
      </c>
      <c r="R45" s="59">
        <f t="shared" si="0"/>
        <v>662.64144907368927</v>
      </c>
      <c r="S45" s="59">
        <f ca="1">AVERAGE(OFFSET($R$3,0,0,'Données projet'!$E$9+1,1))-AVERAGE(OFFSET($H$3,0,0,'Données projet'!$E$9+1,1))</f>
        <v>353.37479213497227</v>
      </c>
      <c r="T45" s="59">
        <f t="shared" si="34"/>
        <v>345.4750813433123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10.687087069571179</v>
      </c>
      <c r="AA45" s="21">
        <f>EXP(-LN(2)/25)*AA44+(1-EXP(-LN(2)/25))/(LN(2)/25)*Calculateur!V45*Calculateur!X45*VLOOKUP('Données projet'!$B$9,Paramètres!$A$1:$I$89,3,0)*0.475*44/12</f>
        <v>16.602714331083021</v>
      </c>
      <c r="AB45" s="21">
        <f>EXP(-LN(2)/2)*AB44+(1-EXP(-LN(2)/2))/(LN(2)/2)*V45*Y45*VLOOKUP('Données projet'!$B$9,Paramètres!$A$1:$I$89,3,0)*0.475*44/12</f>
        <v>3.9892469736731431</v>
      </c>
      <c r="AC45" s="22">
        <f t="shared" si="3"/>
        <v>31.279048374327342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6.4429411764705877</v>
      </c>
      <c r="AI45" s="13">
        <f>IF('Données projet'!$A$62&gt;35,AI44+AH45-AQ44,IF(A45&lt;'Données projet'!$A$62,$AF$205^A45,IF(A45='Données projet'!$A$62,'Données projet'!$B$62,AI44+AH45-AQ44)))</f>
        <v>270.60352941176455</v>
      </c>
      <c r="AJ45" s="13">
        <f>AI45*VLOOKUP('Données projet'!$B$10,Paramètres!$A$1:$I$89,3,0)*VLOOKUP('Données projet'!$B$10,Paramètres!$A$1:$I$89,5,0)</f>
        <v>126.64245176470581</v>
      </c>
      <c r="AK45" s="13">
        <f t="shared" si="35"/>
        <v>33.219350962124722</v>
      </c>
      <c r="AL45" s="20">
        <f t="shared" si="4"/>
        <v>278.42597308256319</v>
      </c>
      <c r="AM45" s="59">
        <f t="shared" si="5"/>
        <v>571.7593064158965</v>
      </c>
      <c r="AN45" s="59">
        <f ca="1">AVERAGE(OFFSET($AM$3,0,0,'Données projet'!$E$10+1,1))-AVERAGE(OFFSET($H$3,0,0,'Données projet'!$E$10+1,1))</f>
        <v>293.15557501692803</v>
      </c>
      <c r="AO45" s="59">
        <f t="shared" si="36"/>
        <v>237.1930412773068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4.5856818181818184</v>
      </c>
      <c r="BD45" s="12">
        <f>IF('Données projet'!$A$88&gt;35,BD44+BC45-BL44,IF(A45&lt;'Données projet'!$A$88,$BA$205^A45,IF(A45='Données projet'!$A$88,'Données projet'!$B$88,BD44+BC45-BL44)))</f>
        <v>192.59863636363656</v>
      </c>
      <c r="BE45" s="13">
        <f>BD45*VLOOKUP('Données projet'!$B$11,Paramètres!$A$1:$I$89,3,0)*VLOOKUP('Données projet'!$B$11,Paramètres!$A$1:$I$89,5,0)</f>
        <v>174.26324618181837</v>
      </c>
      <c r="BF45" s="13">
        <f t="shared" si="37"/>
        <v>44.043468145167253</v>
      </c>
      <c r="BG45" s="20">
        <f t="shared" si="7"/>
        <v>380.21752745283328</v>
      </c>
      <c r="BH45" s="59">
        <f t="shared" si="8"/>
        <v>673.5508607861666</v>
      </c>
      <c r="BI45" s="59">
        <f ca="1">AVERAGE(OFFSET($BH$3,0,0,'Données projet'!$E$11+1,1))-AVERAGE(OFFSET($H$3,0,0,'Données projet'!$E$11+1,1))</f>
        <v>490.06222615476065</v>
      </c>
      <c r="BJ45" s="59">
        <f t="shared" si="38"/>
        <v>310.43914804089906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9.8000000000000007</v>
      </c>
      <c r="N46" s="13">
        <f>IF('Données projet'!$A$36&gt;35,N45+M46-V45,IF(A46&lt;'Données projet'!$A$36,$K$205^A46,IF(A46='Données projet'!$A$36,'Données projet'!$B$36,N45+M46-V45)))</f>
        <v>222.40000000000003</v>
      </c>
      <c r="O46" s="13">
        <f>N46*VLOOKUP('Données projet'!$B$9,Paramètres!$A$1:$I$89,3,0)*VLOOKUP('Données projet'!$B$9,Paramètres!$A$1:$I$89,5,0)</f>
        <v>176.94144000000003</v>
      </c>
      <c r="P46" s="13">
        <f t="shared" si="33"/>
        <v>44.641035679901449</v>
      </c>
      <c r="Q46" s="20">
        <f t="shared" si="53"/>
        <v>385.92281180916171</v>
      </c>
      <c r="R46" s="59">
        <f t="shared" si="0"/>
        <v>679.25614514249503</v>
      </c>
      <c r="S46" s="59">
        <f ca="1">AVERAGE(OFFSET($R$3,0,0,'Données projet'!$E$9+1,1))-AVERAGE(OFFSET($H$3,0,0,'Données projet'!$E$9+1,1))</f>
        <v>353.37479213497227</v>
      </c>
      <c r="T46" s="59">
        <f t="shared" si="34"/>
        <v>345.4750813433123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10.477519810616354</v>
      </c>
      <c r="AA46" s="21">
        <f>EXP(-LN(2)/25)*AA45+(1-EXP(-LN(2)/25))/(LN(2)/25)*Calculateur!V46*Calculateur!X46*VLOOKUP('Données projet'!$B$9,Paramètres!$A$1:$I$89,3,0)*0.475*44/12</f>
        <v>16.148712234600755</v>
      </c>
      <c r="AB46" s="21">
        <f>EXP(-LN(2)/2)*AB45+(1-EXP(-LN(2)/2))/(LN(2)/2)*V46*Y46*VLOOKUP('Données projet'!$B$9,Paramètres!$A$1:$I$89,3,0)*0.475*44/12</f>
        <v>2.8208235869121925</v>
      </c>
      <c r="AC46" s="22">
        <f t="shared" si="3"/>
        <v>29.447055632129299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6.4429411764705877</v>
      </c>
      <c r="AI46" s="13">
        <f>IF('Données projet'!$A$62&gt;35,AI45+AH46-AQ45,IF(A46&lt;'Données projet'!$A$62,$AF$205^A46,IF(A46='Données projet'!$A$62,'Données projet'!$B$62,AI45+AH46-AQ45)))</f>
        <v>277.04647058823514</v>
      </c>
      <c r="AJ46" s="13">
        <f>AI46*VLOOKUP('Données projet'!$B$10,Paramètres!$A$1:$I$89,3,0)*VLOOKUP('Données projet'!$B$10,Paramètres!$A$1:$I$89,5,0)</f>
        <v>129.65774823529404</v>
      </c>
      <c r="AK46" s="13">
        <f t="shared" si="35"/>
        <v>33.917262868819897</v>
      </c>
      <c r="AL46" s="20">
        <f t="shared" si="4"/>
        <v>284.89314433966507</v>
      </c>
      <c r="AM46" s="59">
        <f t="shared" si="5"/>
        <v>578.22647767299839</v>
      </c>
      <c r="AN46" s="59">
        <f ca="1">AVERAGE(OFFSET($AM$3,0,0,'Données projet'!$E$10+1,1))-AVERAGE(OFFSET($H$3,0,0,'Données projet'!$E$10+1,1))</f>
        <v>293.15557501692803</v>
      </c>
      <c r="AO46" s="59">
        <f t="shared" si="36"/>
        <v>237.1930412773068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4.5856818181818184</v>
      </c>
      <c r="BD46" s="12">
        <f>IF('Données projet'!$A$88&gt;35,BD45+BC46-BL45,IF(A46&lt;'Données projet'!$A$88,$BA$205^A46,IF(A46='Données projet'!$A$88,'Données projet'!$B$88,BD45+BC46-BL45)))</f>
        <v>197.18431818181838</v>
      </c>
      <c r="BE46" s="13">
        <f>BD46*VLOOKUP('Données projet'!$B$11,Paramètres!$A$1:$I$89,3,0)*VLOOKUP('Données projet'!$B$11,Paramètres!$A$1:$I$89,5,0)</f>
        <v>178.41237109090926</v>
      </c>
      <c r="BF46" s="13">
        <f t="shared" si="37"/>
        <v>44.968786068016108</v>
      </c>
      <c r="BG46" s="20">
        <f t="shared" si="7"/>
        <v>389.05551538512827</v>
      </c>
      <c r="BH46" s="59">
        <f t="shared" si="8"/>
        <v>682.38884871846153</v>
      </c>
      <c r="BI46" s="59">
        <f ca="1">AVERAGE(OFFSET($BH$3,0,0,'Données projet'!$E$11+1,1))-AVERAGE(OFFSET($H$3,0,0,'Données projet'!$E$11+1,1))</f>
        <v>490.06222615476065</v>
      </c>
      <c r="BJ46" s="59">
        <f t="shared" si="38"/>
        <v>310.43914804089906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9.8000000000000007</v>
      </c>
      <c r="N47" s="13">
        <f>IF('Données projet'!$A$36&gt;35,N46+M47-V46,IF(A47&lt;'Données projet'!$A$36,$K$205^A47,IF(A47='Données projet'!$A$36,'Données projet'!$B$36,N46+M47-V46)))</f>
        <v>232.20000000000005</v>
      </c>
      <c r="O47" s="13">
        <f>N47*VLOOKUP('Données projet'!$B$9,Paramètres!$A$1:$I$89,3,0)*VLOOKUP('Données projet'!$B$9,Paramètres!$A$1:$I$89,5,0)</f>
        <v>184.73832000000004</v>
      </c>
      <c r="P47" s="13">
        <f t="shared" si="33"/>
        <v>46.374775595471988</v>
      </c>
      <c r="Q47" s="20">
        <f t="shared" si="53"/>
        <v>402.52197482878046</v>
      </c>
      <c r="R47" s="59">
        <f t="shared" si="0"/>
        <v>695.85530816211372</v>
      </c>
      <c r="S47" s="59">
        <f ca="1">AVERAGE(OFFSET($R$3,0,0,'Données projet'!$E$9+1,1))-AVERAGE(OFFSET($H$3,0,0,'Données projet'!$E$9+1,1))</f>
        <v>353.37479213497227</v>
      </c>
      <c r="T47" s="59">
        <f t="shared" si="34"/>
        <v>345.4750813433123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10.272062037786226</v>
      </c>
      <c r="AA47" s="21">
        <f>EXP(-LN(2)/25)*AA46+(1-EXP(-LN(2)/25))/(LN(2)/25)*Calculateur!V47*Calculateur!X47*VLOOKUP('Données projet'!$B$9,Paramètres!$A$1:$I$89,3,0)*0.475*44/12</f>
        <v>15.70712484932173</v>
      </c>
      <c r="AB47" s="21">
        <f>EXP(-LN(2)/2)*AB46+(1-EXP(-LN(2)/2))/(LN(2)/2)*V47*Y47*VLOOKUP('Données projet'!$B$9,Paramètres!$A$1:$I$89,3,0)*0.475*44/12</f>
        <v>1.994623486836572</v>
      </c>
      <c r="AC47" s="22">
        <f t="shared" si="3"/>
        <v>27.973810373944531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6.4429411764705877</v>
      </c>
      <c r="AI47" s="13">
        <f>IF('Données projet'!$A$62&gt;35,AI46+AH47-AQ46,IF(A47&lt;'Données projet'!$A$62,$AF$205^A47,IF(A47='Données projet'!$A$62,'Données projet'!$B$62,AI46+AH47-AQ46)))</f>
        <v>283.48941176470572</v>
      </c>
      <c r="AJ47" s="13">
        <f>AI47*VLOOKUP('Données projet'!$B$10,Paramètres!$A$1:$I$89,3,0)*VLOOKUP('Données projet'!$B$10,Paramètres!$A$1:$I$89,5,0)</f>
        <v>132.67304470588229</v>
      </c>
      <c r="AK47" s="13">
        <f t="shared" si="35"/>
        <v>34.613287919203351</v>
      </c>
      <c r="AL47" s="20">
        <f t="shared" si="4"/>
        <v>291.35702932202412</v>
      </c>
      <c r="AM47" s="59">
        <f t="shared" si="5"/>
        <v>584.69036265535738</v>
      </c>
      <c r="AN47" s="59">
        <f ca="1">AVERAGE(OFFSET($AM$3,0,0,'Données projet'!$E$10+1,1))-AVERAGE(OFFSET($H$3,0,0,'Données projet'!$E$10+1,1))</f>
        <v>293.15557501692803</v>
      </c>
      <c r="AO47" s="59">
        <f t="shared" si="36"/>
        <v>237.1930412773068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201.77</v>
      </c>
      <c r="BB47" s="12">
        <f>VLOOKUP(A47,'Données projet'!$A$87:$I$107,9,0)</f>
        <v>4.5856818181818184</v>
      </c>
      <c r="BC47" s="12">
        <f t="array" ref="BC47">INDEX(BB:BB,MIN(IF(ISNUMBER(BB47:BB243),ROW(BB47:BB243),"")))</f>
        <v>4.5856818181818184</v>
      </c>
      <c r="BD47" s="12">
        <f>IF('Données projet'!$A$88&gt;35,BD46+BC47-BL46,IF(A47&lt;'Données projet'!$A$88,$BA$205^A47,IF(A47='Données projet'!$A$88,'Données projet'!$B$88,BD46+BC47-BL46)))</f>
        <v>201.77000000000021</v>
      </c>
      <c r="BE47" s="13">
        <f>BD47*VLOOKUP('Données projet'!$B$11,Paramètres!$A$1:$I$89,3,0)*VLOOKUP('Données projet'!$B$11,Paramètres!$A$1:$I$89,5,0)</f>
        <v>182.56149600000018</v>
      </c>
      <c r="BF47" s="13">
        <f t="shared" si="37"/>
        <v>45.891602325617114</v>
      </c>
      <c r="BG47" s="20">
        <f t="shared" si="7"/>
        <v>397.8891462504501</v>
      </c>
      <c r="BH47" s="59">
        <f t="shared" si="8"/>
        <v>691.22247958378341</v>
      </c>
      <c r="BI47" s="59">
        <f ca="1">AVERAGE(OFFSET($BH$3,0,0,'Données projet'!$E$11+1,1))-AVERAGE(OFFSET($H$3,0,0,'Données projet'!$E$11+1,1))</f>
        <v>490.06222615476065</v>
      </c>
      <c r="BJ47" s="59">
        <f t="shared" si="38"/>
        <v>310.43914804089906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76.680000000000007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0.34400000000000003</v>
      </c>
      <c r="BO47" s="16">
        <f>IF(ISNA(VLOOKUP(A47,'Données projet'!$A$87:$I$107,7,0)),0%,VLOOKUP(A47,'Données projet'!$A$87:$I$107,7,0))</f>
        <v>0.2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26.280092586651165</v>
      </c>
      <c r="BR47" s="21">
        <f>EXP(-LN(2)/2)*BR46+(1-EXP(-LN(2)/2))/(LN(2)/2)*BL47*BO47*VLOOKUP('Données projet'!$B$11,Paramètres!$A$1:$I$89,3,0)*0.475*44/12</f>
        <v>13.092391544208875</v>
      </c>
      <c r="BS47" s="22">
        <f t="shared" si="9"/>
        <v>39.372484130860038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242</v>
      </c>
      <c r="L48" s="12">
        <f>VLOOKUP(A48,'Données projet'!$A$35:$I$55,9,0)</f>
        <v>9.8000000000000007</v>
      </c>
      <c r="M48" s="12">
        <f t="array" ref="M48">INDEX(L:L,MIN(IF(ISNUMBER(L48:L244),ROW(L48:L244),"")))</f>
        <v>9.8000000000000007</v>
      </c>
      <c r="N48" s="13">
        <f>IF('Données projet'!$A$36&gt;35,N47+M48-V47,IF(A48&lt;'Données projet'!$A$36,$K$205^A48,IF(A48='Données projet'!$A$36,'Données projet'!$B$36,N47+M48-V47)))</f>
        <v>242.00000000000006</v>
      </c>
      <c r="O48" s="13">
        <f>N48*VLOOKUP('Données projet'!$B$9,Paramètres!$A$1:$I$89,3,0)*VLOOKUP('Données projet'!$B$9,Paramètres!$A$1:$I$89,5,0)</f>
        <v>192.53520000000006</v>
      </c>
      <c r="P48" s="13">
        <f t="shared" si="33"/>
        <v>48.100016456123079</v>
      </c>
      <c r="Q48" s="20">
        <f t="shared" si="53"/>
        <v>419.10633532774779</v>
      </c>
      <c r="R48" s="59">
        <f t="shared" si="0"/>
        <v>712.4396686610811</v>
      </c>
      <c r="S48" s="59">
        <f ca="1">AVERAGE(OFFSET($R$3,0,0,'Données projet'!$E$9+1,1))-AVERAGE(OFFSET($H$3,0,0,'Données projet'!$E$9+1,1))</f>
        <v>353.37479213497227</v>
      </c>
      <c r="T48" s="59">
        <f t="shared" si="34"/>
        <v>345.4750813433123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24</v>
      </c>
      <c r="W48" s="16">
        <f>IF(ISNA(VLOOKUP(A48,'Données projet'!$A$35:$I$55,5,0)),0%,VLOOKUP(A48,'Données projet'!$A$35:$I$55,5,0)*VLOOKUP('Données projet'!$B$9,Paramètres!$A$1:$I$89,7,0))</f>
        <v>0.13250000000000001</v>
      </c>
      <c r="X48" s="16">
        <f>IF(ISNA(VLOOKUP(A48,'Données projet'!$A$35:$I$55,6,0)),0%,VLOOKUP(A48,'Données projet'!$A$35:$I$55,6,0)*VLOOKUP('Données projet'!$B$9,Paramètres!$A$1:$I$89,7,0))</f>
        <v>0.13250000000000001</v>
      </c>
      <c r="Y48" s="16">
        <f>IF(ISNA(VLOOKUP(A48,'Données projet'!$A$35:$I$55,7,0)),0%,VLOOKUP(A48,'Données projet'!$A$35:$I$55,7,0))</f>
        <v>0.25</v>
      </c>
      <c r="Z48" s="21">
        <f>EXP(-LN(2)/35)*Z47+(1-EXP(-LN(2)/35))/(LN(2)/35)*V48*W48*VLOOKUP('Données projet'!$B$9,Paramètres!$A$1:$I$89,3,0)*0.475*44/12</f>
        <v>12.867482070545831</v>
      </c>
      <c r="AA48" s="21">
        <f>EXP(-LN(2)/25)*AA47+(1-EXP(-LN(2)/25))/(LN(2)/25)*Calculateur!V48*Calculateur!X48*VLOOKUP('Données projet'!$B$9,Paramètres!$A$1:$I$89,3,0)*0.475*44/12</f>
        <v>18.063449338478677</v>
      </c>
      <c r="AB48" s="21">
        <f>EXP(-LN(2)/2)*AB47+(1-EXP(-LN(2)/2))/(LN(2)/2)*V48*Y48*VLOOKUP('Données projet'!$B$9,Paramètres!$A$1:$I$89,3,0)*0.475*44/12</f>
        <v>5.914431873016377</v>
      </c>
      <c r="AC48" s="22">
        <f t="shared" si="3"/>
        <v>36.845363282040886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6.4429411764705877</v>
      </c>
      <c r="AI48" s="13">
        <f>IF('Données projet'!$A$62&gt;35,AI47+AH48-AQ47,IF(A48&lt;'Données projet'!$A$62,$AF$205^A48,IF(A48='Données projet'!$A$62,'Données projet'!$B$62,AI47+AH48-AQ47)))</f>
        <v>289.9323529411763</v>
      </c>
      <c r="AJ48" s="13">
        <f>AI48*VLOOKUP('Données projet'!$B$10,Paramètres!$A$1:$I$89,3,0)*VLOOKUP('Données projet'!$B$10,Paramètres!$A$1:$I$89,5,0)</f>
        <v>135.68834117647052</v>
      </c>
      <c r="AK48" s="13">
        <f t="shared" si="35"/>
        <v>35.307473933015544</v>
      </c>
      <c r="AL48" s="20">
        <f t="shared" si="4"/>
        <v>297.8177113156882</v>
      </c>
      <c r="AM48" s="59">
        <f t="shared" si="5"/>
        <v>591.15104464902151</v>
      </c>
      <c r="AN48" s="59">
        <f ca="1">AVERAGE(OFFSET($AM$3,0,0,'Données projet'!$E$10+1,1))-AVERAGE(OFFSET($H$3,0,0,'Données projet'!$E$10+1,1))</f>
        <v>293.15557501692803</v>
      </c>
      <c r="AO48" s="59">
        <f t="shared" si="36"/>
        <v>237.1930412773068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9.6799999999999979</v>
      </c>
      <c r="BD48" s="12">
        <f>IF('Données projet'!$A$88&gt;35,BD47+BC48-BL47,IF(A48&lt;'Données projet'!$A$88,$BA$205^A48,IF(A48='Données projet'!$A$88,'Données projet'!$B$88,BD47+BC48-BL47)))</f>
        <v>134.77000000000021</v>
      </c>
      <c r="BE48" s="13">
        <f>BD48*VLOOKUP('Données projet'!$B$11,Paramètres!$A$1:$I$89,3,0)*VLOOKUP('Données projet'!$B$11,Paramètres!$A$1:$I$89,5,0)</f>
        <v>121.93989600000019</v>
      </c>
      <c r="BF48" s="13">
        <f t="shared" si="37"/>
        <v>32.127025032251971</v>
      </c>
      <c r="BG48" s="20">
        <f t="shared" si="7"/>
        <v>268.3332207978392</v>
      </c>
      <c r="BH48" s="59">
        <f t="shared" si="8"/>
        <v>561.66655413117246</v>
      </c>
      <c r="BI48" s="59">
        <f ca="1">AVERAGE(OFFSET($BH$3,0,0,'Données projet'!$E$11+1,1))-AVERAGE(OFFSET($H$3,0,0,'Données projet'!$E$11+1,1))</f>
        <v>490.06222615476065</v>
      </c>
      <c r="BJ48" s="59">
        <f t="shared" si="38"/>
        <v>310.43914804089906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25.561462072859182</v>
      </c>
      <c r="BR48" s="21">
        <f>EXP(-LN(2)/2)*BR47+(1-EXP(-LN(2)/2))/(LN(2)/2)*BL48*BO48*VLOOKUP('Données projet'!$B$11,Paramètres!$A$1:$I$89,3,0)*0.475*44/12</f>
        <v>9.2577188428595107</v>
      </c>
      <c r="BS48" s="22">
        <f t="shared" si="9"/>
        <v>34.81918091571869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8.6</v>
      </c>
      <c r="N49" s="13">
        <f>IF('Données projet'!$A$36&gt;35,N48+M49-V48,IF(A49&lt;'Données projet'!$A$36,$K$205^A49,IF(A49='Données projet'!$A$36,'Données projet'!$B$36,N48+M49-V48)))</f>
        <v>226.60000000000005</v>
      </c>
      <c r="O49" s="13">
        <f>N49*VLOOKUP('Données projet'!$B$9,Paramètres!$A$1:$I$89,3,0)*VLOOKUP('Données projet'!$B$9,Paramètres!$A$1:$I$89,5,0)</f>
        <v>180.28296000000006</v>
      </c>
      <c r="P49" s="13">
        <f t="shared" si="33"/>
        <v>45.385133797071397</v>
      </c>
      <c r="Q49" s="20">
        <f t="shared" si="53"/>
        <v>393.03859669656612</v>
      </c>
      <c r="R49" s="59">
        <f t="shared" si="0"/>
        <v>686.37193002989943</v>
      </c>
      <c r="S49" s="59">
        <f ca="1">AVERAGE(OFFSET($R$3,0,0,'Données projet'!$E$9+1,1))-AVERAGE(OFFSET($H$3,0,0,'Données projet'!$E$9+1,1))</f>
        <v>353.37479213497227</v>
      </c>
      <c r="T49" s="59">
        <f t="shared" si="34"/>
        <v>345.4750813433123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12.615158595531527</v>
      </c>
      <c r="AA49" s="21">
        <f>EXP(-LN(2)/25)*AA48+(1-EXP(-LN(2)/25))/(LN(2)/25)*Calculateur!V49*Calculateur!X49*VLOOKUP('Données projet'!$B$9,Paramètres!$A$1:$I$89,3,0)*0.475*44/12</f>
        <v>17.569503366402461</v>
      </c>
      <c r="AB49" s="21">
        <f>EXP(-LN(2)/2)*AB48+(1-EXP(-LN(2)/2))/(LN(2)/2)*V49*Y49*VLOOKUP('Données projet'!$B$9,Paramètres!$A$1:$I$89,3,0)*0.475*44/12</f>
        <v>4.182134884275734</v>
      </c>
      <c r="AC49" s="22">
        <f t="shared" si="3"/>
        <v>34.366796846209724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6.4429411764705877</v>
      </c>
      <c r="AI49" s="13">
        <f>IF('Données projet'!$A$62&gt;35,AI48+AH49-AQ48,IF(A49&lt;'Données projet'!$A$62,$AF$205^A49,IF(A49='Données projet'!$A$62,'Données projet'!$B$62,AI48+AH49-AQ48)))</f>
        <v>296.37529411764689</v>
      </c>
      <c r="AJ49" s="13">
        <f>AI49*VLOOKUP('Données projet'!$B$10,Paramètres!$A$1:$I$89,3,0)*VLOOKUP('Données projet'!$B$10,Paramètres!$A$1:$I$89,5,0)</f>
        <v>138.70363764705874</v>
      </c>
      <c r="AK49" s="13">
        <f t="shared" si="35"/>
        <v>35.999866483331765</v>
      </c>
      <c r="AL49" s="20">
        <f t="shared" si="4"/>
        <v>304.27526969376351</v>
      </c>
      <c r="AM49" s="59">
        <f t="shared" si="5"/>
        <v>597.60860302709682</v>
      </c>
      <c r="AN49" s="59">
        <f ca="1">AVERAGE(OFFSET($AM$3,0,0,'Données projet'!$E$10+1,1))-AVERAGE(OFFSET($H$3,0,0,'Données projet'!$E$10+1,1))</f>
        <v>293.15557501692803</v>
      </c>
      <c r="AO49" s="59">
        <f t="shared" si="36"/>
        <v>237.1930412773068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9.6799999999999979</v>
      </c>
      <c r="BD49" s="12">
        <f>IF('Données projet'!$A$88&gt;35,BD48+BC49-BL48,IF(A49&lt;'Données projet'!$A$88,$BA$205^A49,IF(A49='Données projet'!$A$88,'Données projet'!$B$88,BD48+BC49-BL48)))</f>
        <v>144.45000000000022</v>
      </c>
      <c r="BE49" s="13">
        <f>BD49*VLOOKUP('Données projet'!$B$11,Paramètres!$A$1:$I$89,3,0)*VLOOKUP('Données projet'!$B$11,Paramètres!$A$1:$I$89,5,0)</f>
        <v>130.69836000000018</v>
      </c>
      <c r="BF49" s="13">
        <f t="shared" si="37"/>
        <v>34.157679472020803</v>
      </c>
      <c r="BG49" s="20">
        <f t="shared" si="7"/>
        <v>287.12426874710326</v>
      </c>
      <c r="BH49" s="59">
        <f t="shared" si="8"/>
        <v>580.45760208043657</v>
      </c>
      <c r="BI49" s="59">
        <f ca="1">AVERAGE(OFFSET($BH$3,0,0,'Données projet'!$E$11+1,1))-AVERAGE(OFFSET($H$3,0,0,'Données projet'!$E$11+1,1))</f>
        <v>490.06222615476065</v>
      </c>
      <c r="BJ49" s="59">
        <f t="shared" si="38"/>
        <v>310.43914804089906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24.862482548257979</v>
      </c>
      <c r="BR49" s="21">
        <f>EXP(-LN(2)/2)*BR48+(1-EXP(-LN(2)/2))/(LN(2)/2)*BL49*BO49*VLOOKUP('Données projet'!$B$11,Paramètres!$A$1:$I$89,3,0)*0.475*44/12</f>
        <v>6.5461957721044381</v>
      </c>
      <c r="BS49" s="22">
        <f t="shared" si="9"/>
        <v>31.408678320362419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8.6</v>
      </c>
      <c r="N50" s="13">
        <f>IF('Données projet'!$A$36&gt;35,N49+M50-V49,IF(A50&lt;'Données projet'!$A$36,$K$205^A50,IF(A50='Données projet'!$A$36,'Données projet'!$B$36,N49+M50-V49)))</f>
        <v>235.20000000000005</v>
      </c>
      <c r="O50" s="13">
        <f>N50*VLOOKUP('Données projet'!$B$9,Paramètres!$A$1:$I$89,3,0)*VLOOKUP('Données projet'!$B$9,Paramètres!$A$1:$I$89,5,0)</f>
        <v>187.12512000000004</v>
      </c>
      <c r="P50" s="13">
        <f t="shared" si="33"/>
        <v>46.903794805770545</v>
      </c>
      <c r="Q50" s="20">
        <f t="shared" si="53"/>
        <v>407.60035995338376</v>
      </c>
      <c r="R50" s="59">
        <f t="shared" si="0"/>
        <v>700.93369328671702</v>
      </c>
      <c r="S50" s="59">
        <f ca="1">AVERAGE(OFFSET($R$3,0,0,'Données projet'!$E$9+1,1))-AVERAGE(OFFSET($H$3,0,0,'Données projet'!$E$9+1,1))</f>
        <v>353.37479213497227</v>
      </c>
      <c r="T50" s="59">
        <f t="shared" si="34"/>
        <v>345.4750813433123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12.36778302996013</v>
      </c>
      <c r="AA50" s="21">
        <f>EXP(-LN(2)/25)*AA49+(1-EXP(-LN(2)/25))/(LN(2)/25)*Calculateur!V50*Calculateur!X50*VLOOKUP('Données projet'!$B$9,Paramètres!$A$1:$I$89,3,0)*0.475*44/12</f>
        <v>17.089064372908158</v>
      </c>
      <c r="AB50" s="21">
        <f>EXP(-LN(2)/2)*AB49+(1-EXP(-LN(2)/2))/(LN(2)/2)*V50*Y50*VLOOKUP('Données projet'!$B$9,Paramètres!$A$1:$I$89,3,0)*0.475*44/12</f>
        <v>2.9572159365081889</v>
      </c>
      <c r="AC50" s="22">
        <f t="shared" si="3"/>
        <v>32.414063339376476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6.4429411764705877</v>
      </c>
      <c r="AI50" s="13">
        <f>IF('Données projet'!$A$62&gt;35,AI49+AH50-AQ49,IF(A50&lt;'Données projet'!$A$62,$AF$205^A50,IF(A50='Données projet'!$A$62,'Données projet'!$B$62,AI49+AH50-AQ49)))</f>
        <v>302.81823529411747</v>
      </c>
      <c r="AJ50" s="13">
        <f>AI50*VLOOKUP('Données projet'!$B$10,Paramètres!$A$1:$I$89,3,0)*VLOOKUP('Données projet'!$B$10,Paramètres!$A$1:$I$89,5,0)</f>
        <v>141.71893411764697</v>
      </c>
      <c r="AK50" s="13">
        <f t="shared" si="35"/>
        <v>36.690509048624413</v>
      </c>
      <c r="AL50" s="20">
        <f t="shared" si="4"/>
        <v>310.72978018125599</v>
      </c>
      <c r="AM50" s="59">
        <f t="shared" si="5"/>
        <v>604.0631135145893</v>
      </c>
      <c r="AN50" s="59">
        <f ca="1">AVERAGE(OFFSET($AM$3,0,0,'Données projet'!$E$10+1,1))-AVERAGE(OFFSET($H$3,0,0,'Données projet'!$E$10+1,1))</f>
        <v>293.15557501692803</v>
      </c>
      <c r="AO50" s="59">
        <f t="shared" si="36"/>
        <v>237.1930412773068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9.6799999999999979</v>
      </c>
      <c r="BD50" s="12">
        <f>IF('Données projet'!$A$88&gt;35,BD49+BC50-BL49,IF(A50&lt;'Données projet'!$A$88,$BA$205^A50,IF(A50='Données projet'!$A$88,'Données projet'!$B$88,BD49+BC50-BL49)))</f>
        <v>154.13000000000022</v>
      </c>
      <c r="BE50" s="13">
        <f>BD50*VLOOKUP('Données projet'!$B$11,Paramètres!$A$1:$I$89,3,0)*VLOOKUP('Données projet'!$B$11,Paramètres!$A$1:$I$89,5,0)</f>
        <v>139.45682400000021</v>
      </c>
      <c r="BF50" s="13">
        <f t="shared" si="37"/>
        <v>36.172543362339141</v>
      </c>
      <c r="BG50" s="20">
        <f t="shared" si="7"/>
        <v>305.88781482274101</v>
      </c>
      <c r="BH50" s="59">
        <f t="shared" si="8"/>
        <v>599.22114815607438</v>
      </c>
      <c r="BI50" s="59">
        <f ca="1">AVERAGE(OFFSET($BH$3,0,0,'Données projet'!$E$11+1,1))-AVERAGE(OFFSET($H$3,0,0,'Données projet'!$E$11+1,1))</f>
        <v>490.06222615476065</v>
      </c>
      <c r="BJ50" s="59">
        <f t="shared" si="38"/>
        <v>310.43914804089906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24.182616655514732</v>
      </c>
      <c r="BR50" s="21">
        <f>EXP(-LN(2)/2)*BR49+(1-EXP(-LN(2)/2))/(LN(2)/2)*BL50*BO50*VLOOKUP('Données projet'!$B$11,Paramètres!$A$1:$I$89,3,0)*0.475*44/12</f>
        <v>4.6288594214297554</v>
      </c>
      <c r="BS50" s="22">
        <f t="shared" si="9"/>
        <v>28.811476076944487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8.6</v>
      </c>
      <c r="N51" s="13">
        <f>IF('Données projet'!$A$36&gt;35,N50+M51-V50,IF(A51&lt;'Données projet'!$A$36,$K$205^A51,IF(A51='Données projet'!$A$36,'Données projet'!$B$36,N50+M51-V50)))</f>
        <v>243.80000000000004</v>
      </c>
      <c r="O51" s="13">
        <f>N51*VLOOKUP('Données projet'!$B$9,Paramètres!$A$1:$I$89,3,0)*VLOOKUP('Données projet'!$B$9,Paramètres!$A$1:$I$89,5,0)</f>
        <v>193.96728000000004</v>
      </c>
      <c r="P51" s="13">
        <f t="shared" si="33"/>
        <v>48.41600442423902</v>
      </c>
      <c r="Q51" s="20">
        <f t="shared" si="53"/>
        <v>422.15088703888301</v>
      </c>
      <c r="R51" s="59">
        <f t="shared" si="0"/>
        <v>715.48422037221633</v>
      </c>
      <c r="S51" s="59">
        <f ca="1">AVERAGE(OFFSET($R$3,0,0,'Données projet'!$E$9+1,1))-AVERAGE(OFFSET($H$3,0,0,'Données projet'!$E$9+1,1))</f>
        <v>353.37479213497227</v>
      </c>
      <c r="T51" s="59">
        <f t="shared" si="34"/>
        <v>345.4750813433123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12.12525834834539</v>
      </c>
      <c r="AA51" s="21">
        <f>EXP(-LN(2)/25)*AA50+(1-EXP(-LN(2)/25))/(LN(2)/25)*Calculateur!V51*Calculateur!X51*VLOOKUP('Données projet'!$B$9,Paramètres!$A$1:$I$89,3,0)*0.475*44/12</f>
        <v>16.621763008956147</v>
      </c>
      <c r="AB51" s="21">
        <f>EXP(-LN(2)/2)*AB50+(1-EXP(-LN(2)/2))/(LN(2)/2)*V51*Y51*VLOOKUP('Données projet'!$B$9,Paramètres!$A$1:$I$89,3,0)*0.475*44/12</f>
        <v>2.0910674421378674</v>
      </c>
      <c r="AC51" s="22">
        <f t="shared" si="3"/>
        <v>30.838088799439404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6.4429411764705877</v>
      </c>
      <c r="AI51" s="13">
        <f>IF('Données projet'!$A$62&gt;35,AI50+AH51-AQ50,IF(A51&lt;'Données projet'!$A$62,$AF$205^A51,IF(A51='Données projet'!$A$62,'Données projet'!$B$62,AI50+AH51-AQ50)))</f>
        <v>309.26117647058805</v>
      </c>
      <c r="AJ51" s="13">
        <f>AI51*VLOOKUP('Données projet'!$B$10,Paramètres!$A$1:$I$89,3,0)*VLOOKUP('Données projet'!$B$10,Paramètres!$A$1:$I$89,5,0)</f>
        <v>144.73423058823522</v>
      </c>
      <c r="AK51" s="13">
        <f t="shared" si="35"/>
        <v>37.379443151518736</v>
      </c>
      <c r="AL51" s="20">
        <f t="shared" si="4"/>
        <v>317.1813150967381</v>
      </c>
      <c r="AM51" s="59">
        <f t="shared" si="5"/>
        <v>610.51464843007147</v>
      </c>
      <c r="AN51" s="59">
        <f ca="1">AVERAGE(OFFSET($AM$3,0,0,'Données projet'!$E$10+1,1))-AVERAGE(OFFSET($H$3,0,0,'Données projet'!$E$10+1,1))</f>
        <v>293.15557501692803</v>
      </c>
      <c r="AO51" s="59">
        <f t="shared" si="36"/>
        <v>237.1930412773068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9.6799999999999979</v>
      </c>
      <c r="BD51" s="12">
        <f>IF('Données projet'!$A$88&gt;35,BD50+BC51-BL50,IF(A51&lt;'Données projet'!$A$88,$BA$205^A51,IF(A51='Données projet'!$A$88,'Données projet'!$B$88,BD50+BC51-BL50)))</f>
        <v>163.81000000000023</v>
      </c>
      <c r="BE51" s="13">
        <f>BD51*VLOOKUP('Données projet'!$B$11,Paramètres!$A$1:$I$89,3,0)*VLOOKUP('Données projet'!$B$11,Paramètres!$A$1:$I$89,5,0)</f>
        <v>148.21528800000021</v>
      </c>
      <c r="BF51" s="13">
        <f t="shared" si="37"/>
        <v>38.172721310443634</v>
      </c>
      <c r="BG51" s="20">
        <f t="shared" si="7"/>
        <v>324.62578288235642</v>
      </c>
      <c r="BH51" s="59">
        <f t="shared" si="8"/>
        <v>617.95911621568973</v>
      </c>
      <c r="BI51" s="59">
        <f ca="1">AVERAGE(OFFSET($BH$3,0,0,'Données projet'!$E$11+1,1))-AVERAGE(OFFSET($H$3,0,0,'Données projet'!$E$11+1,1))</f>
        <v>490.06222615476065</v>
      </c>
      <c r="BJ51" s="59">
        <f t="shared" si="38"/>
        <v>310.43914804089906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23.52134173136114</v>
      </c>
      <c r="BR51" s="21">
        <f>EXP(-LN(2)/2)*BR50+(1-EXP(-LN(2)/2))/(LN(2)/2)*BL51*BO51*VLOOKUP('Données projet'!$B$11,Paramètres!$A$1:$I$89,3,0)*0.475*44/12</f>
        <v>3.2730978860522191</v>
      </c>
      <c r="BS51" s="22">
        <f t="shared" si="9"/>
        <v>26.79443961741336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8.6</v>
      </c>
      <c r="N52" s="13">
        <f>IF('Données projet'!$A$36&gt;35,N51+M52-V51,IF(A52&lt;'Données projet'!$A$36,$K$205^A52,IF(A52='Données projet'!$A$36,'Données projet'!$B$36,N51+M52-V51)))</f>
        <v>252.40000000000003</v>
      </c>
      <c r="O52" s="13">
        <f>N52*VLOOKUP('Données projet'!$B$9,Paramètres!$A$1:$I$89,3,0)*VLOOKUP('Données projet'!$B$9,Paramètres!$A$1:$I$89,5,0)</f>
        <v>200.80944000000002</v>
      </c>
      <c r="P52" s="13">
        <f t="shared" si="33"/>
        <v>49.922016299484312</v>
      </c>
      <c r="Q52" s="20">
        <f t="shared" si="53"/>
        <v>436.69061972160188</v>
      </c>
      <c r="R52" s="59">
        <f t="shared" si="0"/>
        <v>730.02395305493519</v>
      </c>
      <c r="S52" s="59">
        <f ca="1">AVERAGE(OFFSET($R$3,0,0,'Données projet'!$E$9+1,1))-AVERAGE(OFFSET($H$3,0,0,'Données projet'!$E$9+1,1))</f>
        <v>353.37479213497227</v>
      </c>
      <c r="T52" s="59">
        <f t="shared" si="34"/>
        <v>345.4750813433123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11.887489427811667</v>
      </c>
      <c r="AA52" s="21">
        <f>EXP(-LN(2)/25)*AA51+(1-EXP(-LN(2)/25))/(LN(2)/25)*Calculateur!V52*Calculateur!X52*VLOOKUP('Données projet'!$B$9,Paramètres!$A$1:$I$89,3,0)*0.475*44/12</f>
        <v>16.167240025375715</v>
      </c>
      <c r="AB52" s="21">
        <f>EXP(-LN(2)/2)*AB51+(1-EXP(-LN(2)/2))/(LN(2)/2)*V52*Y52*VLOOKUP('Données projet'!$B$9,Paramètres!$A$1:$I$89,3,0)*0.475*44/12</f>
        <v>1.4786079682540947</v>
      </c>
      <c r="AC52" s="22">
        <f t="shared" si="3"/>
        <v>29.53333742144148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6.4429411764705877</v>
      </c>
      <c r="AI52" s="13">
        <f>IF('Données projet'!$A$62&gt;35,AI51+AH52-AQ51,IF(A52&lt;'Données projet'!$A$62,$AF$205^A52,IF(A52='Données projet'!$A$62,'Données projet'!$B$62,AI51+AH52-AQ51)))</f>
        <v>315.70411764705864</v>
      </c>
      <c r="AJ52" s="13">
        <f>AI52*VLOOKUP('Données projet'!$B$10,Paramètres!$A$1:$I$89,3,0)*VLOOKUP('Données projet'!$B$10,Paramètres!$A$1:$I$89,5,0)</f>
        <v>147.74952705882345</v>
      </c>
      <c r="AK52" s="13">
        <f t="shared" si="35"/>
        <v>38.06670848565912</v>
      </c>
      <c r="AL52" s="20">
        <f t="shared" si="4"/>
        <v>323.62994357330712</v>
      </c>
      <c r="AM52" s="59">
        <f t="shared" si="5"/>
        <v>616.96327690664043</v>
      </c>
      <c r="AN52" s="59">
        <f ca="1">AVERAGE(OFFSET($AM$3,0,0,'Données projet'!$E$10+1,1))-AVERAGE(OFFSET($H$3,0,0,'Données projet'!$E$10+1,1))</f>
        <v>293.15557501692803</v>
      </c>
      <c r="AO52" s="59">
        <f t="shared" si="36"/>
        <v>237.1930412773068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9.6799999999999979</v>
      </c>
      <c r="BD52" s="12">
        <f>IF('Données projet'!$A$88&gt;35,BD51+BC52-BL51,IF(A52&lt;'Données projet'!$A$88,$BA$205^A52,IF(A52='Données projet'!$A$88,'Données projet'!$B$88,BD51+BC52-BL51)))</f>
        <v>173.49000000000024</v>
      </c>
      <c r="BE52" s="13">
        <f>BD52*VLOOKUP('Données projet'!$B$11,Paramètres!$A$1:$I$89,3,0)*VLOOKUP('Données projet'!$B$11,Paramètres!$A$1:$I$89,5,0)</f>
        <v>156.97375200000022</v>
      </c>
      <c r="BF52" s="13">
        <f t="shared" si="37"/>
        <v>40.159179999786943</v>
      </c>
      <c r="BG52" s="20">
        <f t="shared" si="7"/>
        <v>343.33985656629596</v>
      </c>
      <c r="BH52" s="59">
        <f t="shared" si="8"/>
        <v>636.67318989962928</v>
      </c>
      <c r="BI52" s="59">
        <f ca="1">AVERAGE(OFFSET($BH$3,0,0,'Données projet'!$E$11+1,1))-AVERAGE(OFFSET($H$3,0,0,'Données projet'!$E$11+1,1))</f>
        <v>490.06222615476065</v>
      </c>
      <c r="BJ52" s="59">
        <f t="shared" si="38"/>
        <v>310.43914804089906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22.878149404783468</v>
      </c>
      <c r="BR52" s="21">
        <f>EXP(-LN(2)/2)*BR51+(1-EXP(-LN(2)/2))/(LN(2)/2)*BL52*BO52*VLOOKUP('Données projet'!$B$11,Paramètres!$A$1:$I$89,3,0)*0.475*44/12</f>
        <v>2.3144297107148777</v>
      </c>
      <c r="BS52" s="22">
        <f t="shared" si="9"/>
        <v>25.192579115498347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261</v>
      </c>
      <c r="L53" s="12">
        <f>VLOOKUP(A53,'Données projet'!$A$35:$I$55,9,0)</f>
        <v>8.6</v>
      </c>
      <c r="M53" s="12">
        <f t="array" ref="M53">INDEX(L:L,MIN(IF(ISNUMBER(L53:L249),ROW(L53:L249),"")))</f>
        <v>8.6</v>
      </c>
      <c r="N53" s="13">
        <f>IF('Données projet'!$A$36&gt;35,N52+M53-V52,IF(A53&lt;'Données projet'!$A$36,$K$205^A53,IF(A53='Données projet'!$A$36,'Données projet'!$B$36,N52+M53-V52)))</f>
        <v>261.00000000000006</v>
      </c>
      <c r="O53" s="13">
        <f>N53*VLOOKUP('Données projet'!$B$9,Paramètres!$A$1:$I$89,3,0)*VLOOKUP('Données projet'!$B$9,Paramètres!$A$1:$I$89,5,0)</f>
        <v>207.65160000000006</v>
      </c>
      <c r="P53" s="13">
        <f t="shared" si="33"/>
        <v>51.422065813018108</v>
      </c>
      <c r="Q53" s="20">
        <f t="shared" si="53"/>
        <v>451.2199679576733</v>
      </c>
      <c r="R53" s="59">
        <f t="shared" si="0"/>
        <v>744.55330129100662</v>
      </c>
      <c r="S53" s="59">
        <f ca="1">AVERAGE(OFFSET($R$3,0,0,'Données projet'!$E$9+1,1))-AVERAGE(OFFSET($H$3,0,0,'Données projet'!$E$9+1,1))</f>
        <v>353.37479213497227</v>
      </c>
      <c r="T53" s="59">
        <f t="shared" si="34"/>
        <v>345.4750813433123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19</v>
      </c>
      <c r="W53" s="16">
        <f>IF(ISNA(VLOOKUP(A53,'Données projet'!$A$35:$I$55,5,0)),0%,VLOOKUP(A53,'Données projet'!$A$35:$I$55,5,0)*VLOOKUP('Données projet'!$B$9,Paramètres!$A$1:$I$89,7,0))</f>
        <v>0.13250000000000001</v>
      </c>
      <c r="X53" s="16">
        <f>IF(ISNA(VLOOKUP(A53,'Données projet'!$A$35:$I$55,6,0)),0%,VLOOKUP(A53,'Données projet'!$A$35:$I$55,6,0)*VLOOKUP('Données projet'!$B$9,Paramètres!$A$1:$I$89,7,0))</f>
        <v>0.13250000000000001</v>
      </c>
      <c r="Y53" s="16">
        <f>IF(ISNA(VLOOKUP(A53,'Données projet'!$A$35:$I$55,7,0)),0%,VLOOKUP(A53,'Données projet'!$A$35:$I$55,7,0))</f>
        <v>0.25</v>
      </c>
      <c r="Z53" s="21">
        <f>EXP(-LN(2)/35)*Z52+(1-EXP(-LN(2)/35))/(LN(2)/35)*V53*W53*VLOOKUP('Données projet'!$B$9,Paramètres!$A$1:$I$89,3,0)*0.475*44/12</f>
        <v>13.868555059770163</v>
      </c>
      <c r="AA53" s="21">
        <f>EXP(-LN(2)/25)*AA52+(1-EXP(-LN(2)/25))/(LN(2)/25)*Calculateur!V53*Calculateur!X53*VLOOKUP('Données projet'!$B$9,Paramètres!$A$1:$I$89,3,0)*0.475*44/12</f>
        <v>17.93060000664634</v>
      </c>
      <c r="AB53" s="21">
        <f>EXP(-LN(2)/2)*AB52+(1-EXP(-LN(2)/2))/(LN(2)/2)*V53*Y53*VLOOKUP('Données projet'!$B$9,Paramètres!$A$1:$I$89,3,0)*0.475*44/12</f>
        <v>4.6112162840541568</v>
      </c>
      <c r="AC53" s="22">
        <f t="shared" si="3"/>
        <v>36.410371350470662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6.4429411764705877</v>
      </c>
      <c r="AI53" s="13">
        <f>IF('Données projet'!$A$62&gt;35,AI52+AH53-AQ52,IF(A53&lt;'Données projet'!$A$62,$AF$205^A53,IF(A53='Données projet'!$A$62,'Données projet'!$B$62,AI52+AH53-AQ52)))</f>
        <v>322.14705882352922</v>
      </c>
      <c r="AJ53" s="13">
        <f>AI53*VLOOKUP('Données projet'!$B$10,Paramètres!$A$1:$I$89,3,0)*VLOOKUP('Données projet'!$B$10,Paramètres!$A$1:$I$89,5,0)</f>
        <v>150.76482352941167</v>
      </c>
      <c r="AK53" s="13">
        <f t="shared" si="35"/>
        <v>38.752343031926451</v>
      </c>
      <c r="AL53" s="20">
        <f t="shared" si="4"/>
        <v>330.0757317609972</v>
      </c>
      <c r="AM53" s="59">
        <f t="shared" si="5"/>
        <v>623.40906509433057</v>
      </c>
      <c r="AN53" s="59">
        <f ca="1">AVERAGE(OFFSET($AM$3,0,0,'Données projet'!$E$10+1,1))-AVERAGE(OFFSET($H$3,0,0,'Données projet'!$E$10+1,1))</f>
        <v>293.15557501692803</v>
      </c>
      <c r="AO53" s="59">
        <f t="shared" si="36"/>
        <v>237.1930412773068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9.6799999999999979</v>
      </c>
      <c r="BD53" s="12">
        <f>IF('Données projet'!$A$88&gt;35,BD52+BC53-BL52,IF(A53&lt;'Données projet'!$A$88,$BA$205^A53,IF(A53='Données projet'!$A$88,'Données projet'!$B$88,BD52+BC53-BL52)))</f>
        <v>183.17000000000024</v>
      </c>
      <c r="BE53" s="13">
        <f>BD53*VLOOKUP('Données projet'!$B$11,Paramètres!$A$1:$I$89,3,0)*VLOOKUP('Données projet'!$B$11,Paramètres!$A$1:$I$89,5,0)</f>
        <v>165.73221600000022</v>
      </c>
      <c r="BF53" s="13">
        <f t="shared" si="37"/>
        <v>42.132772147585847</v>
      </c>
      <c r="BG53" s="20">
        <f t="shared" si="7"/>
        <v>362.0315210237124</v>
      </c>
      <c r="BH53" s="59">
        <f t="shared" si="8"/>
        <v>655.36485435704572</v>
      </c>
      <c r="BI53" s="59">
        <f ca="1">AVERAGE(OFFSET($BH$3,0,0,'Données projet'!$E$11+1,1))-AVERAGE(OFFSET($H$3,0,0,'Données projet'!$E$11+1,1))</f>
        <v>490.06222615476065</v>
      </c>
      <c r="BJ53" s="59">
        <f t="shared" si="38"/>
        <v>310.43914804089906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22.252545206200075</v>
      </c>
      <c r="BR53" s="21">
        <f>EXP(-LN(2)/2)*BR52+(1-EXP(-LN(2)/2))/(LN(2)/2)*BL53*BO53*VLOOKUP('Données projet'!$B$11,Paramètres!$A$1:$I$89,3,0)*0.475*44/12</f>
        <v>1.6365489430261095</v>
      </c>
      <c r="BS53" s="22">
        <f t="shared" si="9"/>
        <v>23.889094149226185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7.4</v>
      </c>
      <c r="N54" s="13">
        <f>IF('Données projet'!$A$36&gt;35,N53+M54-V53,IF(A54&lt;'Données projet'!$A$36,$K$205^A54,IF(A54='Données projet'!$A$36,'Données projet'!$B$36,N53+M54-V53)))</f>
        <v>249.40000000000003</v>
      </c>
      <c r="O54" s="13">
        <f>N54*VLOOKUP('Données projet'!$B$9,Paramètres!$A$1:$I$89,3,0)*VLOOKUP('Données projet'!$B$9,Paramètres!$A$1:$I$89,5,0)</f>
        <v>198.42264000000003</v>
      </c>
      <c r="P54" s="13">
        <f t="shared" si="33"/>
        <v>49.397352151183256</v>
      </c>
      <c r="Q54" s="20">
        <f t="shared" si="53"/>
        <v>431.61981966331086</v>
      </c>
      <c r="R54" s="59">
        <f t="shared" si="0"/>
        <v>724.95315299664412</v>
      </c>
      <c r="S54" s="59">
        <f ca="1">AVERAGE(OFFSET($R$3,0,0,'Données projet'!$E$9+1,1))-AVERAGE(OFFSET($H$3,0,0,'Données projet'!$E$9+1,1))</f>
        <v>353.37479213497227</v>
      </c>
      <c r="T54" s="59">
        <f t="shared" si="34"/>
        <v>345.4750813433123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13.596601154031401</v>
      </c>
      <c r="AA54" s="21">
        <f>EXP(-LN(2)/25)*AA53+(1-EXP(-LN(2)/25))/(LN(2)/25)*Calculateur!V54*Calculateur!X54*VLOOKUP('Données projet'!$B$9,Paramètres!$A$1:$I$89,3,0)*0.475*44/12</f>
        <v>17.440286806535322</v>
      </c>
      <c r="AB54" s="21">
        <f>EXP(-LN(2)/2)*AB53+(1-EXP(-LN(2)/2))/(LN(2)/2)*V54*Y54*VLOOKUP('Données projet'!$B$9,Paramètres!$A$1:$I$89,3,0)*0.475*44/12</f>
        <v>3.2606223039725277</v>
      </c>
      <c r="AC54" s="22">
        <f t="shared" si="3"/>
        <v>34.297510264539248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328.59</v>
      </c>
      <c r="AG54" s="12">
        <f>VLOOKUP(A54,'Données projet'!$A$61:$I$81,9,0)</f>
        <v>6.4429411764705877</v>
      </c>
      <c r="AH54" s="12">
        <f t="array" ref="AH54">INDEX(AG:AG,MIN(IF(ISNUMBER(AG54:AG250),ROW(AG54:AG250),"")))</f>
        <v>6.4429411764705877</v>
      </c>
      <c r="AI54" s="13">
        <f>IF('Données projet'!$A$62&gt;35,AI53+AH54-AQ53,IF(A54&lt;'Données projet'!$A$62,$AF$205^A54,IF(A54='Données projet'!$A$62,'Données projet'!$B$62,AI53+AH54-AQ53)))</f>
        <v>328.5899999999998</v>
      </c>
      <c r="AJ54" s="13">
        <f>AI54*VLOOKUP('Données projet'!$B$10,Paramètres!$A$1:$I$89,3,0)*VLOOKUP('Données projet'!$B$10,Paramètres!$A$1:$I$89,5,0)</f>
        <v>153.78011999999993</v>
      </c>
      <c r="AK54" s="13">
        <f t="shared" si="35"/>
        <v>39.436383165095613</v>
      </c>
      <c r="AL54" s="20">
        <f t="shared" si="4"/>
        <v>336.51874301254134</v>
      </c>
      <c r="AM54" s="59">
        <f t="shared" si="5"/>
        <v>629.85207634587459</v>
      </c>
      <c r="AN54" s="59">
        <f ca="1">AVERAGE(OFFSET($AM$3,0,0,'Données projet'!$E$10+1,1))-AVERAGE(OFFSET($H$3,0,0,'Données projet'!$E$10+1,1))</f>
        <v>293.15557501692803</v>
      </c>
      <c r="AO54" s="59">
        <f t="shared" si="36"/>
        <v>237.1930412773068</v>
      </c>
      <c r="AP54" s="15">
        <f>IF(ISNA(VLOOKUP(A54,'Données projet'!$A$61:$I$81,3,0)),0,VLOOKUP(A54,'Données projet'!$A$61:$I$81,3,0))</f>
        <v>1</v>
      </c>
      <c r="AQ54" s="15">
        <f>IF(ISNA(VLOOKUP(A54,'Données projet'!$A$61:$I$81,4,0)),0,VLOOKUP(A54,'Données projet'!$A$61:$I$81,4,0))</f>
        <v>101.57999999999998</v>
      </c>
      <c r="AR54" s="16">
        <f>IF(ISNA(VLOOKUP(A54,'Données projet'!$A$61:$I$81,5,0)),0%,VLOOKUP(A54,'Données projet'!$A$61:$I$81,5,0)*VLOOKUP('Données projet'!$B$10,Paramètres!$A$1:$I$89,7,0))</f>
        <v>0.13750000000000001</v>
      </c>
      <c r="AS54" s="16">
        <f>IF(ISNA(VLOOKUP(A54,'Données projet'!$A$61:$I$81,6,0)),0%,VLOOKUP(A54,'Données projet'!$A$61:$I$81,6,0)*VLOOKUP('Données projet'!$B$10,Paramètres!$A$1:$I$89,7,0))</f>
        <v>0.20350000000000001</v>
      </c>
      <c r="AT54" s="16">
        <f>IF(ISNA(VLOOKUP(A54,'Données projet'!$A$61:$I$81,7,0)),0%,VLOOKUP(A54,'Données projet'!$A$61:$I$81,7,0))</f>
        <v>0.38</v>
      </c>
      <c r="AU54" s="21">
        <f>EXP(-LN(2)/35)*AU53+(1-EXP(-LN(2)/35))/(LN(2)/35)*AQ54*AR54*VLOOKUP('Données projet'!$B$10,Paramètres!$A$1:$I$89,3,0)*0.475*44/12</f>
        <v>8.6713180586313445</v>
      </c>
      <c r="AV54" s="21">
        <f>EXP(-LN(2)/25)*AV53+(1-EXP(-LN(2)/25))/(LN(2)/25)*Calculateur!AQ54*Calculateur!AS54*VLOOKUP('Données projet'!$B$10,Paramètres!$A$1:$I$89,3,0)*0.475*44/12</f>
        <v>12.783020147596885</v>
      </c>
      <c r="AW54" s="21">
        <f>EXP(-LN(2)/2)*AW53+(1-EXP(-LN(2)/2))/(LN(2)/2)*AQ54*AT54*VLOOKUP('Données projet'!$B$10,Paramètres!$A$1:$I$89,3,0)*0.475*44/12</f>
        <v>20.453761962242197</v>
      </c>
      <c r="AX54" s="21">
        <f t="shared" si="6"/>
        <v>41.908100168470426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192.85</v>
      </c>
      <c r="BB54" s="12">
        <f>VLOOKUP(A54,'Données projet'!$A$87:$I$107,9,0)</f>
        <v>9.6799999999999979</v>
      </c>
      <c r="BC54" s="12">
        <f t="array" ref="BC54">INDEX(BB:BB,MIN(IF(ISNUMBER(BB54:BB250),ROW(BB54:BB250),"")))</f>
        <v>9.6799999999999979</v>
      </c>
      <c r="BD54" s="12">
        <f>IF('Données projet'!$A$88&gt;35,BD53+BC54-BL53,IF(A54&lt;'Données projet'!$A$88,$BA$205^A54,IF(A54='Données projet'!$A$88,'Données projet'!$B$88,BD53+BC54-BL53)))</f>
        <v>192.85000000000025</v>
      </c>
      <c r="BE54" s="13">
        <f>BD54*VLOOKUP('Données projet'!$B$11,Paramètres!$A$1:$I$89,3,0)*VLOOKUP('Données projet'!$B$11,Paramètres!$A$1:$I$89,5,0)</f>
        <v>174.49068000000022</v>
      </c>
      <c r="BF54" s="13">
        <f t="shared" si="37"/>
        <v>44.094255253499121</v>
      </c>
      <c r="BG54" s="20">
        <f t="shared" si="7"/>
        <v>380.70209556651133</v>
      </c>
      <c r="BH54" s="59">
        <f t="shared" si="8"/>
        <v>674.03542889984465</v>
      </c>
      <c r="BI54" s="59">
        <f ca="1">AVERAGE(OFFSET($BH$3,0,0,'Données projet'!$E$11+1,1))-AVERAGE(OFFSET($H$3,0,0,'Données projet'!$E$11+1,1))</f>
        <v>490.06222615476065</v>
      </c>
      <c r="BJ54" s="59">
        <f t="shared" si="38"/>
        <v>310.43914804089906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48.769999999999982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0.34400000000000003</v>
      </c>
      <c r="BO54" s="16">
        <f>IF(ISNA(VLOOKUP(A54,'Données projet'!$A$87:$I$107,7,0)),0%,VLOOKUP(A54,'Données projet'!$A$87:$I$107,7,0))</f>
        <v>0.2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38.358708013238626</v>
      </c>
      <c r="BR54" s="21">
        <f>EXP(-LN(2)/2)*BR53+(1-EXP(-LN(2)/2))/(LN(2)/2)*BL54*BO54*VLOOKUP('Données projet'!$B$11,Paramètres!$A$1:$I$89,3,0)*0.475*44/12</f>
        <v>9.4842354032325886</v>
      </c>
      <c r="BS54" s="22">
        <f t="shared" si="9"/>
        <v>47.842943416471215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7.4</v>
      </c>
      <c r="N55" s="13">
        <f>IF('Données projet'!$A$36&gt;35,N54+M55-V54,IF(A55&lt;'Données projet'!$A$36,$K$205^A55,IF(A55='Données projet'!$A$36,'Données projet'!$B$36,N54+M55-V54)))</f>
        <v>256.8</v>
      </c>
      <c r="O55" s="13">
        <f>N55*VLOOKUP('Données projet'!$B$9,Paramètres!$A$1:$I$89,3,0)*VLOOKUP('Données projet'!$B$9,Paramètres!$A$1:$I$89,5,0)</f>
        <v>204.31008000000003</v>
      </c>
      <c r="P55" s="13">
        <f t="shared" si="33"/>
        <v>50.690214235398379</v>
      </c>
      <c r="Q55" s="20">
        <f t="shared" si="53"/>
        <v>444.12551245998549</v>
      </c>
      <c r="R55" s="59">
        <f t="shared" si="0"/>
        <v>737.4588457933188</v>
      </c>
      <c r="S55" s="59">
        <f ca="1">AVERAGE(OFFSET($R$3,0,0,'Données projet'!$E$9+1,1))-AVERAGE(OFFSET($H$3,0,0,'Données projet'!$E$9+1,1))</f>
        <v>353.37479213497227</v>
      </c>
      <c r="T55" s="59">
        <f t="shared" si="34"/>
        <v>345.4750813433123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13.329980098508672</v>
      </c>
      <c r="AA55" s="21">
        <f>EXP(-LN(2)/25)*AA54+(1-EXP(-LN(2)/25))/(LN(2)/25)*Calculateur!V55*Calculateur!X55*VLOOKUP('Données projet'!$B$9,Paramètres!$A$1:$I$89,3,0)*0.475*44/12</f>
        <v>16.96338124666579</v>
      </c>
      <c r="AB55" s="21">
        <f>EXP(-LN(2)/2)*AB54+(1-EXP(-LN(2)/2))/(LN(2)/2)*V55*Y55*VLOOKUP('Données projet'!$B$9,Paramètres!$A$1:$I$89,3,0)*0.475*44/12</f>
        <v>2.3056081420270789</v>
      </c>
      <c r="AC55" s="22">
        <f t="shared" si="3"/>
        <v>32.598969487201536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12.346666666666669</v>
      </c>
      <c r="AI55" s="13">
        <f>IF('Données projet'!$A$62&gt;35,AI54+AH55-AQ54,IF(A55&lt;'Données projet'!$A$62,$AF$205^A55,IF(A55='Données projet'!$A$62,'Données projet'!$B$62,AI54+AH55-AQ54)))</f>
        <v>239.35666666666651</v>
      </c>
      <c r="AJ55" s="13">
        <f>AI55*VLOOKUP('Données projet'!$B$10,Paramètres!$A$1:$I$89,3,0)*VLOOKUP('Données projet'!$B$10,Paramètres!$A$1:$I$89,5,0)</f>
        <v>112.01891999999992</v>
      </c>
      <c r="AK55" s="13">
        <f t="shared" si="35"/>
        <v>29.806153198145591</v>
      </c>
      <c r="AL55" s="20">
        <f t="shared" si="4"/>
        <v>247.01200248677006</v>
      </c>
      <c r="AM55" s="59">
        <f t="shared" si="5"/>
        <v>540.3453358201034</v>
      </c>
      <c r="AN55" s="59">
        <f ca="1">AVERAGE(OFFSET($AM$3,0,0,'Données projet'!$E$10+1,1))-AVERAGE(OFFSET($H$3,0,0,'Données projet'!$E$10+1,1))</f>
        <v>293.15557501692803</v>
      </c>
      <c r="AO55" s="59">
        <f t="shared" si="36"/>
        <v>237.1930412773068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8.5012788004833553</v>
      </c>
      <c r="AV55" s="21">
        <f>EXP(-LN(2)/25)*AV54+(1-EXP(-LN(2)/25))/(LN(2)/25)*Calculateur!AQ55*Calculateur!AS55*VLOOKUP('Données projet'!$B$10,Paramètres!$A$1:$I$89,3,0)*0.475*44/12</f>
        <v>12.433467789431035</v>
      </c>
      <c r="AW55" s="21">
        <f>EXP(-LN(2)/2)*AW54+(1-EXP(-LN(2)/2))/(LN(2)/2)*AQ55*AT55*VLOOKUP('Données projet'!$B$10,Paramètres!$A$1:$I$89,3,0)*0.475*44/12</f>
        <v>14.462993784276923</v>
      </c>
      <c r="AX55" s="21">
        <f t="shared" si="6"/>
        <v>35.397740374191315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9.1524999999999999</v>
      </c>
      <c r="BD55" s="12">
        <f>IF('Données projet'!$A$88&gt;35,BD54+BC55-BL54,IF(A55&lt;'Données projet'!$A$88,$BA$205^A55,IF(A55='Données projet'!$A$88,'Données projet'!$B$88,BD54+BC55-BL54)))</f>
        <v>153.23250000000027</v>
      </c>
      <c r="BE55" s="13">
        <f>BD55*VLOOKUP('Données projet'!$B$11,Paramètres!$A$1:$I$89,3,0)*VLOOKUP('Données projet'!$B$11,Paramètres!$A$1:$I$89,5,0)</f>
        <v>138.64476600000023</v>
      </c>
      <c r="BF55" s="13">
        <f t="shared" si="37"/>
        <v>35.986364870124042</v>
      </c>
      <c r="BG55" s="20">
        <f t="shared" si="7"/>
        <v>304.14921959879979</v>
      </c>
      <c r="BH55" s="59">
        <f t="shared" si="8"/>
        <v>597.4825529321331</v>
      </c>
      <c r="BI55" s="59">
        <f ca="1">AVERAGE(OFFSET($BH$3,0,0,'Données projet'!$E$11+1,1))-AVERAGE(OFFSET($H$3,0,0,'Données projet'!$E$11+1,1))</f>
        <v>490.06222615476065</v>
      </c>
      <c r="BJ55" s="59">
        <f t="shared" si="38"/>
        <v>310.43914804089906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37.309787125419831</v>
      </c>
      <c r="BR55" s="21">
        <f>EXP(-LN(2)/2)*BR54+(1-EXP(-LN(2)/2))/(LN(2)/2)*BL55*BO55*VLOOKUP('Données projet'!$B$11,Paramètres!$A$1:$I$89,3,0)*0.475*44/12</f>
        <v>6.7063671679952934</v>
      </c>
      <c r="BS55" s="22">
        <f t="shared" si="9"/>
        <v>44.016154293415127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7.4</v>
      </c>
      <c r="N56" s="13">
        <f>IF('Données projet'!$A$36&gt;35,N55+M56-V55,IF(A56&lt;'Données projet'!$A$36,$K$205^A56,IF(A56='Données projet'!$A$36,'Données projet'!$B$36,N55+M56-V55)))</f>
        <v>264.2</v>
      </c>
      <c r="O56" s="13">
        <f>N56*VLOOKUP('Données projet'!$B$9,Paramètres!$A$1:$I$89,3,0)*VLOOKUP('Données projet'!$B$9,Paramètres!$A$1:$I$89,5,0)</f>
        <v>210.19752</v>
      </c>
      <c r="P56" s="13">
        <f t="shared" si="33"/>
        <v>51.978746425856599</v>
      </c>
      <c r="Q56" s="20">
        <f t="shared" si="53"/>
        <v>456.62366402503358</v>
      </c>
      <c r="R56" s="59">
        <f t="shared" si="0"/>
        <v>749.95699735836683</v>
      </c>
      <c r="S56" s="59">
        <f ca="1">AVERAGE(OFFSET($R$3,0,0,'Données projet'!$E$9+1,1))-AVERAGE(OFFSET($H$3,0,0,'Données projet'!$E$9+1,1))</f>
        <v>353.37479213497227</v>
      </c>
      <c r="T56" s="59">
        <f t="shared" si="34"/>
        <v>345.4750813433123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13.068587319261958</v>
      </c>
      <c r="AA56" s="21">
        <f>EXP(-LN(2)/25)*AA55+(1-EXP(-LN(2)/25))/(LN(2)/25)*Calculateur!V56*Calculateur!X56*VLOOKUP('Données projet'!$B$9,Paramètres!$A$1:$I$89,3,0)*0.475*44/12</f>
        <v>16.499516694410264</v>
      </c>
      <c r="AB56" s="21">
        <f>EXP(-LN(2)/2)*AB55+(1-EXP(-LN(2)/2))/(LN(2)/2)*V56*Y56*VLOOKUP('Données projet'!$B$9,Paramètres!$A$1:$I$89,3,0)*0.475*44/12</f>
        <v>1.6303111519862641</v>
      </c>
      <c r="AC56" s="22">
        <f t="shared" si="3"/>
        <v>31.198415165658485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12.346666666666669</v>
      </c>
      <c r="AI56" s="13">
        <f>IF('Données projet'!$A$62&gt;35,AI55+AH56-AQ55,IF(A56&lt;'Données projet'!$A$62,$AF$205^A56,IF(A56='Données projet'!$A$62,'Données projet'!$B$62,AI55+AH56-AQ55)))</f>
        <v>251.70333333333318</v>
      </c>
      <c r="AJ56" s="13">
        <f>AI56*VLOOKUP('Données projet'!$B$10,Paramètres!$A$1:$I$89,3,0)*VLOOKUP('Données projet'!$B$10,Paramètres!$A$1:$I$89,5,0)</f>
        <v>117.79715999999992</v>
      </c>
      <c r="AK56" s="13">
        <f t="shared" si="35"/>
        <v>31.16067034535946</v>
      </c>
      <c r="AL56" s="20">
        <f t="shared" si="4"/>
        <v>259.43488785150095</v>
      </c>
      <c r="AM56" s="59">
        <f t="shared" si="5"/>
        <v>552.76822118483426</v>
      </c>
      <c r="AN56" s="59">
        <f ca="1">AVERAGE(OFFSET($AM$3,0,0,'Données projet'!$E$10+1,1))-AVERAGE(OFFSET($H$3,0,0,'Données projet'!$E$10+1,1))</f>
        <v>293.15557501692803</v>
      </c>
      <c r="AO56" s="59">
        <f t="shared" si="36"/>
        <v>237.1930412773068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8.3345739084739421</v>
      </c>
      <c r="AV56" s="21">
        <f>EXP(-LN(2)/25)*AV55+(1-EXP(-LN(2)/25))/(LN(2)/25)*Calculateur!AQ56*Calculateur!AS56*VLOOKUP('Données projet'!$B$10,Paramètres!$A$1:$I$89,3,0)*0.475*44/12</f>
        <v>12.09347395888139</v>
      </c>
      <c r="AW56" s="21">
        <f>EXP(-LN(2)/2)*AW55+(1-EXP(-LN(2)/2))/(LN(2)/2)*AQ56*AT56*VLOOKUP('Données projet'!$B$10,Paramètres!$A$1:$I$89,3,0)*0.475*44/12</f>
        <v>10.2268809811211</v>
      </c>
      <c r="AX56" s="21">
        <f t="shared" si="6"/>
        <v>30.65492884847643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9.1524999999999999</v>
      </c>
      <c r="BD56" s="12">
        <f>IF('Données projet'!$A$88&gt;35,BD55+BC56-BL55,IF(A56&lt;'Données projet'!$A$88,$BA$205^A56,IF(A56='Données projet'!$A$88,'Données projet'!$B$88,BD55+BC56-BL55)))</f>
        <v>162.38500000000028</v>
      </c>
      <c r="BE56" s="13">
        <f>BD56*VLOOKUP('Données projet'!$B$11,Paramètres!$A$1:$I$89,3,0)*VLOOKUP('Données projet'!$B$11,Paramètres!$A$1:$I$89,5,0)</f>
        <v>146.92594800000026</v>
      </c>
      <c r="BF56" s="13">
        <f t="shared" si="37"/>
        <v>37.879156618717644</v>
      </c>
      <c r="BG56" s="20">
        <f t="shared" si="7"/>
        <v>321.868890544267</v>
      </c>
      <c r="BH56" s="59">
        <f t="shared" si="8"/>
        <v>615.20222387760032</v>
      </c>
      <c r="BI56" s="59">
        <f ca="1">AVERAGE(OFFSET($BH$3,0,0,'Données projet'!$E$11+1,1))-AVERAGE(OFFSET($H$3,0,0,'Données projet'!$E$11+1,1))</f>
        <v>490.06222615476065</v>
      </c>
      <c r="BJ56" s="59">
        <f t="shared" si="38"/>
        <v>310.43914804089906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36.289549034438792</v>
      </c>
      <c r="BR56" s="21">
        <f>EXP(-LN(2)/2)*BR55+(1-EXP(-LN(2)/2))/(LN(2)/2)*BL56*BO56*VLOOKUP('Données projet'!$B$11,Paramètres!$A$1:$I$89,3,0)*0.475*44/12</f>
        <v>4.7421177016162943</v>
      </c>
      <c r="BS56" s="22">
        <f t="shared" si="9"/>
        <v>41.031666736055087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7.4</v>
      </c>
      <c r="N57" s="13">
        <f>IF('Données projet'!$A$36&gt;35,N56+M57-V56,IF(A57&lt;'Données projet'!$A$36,$K$205^A57,IF(A57='Données projet'!$A$36,'Données projet'!$B$36,N56+M57-V56)))</f>
        <v>271.59999999999997</v>
      </c>
      <c r="O57" s="13">
        <f>N57*VLOOKUP('Données projet'!$B$9,Paramètres!$A$1:$I$89,3,0)*VLOOKUP('Données projet'!$B$9,Paramètres!$A$1:$I$89,5,0)</f>
        <v>216.08496</v>
      </c>
      <c r="P57" s="13">
        <f t="shared" si="33"/>
        <v>53.26308393083157</v>
      </c>
      <c r="Q57" s="20">
        <f t="shared" si="53"/>
        <v>469.11450984619825</v>
      </c>
      <c r="R57" s="59">
        <f t="shared" si="0"/>
        <v>762.44784317953156</v>
      </c>
      <c r="S57" s="59">
        <f ca="1">AVERAGE(OFFSET($R$3,0,0,'Données projet'!$E$9+1,1))-AVERAGE(OFFSET($H$3,0,0,'Données projet'!$E$9+1,1))</f>
        <v>353.37479213497227</v>
      </c>
      <c r="T57" s="59">
        <f t="shared" si="34"/>
        <v>345.4750813433123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12.81232029298242</v>
      </c>
      <c r="AA57" s="21">
        <f>EXP(-LN(2)/25)*AA56+(1-EXP(-LN(2)/25))/(LN(2)/25)*Calculateur!V57*Calculateur!X57*VLOOKUP('Données projet'!$B$9,Paramètres!$A$1:$I$89,3,0)*0.475*44/12</f>
        <v>16.048336542729743</v>
      </c>
      <c r="AB57" s="21">
        <f>EXP(-LN(2)/2)*AB56+(1-EXP(-LN(2)/2))/(LN(2)/2)*V57*Y57*VLOOKUP('Données projet'!$B$9,Paramètres!$A$1:$I$89,3,0)*0.475*44/12</f>
        <v>1.1528040710135394</v>
      </c>
      <c r="AC57" s="22">
        <f t="shared" si="3"/>
        <v>30.013460906725701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12.346666666666669</v>
      </c>
      <c r="AI57" s="13">
        <f>IF('Données projet'!$A$62&gt;35,AI56+AH57-AQ56,IF(A57&lt;'Données projet'!$A$62,$AF$205^A57,IF(A57='Données projet'!$A$62,'Données projet'!$B$62,AI56+AH57-AQ56)))</f>
        <v>264.04999999999984</v>
      </c>
      <c r="AJ57" s="13">
        <f>AI57*VLOOKUP('Données projet'!$B$10,Paramètres!$A$1:$I$89,3,0)*VLOOKUP('Données projet'!$B$10,Paramètres!$A$1:$I$89,5,0)</f>
        <v>123.57539999999992</v>
      </c>
      <c r="AK57" s="13">
        <f t="shared" si="35"/>
        <v>32.507472368650312</v>
      </c>
      <c r="AL57" s="20">
        <f t="shared" si="4"/>
        <v>271.84433604206578</v>
      </c>
      <c r="AM57" s="59">
        <f t="shared" si="5"/>
        <v>565.17766937539909</v>
      </c>
      <c r="AN57" s="59">
        <f ca="1">AVERAGE(OFFSET($AM$3,0,0,'Données projet'!$E$10+1,1))-AVERAGE(OFFSET($H$3,0,0,'Données projet'!$E$10+1,1))</f>
        <v>293.15557501692803</v>
      </c>
      <c r="AO57" s="59">
        <f t="shared" si="36"/>
        <v>237.1930412773068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8.1711379977168903</v>
      </c>
      <c r="AV57" s="21">
        <f>EXP(-LN(2)/25)*AV56+(1-EXP(-LN(2)/25))/(LN(2)/25)*Calculateur!AQ57*Calculateur!AS57*VLOOKUP('Données projet'!$B$10,Paramètres!$A$1:$I$89,3,0)*0.475*44/12</f>
        <v>11.762777277507622</v>
      </c>
      <c r="AW57" s="21">
        <f>EXP(-LN(2)/2)*AW56+(1-EXP(-LN(2)/2))/(LN(2)/2)*AQ57*AT57*VLOOKUP('Données projet'!$B$10,Paramètres!$A$1:$I$89,3,0)*0.475*44/12</f>
        <v>7.2314968921384626</v>
      </c>
      <c r="AX57" s="21">
        <f t="shared" si="6"/>
        <v>27.165412167362977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9.1524999999999999</v>
      </c>
      <c r="BD57" s="12">
        <f>IF('Données projet'!$A$88&gt;35,BD56+BC57-BL56,IF(A57&lt;'Données projet'!$A$88,$BA$205^A57,IF(A57='Données projet'!$A$88,'Données projet'!$B$88,BD56+BC57-BL56)))</f>
        <v>171.53750000000028</v>
      </c>
      <c r="BE57" s="13">
        <f>BD57*VLOOKUP('Données projet'!$B$11,Paramètres!$A$1:$I$89,3,0)*VLOOKUP('Données projet'!$B$11,Paramètres!$A$1:$I$89,5,0)</f>
        <v>155.20713000000023</v>
      </c>
      <c r="BF57" s="13">
        <f t="shared" si="37"/>
        <v>39.759564149610455</v>
      </c>
      <c r="BG57" s="20">
        <f t="shared" si="7"/>
        <v>339.56699231057195</v>
      </c>
      <c r="BH57" s="59">
        <f t="shared" si="8"/>
        <v>632.90032564390526</v>
      </c>
      <c r="BI57" s="59">
        <f ca="1">AVERAGE(OFFSET($BH$3,0,0,'Données projet'!$E$11+1,1))-AVERAGE(OFFSET($H$3,0,0,'Données projet'!$E$11+1,1))</f>
        <v>490.06222615476065</v>
      </c>
      <c r="BJ57" s="59">
        <f t="shared" si="38"/>
        <v>310.43914804089906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35.297209407707619</v>
      </c>
      <c r="BR57" s="21">
        <f>EXP(-LN(2)/2)*BR56+(1-EXP(-LN(2)/2))/(LN(2)/2)*BL57*BO57*VLOOKUP('Données projet'!$B$11,Paramètres!$A$1:$I$89,3,0)*0.475*44/12</f>
        <v>3.3531835839976467</v>
      </c>
      <c r="BS57" s="22">
        <f t="shared" si="9"/>
        <v>38.650392991705267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279</v>
      </c>
      <c r="L58" s="12">
        <f>VLOOKUP(A58,'Données projet'!$A$35:$I$55,9,0)</f>
        <v>7.4</v>
      </c>
      <c r="M58" s="12">
        <f t="array" ref="M58">INDEX(L:L,MIN(IF(ISNUMBER(L58:L254),ROW(L58:L254),"")))</f>
        <v>7.4</v>
      </c>
      <c r="N58" s="13">
        <f>IF('Données projet'!$A$36&gt;35,N57+M58-V57,IF(A58&lt;'Données projet'!$A$36,$K$205^A58,IF(A58='Données projet'!$A$36,'Données projet'!$B$36,N57+M58-V57)))</f>
        <v>278.99999999999994</v>
      </c>
      <c r="O58" s="13">
        <f>N58*VLOOKUP('Données projet'!$B$9,Paramètres!$A$1:$I$89,3,0)*VLOOKUP('Données projet'!$B$9,Paramètres!$A$1:$I$89,5,0)</f>
        <v>221.97239999999996</v>
      </c>
      <c r="P58" s="13">
        <f t="shared" si="33"/>
        <v>54.543354171476821</v>
      </c>
      <c r="Q58" s="20">
        <f t="shared" si="53"/>
        <v>481.59827184865543</v>
      </c>
      <c r="R58" s="59">
        <f t="shared" si="0"/>
        <v>774.93160518198874</v>
      </c>
      <c r="S58" s="59">
        <f ca="1">AVERAGE(OFFSET($R$3,0,0,'Données projet'!$E$9+1,1))-AVERAGE(OFFSET($H$3,0,0,'Données projet'!$E$9+1,1))</f>
        <v>353.37479213497227</v>
      </c>
      <c r="T58" s="59">
        <f t="shared" si="34"/>
        <v>345.4750813433123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16</v>
      </c>
      <c r="W58" s="16">
        <f>IF(ISNA(VLOOKUP(A58,'Données projet'!$A$35:$I$55,5,0)),0%,VLOOKUP(A58,'Données projet'!$A$35:$I$55,5,0)*VLOOKUP('Données projet'!$B$9,Paramètres!$A$1:$I$89,7,0))</f>
        <v>0.13250000000000001</v>
      </c>
      <c r="X58" s="16">
        <f>IF(ISNA(VLOOKUP(A58,'Données projet'!$A$35:$I$55,6,0)),0%,VLOOKUP(A58,'Données projet'!$A$35:$I$55,6,0)*VLOOKUP('Données projet'!$B$9,Paramètres!$A$1:$I$89,7,0))</f>
        <v>0.13250000000000001</v>
      </c>
      <c r="Y58" s="16">
        <f>IF(ISNA(VLOOKUP(A58,'Données projet'!$A$35:$I$55,7,0)),0%,VLOOKUP(A58,'Données projet'!$A$35:$I$55,7,0))</f>
        <v>0.25</v>
      </c>
      <c r="Z58" s="21">
        <f>EXP(-LN(2)/35)*Z57+(1-EXP(-LN(2)/35))/(LN(2)/35)*V58*W58*VLOOKUP('Données projet'!$B$9,Paramètres!$A$1:$I$89,3,0)*0.475*44/12</f>
        <v>14.425644442768373</v>
      </c>
      <c r="AA58" s="21">
        <f>EXP(-LN(2)/25)*AA57+(1-EXP(-LN(2)/25))/(LN(2)/25)*Calculateur!V58*Calculateur!X58*VLOOKUP('Données projet'!$B$9,Paramètres!$A$1:$I$89,3,0)*0.475*44/12</f>
        <v>17.466718365465756</v>
      </c>
      <c r="AB58" s="21">
        <f>EXP(-LN(2)/2)*AB57+(1-EXP(-LN(2)/2))/(LN(2)/2)*V58*Y58*VLOOKUP('Données projet'!$B$9,Paramètres!$A$1:$I$89,3,0)*0.475*44/12</f>
        <v>3.8178356290333193</v>
      </c>
      <c r="AC58" s="22">
        <f t="shared" si="3"/>
        <v>35.710198437267451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12.346666666666669</v>
      </c>
      <c r="AI58" s="13">
        <f>IF('Données projet'!$A$62&gt;35,AI57+AH58-AQ57,IF(A58&lt;'Données projet'!$A$62,$AF$205^A58,IF(A58='Données projet'!$A$62,'Données projet'!$B$62,AI57+AH58-AQ57)))</f>
        <v>276.39666666666653</v>
      </c>
      <c r="AJ58" s="13">
        <f>AI58*VLOOKUP('Données projet'!$B$10,Paramètres!$A$1:$I$89,3,0)*VLOOKUP('Données projet'!$B$10,Paramètres!$A$1:$I$89,5,0)</f>
        <v>129.35363999999993</v>
      </c>
      <c r="AK58" s="13">
        <f t="shared" si="35"/>
        <v>33.846961214906273</v>
      </c>
      <c r="AL58" s="20">
        <f t="shared" si="4"/>
        <v>284.24104711596163</v>
      </c>
      <c r="AM58" s="59">
        <f t="shared" si="5"/>
        <v>577.57438044929495</v>
      </c>
      <c r="AN58" s="59">
        <f ca="1">AVERAGE(OFFSET($AM$3,0,0,'Données projet'!$E$10+1,1))-AVERAGE(OFFSET($H$3,0,0,'Données projet'!$E$10+1,1))</f>
        <v>293.15557501692803</v>
      </c>
      <c r="AO58" s="59">
        <f t="shared" si="36"/>
        <v>237.1930412773068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8.0109069654837217</v>
      </c>
      <c r="AV58" s="21">
        <f>EXP(-LN(2)/25)*AV57+(1-EXP(-LN(2)/25))/(LN(2)/25)*Calculateur!AQ58*Calculateur!AS58*VLOOKUP('Données projet'!$B$10,Paramètres!$A$1:$I$89,3,0)*0.475*44/12</f>
        <v>11.441123514276603</v>
      </c>
      <c r="AW58" s="21">
        <f>EXP(-LN(2)/2)*AW57+(1-EXP(-LN(2)/2))/(LN(2)/2)*AQ58*AT58*VLOOKUP('Données projet'!$B$10,Paramètres!$A$1:$I$89,3,0)*0.475*44/12</f>
        <v>5.1134404905605511</v>
      </c>
      <c r="AX58" s="21">
        <f t="shared" si="6"/>
        <v>24.565470970320874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9.1524999999999999</v>
      </c>
      <c r="BD58" s="12">
        <f>IF('Données projet'!$A$88&gt;35,BD57+BC58-BL57,IF(A58&lt;'Données projet'!$A$88,$BA$205^A58,IF(A58='Données projet'!$A$88,'Données projet'!$B$88,BD57+BC58-BL57)))</f>
        <v>180.69000000000028</v>
      </c>
      <c r="BE58" s="13">
        <f>BD58*VLOOKUP('Données projet'!$B$11,Paramètres!$A$1:$I$89,3,0)*VLOOKUP('Données projet'!$B$11,Paramètres!$A$1:$I$89,5,0)</f>
        <v>163.48831200000026</v>
      </c>
      <c r="BF58" s="13">
        <f t="shared" si="37"/>
        <v>41.62832357521188</v>
      </c>
      <c r="BG58" s="20">
        <f t="shared" si="7"/>
        <v>357.24480696016116</v>
      </c>
      <c r="BH58" s="59">
        <f t="shared" si="8"/>
        <v>650.57814029349447</v>
      </c>
      <c r="BI58" s="59">
        <f ca="1">AVERAGE(OFFSET($BH$3,0,0,'Données projet'!$E$11+1,1))-AVERAGE(OFFSET($H$3,0,0,'Données projet'!$E$11+1,1))</f>
        <v>490.06222615476065</v>
      </c>
      <c r="BJ58" s="59">
        <f t="shared" si="38"/>
        <v>310.43914804089906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34.332005360254286</v>
      </c>
      <c r="BR58" s="21">
        <f>EXP(-LN(2)/2)*BR57+(1-EXP(-LN(2)/2))/(LN(2)/2)*BL58*BO58*VLOOKUP('Données projet'!$B$11,Paramètres!$A$1:$I$89,3,0)*0.475*44/12</f>
        <v>2.3710588508081472</v>
      </c>
      <c r="BS58" s="22">
        <f t="shared" si="9"/>
        <v>36.703064211062433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6.2</v>
      </c>
      <c r="N59" s="13">
        <f>IF('Données projet'!$A$36&gt;35,N58+M59-V58,IF(A59&lt;'Données projet'!$A$36,$K$205^A59,IF(A59='Données projet'!$A$36,'Données projet'!$B$36,N58+M59-V58)))</f>
        <v>269.19999999999993</v>
      </c>
      <c r="O59" s="13">
        <f>N59*VLOOKUP('Données projet'!$B$9,Paramètres!$A$1:$I$89,3,0)*VLOOKUP('Données projet'!$B$9,Paramètres!$A$1:$I$89,5,0)</f>
        <v>214.17551999999998</v>
      </c>
      <c r="P59" s="13">
        <f t="shared" si="33"/>
        <v>52.846993696165399</v>
      </c>
      <c r="Q59" s="20">
        <f t="shared" si="53"/>
        <v>465.06421135415468</v>
      </c>
      <c r="R59" s="59">
        <f t="shared" si="0"/>
        <v>758.39754468748799</v>
      </c>
      <c r="S59" s="59">
        <f ca="1">AVERAGE(OFFSET($R$3,0,0,'Données projet'!$E$9+1,1))-AVERAGE(OFFSET($H$3,0,0,'Données projet'!$E$9+1,1))</f>
        <v>353.37479213497227</v>
      </c>
      <c r="T59" s="59">
        <f t="shared" si="34"/>
        <v>345.4750813433123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14.142766354019988</v>
      </c>
      <c r="AA59" s="21">
        <f>EXP(-LN(2)/25)*AA58+(1-EXP(-LN(2)/25))/(LN(2)/25)*Calculateur!V59*Calculateur!X59*VLOOKUP('Données projet'!$B$9,Paramètres!$A$1:$I$89,3,0)*0.475*44/12</f>
        <v>16.989090033227296</v>
      </c>
      <c r="AB59" s="21">
        <f>EXP(-LN(2)/2)*AB58+(1-EXP(-LN(2)/2))/(LN(2)/2)*V59*Y59*VLOOKUP('Données projet'!$B$9,Paramètres!$A$1:$I$89,3,0)*0.475*44/12</f>
        <v>2.6996174627450684</v>
      </c>
      <c r="AC59" s="22">
        <f t="shared" si="3"/>
        <v>33.831473849992349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12.346666666666669</v>
      </c>
      <c r="AI59" s="13">
        <f>IF('Données projet'!$A$62&gt;35,AI58+AH59-AQ58,IF(A59&lt;'Données projet'!$A$62,$AF$205^A59,IF(A59='Données projet'!$A$62,'Données projet'!$B$62,AI58+AH59-AQ58)))</f>
        <v>288.74333333333323</v>
      </c>
      <c r="AJ59" s="13">
        <f>AI59*VLOOKUP('Données projet'!$B$10,Paramètres!$A$1:$I$89,3,0)*VLOOKUP('Données projet'!$B$10,Paramètres!$A$1:$I$89,5,0)</f>
        <v>135.13187999999994</v>
      </c>
      <c r="AK59" s="13">
        <f t="shared" si="35"/>
        <v>35.179500890822183</v>
      </c>
      <c r="AL59" s="20">
        <f t="shared" si="4"/>
        <v>296.6256550515152</v>
      </c>
      <c r="AM59" s="59">
        <f t="shared" si="5"/>
        <v>589.95898838484845</v>
      </c>
      <c r="AN59" s="59">
        <f ca="1">AVERAGE(OFFSET($AM$3,0,0,'Données projet'!$E$10+1,1))-AVERAGE(OFFSET($H$3,0,0,'Données projet'!$E$10+1,1))</f>
        <v>293.15557501692803</v>
      </c>
      <c r="AO59" s="59">
        <f t="shared" si="36"/>
        <v>237.1930412773068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7.8538179660613654</v>
      </c>
      <c r="AV59" s="21">
        <f>EXP(-LN(2)/25)*AV58+(1-EXP(-LN(2)/25))/(LN(2)/25)*Calculateur!AQ59*Calculateur!AS59*VLOOKUP('Données projet'!$B$10,Paramètres!$A$1:$I$89,3,0)*0.475*44/12</f>
        <v>11.128265390116173</v>
      </c>
      <c r="AW59" s="21">
        <f>EXP(-LN(2)/2)*AW58+(1-EXP(-LN(2)/2))/(LN(2)/2)*AQ59*AT59*VLOOKUP('Données projet'!$B$10,Paramètres!$A$1:$I$89,3,0)*0.475*44/12</f>
        <v>3.6157484460692322</v>
      </c>
      <c r="AX59" s="21">
        <f t="shared" si="6"/>
        <v>22.597831802246773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9.1524999999999999</v>
      </c>
      <c r="BD59" s="12">
        <f>IF('Données projet'!$A$88&gt;35,BD58+BC59-BL58,IF(A59&lt;'Données projet'!$A$88,$BA$205^A59,IF(A59='Données projet'!$A$88,'Données projet'!$B$88,BD58+BC59-BL58)))</f>
        <v>189.84250000000029</v>
      </c>
      <c r="BE59" s="13">
        <f>BD59*VLOOKUP('Données projet'!$B$11,Paramètres!$A$1:$I$89,3,0)*VLOOKUP('Données projet'!$B$11,Paramètres!$A$1:$I$89,5,0)</f>
        <v>171.76949400000024</v>
      </c>
      <c r="BF59" s="13">
        <f t="shared" si="37"/>
        <v>43.486092222917399</v>
      </c>
      <c r="BG59" s="20">
        <f t="shared" si="7"/>
        <v>374.90347933824819</v>
      </c>
      <c r="BH59" s="59">
        <f t="shared" si="8"/>
        <v>668.23681267158145</v>
      </c>
      <c r="BI59" s="59">
        <f ca="1">AVERAGE(OFFSET($BH$3,0,0,'Données projet'!$E$11+1,1))-AVERAGE(OFFSET($H$3,0,0,'Données projet'!$E$11+1,1))</f>
        <v>490.06222615476065</v>
      </c>
      <c r="BJ59" s="59">
        <f t="shared" si="38"/>
        <v>310.43914804089906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33.393194868236435</v>
      </c>
      <c r="BR59" s="21">
        <f>EXP(-LN(2)/2)*BR58+(1-EXP(-LN(2)/2))/(LN(2)/2)*BL59*BO59*VLOOKUP('Données projet'!$B$11,Paramètres!$A$1:$I$89,3,0)*0.475*44/12</f>
        <v>1.6765917919988234</v>
      </c>
      <c r="BS59" s="22">
        <f t="shared" si="9"/>
        <v>35.069786660235259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6.2</v>
      </c>
      <c r="N60" s="13">
        <f>IF('Données projet'!$A$36&gt;35,N59+M60-V59,IF(A60&lt;'Données projet'!$A$36,$K$205^A60,IF(A60='Données projet'!$A$36,'Données projet'!$B$36,N59+M60-V59)))</f>
        <v>275.39999999999992</v>
      </c>
      <c r="O60" s="13">
        <f>N60*VLOOKUP('Données projet'!$B$9,Paramètres!$A$1:$I$89,3,0)*VLOOKUP('Données projet'!$B$9,Paramètres!$A$1:$I$89,5,0)</f>
        <v>219.10823999999994</v>
      </c>
      <c r="P60" s="13">
        <f t="shared" si="33"/>
        <v>53.921020297295854</v>
      </c>
      <c r="Q60" s="20">
        <f t="shared" si="53"/>
        <v>475.52596168445672</v>
      </c>
      <c r="R60" s="59">
        <f t="shared" si="0"/>
        <v>768.85929501779003</v>
      </c>
      <c r="S60" s="59">
        <f ca="1">AVERAGE(OFFSET($R$3,0,0,'Données projet'!$E$9+1,1))-AVERAGE(OFFSET($H$3,0,0,'Données projet'!$E$9+1,1))</f>
        <v>353.37479213497227</v>
      </c>
      <c r="T60" s="59">
        <f t="shared" si="34"/>
        <v>345.4750813433123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13.865435332053362</v>
      </c>
      <c r="AA60" s="21">
        <f>EXP(-LN(2)/25)*AA59+(1-EXP(-LN(2)/25))/(LN(2)/25)*Calculateur!V60*Calculateur!X60*VLOOKUP('Données projet'!$B$9,Paramètres!$A$1:$I$89,3,0)*0.475*44/12</f>
        <v>16.524522472851281</v>
      </c>
      <c r="AB60" s="21">
        <f>EXP(-LN(2)/2)*AB59+(1-EXP(-LN(2)/2))/(LN(2)/2)*V60*Y60*VLOOKUP('Données projet'!$B$9,Paramètres!$A$1:$I$89,3,0)*0.475*44/12</f>
        <v>1.9089178145166599</v>
      </c>
      <c r="AC60" s="22">
        <f t="shared" si="3"/>
        <v>32.298875619421302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12.346666666666669</v>
      </c>
      <c r="AI60" s="13">
        <f>IF('Données projet'!$A$62&gt;35,AI59+AH60-AQ59,IF(A60&lt;'Données projet'!$A$62,$AF$205^A60,IF(A60='Données projet'!$A$62,'Données projet'!$B$62,AI59+AH60-AQ59)))</f>
        <v>301.08999999999992</v>
      </c>
      <c r="AJ60" s="13">
        <f>AI60*VLOOKUP('Données projet'!$B$10,Paramètres!$A$1:$I$89,3,0)*VLOOKUP('Données projet'!$B$10,Paramètres!$A$1:$I$89,5,0)</f>
        <v>140.91011999999995</v>
      </c>
      <c r="AK60" s="13">
        <f t="shared" si="35"/>
        <v>36.505422512536292</v>
      </c>
      <c r="AL60" s="20">
        <f t="shared" si="4"/>
        <v>308.99873654266725</v>
      </c>
      <c r="AM60" s="59">
        <f t="shared" si="5"/>
        <v>602.33206987600056</v>
      </c>
      <c r="AN60" s="59">
        <f ca="1">AVERAGE(OFFSET($AM$3,0,0,'Données projet'!$E$10+1,1))-AVERAGE(OFFSET($H$3,0,0,'Données projet'!$E$10+1,1))</f>
        <v>293.15557501692803</v>
      </c>
      <c r="AO60" s="59">
        <f t="shared" si="36"/>
        <v>237.1930412773068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7.6998093861028529</v>
      </c>
      <c r="AV60" s="21">
        <f>EXP(-LN(2)/25)*AV59+(1-EXP(-LN(2)/25))/(LN(2)/25)*Calculateur!AQ60*Calculateur!AS60*VLOOKUP('Données projet'!$B$10,Paramètres!$A$1:$I$89,3,0)*0.475*44/12</f>
        <v>10.823962387813403</v>
      </c>
      <c r="AW60" s="21">
        <f>EXP(-LN(2)/2)*AW59+(1-EXP(-LN(2)/2))/(LN(2)/2)*AQ60*AT60*VLOOKUP('Données projet'!$B$10,Paramètres!$A$1:$I$89,3,0)*0.475*44/12</f>
        <v>2.556720245280276</v>
      </c>
      <c r="AX60" s="21">
        <f t="shared" si="6"/>
        <v>21.08049201919653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9.1524999999999999</v>
      </c>
      <c r="BD60" s="12">
        <f>IF('Données projet'!$A$88&gt;35,BD59+BC60-BL59,IF(A60&lt;'Données projet'!$A$88,$BA$205^A60,IF(A60='Données projet'!$A$88,'Données projet'!$B$88,BD59+BC60-BL59)))</f>
        <v>198.99500000000029</v>
      </c>
      <c r="BE60" s="13">
        <f>BD60*VLOOKUP('Données projet'!$B$11,Paramètres!$A$1:$I$89,3,0)*VLOOKUP('Données projet'!$B$11,Paramètres!$A$1:$I$89,5,0)</f>
        <v>180.05067600000027</v>
      </c>
      <c r="BF60" s="13">
        <f t="shared" si="37"/>
        <v>45.333460458198495</v>
      </c>
      <c r="BG60" s="20">
        <f t="shared" si="7"/>
        <v>392.54403766469613</v>
      </c>
      <c r="BH60" s="59">
        <f t="shared" si="8"/>
        <v>685.87737099802939</v>
      </c>
      <c r="BI60" s="59">
        <f ca="1">AVERAGE(OFFSET($BH$3,0,0,'Données projet'!$E$11+1,1))-AVERAGE(OFFSET($H$3,0,0,'Données projet'!$E$11+1,1))</f>
        <v>490.06222615476065</v>
      </c>
      <c r="BJ60" s="59">
        <f t="shared" si="38"/>
        <v>310.43914804089906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32.480056198492711</v>
      </c>
      <c r="BR60" s="21">
        <f>EXP(-LN(2)/2)*BR59+(1-EXP(-LN(2)/2))/(LN(2)/2)*BL60*BO60*VLOOKUP('Données projet'!$B$11,Paramètres!$A$1:$I$89,3,0)*0.475*44/12</f>
        <v>1.1855294254040736</v>
      </c>
      <c r="BS60" s="22">
        <f t="shared" si="9"/>
        <v>33.665585623896789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6.2</v>
      </c>
      <c r="N61" s="13">
        <f>IF('Données projet'!$A$36&gt;35,N60+M61-V60,IF(A61&lt;'Données projet'!$A$36,$K$205^A61,IF(A61='Données projet'!$A$36,'Données projet'!$B$36,N60+M61-V60)))</f>
        <v>281.59999999999991</v>
      </c>
      <c r="O61" s="13">
        <f>N61*VLOOKUP('Données projet'!$B$9,Paramètres!$A$1:$I$89,3,0)*VLOOKUP('Données projet'!$B$9,Paramètres!$A$1:$I$89,5,0)</f>
        <v>224.04095999999993</v>
      </c>
      <c r="P61" s="13">
        <f t="shared" si="33"/>
        <v>54.992235867381233</v>
      </c>
      <c r="Q61" s="20">
        <f t="shared" si="53"/>
        <v>485.98281613568884</v>
      </c>
      <c r="R61" s="59">
        <f t="shared" si="0"/>
        <v>779.31614946902209</v>
      </c>
      <c r="S61" s="59">
        <f ca="1">AVERAGE(OFFSET($R$3,0,0,'Données projet'!$E$9+1,1))-AVERAGE(OFFSET($H$3,0,0,'Données projet'!$E$9+1,1))</f>
        <v>353.37479213497227</v>
      </c>
      <c r="T61" s="59">
        <f t="shared" si="34"/>
        <v>345.4750813433123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13.593542602272281</v>
      </c>
      <c r="AA61" s="21">
        <f>EXP(-LN(2)/25)*AA60+(1-EXP(-LN(2)/25))/(LN(2)/25)*Calculateur!V61*Calculateur!X61*VLOOKUP('Données projet'!$B$9,Paramètres!$A$1:$I$89,3,0)*0.475*44/12</f>
        <v>16.072658536844294</v>
      </c>
      <c r="AB61" s="21">
        <f>EXP(-LN(2)/2)*AB60+(1-EXP(-LN(2)/2))/(LN(2)/2)*V61*Y61*VLOOKUP('Données projet'!$B$9,Paramètres!$A$1:$I$89,3,0)*0.475*44/12</f>
        <v>1.3498087313725344</v>
      </c>
      <c r="AC61" s="22">
        <f t="shared" si="3"/>
        <v>31.016009870489107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12.346666666666669</v>
      </c>
      <c r="AI61" s="13">
        <f>IF('Données projet'!$A$62&gt;35,AI60+AH61-AQ60,IF(A61&lt;'Données projet'!$A$62,$AF$205^A61,IF(A61='Données projet'!$A$62,'Données projet'!$B$62,AI60+AH61-AQ60)))</f>
        <v>313.43666666666661</v>
      </c>
      <c r="AJ61" s="13">
        <f>AI61*VLOOKUP('Données projet'!$B$10,Paramètres!$A$1:$I$89,3,0)*VLOOKUP('Données projet'!$B$10,Paramètres!$A$1:$I$89,5,0)</f>
        <v>146.68835999999999</v>
      </c>
      <c r="AK61" s="13">
        <f t="shared" si="35"/>
        <v>37.82502850366479</v>
      </c>
      <c r="AL61" s="20">
        <f t="shared" si="4"/>
        <v>321.36081831054946</v>
      </c>
      <c r="AM61" s="59">
        <f t="shared" si="5"/>
        <v>614.69415164388283</v>
      </c>
      <c r="AN61" s="59">
        <f ca="1">AVERAGE(OFFSET($AM$3,0,0,'Données projet'!$E$10+1,1))-AVERAGE(OFFSET($H$3,0,0,'Données projet'!$E$10+1,1))</f>
        <v>293.15557501692803</v>
      </c>
      <c r="AO61" s="59">
        <f t="shared" si="36"/>
        <v>237.1930412773068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7.5488208204613683</v>
      </c>
      <c r="AV61" s="21">
        <f>EXP(-LN(2)/25)*AV60+(1-EXP(-LN(2)/25))/(LN(2)/25)*Calculateur!AQ61*Calculateur!AS61*VLOOKUP('Données projet'!$B$10,Paramètres!$A$1:$I$89,3,0)*0.475*44/12</f>
        <v>10.527980567111202</v>
      </c>
      <c r="AW61" s="21">
        <f>EXP(-LN(2)/2)*AW60+(1-EXP(-LN(2)/2))/(LN(2)/2)*AQ61*AT61*VLOOKUP('Données projet'!$B$10,Paramètres!$A$1:$I$89,3,0)*0.475*44/12</f>
        <v>1.8078742230346163</v>
      </c>
      <c r="AX61" s="21">
        <f t="shared" si="6"/>
        <v>19.884675610607186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9.1524999999999999</v>
      </c>
      <c r="BD61" s="12">
        <f>IF('Données projet'!$A$88&gt;35,BD60+BC61-BL60,IF(A61&lt;'Données projet'!$A$88,$BA$205^A61,IF(A61='Données projet'!$A$88,'Données projet'!$B$88,BD60+BC61-BL60)))</f>
        <v>208.14750000000029</v>
      </c>
      <c r="BE61" s="13">
        <f>BD61*VLOOKUP('Données projet'!$B$11,Paramètres!$A$1:$I$89,3,0)*VLOOKUP('Données projet'!$B$11,Paramètres!$A$1:$I$89,5,0)</f>
        <v>188.33185800000024</v>
      </c>
      <c r="BF61" s="13">
        <f t="shared" si="37"/>
        <v>47.170961271026052</v>
      </c>
      <c r="BG61" s="20">
        <f t="shared" si="7"/>
        <v>410.16741023037071</v>
      </c>
      <c r="BH61" s="59">
        <f t="shared" si="8"/>
        <v>703.50074356370396</v>
      </c>
      <c r="BI61" s="59">
        <f ca="1">AVERAGE(OFFSET($BH$3,0,0,'Données projet'!$E$11+1,1))-AVERAGE(OFFSET($H$3,0,0,'Données projet'!$E$11+1,1))</f>
        <v>490.06222615476065</v>
      </c>
      <c r="BJ61" s="59">
        <f t="shared" si="38"/>
        <v>310.43914804089906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31.591887353693007</v>
      </c>
      <c r="BR61" s="21">
        <f>EXP(-LN(2)/2)*BR60+(1-EXP(-LN(2)/2))/(LN(2)/2)*BL61*BO61*VLOOKUP('Données projet'!$B$11,Paramètres!$A$1:$I$89,3,0)*0.475*44/12</f>
        <v>0.83829589599941168</v>
      </c>
      <c r="BS61" s="22">
        <f t="shared" si="9"/>
        <v>32.430183249692419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6.2</v>
      </c>
      <c r="N62" s="13">
        <f>IF('Données projet'!$A$36&gt;35,N61+M62-V61,IF(A62&lt;'Données projet'!$A$36,$K$205^A62,IF(A62='Données projet'!$A$36,'Données projet'!$B$36,N61+M62-V61)))</f>
        <v>287.7999999999999</v>
      </c>
      <c r="O62" s="13">
        <f>N62*VLOOKUP('Données projet'!$B$9,Paramètres!$A$1:$I$89,3,0)*VLOOKUP('Données projet'!$B$9,Paramètres!$A$1:$I$89,5,0)</f>
        <v>228.97367999999994</v>
      </c>
      <c r="P62" s="13">
        <f t="shared" si="33"/>
        <v>56.060709423888284</v>
      </c>
      <c r="Q62" s="20">
        <f t="shared" si="53"/>
        <v>496.43489491327199</v>
      </c>
      <c r="R62" s="59">
        <f t="shared" si="0"/>
        <v>789.7682282466053</v>
      </c>
      <c r="S62" s="59">
        <f ca="1">AVERAGE(OFFSET($R$3,0,0,'Données projet'!$E$9+1,1))-AVERAGE(OFFSET($H$3,0,0,'Données projet'!$E$9+1,1))</f>
        <v>353.37479213497227</v>
      </c>
      <c r="T62" s="59">
        <f t="shared" si="34"/>
        <v>345.4750813433123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13.326981523084017</v>
      </c>
      <c r="AA62" s="21">
        <f>EXP(-LN(2)/25)*AA61+(1-EXP(-LN(2)/25))/(LN(2)/25)*Calculateur!V62*Calculateur!X62*VLOOKUP('Données projet'!$B$9,Paramètres!$A$1:$I$89,3,0)*0.475*44/12</f>
        <v>15.63315084392991</v>
      </c>
      <c r="AB62" s="21">
        <f>EXP(-LN(2)/2)*AB61+(1-EXP(-LN(2)/2))/(LN(2)/2)*V62*Y62*VLOOKUP('Données projet'!$B$9,Paramètres!$A$1:$I$89,3,0)*0.475*44/12</f>
        <v>0.95445890725833005</v>
      </c>
      <c r="AC62" s="22">
        <f t="shared" si="3"/>
        <v>29.914591274272258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12.346666666666669</v>
      </c>
      <c r="AI62" s="13">
        <f>IF('Données projet'!$A$62&gt;35,AI61+AH62-AQ61,IF(A62&lt;'Données projet'!$A$62,$AF$205^A62,IF(A62='Données projet'!$A$62,'Données projet'!$B$62,AI61+AH62-AQ61)))</f>
        <v>325.7833333333333</v>
      </c>
      <c r="AJ62" s="13">
        <f>AI62*VLOOKUP('Données projet'!$B$10,Paramètres!$A$1:$I$89,3,0)*VLOOKUP('Données projet'!$B$10,Paramètres!$A$1:$I$89,5,0)</f>
        <v>152.46659999999997</v>
      </c>
      <c r="AK62" s="13">
        <f t="shared" si="35"/>
        <v>39.138596113258984</v>
      </c>
      <c r="AL62" s="20">
        <f t="shared" si="4"/>
        <v>333.71238323059265</v>
      </c>
      <c r="AM62" s="59">
        <f t="shared" si="5"/>
        <v>627.04571656392591</v>
      </c>
      <c r="AN62" s="59">
        <f ca="1">AVERAGE(OFFSET($AM$3,0,0,'Données projet'!$E$10+1,1))-AVERAGE(OFFSET($H$3,0,0,'Données projet'!$E$10+1,1))</f>
        <v>293.15557501692803</v>
      </c>
      <c r="AO62" s="59">
        <f t="shared" si="36"/>
        <v>237.1930412773068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7.4007930484981816</v>
      </c>
      <c r="AV62" s="21">
        <f>EXP(-LN(2)/25)*AV61+(1-EXP(-LN(2)/25))/(LN(2)/25)*Calculateur!AQ62*Calculateur!AS62*VLOOKUP('Données projet'!$B$10,Paramètres!$A$1:$I$89,3,0)*0.475*44/12</f>
        <v>10.240092384861111</v>
      </c>
      <c r="AW62" s="21">
        <f>EXP(-LN(2)/2)*AW61+(1-EXP(-LN(2)/2))/(LN(2)/2)*AQ62*AT62*VLOOKUP('Données projet'!$B$10,Paramètres!$A$1:$I$89,3,0)*0.475*44/12</f>
        <v>1.2783601226401382</v>
      </c>
      <c r="AX62" s="21">
        <f t="shared" si="6"/>
        <v>18.919245555999431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217.3</v>
      </c>
      <c r="BB62" s="12">
        <f>VLOOKUP(A62,'Données projet'!$A$87:$I$107,9,0)</f>
        <v>9.1524999999999999</v>
      </c>
      <c r="BC62" s="12">
        <f t="array" ref="BC62">INDEX(BB:BB,MIN(IF(ISNUMBER(BB62:BB258),ROW(BB62:BB258),"")))</f>
        <v>9.1524999999999999</v>
      </c>
      <c r="BD62" s="12">
        <f>IF('Données projet'!$A$88&gt;35,BD61+BC62-BL61,IF(A62&lt;'Données projet'!$A$88,$BA$205^A62,IF(A62='Données projet'!$A$88,'Données projet'!$B$88,BD61+BC62-BL61)))</f>
        <v>217.3000000000003</v>
      </c>
      <c r="BE62" s="13">
        <f>BD62*VLOOKUP('Données projet'!$B$11,Paramètres!$A$1:$I$89,3,0)*VLOOKUP('Données projet'!$B$11,Paramètres!$A$1:$I$89,5,0)</f>
        <v>196.61304000000027</v>
      </c>
      <c r="BF62" s="13">
        <f t="shared" si="37"/>
        <v>48.999078128589694</v>
      </c>
      <c r="BG62" s="20">
        <f t="shared" si="7"/>
        <v>427.77443907396082</v>
      </c>
      <c r="BH62" s="59">
        <f t="shared" si="8"/>
        <v>721.10777240729408</v>
      </c>
      <c r="BI62" s="59">
        <f ca="1">AVERAGE(OFFSET($BH$3,0,0,'Données projet'!$E$11+1,1))-AVERAGE(OFFSET($H$3,0,0,'Données projet'!$E$11+1,1))</f>
        <v>490.06222615476065</v>
      </c>
      <c r="BJ62" s="59">
        <f t="shared" si="38"/>
        <v>310.43914804089906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52.75</v>
      </c>
      <c r="BM62" s="16">
        <f>IF(ISNA(VLOOKUP(A62,'Données projet'!$A$87:$I$107,5,0)),0%,VLOOKUP(A62,'Données projet'!$A$87:$I$107,5,0)*VLOOKUP('Données projet'!$B$11,Paramètres!$A$1:$I$89,7,0))</f>
        <v>0.15049999999999999</v>
      </c>
      <c r="BN62" s="16">
        <f>IF(ISNA(VLOOKUP(A62,'Données projet'!$A$87:$I$107,6,0)),0%,VLOOKUP(A62,'Données projet'!$A$87:$I$107,6,0)*VLOOKUP('Données projet'!$B$11,Paramètres!$A$1:$I$89,7,0))</f>
        <v>8.6000000000000007E-2</v>
      </c>
      <c r="BO62" s="16">
        <f>IF(ISNA(VLOOKUP(A62,'Données projet'!$A$87:$I$107,7,0)),0%,VLOOKUP(A62,'Données projet'!$A$87:$I$107,7,0))</f>
        <v>0.1</v>
      </c>
      <c r="BP62" s="21">
        <f>EXP(-LN(2)/35)*BP61+(1-EXP(-LN(2)/35))/(LN(2)/35)*BL62*BM62*VLOOKUP('Données projet'!$B$11,Paramètres!$A$1:$I$89,3,0)*0.475*44/12</f>
        <v>7.9406977609478941</v>
      </c>
      <c r="BQ62" s="21">
        <f>EXP(-LN(2)/25)*BQ61+(1-EXP(-LN(2)/25))/(LN(2)/25)*Calculateur!BL62*Calculateur!BN62*VLOOKUP('Données projet'!$B$11,Paramètres!$A$1:$I$89,3,0)*0.475*44/12</f>
        <v>35.247681080215401</v>
      </c>
      <c r="BR62" s="21">
        <f>EXP(-LN(2)/2)*BR61+(1-EXP(-LN(2)/2))/(LN(2)/2)*BL62*BO62*VLOOKUP('Données projet'!$B$11,Paramètres!$A$1:$I$89,3,0)*0.475*44/12</f>
        <v>5.0960488412689262</v>
      </c>
      <c r="BS62" s="22">
        <f t="shared" si="9"/>
        <v>48.284427682432216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294</v>
      </c>
      <c r="L63" s="12">
        <f>VLOOKUP(A63,'Données projet'!$A$35:$I$55,9,0)</f>
        <v>6.2</v>
      </c>
      <c r="M63" s="12">
        <f t="array" ref="M63">INDEX(L:L,MIN(IF(ISNUMBER(L63:L259),ROW(L63:L259),"")))</f>
        <v>6.2</v>
      </c>
      <c r="N63" s="13">
        <f>IF('Données projet'!$A$36&gt;35,N62+M63-V62,IF(A63&lt;'Données projet'!$A$36,$K$205^A63,IF(A63='Données projet'!$A$36,'Données projet'!$B$36,N62+M63-V62)))</f>
        <v>293.99999999999989</v>
      </c>
      <c r="O63" s="13">
        <f>N63*VLOOKUP('Données projet'!$B$9,Paramètres!$A$1:$I$89,3,0)*VLOOKUP('Données projet'!$B$9,Paramètres!$A$1:$I$89,5,0)</f>
        <v>233.90639999999991</v>
      </c>
      <c r="P63" s="13">
        <f t="shared" si="33"/>
        <v>57.126506840778347</v>
      </c>
      <c r="Q63" s="20">
        <f t="shared" si="53"/>
        <v>506.88231274768879</v>
      </c>
      <c r="R63" s="59">
        <f t="shared" si="0"/>
        <v>800.2156460810221</v>
      </c>
      <c r="S63" s="59">
        <f ca="1">AVERAGE(OFFSET($R$3,0,0,'Données projet'!$E$9+1,1))-AVERAGE(OFFSET($H$3,0,0,'Données projet'!$E$9+1,1))</f>
        <v>353.37479213497227</v>
      </c>
      <c r="T63" s="59">
        <f t="shared" si="34"/>
        <v>345.4750813433123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14</v>
      </c>
      <c r="W63" s="16">
        <f>IF(ISNA(VLOOKUP(A63,'Données projet'!$A$35:$I$55,5,0)),0%,VLOOKUP(A63,'Données projet'!$A$35:$I$55,5,0)*VLOOKUP('Données projet'!$B$9,Paramètres!$A$1:$I$89,7,0))</f>
        <v>0.13250000000000001</v>
      </c>
      <c r="X63" s="16">
        <f>IF(ISNA(VLOOKUP(A63,'Données projet'!$A$35:$I$55,6,0)),0%,VLOOKUP(A63,'Données projet'!$A$35:$I$55,6,0)*VLOOKUP('Données projet'!$B$9,Paramètres!$A$1:$I$89,7,0))</f>
        <v>0.13250000000000001</v>
      </c>
      <c r="Y63" s="16">
        <f>IF(ISNA(VLOOKUP(A63,'Données projet'!$A$35:$I$55,7,0)),0%,VLOOKUP(A63,'Données projet'!$A$35:$I$55,7,0))</f>
        <v>0.25</v>
      </c>
      <c r="Z63" s="21">
        <f>EXP(-LN(2)/35)*Z62+(1-EXP(-LN(2)/35))/(LN(2)/35)*V63*W63*VLOOKUP('Données projet'!$B$9,Paramètres!$A$1:$I$89,3,0)*0.475*44/12</f>
        <v>14.697142738061579</v>
      </c>
      <c r="AA63" s="21">
        <f>EXP(-LN(2)/25)*AA62+(1-EXP(-LN(2)/25))/(LN(2)/25)*Calculateur!V63*Calculateur!X63*VLOOKUP('Données projet'!$B$9,Paramètres!$A$1:$I$89,3,0)*0.475*44/12</f>
        <v>16.830732887752983</v>
      </c>
      <c r="AB63" s="21">
        <f>EXP(-LN(2)/2)*AB62+(1-EXP(-LN(2)/2))/(LN(2)/2)*V63*Y63*VLOOKUP('Données projet'!$B$9,Paramètres!$A$1:$I$89,3,0)*0.475*44/12</f>
        <v>3.3022494120964314</v>
      </c>
      <c r="AC63" s="22">
        <f t="shared" si="3"/>
        <v>34.830125037910996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12.346666666666669</v>
      </c>
      <c r="AI63" s="13">
        <f>IF('Données projet'!$A$62&gt;35,AI62+AH63-AQ62,IF(A63&lt;'Données projet'!$A$62,$AF$205^A63,IF(A63='Données projet'!$A$62,'Données projet'!$B$62,AI62+AH63-AQ62)))</f>
        <v>338.13</v>
      </c>
      <c r="AJ63" s="13">
        <f>AI63*VLOOKUP('Données projet'!$B$10,Paramètres!$A$1:$I$89,3,0)*VLOOKUP('Données projet'!$B$10,Paramètres!$A$1:$I$89,5,0)</f>
        <v>158.24484000000001</v>
      </c>
      <c r="AK63" s="13">
        <f t="shared" si="35"/>
        <v>40.446380385466902</v>
      </c>
      <c r="AL63" s="20">
        <f t="shared" si="4"/>
        <v>346.05387550468822</v>
      </c>
      <c r="AM63" s="59">
        <f t="shared" si="5"/>
        <v>639.38720883802148</v>
      </c>
      <c r="AN63" s="59">
        <f ca="1">AVERAGE(OFFSET($AM$3,0,0,'Données projet'!$E$10+1,1))-AVERAGE(OFFSET($H$3,0,0,'Données projet'!$E$10+1,1))</f>
        <v>293.15557501692803</v>
      </c>
      <c r="AO63" s="59">
        <f t="shared" si="36"/>
        <v>237.1930412773068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7.2556680108551674</v>
      </c>
      <c r="AV63" s="21">
        <f>EXP(-LN(2)/25)*AV62+(1-EXP(-LN(2)/25))/(LN(2)/25)*Calculateur!AQ63*Calculateur!AS63*VLOOKUP('Données projet'!$B$10,Paramètres!$A$1:$I$89,3,0)*0.475*44/12</f>
        <v>9.9600765200940291</v>
      </c>
      <c r="AW63" s="21">
        <f>EXP(-LN(2)/2)*AW62+(1-EXP(-LN(2)/2))/(LN(2)/2)*AQ63*AT63*VLOOKUP('Données projet'!$B$10,Paramètres!$A$1:$I$89,3,0)*0.475*44/12</f>
        <v>0.90393711151730838</v>
      </c>
      <c r="AX63" s="21">
        <f t="shared" si="6"/>
        <v>18.119681642466503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8.5662500000000001</v>
      </c>
      <c r="BD63" s="12">
        <f>IF('Données projet'!$A$88&gt;35,BD62+BC63-BL62,IF(A63&lt;'Données projet'!$A$88,$BA$205^A63,IF(A63='Données projet'!$A$88,'Données projet'!$B$88,BD62+BC63-BL62)))</f>
        <v>173.11625000000029</v>
      </c>
      <c r="BE63" s="13">
        <f>BD63*VLOOKUP('Données projet'!$B$11,Paramètres!$A$1:$I$89,3,0)*VLOOKUP('Données projet'!$B$11,Paramètres!$A$1:$I$89,5,0)</f>
        <v>156.63558300000025</v>
      </c>
      <c r="BF63" s="13">
        <f t="shared" si="37"/>
        <v>40.082725721977702</v>
      </c>
      <c r="BG63" s="20">
        <f t="shared" si="7"/>
        <v>342.61772102411163</v>
      </c>
      <c r="BH63" s="59">
        <f t="shared" si="8"/>
        <v>635.95105435744495</v>
      </c>
      <c r="BI63" s="59">
        <f ca="1">AVERAGE(OFFSET($BH$3,0,0,'Données projet'!$E$11+1,1))-AVERAGE(OFFSET($H$3,0,0,'Données projet'!$E$11+1,1))</f>
        <v>490.06222615476065</v>
      </c>
      <c r="BJ63" s="59">
        <f t="shared" si="38"/>
        <v>310.43914804089906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7.7849855212030992</v>
      </c>
      <c r="BQ63" s="21">
        <f>EXP(-LN(2)/25)*BQ62+(1-EXP(-LN(2)/25))/(LN(2)/25)*Calculateur!BL63*Calculateur!BN63*VLOOKUP('Données projet'!$B$11,Paramètres!$A$1:$I$89,3,0)*0.475*44/12</f>
        <v>34.283831387481925</v>
      </c>
      <c r="BR63" s="21">
        <f>EXP(-LN(2)/2)*BR62+(1-EXP(-LN(2)/2))/(LN(2)/2)*BL63*BO63*VLOOKUP('Données projet'!$B$11,Paramètres!$A$1:$I$89,3,0)*0.475*44/12</f>
        <v>3.6034506929191057</v>
      </c>
      <c r="BS63" s="22">
        <f t="shared" si="9"/>
        <v>45.672267601604126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5.2</v>
      </c>
      <c r="N64" s="13">
        <f>IF('Données projet'!$A$36&gt;35,N63+M64-V63,IF(A64&lt;'Données projet'!$A$36,$K$205^A64,IF(A64='Données projet'!$A$36,'Données projet'!$B$36,N63+M64-V63)))</f>
        <v>285.19999999999987</v>
      </c>
      <c r="O64" s="13">
        <f>N64*VLOOKUP('Données projet'!$B$9,Paramètres!$A$1:$I$89,3,0)*VLOOKUP('Données projet'!$B$9,Paramètres!$A$1:$I$89,5,0)</f>
        <v>226.90511999999993</v>
      </c>
      <c r="P64" s="13">
        <f t="shared" si="33"/>
        <v>55.612969408444364</v>
      </c>
      <c r="Q64" s="20">
        <f t="shared" si="53"/>
        <v>492.05233905304044</v>
      </c>
      <c r="R64" s="59">
        <f t="shared" si="0"/>
        <v>785.3856723863737</v>
      </c>
      <c r="S64" s="59">
        <f ca="1">AVERAGE(OFFSET($R$3,0,0,'Données projet'!$E$9+1,1))-AVERAGE(OFFSET($H$3,0,0,'Données projet'!$E$9+1,1))</f>
        <v>353.37479213497227</v>
      </c>
      <c r="T64" s="59">
        <f t="shared" si="34"/>
        <v>345.4750813433123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14.408940733340105</v>
      </c>
      <c r="AA64" s="21">
        <f>EXP(-LN(2)/25)*AA63+(1-EXP(-LN(2)/25))/(LN(2)/25)*Calculateur!V64*Calculateur!X64*VLOOKUP('Données projet'!$B$9,Paramètres!$A$1:$I$89,3,0)*0.475*44/12</f>
        <v>16.370495611847602</v>
      </c>
      <c r="AB64" s="21">
        <f>EXP(-LN(2)/2)*AB63+(1-EXP(-LN(2)/2))/(LN(2)/2)*V64*Y64*VLOOKUP('Données projet'!$B$9,Paramètres!$A$1:$I$89,3,0)*0.475*44/12</f>
        <v>2.3350429524626768</v>
      </c>
      <c r="AC64" s="22">
        <f t="shared" si="3"/>
        <v>33.114479297650384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12.346666666666669</v>
      </c>
      <c r="AI64" s="13">
        <f>IF('Données projet'!$A$62&gt;35,AI63+AH64-AQ63,IF(A64&lt;'Données projet'!$A$62,$AF$205^A64,IF(A64='Données projet'!$A$62,'Données projet'!$B$62,AI63+AH64-AQ63)))</f>
        <v>350.47666666666669</v>
      </c>
      <c r="AJ64" s="13">
        <f>AI64*VLOOKUP('Données projet'!$B$10,Paramètres!$A$1:$I$89,3,0)*VLOOKUP('Données projet'!$B$10,Paramètres!$A$1:$I$89,5,0)</f>
        <v>164.02307999999999</v>
      </c>
      <c r="AK64" s="13">
        <f t="shared" si="35"/>
        <v>41.748616683259272</v>
      </c>
      <c r="AL64" s="20">
        <f t="shared" si="4"/>
        <v>358.3857050566765</v>
      </c>
      <c r="AM64" s="59">
        <f t="shared" si="5"/>
        <v>651.71903839000981</v>
      </c>
      <c r="AN64" s="59">
        <f ca="1">AVERAGE(OFFSET($AM$3,0,0,'Données projet'!$E$10+1,1))-AVERAGE(OFFSET($H$3,0,0,'Données projet'!$E$10+1,1))</f>
        <v>293.15557501692803</v>
      </c>
      <c r="AO64" s="59">
        <f t="shared" si="36"/>
        <v>237.1930412773068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7.1133887866828003</v>
      </c>
      <c r="AV64" s="21">
        <f>EXP(-LN(2)/25)*AV63+(1-EXP(-LN(2)/25))/(LN(2)/25)*Calculateur!AQ64*Calculateur!AS64*VLOOKUP('Données projet'!$B$10,Paramètres!$A$1:$I$89,3,0)*0.475*44/12</f>
        <v>9.687717703874398</v>
      </c>
      <c r="AW64" s="21">
        <f>EXP(-LN(2)/2)*AW63+(1-EXP(-LN(2)/2))/(LN(2)/2)*AQ64*AT64*VLOOKUP('Données projet'!$B$10,Paramètres!$A$1:$I$89,3,0)*0.475*44/12</f>
        <v>0.63918006132006921</v>
      </c>
      <c r="AX64" s="21">
        <f t="shared" si="6"/>
        <v>17.440286551877268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8.5662500000000001</v>
      </c>
      <c r="BD64" s="12">
        <f>IF('Données projet'!$A$88&gt;35,BD63+BC64-BL63,IF(A64&lt;'Données projet'!$A$88,$BA$205^A64,IF(A64='Données projet'!$A$88,'Données projet'!$B$88,BD63+BC64-BL63)))</f>
        <v>181.68250000000029</v>
      </c>
      <c r="BE64" s="13">
        <f>BD64*VLOOKUP('Données projet'!$B$11,Paramètres!$A$1:$I$89,3,0)*VLOOKUP('Données projet'!$B$11,Paramètres!$A$1:$I$89,5,0)</f>
        <v>164.38632600000025</v>
      </c>
      <c r="BF64" s="13">
        <f t="shared" si="37"/>
        <v>41.830300823322531</v>
      </c>
      <c r="BG64" s="20">
        <f t="shared" si="7"/>
        <v>359.16062505062047</v>
      </c>
      <c r="BH64" s="59">
        <f t="shared" si="8"/>
        <v>652.49395838395378</v>
      </c>
      <c r="BI64" s="59">
        <f ca="1">AVERAGE(OFFSET($BH$3,0,0,'Données projet'!$E$11+1,1))-AVERAGE(OFFSET($H$3,0,0,'Données projet'!$E$11+1,1))</f>
        <v>490.06222615476065</v>
      </c>
      <c r="BJ64" s="59">
        <f t="shared" si="38"/>
        <v>310.43914804089906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7.6323267035046118</v>
      </c>
      <c r="BQ64" s="21">
        <f>EXP(-LN(2)/25)*BQ63+(1-EXP(-LN(2)/25))/(LN(2)/25)*Calculateur!BL64*Calculateur!BN64*VLOOKUP('Données projet'!$B$11,Paramètres!$A$1:$I$89,3,0)*0.475*44/12</f>
        <v>33.346338215282898</v>
      </c>
      <c r="BR64" s="21">
        <f>EXP(-LN(2)/2)*BR63+(1-EXP(-LN(2)/2))/(LN(2)/2)*BL64*BO64*VLOOKUP('Données projet'!$B$11,Paramètres!$A$1:$I$89,3,0)*0.475*44/12</f>
        <v>2.5480244206344631</v>
      </c>
      <c r="BS64" s="22">
        <f t="shared" si="9"/>
        <v>43.526689339421971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5.2</v>
      </c>
      <c r="N65" s="13">
        <f>IF('Données projet'!$A$36&gt;35,N64+M65-V64,IF(A65&lt;'Données projet'!$A$36,$K$205^A65,IF(A65='Données projet'!$A$36,'Données projet'!$B$36,N64+M65-V64)))</f>
        <v>290.39999999999986</v>
      </c>
      <c r="O65" s="13">
        <f>N65*VLOOKUP('Données projet'!$B$9,Paramètres!$A$1:$I$89,3,0)*VLOOKUP('Données projet'!$B$9,Paramètres!$A$1:$I$89,5,0)</f>
        <v>231.04223999999991</v>
      </c>
      <c r="P65" s="13">
        <f t="shared" si="33"/>
        <v>56.507978852931409</v>
      </c>
      <c r="Q65" s="20">
        <f t="shared" si="53"/>
        <v>500.81663116885539</v>
      </c>
      <c r="R65" s="59">
        <f t="shared" si="0"/>
        <v>794.14996450218871</v>
      </c>
      <c r="S65" s="59">
        <f ca="1">AVERAGE(OFFSET($R$3,0,0,'Données projet'!$E$9+1,1))-AVERAGE(OFFSET($H$3,0,0,'Données projet'!$E$9+1,1))</f>
        <v>353.37479213497227</v>
      </c>
      <c r="T65" s="59">
        <f t="shared" si="34"/>
        <v>345.4750813433123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14.126390194145351</v>
      </c>
      <c r="AA65" s="21">
        <f>EXP(-LN(2)/25)*AA64+(1-EXP(-LN(2)/25))/(LN(2)/25)*Calculateur!V65*Calculateur!X65*VLOOKUP('Données projet'!$B$9,Paramètres!$A$1:$I$89,3,0)*0.475*44/12</f>
        <v>15.922843548454681</v>
      </c>
      <c r="AB65" s="21">
        <f>EXP(-LN(2)/2)*AB64+(1-EXP(-LN(2)/2))/(LN(2)/2)*V65*Y65*VLOOKUP('Données projet'!$B$9,Paramètres!$A$1:$I$89,3,0)*0.475*44/12</f>
        <v>1.6511247060482159</v>
      </c>
      <c r="AC65" s="22">
        <f t="shared" si="3"/>
        <v>31.700358448648245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12.346666666666669</v>
      </c>
      <c r="AI65" s="13">
        <f>IF('Données projet'!$A$62&gt;35,AI64+AH65-AQ64,IF(A65&lt;'Données projet'!$A$62,$AF$205^A65,IF(A65='Données projet'!$A$62,'Données projet'!$B$62,AI64+AH65-AQ64)))</f>
        <v>362.82333333333338</v>
      </c>
      <c r="AJ65" s="13">
        <f>AI65*VLOOKUP('Données projet'!$B$10,Paramètres!$A$1:$I$89,3,0)*VLOOKUP('Données projet'!$B$10,Paramètres!$A$1:$I$89,5,0)</f>
        <v>169.80132</v>
      </c>
      <c r="AK65" s="13">
        <f t="shared" si="35"/>
        <v>43.045522846538063</v>
      </c>
      <c r="AL65" s="20">
        <f t="shared" si="4"/>
        <v>370.70825129105378</v>
      </c>
      <c r="AM65" s="59">
        <f t="shared" si="5"/>
        <v>664.04158462438704</v>
      </c>
      <c r="AN65" s="59">
        <f ca="1">AVERAGE(OFFSET($AM$3,0,0,'Données projet'!$E$10+1,1))-AVERAGE(OFFSET($H$3,0,0,'Données projet'!$E$10+1,1))</f>
        <v>293.15557501692803</v>
      </c>
      <c r="AO65" s="59">
        <f t="shared" si="36"/>
        <v>237.1930412773068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6.9738995713146954</v>
      </c>
      <c r="AV65" s="21">
        <f>EXP(-LN(2)/25)*AV64+(1-EXP(-LN(2)/25))/(LN(2)/25)*Calculateur!AQ65*Calculateur!AS65*VLOOKUP('Données projet'!$B$10,Paramètres!$A$1:$I$89,3,0)*0.475*44/12</f>
        <v>9.4228065538070194</v>
      </c>
      <c r="AW65" s="21">
        <f>EXP(-LN(2)/2)*AW64+(1-EXP(-LN(2)/2))/(LN(2)/2)*AQ65*AT65*VLOOKUP('Données projet'!$B$10,Paramètres!$A$1:$I$89,3,0)*0.475*44/12</f>
        <v>0.45196855575865424</v>
      </c>
      <c r="AX65" s="21">
        <f t="shared" si="6"/>
        <v>16.848674680880368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8.5662500000000001</v>
      </c>
      <c r="BD65" s="12">
        <f>IF('Données projet'!$A$88&gt;35,BD64+BC65-BL64,IF(A65&lt;'Données projet'!$A$88,$BA$205^A65,IF(A65='Données projet'!$A$88,'Données projet'!$B$88,BD64+BC65-BL64)))</f>
        <v>190.24875000000029</v>
      </c>
      <c r="BE65" s="13">
        <f>BD65*VLOOKUP('Données projet'!$B$11,Paramètres!$A$1:$I$89,3,0)*VLOOKUP('Données projet'!$B$11,Paramètres!$A$1:$I$89,5,0)</f>
        <v>172.13706900000025</v>
      </c>
      <c r="BF65" s="13">
        <f t="shared" si="37"/>
        <v>43.5683073950158</v>
      </c>
      <c r="BG65" s="20">
        <f t="shared" si="7"/>
        <v>375.68686388798625</v>
      </c>
      <c r="BH65" s="59">
        <f t="shared" si="8"/>
        <v>669.02019722131956</v>
      </c>
      <c r="BI65" s="59">
        <f ca="1">AVERAGE(OFFSET($BH$3,0,0,'Données projet'!$E$11+1,1))-AVERAGE(OFFSET($H$3,0,0,'Données projet'!$E$11+1,1))</f>
        <v>490.06222615476065</v>
      </c>
      <c r="BJ65" s="59">
        <f t="shared" si="38"/>
        <v>310.43914804089906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7.4826614321085065</v>
      </c>
      <c r="BQ65" s="21">
        <f>EXP(-LN(2)/25)*BQ64+(1-EXP(-LN(2)/25))/(LN(2)/25)*Calculateur!BL65*Calculateur!BN65*VLOOKUP('Données projet'!$B$11,Paramètres!$A$1:$I$89,3,0)*0.475*44/12</f>
        <v>32.434480843178278</v>
      </c>
      <c r="BR65" s="21">
        <f>EXP(-LN(2)/2)*BR64+(1-EXP(-LN(2)/2))/(LN(2)/2)*BL65*BO65*VLOOKUP('Données projet'!$B$11,Paramètres!$A$1:$I$89,3,0)*0.475*44/12</f>
        <v>1.8017253464595528</v>
      </c>
      <c r="BS65" s="22">
        <f t="shared" si="9"/>
        <v>41.718867621746341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5.2</v>
      </c>
      <c r="N66" s="13">
        <f>IF('Données projet'!$A$36&gt;35,N65+M66-V65,IF(A66&lt;'Données projet'!$A$36,$K$205^A66,IF(A66='Données projet'!$A$36,'Données projet'!$B$36,N65+M66-V65)))</f>
        <v>295.59999999999985</v>
      </c>
      <c r="O66" s="13">
        <f>N66*VLOOKUP('Données projet'!$B$9,Paramètres!$A$1:$I$89,3,0)*VLOOKUP('Données projet'!$B$9,Paramètres!$A$1:$I$89,5,0)</f>
        <v>235.17935999999989</v>
      </c>
      <c r="P66" s="13">
        <f t="shared" si="33"/>
        <v>57.401124668909425</v>
      </c>
      <c r="Q66" s="20">
        <f t="shared" si="53"/>
        <v>509.57767746501708</v>
      </c>
      <c r="R66" s="59">
        <f t="shared" si="0"/>
        <v>802.91101079835039</v>
      </c>
      <c r="S66" s="59">
        <f ca="1">AVERAGE(OFFSET($R$3,0,0,'Données projet'!$E$9+1,1))-AVERAGE(OFFSET($H$3,0,0,'Données projet'!$E$9+1,1))</f>
        <v>353.37479213497227</v>
      </c>
      <c r="T66" s="59">
        <f t="shared" si="34"/>
        <v>345.4750813433123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13.849380298685395</v>
      </c>
      <c r="AA66" s="21">
        <f>EXP(-LN(2)/25)*AA65+(1-EXP(-LN(2)/25))/(LN(2)/25)*Calculateur!V66*Calculateur!X66*VLOOKUP('Données projet'!$B$9,Paramètres!$A$1:$I$89,3,0)*0.475*44/12</f>
        <v>15.487432554276237</v>
      </c>
      <c r="AB66" s="21">
        <f>EXP(-LN(2)/2)*AB65+(1-EXP(-LN(2)/2))/(LN(2)/2)*V66*Y66*VLOOKUP('Données projet'!$B$9,Paramètres!$A$1:$I$89,3,0)*0.475*44/12</f>
        <v>1.1675214762313384</v>
      </c>
      <c r="AC66" s="22">
        <f t="shared" si="3"/>
        <v>30.504334329192972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375.17</v>
      </c>
      <c r="AG66" s="12">
        <f>VLOOKUP(A66,'Données projet'!$A$61:$I$81,9,0)</f>
        <v>12.346666666666669</v>
      </c>
      <c r="AH66" s="12">
        <f t="array" ref="AH66">INDEX(AG:AG,MIN(IF(ISNUMBER(AG66:AG262),ROW(AG66:AG262),"")))</f>
        <v>12.346666666666669</v>
      </c>
      <c r="AI66" s="13">
        <f>IF('Données projet'!$A$62&gt;35,AI65+AH66-AQ65,IF(A66&lt;'Données projet'!$A$62,$AF$205^A66,IF(A66='Données projet'!$A$62,'Données projet'!$B$62,AI65+AH66-AQ65)))</f>
        <v>375.17000000000007</v>
      </c>
      <c r="AJ66" s="13">
        <f>AI66*VLOOKUP('Données projet'!$B$10,Paramètres!$A$1:$I$89,3,0)*VLOOKUP('Données projet'!$B$10,Paramètres!$A$1:$I$89,5,0)</f>
        <v>175.57956000000001</v>
      </c>
      <c r="AK66" s="13">
        <f t="shared" si="35"/>
        <v>44.337301048235936</v>
      </c>
      <c r="AL66" s="20">
        <f t="shared" si="4"/>
        <v>383.02186632567759</v>
      </c>
      <c r="AM66" s="59">
        <f t="shared" si="5"/>
        <v>676.35519965901085</v>
      </c>
      <c r="AN66" s="59">
        <f ca="1">AVERAGE(OFFSET($AM$3,0,0,'Données projet'!$E$10+1,1))-AVERAGE(OFFSET($H$3,0,0,'Données projet'!$E$10+1,1))</f>
        <v>293.15557501692803</v>
      </c>
      <c r="AO66" s="59">
        <f t="shared" si="36"/>
        <v>237.1930412773068</v>
      </c>
      <c r="AP66" s="15">
        <f>IF(ISNA(VLOOKUP(A66,'Données projet'!$A$61:$I$81,3,0)),0,VLOOKUP(A66,'Données projet'!$A$61:$I$81,3,0))</f>
        <v>2</v>
      </c>
      <c r="AQ66" s="15">
        <f>IF(ISNA(VLOOKUP(A66,'Données projet'!$A$61:$I$81,4,0)),0,VLOOKUP(A66,'Données projet'!$A$61:$I$81,4,0))</f>
        <v>115.59000000000003</v>
      </c>
      <c r="AR66" s="16">
        <f>IF(ISNA(VLOOKUP(A66,'Données projet'!$A$61:$I$81,5,0)),0%,VLOOKUP(A66,'Données projet'!$A$61:$I$81,5,0)*VLOOKUP('Données projet'!$B$10,Paramètres!$A$1:$I$89,7,0))</f>
        <v>0.33</v>
      </c>
      <c r="AS66" s="16">
        <f>IF(ISNA(VLOOKUP(A66,'Données projet'!$A$61:$I$81,6,0)),0%,VLOOKUP(A66,'Données projet'!$A$61:$I$81,6,0)*VLOOKUP('Données projet'!$B$10,Paramètres!$A$1:$I$89,7,0))</f>
        <v>0.11000000000000001</v>
      </c>
      <c r="AT66" s="16">
        <f>IF(ISNA(VLOOKUP(A66,'Données projet'!$A$61:$I$81,7,0)),0%,VLOOKUP(A66,'Données projet'!$A$61:$I$81,7,0))</f>
        <v>0.2</v>
      </c>
      <c r="AU66" s="21">
        <f>EXP(-LN(2)/35)*AU65+(1-EXP(-LN(2)/35))/(LN(2)/35)*AQ66*AR66*VLOOKUP('Données projet'!$B$10,Paramètres!$A$1:$I$89,3,0)*0.475*44/12</f>
        <v>30.51860234421331</v>
      </c>
      <c r="AV66" s="21">
        <f>EXP(-LN(2)/25)*AV65+(1-EXP(-LN(2)/25))/(LN(2)/25)*Calculateur!AQ66*Calculateur!AS66*VLOOKUP('Données projet'!$B$10,Paramètres!$A$1:$I$89,3,0)*0.475*44/12</f>
        <v>17.027877336903668</v>
      </c>
      <c r="AW66" s="21">
        <f>EXP(-LN(2)/2)*AW65+(1-EXP(-LN(2)/2))/(LN(2)/2)*AQ66*AT66*VLOOKUP('Données projet'!$B$10,Paramètres!$A$1:$I$89,3,0)*0.475*44/12</f>
        <v>12.569464877633518</v>
      </c>
      <c r="AX66" s="21">
        <f t="shared" si="6"/>
        <v>60.115944558750499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8.5662500000000001</v>
      </c>
      <c r="BD66" s="12">
        <f>IF('Données projet'!$A$88&gt;35,BD65+BC66-BL65,IF(A66&lt;'Données projet'!$A$88,$BA$205^A66,IF(A66='Données projet'!$A$88,'Données projet'!$B$88,BD65+BC66-BL65)))</f>
        <v>198.81500000000028</v>
      </c>
      <c r="BE66" s="13">
        <f>BD66*VLOOKUP('Données projet'!$B$11,Paramètres!$A$1:$I$89,3,0)*VLOOKUP('Données projet'!$B$11,Paramètres!$A$1:$I$89,5,0)</f>
        <v>179.88781200000022</v>
      </c>
      <c r="BF66" s="13">
        <f t="shared" si="37"/>
        <v>45.297225497901827</v>
      </c>
      <c r="BG66" s="20">
        <f t="shared" si="7"/>
        <v>392.19727364217937</v>
      </c>
      <c r="BH66" s="59">
        <f t="shared" si="8"/>
        <v>685.53060697551268</v>
      </c>
      <c r="BI66" s="59">
        <f ca="1">AVERAGE(OFFSET($BH$3,0,0,'Données projet'!$E$11+1,1))-AVERAGE(OFFSET($H$3,0,0,'Données projet'!$E$11+1,1))</f>
        <v>490.06222615476065</v>
      </c>
      <c r="BJ66" s="59">
        <f t="shared" si="38"/>
        <v>310.43914804089906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7.3359310053976774</v>
      </c>
      <c r="BQ66" s="21">
        <f>EXP(-LN(2)/25)*BQ65+(1-EXP(-LN(2)/25))/(LN(2)/25)*Calculateur!BL66*Calculateur!BN66*VLOOKUP('Données projet'!$B$11,Paramètres!$A$1:$I$89,3,0)*0.475*44/12</f>
        <v>31.547558258866349</v>
      </c>
      <c r="BR66" s="21">
        <f>EXP(-LN(2)/2)*BR65+(1-EXP(-LN(2)/2))/(LN(2)/2)*BL66*BO66*VLOOKUP('Données projet'!$B$11,Paramètres!$A$1:$I$89,3,0)*0.475*44/12</f>
        <v>1.2740122103172316</v>
      </c>
      <c r="BS66" s="22">
        <f t="shared" si="9"/>
        <v>40.15750147458126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5.2</v>
      </c>
      <c r="N67" s="13">
        <f>IF('Données projet'!$A$36&gt;35,N66+M67-V66,IF(A67&lt;'Données projet'!$A$36,$K$205^A67,IF(A67='Données projet'!$A$36,'Données projet'!$B$36,N66+M67-V66)))</f>
        <v>300.79999999999984</v>
      </c>
      <c r="O67" s="13">
        <f>N67*VLOOKUP('Données projet'!$B$9,Paramètres!$A$1:$I$89,3,0)*VLOOKUP('Données projet'!$B$9,Paramètres!$A$1:$I$89,5,0)</f>
        <v>239.3164799999999</v>
      </c>
      <c r="P67" s="13">
        <f t="shared" si="33"/>
        <v>58.292443422481945</v>
      </c>
      <c r="Q67" s="20">
        <f t="shared" ref="Q67:Q98" si="54">(O67+P67)*0.475*44/12</f>
        <v>518.33554162748919</v>
      </c>
      <c r="R67" s="59">
        <f t="shared" ref="R67:R130" si="55">Q67+(I67+J67)*44/12</f>
        <v>811.66887496082245</v>
      </c>
      <c r="S67" s="59">
        <f ca="1">AVERAGE(OFFSET($R$3,0,0,'Données projet'!$E$9+1,1))-AVERAGE(OFFSET($H$3,0,0,'Données projet'!$E$9+1,1))</f>
        <v>353.37479213497227</v>
      </c>
      <c r="T67" s="59">
        <f t="shared" si="34"/>
        <v>345.4750813433123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13.577802398316056</v>
      </c>
      <c r="AA67" s="21">
        <f>EXP(-LN(2)/25)*AA66+(1-EXP(-LN(2)/25))/(LN(2)/25)*Calculateur!V67*Calculateur!X67*VLOOKUP('Données projet'!$B$9,Paramètres!$A$1:$I$89,3,0)*0.475*44/12</f>
        <v>15.063927896630872</v>
      </c>
      <c r="AB67" s="21">
        <f>EXP(-LN(2)/2)*AB66+(1-EXP(-LN(2)/2))/(LN(2)/2)*V67*Y67*VLOOKUP('Données projet'!$B$9,Paramètres!$A$1:$I$89,3,0)*0.475*44/12</f>
        <v>0.82556235302410796</v>
      </c>
      <c r="AC67" s="22">
        <f t="shared" si="3"/>
        <v>29.467292647971036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11.327500000000001</v>
      </c>
      <c r="AI67" s="13">
        <f>IF('Données projet'!$A$62&gt;35,AI66+AH67-AQ66,IF(A67&lt;'Données projet'!$A$62,$AF$205^A67,IF(A67='Données projet'!$A$62,'Données projet'!$B$62,AI66+AH67-AQ66)))</f>
        <v>270.90750000000003</v>
      </c>
      <c r="AJ67" s="13">
        <f>AI67*VLOOKUP('Données projet'!$B$10,Paramètres!$A$1:$I$89,3,0)*VLOOKUP('Données projet'!$B$10,Paramètres!$A$1:$I$89,5,0)</f>
        <v>126.78471000000002</v>
      </c>
      <c r="AK67" s="13">
        <f t="shared" si="35"/>
        <v>33.252320782096213</v>
      </c>
      <c r="AL67" s="20">
        <f t="shared" si="4"/>
        <v>278.73116194548425</v>
      </c>
      <c r="AM67" s="59">
        <f t="shared" si="5"/>
        <v>572.0644952788175</v>
      </c>
      <c r="AN67" s="59">
        <f ca="1">AVERAGE(OFFSET($AM$3,0,0,'Données projet'!$E$10+1,1))-AVERAGE(OFFSET($H$3,0,0,'Données projet'!$E$10+1,1))</f>
        <v>293.15557501692803</v>
      </c>
      <c r="AO67" s="59">
        <f t="shared" si="36"/>
        <v>237.1930412773068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29.920151166752685</v>
      </c>
      <c r="AV67" s="21">
        <f>EXP(-LN(2)/25)*AV66+(1-EXP(-LN(2)/25))/(LN(2)/25)*Calculateur!AQ67*Calculateur!AS67*VLOOKUP('Données projet'!$B$10,Paramètres!$A$1:$I$89,3,0)*0.475*44/12</f>
        <v>16.562249135668885</v>
      </c>
      <c r="AW67" s="21">
        <f>EXP(-LN(2)/2)*AW66+(1-EXP(-LN(2)/2))/(LN(2)/2)*AQ67*AT67*VLOOKUP('Données projet'!$B$10,Paramètres!$A$1:$I$89,3,0)*0.475*44/12</f>
        <v>8.8879538508607983</v>
      </c>
      <c r="AX67" s="21">
        <f t="shared" si="6"/>
        <v>55.370354153282364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8.5662500000000001</v>
      </c>
      <c r="BD67" s="12">
        <f>IF('Données projet'!$A$88&gt;35,BD66+BC67-BL66,IF(A67&lt;'Données projet'!$A$88,$BA$205^A67,IF(A67='Données projet'!$A$88,'Données projet'!$B$88,BD66+BC67-BL66)))</f>
        <v>207.38125000000028</v>
      </c>
      <c r="BE67" s="13">
        <f>BD67*VLOOKUP('Données projet'!$B$11,Paramètres!$A$1:$I$89,3,0)*VLOOKUP('Données projet'!$B$11,Paramètres!$A$1:$I$89,5,0)</f>
        <v>187.63855500000025</v>
      </c>
      <c r="BF67" s="13">
        <f t="shared" si="37"/>
        <v>47.017491484907552</v>
      </c>
      <c r="BG67" s="20">
        <f t="shared" si="7"/>
        <v>408.6926142945477</v>
      </c>
      <c r="BH67" s="59">
        <f t="shared" si="8"/>
        <v>702.02594762788101</v>
      </c>
      <c r="BI67" s="59">
        <f ca="1">AVERAGE(OFFSET($BH$3,0,0,'Données projet'!$E$11+1,1))-AVERAGE(OFFSET($H$3,0,0,'Données projet'!$E$11+1,1))</f>
        <v>490.06222615476065</v>
      </c>
      <c r="BJ67" s="59">
        <f t="shared" si="38"/>
        <v>310.43914804089906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7.192077872857924</v>
      </c>
      <c r="BQ67" s="21">
        <f>EXP(-LN(2)/25)*BQ66+(1-EXP(-LN(2)/25))/(LN(2)/25)*Calculateur!BL67*Calculateur!BN67*VLOOKUP('Données projet'!$B$11,Paramètres!$A$1:$I$89,3,0)*0.475*44/12</f>
        <v>30.684888619263663</v>
      </c>
      <c r="BR67" s="21">
        <f>EXP(-LN(2)/2)*BR66+(1-EXP(-LN(2)/2))/(LN(2)/2)*BL67*BO67*VLOOKUP('Données projet'!$B$11,Paramètres!$A$1:$I$89,3,0)*0.475*44/12</f>
        <v>0.90086267322977642</v>
      </c>
      <c r="BS67" s="22">
        <f t="shared" si="9"/>
        <v>38.777829165351363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306</v>
      </c>
      <c r="L68" s="12">
        <f>VLOOKUP(A68,'Données projet'!$A$35:$I$55,9,0)</f>
        <v>5.2</v>
      </c>
      <c r="M68" s="12">
        <f t="array" ref="M68">INDEX(L:L,MIN(IF(ISNUMBER(L68:L264),ROW(L68:L264),"")))</f>
        <v>5.2</v>
      </c>
      <c r="N68" s="13">
        <f>IF('Données projet'!$A$36&gt;35,N67+M68-V67,IF(A68&lt;'Données projet'!$A$36,$K$205^A68,IF(A68='Données projet'!$A$36,'Données projet'!$B$36,N67+M68-V67)))</f>
        <v>305.99999999999983</v>
      </c>
      <c r="O68" s="13">
        <f>N68*VLOOKUP('Données projet'!$B$9,Paramètres!$A$1:$I$89,3,0)*VLOOKUP('Données projet'!$B$9,Paramètres!$A$1:$I$89,5,0)</f>
        <v>243.45359999999988</v>
      </c>
      <c r="P68" s="13">
        <f t="shared" si="33"/>
        <v>59.181970343065267</v>
      </c>
      <c r="Q68" s="20">
        <f t="shared" si="54"/>
        <v>527.09028501417163</v>
      </c>
      <c r="R68" s="59">
        <f t="shared" si="55"/>
        <v>820.423618347505</v>
      </c>
      <c r="S68" s="59">
        <f ca="1">AVERAGE(OFFSET($R$3,0,0,'Données projet'!$E$9+1,1))-AVERAGE(OFFSET($H$3,0,0,'Données projet'!$E$9+1,1))</f>
        <v>353.37479213497227</v>
      </c>
      <c r="T68" s="59">
        <f t="shared" si="34"/>
        <v>345.4750813433123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13</v>
      </c>
      <c r="W68" s="16">
        <f>IF(ISNA(VLOOKUP(A68,'Données projet'!$A$35:$I$55,5,0)),0%,VLOOKUP(A68,'Données projet'!$A$35:$I$55,5,0)*VLOOKUP('Données projet'!$B$9,Paramètres!$A$1:$I$89,7,0))</f>
        <v>0.13250000000000001</v>
      </c>
      <c r="X68" s="16">
        <f>IF(ISNA(VLOOKUP(A68,'Données projet'!$A$35:$I$55,6,0)),0%,VLOOKUP(A68,'Données projet'!$A$35:$I$55,6,0)*VLOOKUP('Données projet'!$B$9,Paramètres!$A$1:$I$89,7,0))</f>
        <v>0.13250000000000001</v>
      </c>
      <c r="Y68" s="16">
        <f>IF(ISNA(VLOOKUP(A68,'Données projet'!$A$35:$I$55,7,0)),0%,VLOOKUP(A68,'Données projet'!$A$35:$I$55,7,0))</f>
        <v>0.25</v>
      </c>
      <c r="Z68" s="21">
        <f>EXP(-LN(2)/35)*Z67+(1-EXP(-LN(2)/35))/(LN(2)/35)*V68*W68*VLOOKUP('Données projet'!$B$9,Paramètres!$A$1:$I$89,3,0)*0.475*44/12</f>
        <v>14.826509797916721</v>
      </c>
      <c r="AA68" s="21">
        <f>EXP(-LN(2)/25)*AA67+(1-EXP(-LN(2)/25))/(LN(2)/25)*Calculateur!V68*Calculateur!X68*VLOOKUP('Données projet'!$B$9,Paramètres!$A$1:$I$89,3,0)*0.475*44/12</f>
        <v>16.160998845041828</v>
      </c>
      <c r="AB68" s="21">
        <f>EXP(-LN(2)/2)*AB67+(1-EXP(-LN(2)/2))/(LN(2)/2)*V68*Y68*VLOOKUP('Données projet'!$B$9,Paramètres!$A$1:$I$89,3,0)*0.475*44/12</f>
        <v>3.0234382812108214</v>
      </c>
      <c r="AC68" s="22">
        <f t="shared" ref="AC68:AC131" si="57">SUM(Z68:AB68)</f>
        <v>34.010946924169367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11.327500000000001</v>
      </c>
      <c r="AI68" s="13">
        <f>IF('Données projet'!$A$62&gt;35,AI67+AH68-AQ67,IF(A68&lt;'Données projet'!$A$62,$AF$205^A68,IF(A68='Données projet'!$A$62,'Données projet'!$B$62,AI67+AH68-AQ67)))</f>
        <v>282.23500000000001</v>
      </c>
      <c r="AJ68" s="13">
        <f>AI68*VLOOKUP('Données projet'!$B$10,Paramètres!$A$1:$I$89,3,0)*VLOOKUP('Données projet'!$B$10,Paramètres!$A$1:$I$89,5,0)</f>
        <v>132.08598000000001</v>
      </c>
      <c r="AK68" s="13">
        <f t="shared" si="35"/>
        <v>34.477920592791357</v>
      </c>
      <c r="AL68" s="20">
        <f t="shared" ref="AL68:AL131" si="58">(AJ68+AK68)*0.475*44/12</f>
        <v>290.09879353244492</v>
      </c>
      <c r="AM68" s="59">
        <f t="shared" ref="AM68:AM131" si="59">AL68+(AD68+AE68)*44/12</f>
        <v>583.43212686577817</v>
      </c>
      <c r="AN68" s="59">
        <f ca="1">AVERAGE(OFFSET($AM$3,0,0,'Données projet'!$E$10+1,1))-AVERAGE(OFFSET($H$3,0,0,'Données projet'!$E$10+1,1))</f>
        <v>293.15557501692803</v>
      </c>
      <c r="AO68" s="59">
        <f t="shared" si="36"/>
        <v>237.1930412773068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29.333435251862888</v>
      </c>
      <c r="AV68" s="21">
        <f>EXP(-LN(2)/25)*AV67+(1-EXP(-LN(2)/25))/(LN(2)/25)*Calculateur!AQ68*Calculateur!AS68*VLOOKUP('Données projet'!$B$10,Paramètres!$A$1:$I$89,3,0)*0.475*44/12</f>
        <v>16.109353562083193</v>
      </c>
      <c r="AW68" s="21">
        <f>EXP(-LN(2)/2)*AW67+(1-EXP(-LN(2)/2))/(LN(2)/2)*AQ68*AT68*VLOOKUP('Données projet'!$B$10,Paramètres!$A$1:$I$89,3,0)*0.475*44/12</f>
        <v>6.2847324388167589</v>
      </c>
      <c r="AX68" s="21">
        <f t="shared" ref="AX68:AX131" si="60">SUM(AU68:AW68)</f>
        <v>51.727521252762841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8.5662500000000001</v>
      </c>
      <c r="BD68" s="12">
        <f>IF('Données projet'!$A$88&gt;35,BD67+BC68-BL67,IF(A68&lt;'Données projet'!$A$88,$BA$205^A68,IF(A68='Données projet'!$A$88,'Données projet'!$B$88,BD67+BC68-BL67)))</f>
        <v>215.94750000000028</v>
      </c>
      <c r="BE68" s="13">
        <f>BD68*VLOOKUP('Données projet'!$B$11,Paramètres!$A$1:$I$89,3,0)*VLOOKUP('Données projet'!$B$11,Paramètres!$A$1:$I$89,5,0)</f>
        <v>195.38929800000025</v>
      </c>
      <c r="BF68" s="13">
        <f t="shared" si="37"/>
        <v>48.729503620609371</v>
      </c>
      <c r="BG68" s="20">
        <f t="shared" ref="BG68:BG131" si="61">(BE68+BF68)*0.475*44/12</f>
        <v>425.17357948922836</v>
      </c>
      <c r="BH68" s="59">
        <f t="shared" ref="BH68:BH131" si="62">BG68+(AY68+AZ68)*44/12</f>
        <v>718.50691282256162</v>
      </c>
      <c r="BI68" s="59">
        <f ca="1">AVERAGE(OFFSET($BH$3,0,0,'Données projet'!$E$11+1,1))-AVERAGE(OFFSET($H$3,0,0,'Données projet'!$E$11+1,1))</f>
        <v>490.06222615476065</v>
      </c>
      <c r="BJ68" s="59">
        <f t="shared" si="38"/>
        <v>310.43914804089906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7.0510456125055283</v>
      </c>
      <c r="BQ68" s="21">
        <f>EXP(-LN(2)/25)*BQ67+(1-EXP(-LN(2)/25))/(LN(2)/25)*Calculateur!BL68*Calculateur!BN68*VLOOKUP('Données projet'!$B$11,Paramètres!$A$1:$I$89,3,0)*0.475*44/12</f>
        <v>29.845808726321739</v>
      </c>
      <c r="BR68" s="21">
        <f>EXP(-LN(2)/2)*BR67+(1-EXP(-LN(2)/2))/(LN(2)/2)*BL68*BO68*VLOOKUP('Données projet'!$B$11,Paramètres!$A$1:$I$89,3,0)*0.475*44/12</f>
        <v>0.63700610515861578</v>
      </c>
      <c r="BS68" s="22">
        <f t="shared" ref="BS68:BS131" si="63">SUM(BP68:BR68)</f>
        <v>37.533860443985887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4.5999999999999996</v>
      </c>
      <c r="N69" s="13">
        <f>IF('Données projet'!$A$36&gt;35,N68+M69-V68,IF(A69&lt;'Données projet'!$A$36,$K$205^A69,IF(A69='Données projet'!$A$36,'Données projet'!$B$36,N68+M69-V68)))</f>
        <v>297.59999999999985</v>
      </c>
      <c r="O69" s="13">
        <f>N69*VLOOKUP('Données projet'!$B$9,Paramètres!$A$1:$I$89,3,0)*VLOOKUP('Données projet'!$B$9,Paramètres!$A$1:$I$89,5,0)</f>
        <v>236.7705599999999</v>
      </c>
      <c r="P69" s="13">
        <f t="shared" ref="P69:P132" si="87">EXP(-1.0587+0.8836*LN(O69)+0.284)</f>
        <v>57.744153841586879</v>
      </c>
      <c r="Q69" s="20">
        <f t="shared" si="54"/>
        <v>512.9464599407637</v>
      </c>
      <c r="R69" s="59">
        <f t="shared" si="55"/>
        <v>806.27979327409707</v>
      </c>
      <c r="S69" s="59">
        <f ca="1">AVERAGE(OFFSET($R$3,0,0,'Données projet'!$E$9+1,1))-AVERAGE(OFFSET($H$3,0,0,'Données projet'!$E$9+1,1))</f>
        <v>353.37479213497227</v>
      </c>
      <c r="T69" s="59">
        <f t="shared" ref="T69:T132" si="88">$T$3</f>
        <v>345.4750813433123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14.535770984057601</v>
      </c>
      <c r="AA69" s="21">
        <f>EXP(-LN(2)/25)*AA68+(1-EXP(-LN(2)/25))/(LN(2)/25)*Calculateur!V69*Calculateur!X69*VLOOKUP('Données projet'!$B$9,Paramètres!$A$1:$I$89,3,0)*0.475*44/12</f>
        <v>15.719075481754166</v>
      </c>
      <c r="AB69" s="21">
        <f>EXP(-LN(2)/2)*AB68+(1-EXP(-LN(2)/2))/(LN(2)/2)*V69*Y69*VLOOKUP('Données projet'!$B$9,Paramètres!$A$1:$I$89,3,0)*0.475*44/12</f>
        <v>2.1378937111431719</v>
      </c>
      <c r="AC69" s="22">
        <f t="shared" si="57"/>
        <v>32.392740176954938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11.327500000000001</v>
      </c>
      <c r="AI69" s="13">
        <f>IF('Données projet'!$A$62&gt;35,AI68+AH69-AQ68,IF(A69&lt;'Données projet'!$A$62,$AF$205^A69,IF(A69='Données projet'!$A$62,'Données projet'!$B$62,AI68+AH69-AQ68)))</f>
        <v>293.5625</v>
      </c>
      <c r="AJ69" s="13">
        <f>AI69*VLOOKUP('Données projet'!$B$10,Paramètres!$A$1:$I$89,3,0)*VLOOKUP('Données projet'!$B$10,Paramètres!$A$1:$I$89,5,0)</f>
        <v>137.38724999999999</v>
      </c>
      <c r="AK69" s="13">
        <f t="shared" ref="AK69:AK132" si="89">EXP(-1.0587+0.8836*LN(AJ69)+0.284)</f>
        <v>35.697806485924644</v>
      </c>
      <c r="AL69" s="20">
        <f t="shared" si="58"/>
        <v>301.4564733796521</v>
      </c>
      <c r="AM69" s="59">
        <f t="shared" si="59"/>
        <v>594.78980671298541</v>
      </c>
      <c r="AN69" s="59">
        <f ca="1">AVERAGE(OFFSET($AM$3,0,0,'Données projet'!$E$10+1,1))-AVERAGE(OFFSET($H$3,0,0,'Données projet'!$E$10+1,1))</f>
        <v>293.15557501692803</v>
      </c>
      <c r="AO69" s="59">
        <f t="shared" ref="AO69:AO132" si="90">$AO$3</f>
        <v>237.1930412773068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28.75822447820271</v>
      </c>
      <c r="AV69" s="21">
        <f>EXP(-LN(2)/25)*AV68+(1-EXP(-LN(2)/25))/(LN(2)/25)*Calculateur!AQ69*Calculateur!AS69*VLOOKUP('Données projet'!$B$10,Paramètres!$A$1:$I$89,3,0)*0.475*44/12</f>
        <v>15.668842441773943</v>
      </c>
      <c r="AW69" s="21">
        <f>EXP(-LN(2)/2)*AW68+(1-EXP(-LN(2)/2))/(LN(2)/2)*AQ69*AT69*VLOOKUP('Données projet'!$B$10,Paramètres!$A$1:$I$89,3,0)*0.475*44/12</f>
        <v>4.4439769254303991</v>
      </c>
      <c r="AX69" s="21">
        <f t="shared" si="60"/>
        <v>48.871043845407051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8.5662500000000001</v>
      </c>
      <c r="BD69" s="12">
        <f>IF('Données projet'!$A$88&gt;35,BD68+BC69-BL68,IF(A69&lt;'Données projet'!$A$88,$BA$205^A69,IF(A69='Données projet'!$A$88,'Données projet'!$B$88,BD68+BC69-BL68)))</f>
        <v>224.51375000000027</v>
      </c>
      <c r="BE69" s="13">
        <f>BD69*VLOOKUP('Données projet'!$B$11,Paramètres!$A$1:$I$89,3,0)*VLOOKUP('Données projet'!$B$11,Paramètres!$A$1:$I$89,5,0)</f>
        <v>203.14004100000022</v>
      </c>
      <c r="BF69" s="13">
        <f t="shared" ref="BF69:BF132" si="91">EXP(-1.0587+0.8836*LN(BE69)+0.284)</f>
        <v>50.433626784032469</v>
      </c>
      <c r="BG69" s="20">
        <f t="shared" si="61"/>
        <v>441.64080472385695</v>
      </c>
      <c r="BH69" s="59">
        <f t="shared" si="62"/>
        <v>734.9741380571902</v>
      </c>
      <c r="BI69" s="59">
        <f ca="1">AVERAGE(OFFSET($BH$3,0,0,'Données projet'!$E$11+1,1))-AVERAGE(OFFSET($H$3,0,0,'Données projet'!$E$11+1,1))</f>
        <v>490.06222615476065</v>
      </c>
      <c r="BJ69" s="59">
        <f t="shared" ref="BJ69:BJ132" si="92">$BJ$3</f>
        <v>310.43914804089906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6.912778908757458</v>
      </c>
      <c r="BQ69" s="21">
        <f>EXP(-LN(2)/25)*BQ68+(1-EXP(-LN(2)/25))/(LN(2)/25)*Calculateur!BL69*Calculateur!BN69*VLOOKUP('Données projet'!$B$11,Paramètres!$A$1:$I$89,3,0)*0.475*44/12</f>
        <v>29.029673517177603</v>
      </c>
      <c r="BR69" s="21">
        <f>EXP(-LN(2)/2)*BR68+(1-EXP(-LN(2)/2))/(LN(2)/2)*BL69*BO69*VLOOKUP('Données projet'!$B$11,Paramètres!$A$1:$I$89,3,0)*0.475*44/12</f>
        <v>0.45043133661488821</v>
      </c>
      <c r="BS69" s="22">
        <f t="shared" si="63"/>
        <v>36.39288376254995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4.5999999999999996</v>
      </c>
      <c r="N70" s="13">
        <f>IF('Données projet'!$A$36&gt;35,N69+M70-V69,IF(A70&lt;'Données projet'!$A$36,$K$205^A70,IF(A70='Données projet'!$A$36,'Données projet'!$B$36,N69+M70-V69)))</f>
        <v>302.19999999999987</v>
      </c>
      <c r="O70" s="13">
        <f>N70*VLOOKUP('Données projet'!$B$9,Paramètres!$A$1:$I$89,3,0)*VLOOKUP('Données projet'!$B$9,Paramètres!$A$1:$I$89,5,0)</f>
        <v>240.43031999999991</v>
      </c>
      <c r="P70" s="13">
        <f t="shared" si="87"/>
        <v>58.532106271380506</v>
      </c>
      <c r="Q70" s="20">
        <f t="shared" si="54"/>
        <v>520.69289242265415</v>
      </c>
      <c r="R70" s="59">
        <f t="shared" si="55"/>
        <v>814.02622575598753</v>
      </c>
      <c r="S70" s="59">
        <f ca="1">AVERAGE(OFFSET($R$3,0,0,'Données projet'!$E$9+1,1))-AVERAGE(OFFSET($H$3,0,0,'Données projet'!$E$9+1,1))</f>
        <v>353.37479213497227</v>
      </c>
      <c r="T70" s="59">
        <f t="shared" si="88"/>
        <v>345.4750813433123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14.250733381005093</v>
      </c>
      <c r="AA70" s="21">
        <f>EXP(-LN(2)/25)*AA69+(1-EXP(-LN(2)/25))/(LN(2)/25)*Calculateur!V70*Calculateur!X70*VLOOKUP('Données projet'!$B$9,Paramètres!$A$1:$I$89,3,0)*0.475*44/12</f>
        <v>15.289236536075345</v>
      </c>
      <c r="AB70" s="21">
        <f>EXP(-LN(2)/2)*AB69+(1-EXP(-LN(2)/2))/(LN(2)/2)*V70*Y70*VLOOKUP('Données projet'!$B$9,Paramètres!$A$1:$I$89,3,0)*0.475*44/12</f>
        <v>1.5117191406054111</v>
      </c>
      <c r="AC70" s="22">
        <f t="shared" si="57"/>
        <v>31.051689057685849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11.327500000000001</v>
      </c>
      <c r="AI70" s="13">
        <f>IF('Données projet'!$A$62&gt;35,AI69+AH70-AQ69,IF(A70&lt;'Données projet'!$A$62,$AF$205^A70,IF(A70='Données projet'!$A$62,'Données projet'!$B$62,AI69+AH70-AQ69)))</f>
        <v>304.89</v>
      </c>
      <c r="AJ70" s="13">
        <f>AI70*VLOOKUP('Données projet'!$B$10,Paramètres!$A$1:$I$89,3,0)*VLOOKUP('Données projet'!$B$10,Paramètres!$A$1:$I$89,5,0)</f>
        <v>142.68851999999998</v>
      </c>
      <c r="AK70" s="13">
        <f t="shared" si="89"/>
        <v>36.912224176610735</v>
      </c>
      <c r="AL70" s="20">
        <f t="shared" si="58"/>
        <v>312.80462944093028</v>
      </c>
      <c r="AM70" s="59">
        <f t="shared" si="59"/>
        <v>606.13796277426354</v>
      </c>
      <c r="AN70" s="59">
        <f ca="1">AVERAGE(OFFSET($AM$3,0,0,'Données projet'!$E$10+1,1))-AVERAGE(OFFSET($H$3,0,0,'Données projet'!$E$10+1,1))</f>
        <v>293.15557501692803</v>
      </c>
      <c r="AO70" s="59">
        <f t="shared" si="90"/>
        <v>237.1930412773068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28.194293236970079</v>
      </c>
      <c r="AV70" s="21">
        <f>EXP(-LN(2)/25)*AV69+(1-EXP(-LN(2)/25))/(LN(2)/25)*Calculateur!AQ70*Calculateur!AS70*VLOOKUP('Données projet'!$B$10,Paramètres!$A$1:$I$89,3,0)*0.475*44/12</f>
        <v>15.240377121215023</v>
      </c>
      <c r="AW70" s="21">
        <f>EXP(-LN(2)/2)*AW69+(1-EXP(-LN(2)/2))/(LN(2)/2)*AQ70*AT70*VLOOKUP('Données projet'!$B$10,Paramètres!$A$1:$I$89,3,0)*0.475*44/12</f>
        <v>3.1423662194083795</v>
      </c>
      <c r="AX70" s="21">
        <f t="shared" si="60"/>
        <v>46.577036577593482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233.08</v>
      </c>
      <c r="BB70" s="12">
        <f>VLOOKUP(A70,'Données projet'!$A$87:$I$107,9,0)</f>
        <v>8.5662500000000001</v>
      </c>
      <c r="BC70" s="12">
        <f t="array" ref="BC70">INDEX(BB:BB,MIN(IF(ISNUMBER(BB70:BB266),ROW(BB70:BB266),"")))</f>
        <v>8.5662500000000001</v>
      </c>
      <c r="BD70" s="12">
        <f>IF('Données projet'!$A$88&gt;35,BD69+BC70-BL69,IF(A70&lt;'Données projet'!$A$88,$BA$205^A70,IF(A70='Données projet'!$A$88,'Données projet'!$B$88,BD69+BC70-BL69)))</f>
        <v>233.08000000000027</v>
      </c>
      <c r="BE70" s="13">
        <f>BD70*VLOOKUP('Données projet'!$B$11,Paramètres!$A$1:$I$89,3,0)*VLOOKUP('Données projet'!$B$11,Paramètres!$A$1:$I$89,5,0)</f>
        <v>210.89078400000022</v>
      </c>
      <c r="BF70" s="13">
        <f t="shared" si="91"/>
        <v>52.130196433530017</v>
      </c>
      <c r="BG70" s="20">
        <f t="shared" si="61"/>
        <v>458.09487425506512</v>
      </c>
      <c r="BH70" s="59">
        <f t="shared" si="62"/>
        <v>751.42820758839844</v>
      </c>
      <c r="BI70" s="59">
        <f ca="1">AVERAGE(OFFSET($BH$3,0,0,'Données projet'!$E$11+1,1))-AVERAGE(OFFSET($H$3,0,0,'Données projet'!$E$11+1,1))</f>
        <v>490.06222615476065</v>
      </c>
      <c r="BJ70" s="59">
        <f t="shared" si="92"/>
        <v>310.43914804089906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44.170000000000016</v>
      </c>
      <c r="BM70" s="16">
        <f>IF(ISNA(VLOOKUP(A70,'Données projet'!$A$87:$I$107,5,0)),0%,VLOOKUP(A70,'Données projet'!$A$87:$I$107,5,0)*VLOOKUP('Données projet'!$B$11,Paramètres!$A$1:$I$89,7,0))</f>
        <v>0.15049999999999999</v>
      </c>
      <c r="BN70" s="16">
        <f>IF(ISNA(VLOOKUP(A70,'Données projet'!$A$87:$I$107,6,0)),0%,VLOOKUP(A70,'Données projet'!$A$87:$I$107,6,0)*VLOOKUP('Données projet'!$B$11,Paramètres!$A$1:$I$89,7,0))</f>
        <v>8.6000000000000007E-2</v>
      </c>
      <c r="BO70" s="16">
        <f>IF(ISNA(VLOOKUP(A70,'Données projet'!$A$87:$I$107,7,0)),0%,VLOOKUP(A70,'Données projet'!$A$87:$I$107,7,0))</f>
        <v>0.1</v>
      </c>
      <c r="BP70" s="21">
        <f>EXP(-LN(2)/35)*BP69+(1-EXP(-LN(2)/35))/(LN(2)/35)*BL70*BM70*VLOOKUP('Données projet'!$B$11,Paramètres!$A$1:$I$89,3,0)*0.475*44/12</f>
        <v>13.426334812272373</v>
      </c>
      <c r="BQ70" s="21">
        <f>EXP(-LN(2)/25)*BQ69+(1-EXP(-LN(2)/25))/(LN(2)/25)*Calculateur!BL70*Calculateur!BN70*VLOOKUP('Données projet'!$B$11,Paramètres!$A$1:$I$89,3,0)*0.475*44/12</f>
        <v>32.020387680767008</v>
      </c>
      <c r="BR70" s="21">
        <f>EXP(-LN(2)/2)*BR69+(1-EXP(-LN(2)/2))/(LN(2)/2)*BL70*BO70*VLOOKUP('Données projet'!$B$11,Paramètres!$A$1:$I$89,3,0)*0.475*44/12</f>
        <v>4.0893098764428064</v>
      </c>
      <c r="BS70" s="22">
        <f t="shared" si="63"/>
        <v>49.536032369482186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4.5999999999999996</v>
      </c>
      <c r="N71" s="13">
        <f>IF('Données projet'!$A$36&gt;35,N70+M71-V70,IF(A71&lt;'Données projet'!$A$36,$K$205^A71,IF(A71='Données projet'!$A$36,'Données projet'!$B$36,N70+M71-V70)))</f>
        <v>306.7999999999999</v>
      </c>
      <c r="O71" s="13">
        <f>N71*VLOOKUP('Données projet'!$B$9,Paramètres!$A$1:$I$89,3,0)*VLOOKUP('Données projet'!$B$9,Paramètres!$A$1:$I$89,5,0)</f>
        <v>244.09007999999994</v>
      </c>
      <c r="P71" s="13">
        <f t="shared" si="87"/>
        <v>59.318663780863893</v>
      </c>
      <c r="Q71" s="20">
        <f t="shared" si="54"/>
        <v>528.43689541833794</v>
      </c>
      <c r="R71" s="59">
        <f t="shared" si="55"/>
        <v>821.77022875167131</v>
      </c>
      <c r="S71" s="59">
        <f ca="1">AVERAGE(OFFSET($R$3,0,0,'Données projet'!$E$9+1,1))-AVERAGE(OFFSET($H$3,0,0,'Données projet'!$E$9+1,1))</f>
        <v>353.37479213497227</v>
      </c>
      <c r="T71" s="59">
        <f t="shared" si="88"/>
        <v>345.4750813433123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13.971285191492672</v>
      </c>
      <c r="AA71" s="21">
        <f>EXP(-LN(2)/25)*AA70+(1-EXP(-LN(2)/25))/(LN(2)/25)*Calculateur!V71*Calculateur!X71*VLOOKUP('Données projet'!$B$9,Paramètres!$A$1:$I$89,3,0)*0.475*44/12</f>
        <v>14.871151558970359</v>
      </c>
      <c r="AB71" s="21">
        <f>EXP(-LN(2)/2)*AB70+(1-EXP(-LN(2)/2))/(LN(2)/2)*V71*Y71*VLOOKUP('Données projet'!$B$9,Paramètres!$A$1:$I$89,3,0)*0.475*44/12</f>
        <v>1.0689468555715862</v>
      </c>
      <c r="AC71" s="22">
        <f t="shared" si="57"/>
        <v>29.911383606034615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11.327500000000001</v>
      </c>
      <c r="AI71" s="13">
        <f>IF('Données projet'!$A$62&gt;35,AI70+AH71-AQ70,IF(A71&lt;'Données projet'!$A$62,$AF$205^A71,IF(A71='Données projet'!$A$62,'Données projet'!$B$62,AI70+AH71-AQ70)))</f>
        <v>316.21749999999997</v>
      </c>
      <c r="AJ71" s="13">
        <f>AI71*VLOOKUP('Données projet'!$B$10,Paramètres!$A$1:$I$89,3,0)*VLOOKUP('Données projet'!$B$10,Paramètres!$A$1:$I$89,5,0)</f>
        <v>147.98979</v>
      </c>
      <c r="AK71" s="13">
        <f t="shared" si="89"/>
        <v>38.121400087534369</v>
      </c>
      <c r="AL71" s="20">
        <f t="shared" si="58"/>
        <v>324.1436560691223</v>
      </c>
      <c r="AM71" s="59">
        <f t="shared" si="59"/>
        <v>617.47698940245562</v>
      </c>
      <c r="AN71" s="59">
        <f ca="1">AVERAGE(OFFSET($AM$3,0,0,'Données projet'!$E$10+1,1))-AVERAGE(OFFSET($H$3,0,0,'Données projet'!$E$10+1,1))</f>
        <v>293.15557501692803</v>
      </c>
      <c r="AO71" s="59">
        <f t="shared" si="90"/>
        <v>237.1930412773068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27.641420343413927</v>
      </c>
      <c r="AV71" s="21">
        <f>EXP(-LN(2)/25)*AV70+(1-EXP(-LN(2)/25))/(LN(2)/25)*Calculateur!AQ71*Calculateur!AS71*VLOOKUP('Données projet'!$B$10,Paramètres!$A$1:$I$89,3,0)*0.475*44/12</f>
        <v>14.823628207378798</v>
      </c>
      <c r="AW71" s="21">
        <f>EXP(-LN(2)/2)*AW70+(1-EXP(-LN(2)/2))/(LN(2)/2)*AQ71*AT71*VLOOKUP('Données projet'!$B$10,Paramètres!$A$1:$I$89,3,0)*0.475*44/12</f>
        <v>2.2219884627151996</v>
      </c>
      <c r="AX71" s="21">
        <f t="shared" si="60"/>
        <v>44.687037013507926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8.2474999999999987</v>
      </c>
      <c r="BD71" s="12">
        <f>IF('Données projet'!$A$88&gt;35,BD70+BC71-BL70,IF(A71&lt;'Données projet'!$A$88,$BA$205^A71,IF(A71='Données projet'!$A$88,'Données projet'!$B$88,BD70+BC71-BL70)))</f>
        <v>197.15750000000025</v>
      </c>
      <c r="BE71" s="13">
        <f>BD71*VLOOKUP('Données projet'!$B$11,Paramètres!$A$1:$I$89,3,0)*VLOOKUP('Données projet'!$B$11,Paramètres!$A$1:$I$89,5,0)</f>
        <v>178.38810600000022</v>
      </c>
      <c r="BF71" s="13">
        <f t="shared" si="91"/>
        <v>44.96338191961236</v>
      </c>
      <c r="BG71" s="20">
        <f t="shared" si="61"/>
        <v>389.00384145999186</v>
      </c>
      <c r="BH71" s="59">
        <f t="shared" si="62"/>
        <v>682.33717479332518</v>
      </c>
      <c r="BI71" s="59">
        <f ca="1">AVERAGE(OFFSET($BH$3,0,0,'Données projet'!$E$11+1,1))-AVERAGE(OFFSET($H$3,0,0,'Données projet'!$E$11+1,1))</f>
        <v>490.06222615476065</v>
      </c>
      <c r="BJ71" s="59">
        <f t="shared" si="92"/>
        <v>310.43914804089906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13.163052575859325</v>
      </c>
      <c r="BQ71" s="21">
        <f>EXP(-LN(2)/25)*BQ70+(1-EXP(-LN(2)/25))/(LN(2)/25)*Calculateur!BL71*Calculateur!BN71*VLOOKUP('Données projet'!$B$11,Paramètres!$A$1:$I$89,3,0)*0.475*44/12</f>
        <v>31.144788495757432</v>
      </c>
      <c r="BR71" s="21">
        <f>EXP(-LN(2)/2)*BR70+(1-EXP(-LN(2)/2))/(LN(2)/2)*BL71*BO71*VLOOKUP('Données projet'!$B$11,Paramètres!$A$1:$I$89,3,0)*0.475*44/12</f>
        <v>2.8915787440058316</v>
      </c>
      <c r="BS71" s="22">
        <f t="shared" si="63"/>
        <v>47.199419815622591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4.5999999999999996</v>
      </c>
      <c r="N72" s="13">
        <f>IF('Données projet'!$A$36&gt;35,N71+M72-V71,IF(A72&lt;'Données projet'!$A$36,$K$205^A72,IF(A72='Données projet'!$A$36,'Données projet'!$B$36,N71+M72-V71)))</f>
        <v>311.39999999999992</v>
      </c>
      <c r="O72" s="13">
        <f>N72*VLOOKUP('Données projet'!$B$9,Paramètres!$A$1:$I$89,3,0)*VLOOKUP('Données projet'!$B$9,Paramètres!$A$1:$I$89,5,0)</f>
        <v>247.74983999999995</v>
      </c>
      <c r="P72" s="13">
        <f t="shared" si="87"/>
        <v>60.103849700617872</v>
      </c>
      <c r="Q72" s="20">
        <f t="shared" si="54"/>
        <v>536.17850956190932</v>
      </c>
      <c r="R72" s="59">
        <f t="shared" si="55"/>
        <v>829.51184289524258</v>
      </c>
      <c r="S72" s="59">
        <f ca="1">AVERAGE(OFFSET($R$3,0,0,'Données projet'!$E$9+1,1))-AVERAGE(OFFSET($H$3,0,0,'Données projet'!$E$9+1,1))</f>
        <v>353.37479213497227</v>
      </c>
      <c r="T72" s="59">
        <f t="shared" si="88"/>
        <v>345.4750813433123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13.697316810530026</v>
      </c>
      <c r="AA72" s="21">
        <f>EXP(-LN(2)/25)*AA71+(1-EXP(-LN(2)/25))/(LN(2)/25)*Calculateur!V72*Calculateur!X72*VLOOKUP('Données projet'!$B$9,Paramètres!$A$1:$I$89,3,0)*0.475*44/12</f>
        <v>14.464499137550442</v>
      </c>
      <c r="AB72" s="21">
        <f>EXP(-LN(2)/2)*AB71+(1-EXP(-LN(2)/2))/(LN(2)/2)*V72*Y72*VLOOKUP('Données projet'!$B$9,Paramètres!$A$1:$I$89,3,0)*0.475*44/12</f>
        <v>0.75585957030270567</v>
      </c>
      <c r="AC72" s="22">
        <f t="shared" si="57"/>
        <v>28.917675518383174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11.327500000000001</v>
      </c>
      <c r="AI72" s="13">
        <f>IF('Données projet'!$A$62&gt;35,AI71+AH72-AQ71,IF(A72&lt;'Données projet'!$A$62,$AF$205^A72,IF(A72='Données projet'!$A$62,'Données projet'!$B$62,AI71+AH72-AQ71)))</f>
        <v>327.54499999999996</v>
      </c>
      <c r="AJ72" s="13">
        <f>AI72*VLOOKUP('Données projet'!$B$10,Paramètres!$A$1:$I$89,3,0)*VLOOKUP('Données projet'!$B$10,Paramètres!$A$1:$I$89,5,0)</f>
        <v>153.29105999999996</v>
      </c>
      <c r="AK72" s="13">
        <f t="shared" si="89"/>
        <v>39.325543500070239</v>
      </c>
      <c r="AL72" s="20">
        <f t="shared" si="58"/>
        <v>335.47391776262225</v>
      </c>
      <c r="AM72" s="59">
        <f t="shared" si="59"/>
        <v>628.80725109595551</v>
      </c>
      <c r="AN72" s="59">
        <f ca="1">AVERAGE(OFFSET($AM$3,0,0,'Données projet'!$E$10+1,1))-AVERAGE(OFFSET($H$3,0,0,'Données projet'!$E$10+1,1))</f>
        <v>293.15557501692803</v>
      </c>
      <c r="AO72" s="59">
        <f t="shared" si="90"/>
        <v>237.1930412773068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27.099388950081241</v>
      </c>
      <c r="AV72" s="21">
        <f>EXP(-LN(2)/25)*AV71+(1-EXP(-LN(2)/25))/(LN(2)/25)*Calculateur!AQ72*Calculateur!AS72*VLOOKUP('Données projet'!$B$10,Paramètres!$A$1:$I$89,3,0)*0.475*44/12</f>
        <v>14.418275314507298</v>
      </c>
      <c r="AW72" s="21">
        <f>EXP(-LN(2)/2)*AW71+(1-EXP(-LN(2)/2))/(LN(2)/2)*AQ72*AT72*VLOOKUP('Données projet'!$B$10,Paramètres!$A$1:$I$89,3,0)*0.475*44/12</f>
        <v>1.5711831097041897</v>
      </c>
      <c r="AX72" s="21">
        <f t="shared" si="60"/>
        <v>43.088847374292726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8.2474999999999987</v>
      </c>
      <c r="BD72" s="12">
        <f>IF('Données projet'!$A$88&gt;35,BD71+BC72-BL71,IF(A72&lt;'Données projet'!$A$88,$BA$205^A72,IF(A72='Données projet'!$A$88,'Données projet'!$B$88,BD71+BC72-BL71)))</f>
        <v>205.40500000000026</v>
      </c>
      <c r="BE72" s="13">
        <f>BD72*VLOOKUP('Données projet'!$B$11,Paramètres!$A$1:$I$89,3,0)*VLOOKUP('Données projet'!$B$11,Paramètres!$A$1:$I$89,5,0)</f>
        <v>185.85044400000024</v>
      </c>
      <c r="BF72" s="13">
        <f t="shared" si="91"/>
        <v>46.621369253856919</v>
      </c>
      <c r="BG72" s="20">
        <f t="shared" si="61"/>
        <v>404.88840808380127</v>
      </c>
      <c r="BH72" s="59">
        <f t="shared" si="62"/>
        <v>698.22174141713458</v>
      </c>
      <c r="BI72" s="59">
        <f ca="1">AVERAGE(OFFSET($BH$3,0,0,'Données projet'!$E$11+1,1))-AVERAGE(OFFSET($H$3,0,0,'Données projet'!$E$11+1,1))</f>
        <v>490.06222615476065</v>
      </c>
      <c r="BJ72" s="59">
        <f t="shared" si="92"/>
        <v>310.43914804089906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12.904933143516029</v>
      </c>
      <c r="BQ72" s="21">
        <f>EXP(-LN(2)/25)*BQ71+(1-EXP(-LN(2)/25))/(LN(2)/25)*Calculateur!BL72*Calculateur!BN72*VLOOKUP('Données projet'!$B$11,Paramètres!$A$1:$I$89,3,0)*0.475*44/12</f>
        <v>30.293132616507702</v>
      </c>
      <c r="BR72" s="21">
        <f>EXP(-LN(2)/2)*BR71+(1-EXP(-LN(2)/2))/(LN(2)/2)*BL72*BO72*VLOOKUP('Données projet'!$B$11,Paramètres!$A$1:$I$89,3,0)*0.475*44/12</f>
        <v>2.0446549382214037</v>
      </c>
      <c r="BS72" s="22">
        <f t="shared" si="63"/>
        <v>45.242720698245137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316</v>
      </c>
      <c r="L73" s="12">
        <f>VLOOKUP(A73,'Données projet'!$A$35:$I$55,9,0)</f>
        <v>4.5999999999999996</v>
      </c>
      <c r="M73" s="12">
        <f t="array" ref="M73">INDEX(L:L,MIN(IF(ISNUMBER(L73:L269),ROW(L73:L269),"")))</f>
        <v>4.5999999999999996</v>
      </c>
      <c r="N73" s="13">
        <f>IF('Données projet'!$A$36&gt;35,N72+M73-V72,IF(A73&lt;'Données projet'!$A$36,$K$205^A73,IF(A73='Données projet'!$A$36,'Données projet'!$B$36,N72+M73-V72)))</f>
        <v>315.99999999999994</v>
      </c>
      <c r="O73" s="13">
        <f>N73*VLOOKUP('Données projet'!$B$9,Paramètres!$A$1:$I$89,3,0)*VLOOKUP('Données projet'!$B$9,Paramètres!$A$1:$I$89,5,0)</f>
        <v>251.40959999999995</v>
      </c>
      <c r="P73" s="13">
        <f t="shared" si="87"/>
        <v>60.887686632376123</v>
      </c>
      <c r="Q73" s="20">
        <f t="shared" si="54"/>
        <v>543.917774218055</v>
      </c>
      <c r="R73" s="59">
        <f t="shared" si="55"/>
        <v>837.25110755138826</v>
      </c>
      <c r="S73" s="59">
        <f ca="1">AVERAGE(OFFSET($R$3,0,0,'Données projet'!$E$9+1,1))-AVERAGE(OFFSET($H$3,0,0,'Données projet'!$E$9+1,1))</f>
        <v>353.37479213497227</v>
      </c>
      <c r="T73" s="59">
        <f t="shared" si="88"/>
        <v>345.4750813433123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13</v>
      </c>
      <c r="W73" s="16">
        <f>IF(ISNA(VLOOKUP(A73,'Données projet'!$A$35:$I$55,5,0)),0%,VLOOKUP(A73,'Données projet'!$A$35:$I$55,5,0)*VLOOKUP('Données projet'!$B$9,Paramètres!$A$1:$I$89,7,0))</f>
        <v>0.13250000000000001</v>
      </c>
      <c r="X73" s="16">
        <f>IF(ISNA(VLOOKUP(A73,'Données projet'!$A$35:$I$55,6,0)),0%,VLOOKUP(A73,'Données projet'!$A$35:$I$55,6,0)*VLOOKUP('Données projet'!$B$9,Paramètres!$A$1:$I$89,7,0))</f>
        <v>0.13250000000000001</v>
      </c>
      <c r="Y73" s="16">
        <f>IF(ISNA(VLOOKUP(A73,'Données projet'!$A$35:$I$55,7,0)),0%,VLOOKUP(A73,'Données projet'!$A$35:$I$55,7,0))</f>
        <v>0.25</v>
      </c>
      <c r="Z73" s="21">
        <f>EXP(-LN(2)/35)*Z72+(1-EXP(-LN(2)/35))/(LN(2)/35)*V73*W73*VLOOKUP('Données projet'!$B$9,Paramètres!$A$1:$I$89,3,0)*0.475*44/12</f>
        <v>14.94368060540377</v>
      </c>
      <c r="AA73" s="21">
        <f>EXP(-LN(2)/25)*AA72+(1-EXP(-LN(2)/25))/(LN(2)/25)*Calculateur!V73*Calculateur!X73*VLOOKUP('Données projet'!$B$9,Paramètres!$A$1:$I$89,3,0)*0.475*44/12</f>
        <v>15.57796149690104</v>
      </c>
      <c r="AB73" s="21">
        <f>EXP(-LN(2)/2)*AB72+(1-EXP(-LN(2)/2))/(LN(2)/2)*V73*Y73*VLOOKUP('Données projet'!$B$9,Paramètres!$A$1:$I$89,3,0)*0.475*44/12</f>
        <v>2.9741509708809453</v>
      </c>
      <c r="AC73" s="22">
        <f t="shared" si="57"/>
        <v>33.495793073185752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11.327500000000001</v>
      </c>
      <c r="AI73" s="13">
        <f>IF('Données projet'!$A$62&gt;35,AI72+AH73-AQ72,IF(A73&lt;'Données projet'!$A$62,$AF$205^A73,IF(A73='Données projet'!$A$62,'Données projet'!$B$62,AI72+AH73-AQ72)))</f>
        <v>338.87249999999995</v>
      </c>
      <c r="AJ73" s="13">
        <f>AI73*VLOOKUP('Données projet'!$B$10,Paramètres!$A$1:$I$89,3,0)*VLOOKUP('Données projet'!$B$10,Paramètres!$A$1:$I$89,5,0)</f>
        <v>158.59232999999998</v>
      </c>
      <c r="AK73" s="13">
        <f t="shared" si="89"/>
        <v>40.524848399473683</v>
      </c>
      <c r="AL73" s="20">
        <f t="shared" si="58"/>
        <v>346.7957523790833</v>
      </c>
      <c r="AM73" s="59">
        <f t="shared" si="59"/>
        <v>640.12908571241655</v>
      </c>
      <c r="AN73" s="59">
        <f ca="1">AVERAGE(OFFSET($AM$3,0,0,'Données projet'!$E$10+1,1))-AVERAGE(OFFSET($H$3,0,0,'Données projet'!$E$10+1,1))</f>
        <v>293.15557501692803</v>
      </c>
      <c r="AO73" s="59">
        <f t="shared" si="90"/>
        <v>237.1930412773068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26.567986461765305</v>
      </c>
      <c r="AV73" s="21">
        <f>EXP(-LN(2)/25)*AV72+(1-EXP(-LN(2)/25))/(LN(2)/25)*Calculateur!AQ73*Calculateur!AS73*VLOOKUP('Données projet'!$B$10,Paramètres!$A$1:$I$89,3,0)*0.475*44/12</f>
        <v>14.024006817807951</v>
      </c>
      <c r="AW73" s="21">
        <f>EXP(-LN(2)/2)*AW72+(1-EXP(-LN(2)/2))/(LN(2)/2)*AQ73*AT73*VLOOKUP('Données projet'!$B$10,Paramètres!$A$1:$I$89,3,0)*0.475*44/12</f>
        <v>1.1109942313575998</v>
      </c>
      <c r="AX73" s="21">
        <f t="shared" si="60"/>
        <v>41.702987510930861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8.2474999999999987</v>
      </c>
      <c r="BD73" s="12">
        <f>IF('Données projet'!$A$88&gt;35,BD72+BC73-BL72,IF(A73&lt;'Données projet'!$A$88,$BA$205^A73,IF(A73='Données projet'!$A$88,'Données projet'!$B$88,BD72+BC73-BL72)))</f>
        <v>213.65250000000026</v>
      </c>
      <c r="BE73" s="13">
        <f>BD73*VLOOKUP('Données projet'!$B$11,Paramètres!$A$1:$I$89,3,0)*VLOOKUP('Données projet'!$B$11,Paramètres!$A$1:$I$89,5,0)</f>
        <v>193.31278200000023</v>
      </c>
      <c r="BF73" s="13">
        <f t="shared" si="91"/>
        <v>48.271623476583684</v>
      </c>
      <c r="BG73" s="20">
        <f t="shared" si="61"/>
        <v>420.75950620505029</v>
      </c>
      <c r="BH73" s="59">
        <f t="shared" si="62"/>
        <v>714.0928395383836</v>
      </c>
      <c r="BI73" s="59">
        <f ca="1">AVERAGE(OFFSET($BH$3,0,0,'Données projet'!$E$11+1,1))-AVERAGE(OFFSET($H$3,0,0,'Données projet'!$E$11+1,1))</f>
        <v>490.06222615476065</v>
      </c>
      <c r="BJ73" s="59">
        <f t="shared" si="92"/>
        <v>310.43914804089906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12.651875275803677</v>
      </c>
      <c r="BQ73" s="21">
        <f>EXP(-LN(2)/25)*BQ72+(1-EXP(-LN(2)/25))/(LN(2)/25)*Calculateur!BL73*Calculateur!BN73*VLOOKUP('Données projet'!$B$11,Paramètres!$A$1:$I$89,3,0)*0.475*44/12</f>
        <v>29.464765312062688</v>
      </c>
      <c r="BR73" s="21">
        <f>EXP(-LN(2)/2)*BR72+(1-EXP(-LN(2)/2))/(LN(2)/2)*BL73*BO73*VLOOKUP('Données projet'!$B$11,Paramètres!$A$1:$I$89,3,0)*0.475*44/12</f>
        <v>1.445789372002916</v>
      </c>
      <c r="BS73" s="22">
        <f t="shared" si="63"/>
        <v>43.562429959869277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4.2</v>
      </c>
      <c r="N74" s="13">
        <f>IF('Données projet'!$A$36&gt;35,N73+M74-V73,IF(A74&lt;'Données projet'!$A$36,$K$205^A74,IF(A74='Données projet'!$A$36,'Données projet'!$B$36,N73+M74-V73)))</f>
        <v>307.19999999999993</v>
      </c>
      <c r="O74" s="13">
        <f>N74*VLOOKUP('Données projet'!$B$9,Paramètres!$A$1:$I$89,3,0)*VLOOKUP('Données projet'!$B$9,Paramètres!$A$1:$I$89,5,0)</f>
        <v>244.40831999999995</v>
      </c>
      <c r="P74" s="13">
        <f t="shared" si="87"/>
        <v>59.38699493610541</v>
      </c>
      <c r="Q74" s="20">
        <f t="shared" si="54"/>
        <v>529.11017351371675</v>
      </c>
      <c r="R74" s="59">
        <f t="shared" si="55"/>
        <v>822.44350684705</v>
      </c>
      <c r="S74" s="59">
        <f ca="1">AVERAGE(OFFSET($R$3,0,0,'Données projet'!$E$9+1,1))-AVERAGE(OFFSET($H$3,0,0,'Données projet'!$E$9+1,1))</f>
        <v>353.37479213497227</v>
      </c>
      <c r="T74" s="59">
        <f t="shared" si="88"/>
        <v>345.4750813433123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14.650644143476965</v>
      </c>
      <c r="AA74" s="21">
        <f>EXP(-LN(2)/25)*AA73+(1-EXP(-LN(2)/25))/(LN(2)/25)*Calculateur!V74*Calculateur!X74*VLOOKUP('Données projet'!$B$9,Paramètres!$A$1:$I$89,3,0)*0.475*44/12</f>
        <v>15.151981320558889</v>
      </c>
      <c r="AB74" s="21">
        <f>EXP(-LN(2)/2)*AB73+(1-EXP(-LN(2)/2))/(LN(2)/2)*V74*Y74*VLOOKUP('Données projet'!$B$9,Paramètres!$A$1:$I$89,3,0)*0.475*44/12</f>
        <v>2.1030423197824706</v>
      </c>
      <c r="AC74" s="22">
        <f t="shared" si="57"/>
        <v>31.905667783818327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11.327500000000001</v>
      </c>
      <c r="AI74" s="13">
        <f>IF('Données projet'!$A$62&gt;35,AI73+AH74-AQ73,IF(A74&lt;'Données projet'!$A$62,$AF$205^A74,IF(A74='Données projet'!$A$62,'Données projet'!$B$62,AI73+AH74-AQ73)))</f>
        <v>350.19999999999993</v>
      </c>
      <c r="AJ74" s="13">
        <f>AI74*VLOOKUP('Données projet'!$B$10,Paramètres!$A$1:$I$89,3,0)*VLOOKUP('Données projet'!$B$10,Paramètres!$A$1:$I$89,5,0)</f>
        <v>163.89359999999996</v>
      </c>
      <c r="AK74" s="13">
        <f t="shared" si="89"/>
        <v>41.71949506642347</v>
      </c>
      <c r="AL74" s="20">
        <f t="shared" si="58"/>
        <v>358.10947390735413</v>
      </c>
      <c r="AM74" s="59">
        <f t="shared" si="59"/>
        <v>651.44280724068744</v>
      </c>
      <c r="AN74" s="59">
        <f ca="1">AVERAGE(OFFSET($AM$3,0,0,'Données projet'!$E$10+1,1))-AVERAGE(OFFSET($H$3,0,0,'Données projet'!$E$10+1,1))</f>
        <v>293.15557501692803</v>
      </c>
      <c r="AO74" s="59">
        <f t="shared" si="90"/>
        <v>237.1930412773068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26.04700445212173</v>
      </c>
      <c r="AV74" s="21">
        <f>EXP(-LN(2)/25)*AV73+(1-EXP(-LN(2)/25))/(LN(2)/25)*Calculateur!AQ74*Calculateur!AS74*VLOOKUP('Données projet'!$B$10,Paramètres!$A$1:$I$89,3,0)*0.475*44/12</f>
        <v>13.640519613884527</v>
      </c>
      <c r="AW74" s="21">
        <f>EXP(-LN(2)/2)*AW73+(1-EXP(-LN(2)/2))/(LN(2)/2)*AQ74*AT74*VLOOKUP('Données projet'!$B$10,Paramètres!$A$1:$I$89,3,0)*0.475*44/12</f>
        <v>0.78559155485209486</v>
      </c>
      <c r="AX74" s="21">
        <f t="shared" si="60"/>
        <v>40.473115620858351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8.2474999999999987</v>
      </c>
      <c r="BD74" s="12">
        <f>IF('Données projet'!$A$88&gt;35,BD73+BC74-BL73,IF(A74&lt;'Données projet'!$A$88,$BA$205^A74,IF(A74='Données projet'!$A$88,'Données projet'!$B$88,BD73+BC74-BL73)))</f>
        <v>221.90000000000026</v>
      </c>
      <c r="BE74" s="13">
        <f>BD74*VLOOKUP('Données projet'!$B$11,Paramètres!$A$1:$I$89,3,0)*VLOOKUP('Données projet'!$B$11,Paramètres!$A$1:$I$89,5,0)</f>
        <v>200.77512000000021</v>
      </c>
      <c r="BF74" s="13">
        <f t="shared" si="91"/>
        <v>49.914477272475111</v>
      </c>
      <c r="BG74" s="20">
        <f t="shared" si="61"/>
        <v>436.61771524956117</v>
      </c>
      <c r="BH74" s="59">
        <f t="shared" si="62"/>
        <v>729.95104858289449</v>
      </c>
      <c r="BI74" s="59">
        <f ca="1">AVERAGE(OFFSET($BH$3,0,0,'Données projet'!$E$11+1,1))-AVERAGE(OFFSET($H$3,0,0,'Données projet'!$E$11+1,1))</f>
        <v>490.06222615476065</v>
      </c>
      <c r="BJ74" s="59">
        <f t="shared" si="92"/>
        <v>310.43914804089906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12.403779718527106</v>
      </c>
      <c r="BQ74" s="21">
        <f>EXP(-LN(2)/25)*BQ73+(1-EXP(-LN(2)/25))/(LN(2)/25)*Calculateur!BL74*Calculateur!BN74*VLOOKUP('Données projet'!$B$11,Paramètres!$A$1:$I$89,3,0)*0.475*44/12</f>
        <v>28.659049755119668</v>
      </c>
      <c r="BR74" s="21">
        <f>EXP(-LN(2)/2)*BR73+(1-EXP(-LN(2)/2))/(LN(2)/2)*BL74*BO74*VLOOKUP('Données projet'!$B$11,Paramètres!$A$1:$I$89,3,0)*0.475*44/12</f>
        <v>1.022327469110702</v>
      </c>
      <c r="BS74" s="22">
        <f t="shared" si="63"/>
        <v>42.085156942757472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4.2</v>
      </c>
      <c r="N75" s="13">
        <f>IF('Données projet'!$A$36&gt;35,N74+M75-V74,IF(A75&lt;'Données projet'!$A$36,$K$205^A75,IF(A75='Données projet'!$A$36,'Données projet'!$B$36,N74+M75-V74)))</f>
        <v>311.39999999999992</v>
      </c>
      <c r="O75" s="13">
        <f>N75*VLOOKUP('Données projet'!$B$9,Paramètres!$A$1:$I$89,3,0)*VLOOKUP('Données projet'!$B$9,Paramètres!$A$1:$I$89,5,0)</f>
        <v>247.74983999999995</v>
      </c>
      <c r="P75" s="13">
        <f t="shared" si="87"/>
        <v>60.103849700617872</v>
      </c>
      <c r="Q75" s="20">
        <f t="shared" si="54"/>
        <v>536.17850956190932</v>
      </c>
      <c r="R75" s="59">
        <f t="shared" si="55"/>
        <v>829.51184289524258</v>
      </c>
      <c r="S75" s="59">
        <f ca="1">AVERAGE(OFFSET($R$3,0,0,'Données projet'!$E$9+1,1))-AVERAGE(OFFSET($H$3,0,0,'Données projet'!$E$9+1,1))</f>
        <v>353.37479213497227</v>
      </c>
      <c r="T75" s="59">
        <f t="shared" si="88"/>
        <v>345.4750813433123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14.363353947833952</v>
      </c>
      <c r="AA75" s="21">
        <f>EXP(-LN(2)/25)*AA74+(1-EXP(-LN(2)/25))/(LN(2)/25)*Calculateur!V75*Calculateur!X75*VLOOKUP('Données projet'!$B$9,Paramètres!$A$1:$I$89,3,0)*0.475*44/12</f>
        <v>14.737649594540139</v>
      </c>
      <c r="AB75" s="21">
        <f>EXP(-LN(2)/2)*AB74+(1-EXP(-LN(2)/2))/(LN(2)/2)*V75*Y75*VLOOKUP('Données projet'!$B$9,Paramètres!$A$1:$I$89,3,0)*0.475*44/12</f>
        <v>1.4870754854404729</v>
      </c>
      <c r="AC75" s="22">
        <f t="shared" si="57"/>
        <v>30.588079027814565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11.327500000000001</v>
      </c>
      <c r="AI75" s="13">
        <f>IF('Données projet'!$A$62&gt;35,AI74+AH75-AQ74,IF(A75&lt;'Données projet'!$A$62,$AF$205^A75,IF(A75='Données projet'!$A$62,'Données projet'!$B$62,AI74+AH75-AQ74)))</f>
        <v>361.52749999999992</v>
      </c>
      <c r="AJ75" s="13">
        <f>AI75*VLOOKUP('Données projet'!$B$10,Paramètres!$A$1:$I$89,3,0)*VLOOKUP('Données projet'!$B$10,Paramètres!$A$1:$I$89,5,0)</f>
        <v>169.19486999999998</v>
      </c>
      <c r="AK75" s="13">
        <f t="shared" si="89"/>
        <v>42.909651456861525</v>
      </c>
      <c r="AL75" s="20">
        <f t="shared" si="58"/>
        <v>369.41537487070042</v>
      </c>
      <c r="AM75" s="59">
        <f t="shared" si="59"/>
        <v>662.74870820403373</v>
      </c>
      <c r="AN75" s="59">
        <f ca="1">AVERAGE(OFFSET($AM$3,0,0,'Données projet'!$E$10+1,1))-AVERAGE(OFFSET($H$3,0,0,'Données projet'!$E$10+1,1))</f>
        <v>293.15557501692803</v>
      </c>
      <c r="AO75" s="59">
        <f t="shared" si="90"/>
        <v>237.1930412773068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25.536238581919616</v>
      </c>
      <c r="AV75" s="21">
        <f>EXP(-LN(2)/25)*AV74+(1-EXP(-LN(2)/25))/(LN(2)/25)*Calculateur!AQ75*Calculateur!AS75*VLOOKUP('Données projet'!$B$10,Paramètres!$A$1:$I$89,3,0)*0.475*44/12</f>
        <v>13.267518887719104</v>
      </c>
      <c r="AW75" s="21">
        <f>EXP(-LN(2)/2)*AW74+(1-EXP(-LN(2)/2))/(LN(2)/2)*AQ75*AT75*VLOOKUP('Données projet'!$B$10,Paramètres!$A$1:$I$89,3,0)*0.475*44/12</f>
        <v>0.55549711567879989</v>
      </c>
      <c r="AX75" s="21">
        <f t="shared" si="60"/>
        <v>39.359254585317515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8.2474999999999987</v>
      </c>
      <c r="BD75" s="12">
        <f>IF('Données projet'!$A$88&gt;35,BD74+BC75-BL74,IF(A75&lt;'Données projet'!$A$88,$BA$205^A75,IF(A75='Données projet'!$A$88,'Données projet'!$B$88,BD74+BC75-BL74)))</f>
        <v>230.14750000000026</v>
      </c>
      <c r="BE75" s="13">
        <f>BD75*VLOOKUP('Données projet'!$B$11,Paramètres!$A$1:$I$89,3,0)*VLOOKUP('Données projet'!$B$11,Paramètres!$A$1:$I$89,5,0)</f>
        <v>208.2374580000002</v>
      </c>
      <c r="BF75" s="13">
        <f t="shared" si="91"/>
        <v>51.550237194862532</v>
      </c>
      <c r="BG75" s="20">
        <f t="shared" si="61"/>
        <v>452.46356913105257</v>
      </c>
      <c r="BH75" s="59">
        <f t="shared" si="62"/>
        <v>745.79690246438588</v>
      </c>
      <c r="BI75" s="59">
        <f ca="1">AVERAGE(OFFSET($BH$3,0,0,'Données projet'!$E$11+1,1))-AVERAGE(OFFSET($H$3,0,0,'Données projet'!$E$11+1,1))</f>
        <v>490.06222615476065</v>
      </c>
      <c r="BJ75" s="59">
        <f t="shared" si="92"/>
        <v>310.43914804089906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12.160549163805381</v>
      </c>
      <c r="BQ75" s="21">
        <f>EXP(-LN(2)/25)*BQ74+(1-EXP(-LN(2)/25))/(LN(2)/25)*Calculateur!BL75*Calculateur!BN75*VLOOKUP('Données projet'!$B$11,Paramètres!$A$1:$I$89,3,0)*0.475*44/12</f>
        <v>27.875366532451995</v>
      </c>
      <c r="BR75" s="21">
        <f>EXP(-LN(2)/2)*BR74+(1-EXP(-LN(2)/2))/(LN(2)/2)*BL75*BO75*VLOOKUP('Données projet'!$B$11,Paramètres!$A$1:$I$89,3,0)*0.475*44/12</f>
        <v>0.72289468600145812</v>
      </c>
      <c r="BS75" s="22">
        <f t="shared" si="63"/>
        <v>40.758810382258837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4.2</v>
      </c>
      <c r="N76" s="13">
        <f>IF('Données projet'!$A$36&gt;35,N75+M76-V75,IF(A76&lt;'Données projet'!$A$36,$K$205^A76,IF(A76='Données projet'!$A$36,'Données projet'!$B$36,N75+M76-V75)))</f>
        <v>315.59999999999991</v>
      </c>
      <c r="O76" s="13">
        <f>N76*VLOOKUP('Données projet'!$B$9,Paramètres!$A$1:$I$89,3,0)*VLOOKUP('Données projet'!$B$9,Paramètres!$A$1:$I$89,5,0)</f>
        <v>251.09135999999995</v>
      </c>
      <c r="P76" s="13">
        <f t="shared" si="87"/>
        <v>60.81957989149403</v>
      </c>
      <c r="Q76" s="20">
        <f t="shared" si="54"/>
        <v>543.24488697768527</v>
      </c>
      <c r="R76" s="59">
        <f t="shared" si="55"/>
        <v>836.57822031101864</v>
      </c>
      <c r="S76" s="59">
        <f ca="1">AVERAGE(OFFSET($R$3,0,0,'Données projet'!$E$9+1,1))-AVERAGE(OFFSET($H$3,0,0,'Données projet'!$E$9+1,1))</f>
        <v>353.37479213497227</v>
      </c>
      <c r="T76" s="59">
        <f t="shared" si="88"/>
        <v>345.4750813433123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14.081697337697781</v>
      </c>
      <c r="AA76" s="21">
        <f>EXP(-LN(2)/25)*AA75+(1-EXP(-LN(2)/25))/(LN(2)/25)*Calculateur!V76*Calculateur!X76*VLOOKUP('Données projet'!$B$9,Paramètres!$A$1:$I$89,3,0)*0.475*44/12</f>
        <v>14.33464779135813</v>
      </c>
      <c r="AB76" s="21">
        <f>EXP(-LN(2)/2)*AB75+(1-EXP(-LN(2)/2))/(LN(2)/2)*V76*Y76*VLOOKUP('Données projet'!$B$9,Paramètres!$A$1:$I$89,3,0)*0.475*44/12</f>
        <v>1.0515211598912355</v>
      </c>
      <c r="AC76" s="22">
        <f t="shared" si="57"/>
        <v>29.46786628894715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11.327500000000001</v>
      </c>
      <c r="AI76" s="13">
        <f>IF('Données projet'!$A$62&gt;35,AI75+AH76-AQ75,IF(A76&lt;'Données projet'!$A$62,$AF$205^A76,IF(A76='Données projet'!$A$62,'Données projet'!$B$62,AI75+AH76-AQ75)))</f>
        <v>372.8549999999999</v>
      </c>
      <c r="AJ76" s="13">
        <f>AI76*VLOOKUP('Données projet'!$B$10,Paramètres!$A$1:$I$89,3,0)*VLOOKUP('Données projet'!$B$10,Paramètres!$A$1:$I$89,5,0)</f>
        <v>174.49613999999997</v>
      </c>
      <c r="AK76" s="13">
        <f t="shared" si="89"/>
        <v>44.095474404040012</v>
      </c>
      <c r="AL76" s="20">
        <f t="shared" si="58"/>
        <v>380.71372842036959</v>
      </c>
      <c r="AM76" s="59">
        <f t="shared" si="59"/>
        <v>674.04706175370291</v>
      </c>
      <c r="AN76" s="59">
        <f ca="1">AVERAGE(OFFSET($AM$3,0,0,'Données projet'!$E$10+1,1))-AVERAGE(OFFSET($H$3,0,0,'Données projet'!$E$10+1,1))</f>
        <v>293.15557501692803</v>
      </c>
      <c r="AO76" s="59">
        <f t="shared" si="90"/>
        <v>237.1930412773068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25.035488518895747</v>
      </c>
      <c r="AV76" s="21">
        <f>EXP(-LN(2)/25)*AV75+(1-EXP(-LN(2)/25))/(LN(2)/25)*Calculateur!AQ76*Calculateur!AS76*VLOOKUP('Données projet'!$B$10,Paramètres!$A$1:$I$89,3,0)*0.475*44/12</f>
        <v>12.90471788602593</v>
      </c>
      <c r="AW76" s="21">
        <f>EXP(-LN(2)/2)*AW75+(1-EXP(-LN(2)/2))/(LN(2)/2)*AQ76*AT76*VLOOKUP('Données projet'!$B$10,Paramètres!$A$1:$I$89,3,0)*0.475*44/12</f>
        <v>0.39279577742604743</v>
      </c>
      <c r="AX76" s="21">
        <f t="shared" si="60"/>
        <v>38.33300218234772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8.2474999999999987</v>
      </c>
      <c r="BD76" s="12">
        <f>IF('Données projet'!$A$88&gt;35,BD75+BC76-BL75,IF(A76&lt;'Données projet'!$A$88,$BA$205^A76,IF(A76='Données projet'!$A$88,'Données projet'!$B$88,BD75+BC76-BL75)))</f>
        <v>238.39500000000027</v>
      </c>
      <c r="BE76" s="13">
        <f>BD76*VLOOKUP('Données projet'!$B$11,Paramètres!$A$1:$I$89,3,0)*VLOOKUP('Données projet'!$B$11,Paramètres!$A$1:$I$89,5,0)</f>
        <v>215.69979600000025</v>
      </c>
      <c r="BF76" s="13">
        <f t="shared" si="91"/>
        <v>53.179186580516586</v>
      </c>
      <c r="BG76" s="20">
        <f t="shared" si="61"/>
        <v>468.29756132773349</v>
      </c>
      <c r="BH76" s="59">
        <f t="shared" si="62"/>
        <v>761.6308946610668</v>
      </c>
      <c r="BI76" s="59">
        <f ca="1">AVERAGE(OFFSET($BH$3,0,0,'Données projet'!$E$11+1,1))-AVERAGE(OFFSET($H$3,0,0,'Données projet'!$E$11+1,1))</f>
        <v>490.06222615476065</v>
      </c>
      <c r="BJ76" s="59">
        <f t="shared" si="92"/>
        <v>310.43914804089906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11.922088211905759</v>
      </c>
      <c r="BQ76" s="21">
        <f>EXP(-LN(2)/25)*BQ75+(1-EXP(-LN(2)/25))/(LN(2)/25)*Calculateur!BL76*Calculateur!BN76*VLOOKUP('Données projet'!$B$11,Paramètres!$A$1:$I$89,3,0)*0.475*44/12</f>
        <v>27.113113168720279</v>
      </c>
      <c r="BR76" s="21">
        <f>EXP(-LN(2)/2)*BR75+(1-EXP(-LN(2)/2))/(LN(2)/2)*BL76*BO76*VLOOKUP('Données projet'!$B$11,Paramètres!$A$1:$I$89,3,0)*0.475*44/12</f>
        <v>0.51116373455535102</v>
      </c>
      <c r="BS76" s="22">
        <f t="shared" si="63"/>
        <v>39.546365115181388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4.2</v>
      </c>
      <c r="N77" s="13">
        <f>IF('Données projet'!$A$36&gt;35,N76+M77-V76,IF(A77&lt;'Données projet'!$A$36,$K$205^A77,IF(A77='Données projet'!$A$36,'Données projet'!$B$36,N76+M77-V76)))</f>
        <v>319.7999999999999</v>
      </c>
      <c r="O77" s="13">
        <f>N77*VLOOKUP('Données projet'!$B$9,Paramètres!$A$1:$I$89,3,0)*VLOOKUP('Données projet'!$B$9,Paramètres!$A$1:$I$89,5,0)</f>
        <v>254.43287999999995</v>
      </c>
      <c r="P77" s="13">
        <f t="shared" si="87"/>
        <v>61.534202204620392</v>
      </c>
      <c r="Q77" s="20">
        <f t="shared" si="54"/>
        <v>550.30933483971376</v>
      </c>
      <c r="R77" s="59">
        <f t="shared" si="55"/>
        <v>843.64266817304701</v>
      </c>
      <c r="S77" s="59">
        <f ca="1">AVERAGE(OFFSET($R$3,0,0,'Données projet'!$E$9+1,1))-AVERAGE(OFFSET($H$3,0,0,'Données projet'!$E$9+1,1))</f>
        <v>353.37479213497227</v>
      </c>
      <c r="T77" s="59">
        <f t="shared" si="88"/>
        <v>345.4750813433123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13.805563841892811</v>
      </c>
      <c r="AA77" s="21">
        <f>EXP(-LN(2)/25)*AA76+(1-EXP(-LN(2)/25))/(LN(2)/25)*Calculateur!V77*Calculateur!X77*VLOOKUP('Données projet'!$B$9,Paramètres!$A$1:$I$89,3,0)*0.475*44/12</f>
        <v>13.942666093677076</v>
      </c>
      <c r="AB77" s="21">
        <f>EXP(-LN(2)/2)*AB76+(1-EXP(-LN(2)/2))/(LN(2)/2)*V77*Y77*VLOOKUP('Données projet'!$B$9,Paramètres!$A$1:$I$89,3,0)*0.475*44/12</f>
        <v>0.74353774272023654</v>
      </c>
      <c r="AC77" s="22">
        <f t="shared" si="57"/>
        <v>28.491767678290124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11.327500000000001</v>
      </c>
      <c r="AI77" s="13">
        <f>IF('Données projet'!$A$62&gt;35,AI76+AH77-AQ76,IF(A77&lt;'Données projet'!$A$62,$AF$205^A77,IF(A77='Données projet'!$A$62,'Données projet'!$B$62,AI76+AH77-AQ76)))</f>
        <v>384.18249999999989</v>
      </c>
      <c r="AJ77" s="13">
        <f>AI77*VLOOKUP('Données projet'!$B$10,Paramètres!$A$1:$I$89,3,0)*VLOOKUP('Données projet'!$B$10,Paramètres!$A$1:$I$89,5,0)</f>
        <v>179.79740999999993</v>
      </c>
      <c r="AK77" s="13">
        <f t="shared" si="89"/>
        <v>45.277110670389604</v>
      </c>
      <c r="AL77" s="20">
        <f t="shared" si="58"/>
        <v>392.00479016759505</v>
      </c>
      <c r="AM77" s="59">
        <f t="shared" si="59"/>
        <v>685.3381235009283</v>
      </c>
      <c r="AN77" s="59">
        <f ca="1">AVERAGE(OFFSET($AM$3,0,0,'Données projet'!$E$10+1,1))-AVERAGE(OFFSET($H$3,0,0,'Données projet'!$E$10+1,1))</f>
        <v>293.15557501692803</v>
      </c>
      <c r="AO77" s="59">
        <f t="shared" si="90"/>
        <v>237.1930412773068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24.544557859180397</v>
      </c>
      <c r="AV77" s="21">
        <f>EXP(-LN(2)/25)*AV76+(1-EXP(-LN(2)/25))/(LN(2)/25)*Calculateur!AQ77*Calculateur!AS77*VLOOKUP('Données projet'!$B$10,Paramètres!$A$1:$I$89,3,0)*0.475*44/12</f>
        <v>12.551837696802931</v>
      </c>
      <c r="AW77" s="21">
        <f>EXP(-LN(2)/2)*AW76+(1-EXP(-LN(2)/2))/(LN(2)/2)*AQ77*AT77*VLOOKUP('Données projet'!$B$10,Paramètres!$A$1:$I$89,3,0)*0.475*44/12</f>
        <v>0.27774855783939995</v>
      </c>
      <c r="AX77" s="21">
        <f t="shared" si="60"/>
        <v>37.37414411382273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8.2474999999999987</v>
      </c>
      <c r="BD77" s="12">
        <f>IF('Données projet'!$A$88&gt;35,BD76+BC77-BL76,IF(A77&lt;'Données projet'!$A$88,$BA$205^A77,IF(A77='Données projet'!$A$88,'Données projet'!$B$88,BD76+BC77-BL76)))</f>
        <v>246.64250000000027</v>
      </c>
      <c r="BE77" s="13">
        <f>BD77*VLOOKUP('Données projet'!$B$11,Paramètres!$A$1:$I$89,3,0)*VLOOKUP('Données projet'!$B$11,Paramètres!$A$1:$I$89,5,0)</f>
        <v>223.16213400000024</v>
      </c>
      <c r="BF77" s="13">
        <f t="shared" si="91"/>
        <v>54.801588049746073</v>
      </c>
      <c r="BG77" s="20">
        <f t="shared" si="61"/>
        <v>484.12014923664145</v>
      </c>
      <c r="BH77" s="59">
        <f t="shared" si="62"/>
        <v>777.45348256997477</v>
      </c>
      <c r="BI77" s="59">
        <f ca="1">AVERAGE(OFFSET($BH$3,0,0,'Données projet'!$E$11+1,1))-AVERAGE(OFFSET($H$3,0,0,'Données projet'!$E$11+1,1))</f>
        <v>490.06222615476065</v>
      </c>
      <c r="BJ77" s="59">
        <f t="shared" si="92"/>
        <v>310.43914804089906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11.68830333382607</v>
      </c>
      <c r="BQ77" s="21">
        <f>EXP(-LN(2)/25)*BQ76+(1-EXP(-LN(2)/25))/(LN(2)/25)*Calculateur!BL77*Calculateur!BN77*VLOOKUP('Données projet'!$B$11,Paramètres!$A$1:$I$89,3,0)*0.475*44/12</f>
        <v>26.37170366330497</v>
      </c>
      <c r="BR77" s="21">
        <f>EXP(-LN(2)/2)*BR76+(1-EXP(-LN(2)/2))/(LN(2)/2)*BL77*BO77*VLOOKUP('Données projet'!$B$11,Paramètres!$A$1:$I$89,3,0)*0.475*44/12</f>
        <v>0.36144734300072906</v>
      </c>
      <c r="BS77" s="22">
        <f t="shared" si="63"/>
        <v>38.421454340131767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324</v>
      </c>
      <c r="L78" s="12">
        <f>VLOOKUP(A78,'Données projet'!$A$35:$I$55,9,0)</f>
        <v>4.2</v>
      </c>
      <c r="M78" s="12">
        <f t="array" ref="M78">INDEX(L:L,MIN(IF(ISNUMBER(L78:L274),ROW(L78:L274),"")))</f>
        <v>4.2</v>
      </c>
      <c r="N78" s="13">
        <f>IF('Données projet'!$A$36&gt;35,N77+M78-V77,IF(A78&lt;'Données projet'!$A$36,$K$205^A78,IF(A78='Données projet'!$A$36,'Données projet'!$B$36,N77+M78-V77)))</f>
        <v>323.99999999999989</v>
      </c>
      <c r="O78" s="13">
        <f>N78*VLOOKUP('Données projet'!$B$9,Paramètres!$A$1:$I$89,3,0)*VLOOKUP('Données projet'!$B$9,Paramètres!$A$1:$I$89,5,0)</f>
        <v>257.77439999999996</v>
      </c>
      <c r="P78" s="13">
        <f t="shared" si="87"/>
        <v>62.247732872134293</v>
      </c>
      <c r="Q78" s="20">
        <f t="shared" si="54"/>
        <v>557.37188141896718</v>
      </c>
      <c r="R78" s="59">
        <f t="shared" si="55"/>
        <v>850.70521475230044</v>
      </c>
      <c r="S78" s="59">
        <f ca="1">AVERAGE(OFFSET($R$3,0,0,'Données projet'!$E$9+1,1))-AVERAGE(OFFSET($H$3,0,0,'Données projet'!$E$9+1,1))</f>
        <v>353.37479213497227</v>
      </c>
      <c r="T78" s="59">
        <f t="shared" si="88"/>
        <v>345.4750813433123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12</v>
      </c>
      <c r="W78" s="16">
        <f>IF(ISNA(VLOOKUP(A78,'Données projet'!$A$35:$I$55,5,0)),0%,VLOOKUP(A78,'Données projet'!$A$35:$I$55,5,0)*VLOOKUP('Données projet'!$B$9,Paramètres!$A$1:$I$89,7,0))</f>
        <v>0.13250000000000001</v>
      </c>
      <c r="X78" s="16">
        <f>IF(ISNA(VLOOKUP(A78,'Données projet'!$A$35:$I$55,6,0)),0%,VLOOKUP(A78,'Données projet'!$A$35:$I$55,6,0)*VLOOKUP('Données projet'!$B$9,Paramètres!$A$1:$I$89,7,0))</f>
        <v>0.13250000000000001</v>
      </c>
      <c r="Y78" s="16">
        <f>IF(ISNA(VLOOKUP(A78,'Données projet'!$A$35:$I$55,7,0)),0%,VLOOKUP(A78,'Données projet'!$A$35:$I$55,7,0))</f>
        <v>0.25</v>
      </c>
      <c r="Z78" s="21">
        <f>EXP(-LN(2)/35)*Z77+(1-EXP(-LN(2)/35))/(LN(2)/35)*V78*W78*VLOOKUP('Données projet'!$B$9,Paramètres!$A$1:$I$89,3,0)*0.475*44/12</f>
        <v>14.933269607506475</v>
      </c>
      <c r="AA78" s="21">
        <f>EXP(-LN(2)/25)*AA77+(1-EXP(-LN(2)/25))/(LN(2)/25)*Calculateur!V78*Calculateur!X78*VLOOKUP('Données projet'!$B$9,Paramètres!$A$1:$I$89,3,0)*0.475*44/12</f>
        <v>14.954321478214256</v>
      </c>
      <c r="AB78" s="21">
        <f>EXP(-LN(2)/2)*AB77+(1-EXP(-LN(2)/2))/(LN(2)/2)*V78*Y78*VLOOKUP('Données projet'!$B$9,Paramètres!$A$1:$I$89,3,0)*0.475*44/12</f>
        <v>2.7777706197257581</v>
      </c>
      <c r="AC78" s="22">
        <f t="shared" si="57"/>
        <v>32.665361705446486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395.51</v>
      </c>
      <c r="AG78" s="12">
        <f>VLOOKUP(A78,'Données projet'!$A$61:$I$81,9,0)</f>
        <v>11.327500000000001</v>
      </c>
      <c r="AH78" s="12">
        <f t="array" ref="AH78">INDEX(AG:AG,MIN(IF(ISNUMBER(AG78:AG274),ROW(AG78:AG274),"")))</f>
        <v>11.327500000000001</v>
      </c>
      <c r="AI78" s="13">
        <f>IF('Données projet'!$A$62&gt;35,AI77+AH78-AQ77,IF(A78&lt;'Données projet'!$A$62,$AF$205^A78,IF(A78='Données projet'!$A$62,'Données projet'!$B$62,AI77+AH78-AQ77)))</f>
        <v>395.50999999999988</v>
      </c>
      <c r="AJ78" s="13">
        <f>AI78*VLOOKUP('Données projet'!$B$10,Paramètres!$A$1:$I$89,3,0)*VLOOKUP('Données projet'!$B$10,Paramètres!$A$1:$I$89,5,0)</f>
        <v>185.09867999999994</v>
      </c>
      <c r="AK78" s="13">
        <f t="shared" si="89"/>
        <v>46.454697871845575</v>
      </c>
      <c r="AL78" s="20">
        <f t="shared" si="58"/>
        <v>403.28879979346425</v>
      </c>
      <c r="AM78" s="59">
        <f t="shared" si="59"/>
        <v>696.62213312679751</v>
      </c>
      <c r="AN78" s="59">
        <f ca="1">AVERAGE(OFFSET($AM$3,0,0,'Données projet'!$E$10+1,1))-AVERAGE(OFFSET($H$3,0,0,'Données projet'!$E$10+1,1))</f>
        <v>293.15557501692803</v>
      </c>
      <c r="AO78" s="59">
        <f t="shared" si="90"/>
        <v>237.1930412773068</v>
      </c>
      <c r="AP78" s="15">
        <f>IF(ISNA(VLOOKUP(A78,'Données projet'!$A$61:$I$81,3,0)),0,VLOOKUP(A78,'Données projet'!$A$61:$I$81,3,0))</f>
        <v>3</v>
      </c>
      <c r="AQ78" s="15">
        <f>IF(ISNA(VLOOKUP(A78,'Données projet'!$A$61:$I$81,4,0)),0,VLOOKUP(A78,'Données projet'!$A$61:$I$81,4,0))</f>
        <v>93.759999999999991</v>
      </c>
      <c r="AR78" s="16">
        <f>IF(ISNA(VLOOKUP(A78,'Données projet'!$A$61:$I$81,5,0)),0%,VLOOKUP(A78,'Données projet'!$A$61:$I$81,5,0)*VLOOKUP('Données projet'!$B$10,Paramètres!$A$1:$I$89,7,0))</f>
        <v>0.33</v>
      </c>
      <c r="AS78" s="16">
        <f>IF(ISNA(VLOOKUP(A78,'Données projet'!$A$61:$I$81,6,0)),0%,VLOOKUP(A78,'Données projet'!$A$61:$I$81,6,0)*VLOOKUP('Données projet'!$B$10,Paramètres!$A$1:$I$89,7,0))</f>
        <v>0.11000000000000001</v>
      </c>
      <c r="AT78" s="16">
        <f>IF(ISNA(VLOOKUP(A78,'Données projet'!$A$61:$I$81,7,0)),0%,VLOOKUP(A78,'Données projet'!$A$61:$I$81,7,0))</f>
        <v>0.2</v>
      </c>
      <c r="AU78" s="21">
        <f>EXP(-LN(2)/35)*AU77+(1-EXP(-LN(2)/35))/(LN(2)/35)*AQ78*AR78*VLOOKUP('Données projet'!$B$10,Paramètres!$A$1:$I$89,3,0)*0.475*44/12</f>
        <v>43.272297905604148</v>
      </c>
      <c r="AV78" s="21">
        <f>EXP(-LN(2)/25)*AV77+(1-EXP(-LN(2)/25))/(LN(2)/25)*Calculateur!AQ78*Calculateur!AS78*VLOOKUP('Données projet'!$B$10,Paramètres!$A$1:$I$89,3,0)*0.475*44/12</f>
        <v>18.586410545065469</v>
      </c>
      <c r="AW78" s="21">
        <f>EXP(-LN(2)/2)*AW77+(1-EXP(-LN(2)/2))/(LN(2)/2)*AQ78*AT78*VLOOKUP('Données projet'!$B$10,Paramètres!$A$1:$I$89,3,0)*0.475*44/12</f>
        <v>10.132796068938246</v>
      </c>
      <c r="AX78" s="21">
        <f t="shared" si="60"/>
        <v>71.991504519607858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254.89</v>
      </c>
      <c r="BB78" s="12">
        <f>VLOOKUP(A78,'Données projet'!$A$87:$I$107,9,0)</f>
        <v>8.2474999999999987</v>
      </c>
      <c r="BC78" s="12">
        <f t="array" ref="BC78">INDEX(BB:BB,MIN(IF(ISNUMBER(BB78:BB274),ROW(BB78:BB274),"")))</f>
        <v>8.2474999999999987</v>
      </c>
      <c r="BD78" s="12">
        <f>IF('Données projet'!$A$88&gt;35,BD77+BC78-BL77,IF(A78&lt;'Données projet'!$A$88,$BA$205^A78,IF(A78='Données projet'!$A$88,'Données projet'!$B$88,BD77+BC78-BL77)))</f>
        <v>254.89000000000027</v>
      </c>
      <c r="BE78" s="13">
        <f>BD78*VLOOKUP('Données projet'!$B$11,Paramètres!$A$1:$I$89,3,0)*VLOOKUP('Données projet'!$B$11,Paramètres!$A$1:$I$89,5,0)</f>
        <v>230.62447200000022</v>
      </c>
      <c r="BF78" s="13">
        <f t="shared" si="91"/>
        <v>56.417685662698347</v>
      </c>
      <c r="BG78" s="20">
        <f t="shared" si="61"/>
        <v>499.93175792920005</v>
      </c>
      <c r="BH78" s="59">
        <f t="shared" si="62"/>
        <v>793.26509126253336</v>
      </c>
      <c r="BI78" s="59">
        <f ca="1">AVERAGE(OFFSET($BH$3,0,0,'Données projet'!$E$11+1,1))-AVERAGE(OFFSET($H$3,0,0,'Données projet'!$E$11+1,1))</f>
        <v>490.06222615476065</v>
      </c>
      <c r="BJ78" s="59">
        <f t="shared" si="92"/>
        <v>310.43914804089906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43.289999999999992</v>
      </c>
      <c r="BM78" s="16">
        <f>IF(ISNA(VLOOKUP(A78,'Données projet'!$A$87:$I$107,5,0)),0%,VLOOKUP(A78,'Données projet'!$A$87:$I$107,5,0)*VLOOKUP('Données projet'!$B$11,Paramètres!$A$1:$I$89,7,0))</f>
        <v>0.15049999999999999</v>
      </c>
      <c r="BN78" s="16">
        <f>IF(ISNA(VLOOKUP(A78,'Données projet'!$A$87:$I$107,6,0)),0%,VLOOKUP(A78,'Données projet'!$A$87:$I$107,6,0)*VLOOKUP('Données projet'!$B$11,Paramètres!$A$1:$I$89,7,0))</f>
        <v>8.6000000000000007E-2</v>
      </c>
      <c r="BO78" s="16">
        <f>IF(ISNA(VLOOKUP(A78,'Données projet'!$A$87:$I$107,7,0)),0%,VLOOKUP(A78,'Données projet'!$A$87:$I$107,7,0))</f>
        <v>0.1</v>
      </c>
      <c r="BP78" s="21">
        <f>EXP(-LN(2)/35)*BP77+(1-EXP(-LN(2)/35))/(LN(2)/35)*BL78*BM78*VLOOKUP('Données projet'!$B$11,Paramètres!$A$1:$I$89,3,0)*0.475*44/12</f>
        <v>17.975743708002948</v>
      </c>
      <c r="BQ78" s="21">
        <f>EXP(-LN(2)/25)*BQ77+(1-EXP(-LN(2)/25))/(LN(2)/25)*Calculateur!BL78*Calculateur!BN78*VLOOKUP('Données projet'!$B$11,Paramètres!$A$1:$I$89,3,0)*0.475*44/12</f>
        <v>29.359700825654979</v>
      </c>
      <c r="BR78" s="21">
        <f>EXP(-LN(2)/2)*BR77+(1-EXP(-LN(2)/2))/(LN(2)/2)*BL78*BO78*VLOOKUP('Données projet'!$B$11,Paramètres!$A$1:$I$89,3,0)*0.475*44/12</f>
        <v>3.9512628137356964</v>
      </c>
      <c r="BS78" s="22">
        <f t="shared" si="63"/>
        <v>51.286707347393623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3.6</v>
      </c>
      <c r="N79" s="13">
        <f>IF('Données projet'!$A$36&gt;35,N78+M79-V78,IF(A79&lt;'Données projet'!$A$36,$K$205^A79,IF(A79='Données projet'!$A$36,'Données projet'!$B$36,N78+M79-V78)))</f>
        <v>315.59999999999991</v>
      </c>
      <c r="O79" s="13">
        <f>N79*VLOOKUP('Données projet'!$B$9,Paramètres!$A$1:$I$89,3,0)*VLOOKUP('Données projet'!$B$9,Paramètres!$A$1:$I$89,5,0)</f>
        <v>251.09135999999995</v>
      </c>
      <c r="P79" s="13">
        <f t="shared" si="87"/>
        <v>60.81957989149403</v>
      </c>
      <c r="Q79" s="20">
        <f t="shared" si="54"/>
        <v>543.24488697768527</v>
      </c>
      <c r="R79" s="59">
        <f t="shared" si="55"/>
        <v>836.57822031101864</v>
      </c>
      <c r="S79" s="59">
        <f ca="1">AVERAGE(OFFSET($R$3,0,0,'Données projet'!$E$9+1,1))-AVERAGE(OFFSET($H$3,0,0,'Données projet'!$E$9+1,1))</f>
        <v>353.37479213497227</v>
      </c>
      <c r="T79" s="59">
        <f t="shared" si="88"/>
        <v>345.4750813433123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14.640437298898354</v>
      </c>
      <c r="AA79" s="21">
        <f>EXP(-LN(2)/25)*AA78+(1-EXP(-LN(2)/25))/(LN(2)/25)*Calculateur!V79*Calculateur!X79*VLOOKUP('Données projet'!$B$9,Paramètres!$A$1:$I$89,3,0)*0.475*44/12</f>
        <v>14.545394770978898</v>
      </c>
      <c r="AB79" s="21">
        <f>EXP(-LN(2)/2)*AB78+(1-EXP(-LN(2)/2))/(LN(2)/2)*V79*Y79*VLOOKUP('Données projet'!$B$9,Paramètres!$A$1:$I$89,3,0)*0.475*44/12</f>
        <v>1.9641804417888422</v>
      </c>
      <c r="AC79" s="22">
        <f t="shared" si="57"/>
        <v>31.150012511666091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10.417499999999999</v>
      </c>
      <c r="AI79" s="13">
        <f>IF('Données projet'!$A$62&gt;35,AI78+AH79-AQ78,IF(A79&lt;'Données projet'!$A$62,$AF$205^A79,IF(A79='Données projet'!$A$62,'Données projet'!$B$62,AI78+AH79-AQ78)))</f>
        <v>312.1674999999999</v>
      </c>
      <c r="AJ79" s="13">
        <f>AI79*VLOOKUP('Données projet'!$B$10,Paramètres!$A$1:$I$89,3,0)*VLOOKUP('Données projet'!$B$10,Paramètres!$A$1:$I$89,5,0)</f>
        <v>146.09438999999995</v>
      </c>
      <c r="AK79" s="13">
        <f t="shared" si="89"/>
        <v>37.689663525323951</v>
      </c>
      <c r="AL79" s="20">
        <f t="shared" si="58"/>
        <v>320.09055988993907</v>
      </c>
      <c r="AM79" s="59">
        <f t="shared" si="59"/>
        <v>613.42389322327244</v>
      </c>
      <c r="AN79" s="59">
        <f ca="1">AVERAGE(OFFSET($AM$3,0,0,'Données projet'!$E$10+1,1))-AVERAGE(OFFSET($H$3,0,0,'Données projet'!$E$10+1,1))</f>
        <v>293.15557501692803</v>
      </c>
      <c r="AO79" s="59">
        <f t="shared" si="90"/>
        <v>237.1930412773068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42.423754537170829</v>
      </c>
      <c r="AV79" s="21">
        <f>EXP(-LN(2)/25)*AV78+(1-EXP(-LN(2)/25))/(LN(2)/25)*Calculateur!AQ79*Calculateur!AS79*VLOOKUP('Données projet'!$B$10,Paramètres!$A$1:$I$89,3,0)*0.475*44/12</f>
        <v>18.078164171293803</v>
      </c>
      <c r="AW79" s="21">
        <f>EXP(-LN(2)/2)*AW78+(1-EXP(-LN(2)/2))/(LN(2)/2)*AQ79*AT79*VLOOKUP('Données projet'!$B$10,Paramètres!$A$1:$I$89,3,0)*0.475*44/12</f>
        <v>7.1649688127266256</v>
      </c>
      <c r="AX79" s="21">
        <f t="shared" si="60"/>
        <v>67.666887521191256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8.0188888888888883</v>
      </c>
      <c r="BD79" s="12">
        <f>IF('Données projet'!$A$88&gt;35,BD78+BC79-BL78,IF(A79&lt;'Données projet'!$A$88,$BA$205^A79,IF(A79='Données projet'!$A$88,'Données projet'!$B$88,BD78+BC79-BL78)))</f>
        <v>219.61888888888919</v>
      </c>
      <c r="BE79" s="13">
        <f>BD79*VLOOKUP('Données projet'!$B$11,Paramètres!$A$1:$I$89,3,0)*VLOOKUP('Données projet'!$B$11,Paramètres!$A$1:$I$89,5,0)</f>
        <v>198.71117066666693</v>
      </c>
      <c r="BF79" s="13">
        <f t="shared" si="91"/>
        <v>49.460815560173565</v>
      </c>
      <c r="BG79" s="20">
        <f t="shared" si="61"/>
        <v>432.23287601174712</v>
      </c>
      <c r="BH79" s="59">
        <f t="shared" si="62"/>
        <v>725.56620934508044</v>
      </c>
      <c r="BI79" s="59">
        <f ca="1">AVERAGE(OFFSET($BH$3,0,0,'Données projet'!$E$11+1,1))-AVERAGE(OFFSET($H$3,0,0,'Données projet'!$E$11+1,1))</f>
        <v>490.06222615476065</v>
      </c>
      <c r="BJ79" s="59">
        <f t="shared" si="92"/>
        <v>310.43914804089906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17.623250338010056</v>
      </c>
      <c r="BQ79" s="21">
        <f>EXP(-LN(2)/25)*BQ78+(1-EXP(-LN(2)/25))/(LN(2)/25)*Calculateur!BL79*Calculateur!BN79*VLOOKUP('Données projet'!$B$11,Paramètres!$A$1:$I$89,3,0)*0.475*44/12</f>
        <v>28.55685826261788</v>
      </c>
      <c r="BR79" s="21">
        <f>EXP(-LN(2)/2)*BR78+(1-EXP(-LN(2)/2))/(LN(2)/2)*BL79*BO79*VLOOKUP('Données projet'!$B$11,Paramètres!$A$1:$I$89,3,0)*0.475*44/12</f>
        <v>2.7939647298427492</v>
      </c>
      <c r="BS79" s="22">
        <f t="shared" si="63"/>
        <v>48.974073330470681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3.6</v>
      </c>
      <c r="N80" s="13">
        <f>IF('Données projet'!$A$36&gt;35,N79+M80-V79,IF(A80&lt;'Données projet'!$A$36,$K$205^A80,IF(A80='Données projet'!$A$36,'Données projet'!$B$36,N79+M80-V79)))</f>
        <v>319.19999999999993</v>
      </c>
      <c r="O80" s="13">
        <f>N80*VLOOKUP('Données projet'!$B$9,Paramètres!$A$1:$I$89,3,0)*VLOOKUP('Données projet'!$B$9,Paramètres!$A$1:$I$89,5,0)</f>
        <v>253.95551999999998</v>
      </c>
      <c r="P80" s="13">
        <f t="shared" si="87"/>
        <v>61.432180511879253</v>
      </c>
      <c r="Q80" s="20">
        <f t="shared" si="54"/>
        <v>549.30024505818972</v>
      </c>
      <c r="R80" s="59">
        <f t="shared" si="55"/>
        <v>842.63357839152309</v>
      </c>
      <c r="S80" s="59">
        <f ca="1">AVERAGE(OFFSET($R$3,0,0,'Données projet'!$E$9+1,1))-AVERAGE(OFFSET($H$3,0,0,'Données projet'!$E$9+1,1))</f>
        <v>353.37479213497227</v>
      </c>
      <c r="T80" s="59">
        <f t="shared" si="88"/>
        <v>345.4750813433123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14.353347253251966</v>
      </c>
      <c r="AA80" s="21">
        <f>EXP(-LN(2)/25)*AA79+(1-EXP(-LN(2)/25))/(LN(2)/25)*Calculateur!V80*Calculateur!X80*VLOOKUP('Données projet'!$B$9,Paramètres!$A$1:$I$89,3,0)*0.475*44/12</f>
        <v>14.147650186057414</v>
      </c>
      <c r="AB80" s="21">
        <f>EXP(-LN(2)/2)*AB79+(1-EXP(-LN(2)/2))/(LN(2)/2)*V80*Y80*VLOOKUP('Données projet'!$B$9,Paramètres!$A$1:$I$89,3,0)*0.475*44/12</f>
        <v>1.3888853098628793</v>
      </c>
      <c r="AC80" s="22">
        <f t="shared" si="57"/>
        <v>29.889882749172259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10.417499999999999</v>
      </c>
      <c r="AI80" s="13">
        <f>IF('Données projet'!$A$62&gt;35,AI79+AH80-AQ79,IF(A80&lt;'Données projet'!$A$62,$AF$205^A80,IF(A80='Données projet'!$A$62,'Données projet'!$B$62,AI79+AH80-AQ79)))</f>
        <v>322.58499999999992</v>
      </c>
      <c r="AJ80" s="13">
        <f>AI80*VLOOKUP('Données projet'!$B$10,Paramètres!$A$1:$I$89,3,0)*VLOOKUP('Données projet'!$B$10,Paramètres!$A$1:$I$89,5,0)</f>
        <v>150.96977999999996</v>
      </c>
      <c r="AK80" s="13">
        <f t="shared" si="89"/>
        <v>38.798888878952567</v>
      </c>
      <c r="AL80" s="20">
        <f t="shared" si="58"/>
        <v>330.51376496417566</v>
      </c>
      <c r="AM80" s="59">
        <f t="shared" si="59"/>
        <v>623.84709829750898</v>
      </c>
      <c r="AN80" s="59">
        <f ca="1">AVERAGE(OFFSET($AM$3,0,0,'Données projet'!$E$10+1,1))-AVERAGE(OFFSET($H$3,0,0,'Données projet'!$E$10+1,1))</f>
        <v>293.15557501692803</v>
      </c>
      <c r="AO80" s="59">
        <f t="shared" si="90"/>
        <v>237.1930412773068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41.591850586632141</v>
      </c>
      <c r="AV80" s="21">
        <f>EXP(-LN(2)/25)*AV79+(1-EXP(-LN(2)/25))/(LN(2)/25)*Calculateur!AQ80*Calculateur!AS80*VLOOKUP('Données projet'!$B$10,Paramètres!$A$1:$I$89,3,0)*0.475*44/12</f>
        <v>17.583815821340437</v>
      </c>
      <c r="AW80" s="21">
        <f>EXP(-LN(2)/2)*AW79+(1-EXP(-LN(2)/2))/(LN(2)/2)*AQ80*AT80*VLOOKUP('Données projet'!$B$10,Paramètres!$A$1:$I$89,3,0)*0.475*44/12</f>
        <v>5.066398034469124</v>
      </c>
      <c r="AX80" s="21">
        <f t="shared" si="60"/>
        <v>64.242064442441702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8.0188888888888883</v>
      </c>
      <c r="BD80" s="12">
        <f>IF('Données projet'!$A$88&gt;35,BD79+BC80-BL79,IF(A80&lt;'Données projet'!$A$88,$BA$205^A80,IF(A80='Données projet'!$A$88,'Données projet'!$B$88,BD79+BC80-BL79)))</f>
        <v>227.63777777777807</v>
      </c>
      <c r="BE80" s="13">
        <f>BD80*VLOOKUP('Données projet'!$B$11,Paramètres!$A$1:$I$89,3,0)*VLOOKUP('Données projet'!$B$11,Paramètres!$A$1:$I$89,5,0)</f>
        <v>205.96666133333358</v>
      </c>
      <c r="BF80" s="13">
        <f t="shared" si="91"/>
        <v>51.053207385228809</v>
      </c>
      <c r="BG80" s="20">
        <f t="shared" si="61"/>
        <v>447.64293801816285</v>
      </c>
      <c r="BH80" s="59">
        <f t="shared" si="62"/>
        <v>740.97627135149617</v>
      </c>
      <c r="BI80" s="59">
        <f ca="1">AVERAGE(OFFSET($BH$3,0,0,'Données projet'!$E$11+1,1))-AVERAGE(OFFSET($H$3,0,0,'Données projet'!$E$11+1,1))</f>
        <v>490.06222615476065</v>
      </c>
      <c r="BJ80" s="59">
        <f t="shared" si="92"/>
        <v>310.43914804089906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17.277669148002996</v>
      </c>
      <c r="BQ80" s="21">
        <f>EXP(-LN(2)/25)*BQ79+(1-EXP(-LN(2)/25))/(LN(2)/25)*Calculateur!BL80*Calculateur!BN80*VLOOKUP('Données projet'!$B$11,Paramètres!$A$1:$I$89,3,0)*0.475*44/12</f>
        <v>27.775969471686686</v>
      </c>
      <c r="BR80" s="21">
        <f>EXP(-LN(2)/2)*BR79+(1-EXP(-LN(2)/2))/(LN(2)/2)*BL80*BO80*VLOOKUP('Données projet'!$B$11,Paramètres!$A$1:$I$89,3,0)*0.475*44/12</f>
        <v>1.9756314068678484</v>
      </c>
      <c r="BS80" s="22">
        <f t="shared" si="63"/>
        <v>47.029270026557526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3.6</v>
      </c>
      <c r="N81" s="13">
        <f>IF('Données projet'!$A$36&gt;35,N80+M81-V80,IF(A81&lt;'Données projet'!$A$36,$K$205^A81,IF(A81='Données projet'!$A$36,'Données projet'!$B$36,N80+M81-V80)))</f>
        <v>322.79999999999995</v>
      </c>
      <c r="O81" s="13">
        <f>N81*VLOOKUP('Données projet'!$B$9,Paramètres!$A$1:$I$89,3,0)*VLOOKUP('Données projet'!$B$9,Paramètres!$A$1:$I$89,5,0)</f>
        <v>256.81968000000001</v>
      </c>
      <c r="P81" s="13">
        <f t="shared" si="87"/>
        <v>62.043977430851903</v>
      </c>
      <c r="Q81" s="20">
        <f t="shared" si="54"/>
        <v>555.35420335873368</v>
      </c>
      <c r="R81" s="59">
        <f t="shared" si="55"/>
        <v>848.68753669206694</v>
      </c>
      <c r="S81" s="59">
        <f ca="1">AVERAGE(OFFSET($R$3,0,0,'Données projet'!$E$9+1,1))-AVERAGE(OFFSET($H$3,0,0,'Données projet'!$E$9+1,1))</f>
        <v>353.37479213497227</v>
      </c>
      <c r="T81" s="59">
        <f t="shared" si="88"/>
        <v>345.4750813433123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14.071886868293067</v>
      </c>
      <c r="AA81" s="21">
        <f>EXP(-LN(2)/25)*AA80+(1-EXP(-LN(2)/25))/(LN(2)/25)*Calculateur!V81*Calculateur!X81*VLOOKUP('Données projet'!$B$9,Paramètres!$A$1:$I$89,3,0)*0.475*44/12</f>
        <v>13.760781947727086</v>
      </c>
      <c r="AB81" s="21">
        <f>EXP(-LN(2)/2)*AB80+(1-EXP(-LN(2)/2))/(LN(2)/2)*V81*Y81*VLOOKUP('Données projet'!$B$9,Paramètres!$A$1:$I$89,3,0)*0.475*44/12</f>
        <v>0.98209022089442133</v>
      </c>
      <c r="AC81" s="22">
        <f t="shared" si="57"/>
        <v>28.814759036914573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10.417499999999999</v>
      </c>
      <c r="AI81" s="13">
        <f>IF('Données projet'!$A$62&gt;35,AI80+AH81-AQ80,IF(A81&lt;'Données projet'!$A$62,$AF$205^A81,IF(A81='Données projet'!$A$62,'Données projet'!$B$62,AI80+AH81-AQ80)))</f>
        <v>333.00249999999994</v>
      </c>
      <c r="AJ81" s="13">
        <f>AI81*VLOOKUP('Données projet'!$B$10,Paramètres!$A$1:$I$89,3,0)*VLOOKUP('Données projet'!$B$10,Paramètres!$A$1:$I$89,5,0)</f>
        <v>155.84516999999997</v>
      </c>
      <c r="AK81" s="13">
        <f t="shared" si="89"/>
        <v>39.903951717068814</v>
      </c>
      <c r="AL81" s="20">
        <f t="shared" si="58"/>
        <v>340.9297203238948</v>
      </c>
      <c r="AM81" s="59">
        <f t="shared" si="59"/>
        <v>634.26305365722806</v>
      </c>
      <c r="AN81" s="59">
        <f ca="1">AVERAGE(OFFSET($AM$3,0,0,'Données projet'!$E$10+1,1))-AVERAGE(OFFSET($H$3,0,0,'Données projet'!$E$10+1,1))</f>
        <v>293.15557501692803</v>
      </c>
      <c r="AO81" s="59">
        <f t="shared" si="90"/>
        <v>237.1930412773068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40.776259765152211</v>
      </c>
      <c r="AV81" s="21">
        <f>EXP(-LN(2)/25)*AV80+(1-EXP(-LN(2)/25))/(LN(2)/25)*Calculateur!AQ81*Calculateur!AS81*VLOOKUP('Données projet'!$B$10,Paramètres!$A$1:$I$89,3,0)*0.475*44/12</f>
        <v>17.102985453013197</v>
      </c>
      <c r="AW81" s="21">
        <f>EXP(-LN(2)/2)*AW80+(1-EXP(-LN(2)/2))/(LN(2)/2)*AQ81*AT81*VLOOKUP('Données projet'!$B$10,Paramètres!$A$1:$I$89,3,0)*0.475*44/12</f>
        <v>3.5824844063633137</v>
      </c>
      <c r="AX81" s="21">
        <f t="shared" si="60"/>
        <v>61.461729624528722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8.0188888888888883</v>
      </c>
      <c r="BD81" s="12">
        <f>IF('Données projet'!$A$88&gt;35,BD80+BC81-BL80,IF(A81&lt;'Données projet'!$A$88,$BA$205^A81,IF(A81='Données projet'!$A$88,'Données projet'!$B$88,BD80+BC81-BL80)))</f>
        <v>235.65666666666695</v>
      </c>
      <c r="BE81" s="13">
        <f>BD81*VLOOKUP('Données projet'!$B$11,Paramètres!$A$1:$I$89,3,0)*VLOOKUP('Données projet'!$B$11,Paramètres!$A$1:$I$89,5,0)</f>
        <v>213.22215200000025</v>
      </c>
      <c r="BF81" s="13">
        <f t="shared" si="91"/>
        <v>52.639081762048846</v>
      </c>
      <c r="BG81" s="20">
        <f t="shared" si="61"/>
        <v>463.04164880223556</v>
      </c>
      <c r="BH81" s="59">
        <f t="shared" si="62"/>
        <v>756.37498213556887</v>
      </c>
      <c r="BI81" s="59">
        <f ca="1">AVERAGE(OFFSET($BH$3,0,0,'Données projet'!$E$11+1,1))-AVERAGE(OFFSET($H$3,0,0,'Données projet'!$E$11+1,1))</f>
        <v>490.06222615476065</v>
      </c>
      <c r="BJ81" s="59">
        <f t="shared" si="92"/>
        <v>310.43914804089906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16.938864594348264</v>
      </c>
      <c r="BQ81" s="21">
        <f>EXP(-LN(2)/25)*BQ80+(1-EXP(-LN(2)/25))/(LN(2)/25)*Calculateur!BL81*Calculateur!BN81*VLOOKUP('Données projet'!$B$11,Paramètres!$A$1:$I$89,3,0)*0.475*44/12</f>
        <v>27.016434125808662</v>
      </c>
      <c r="BR81" s="21">
        <f>EXP(-LN(2)/2)*BR80+(1-EXP(-LN(2)/2))/(LN(2)/2)*BL81*BO81*VLOOKUP('Données projet'!$B$11,Paramètres!$A$1:$I$89,3,0)*0.475*44/12</f>
        <v>1.3969823649213748</v>
      </c>
      <c r="BS81" s="22">
        <f t="shared" si="63"/>
        <v>45.352281085078303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3.6</v>
      </c>
      <c r="N82" s="13">
        <f>IF('Données projet'!$A$36&gt;35,N81+M82-V81,IF(A82&lt;'Données projet'!$A$36,$K$205^A82,IF(A82='Données projet'!$A$36,'Données projet'!$B$36,N81+M82-V81)))</f>
        <v>326.39999999999998</v>
      </c>
      <c r="O82" s="13">
        <f>N82*VLOOKUP('Données projet'!$B$9,Paramètres!$A$1:$I$89,3,0)*VLOOKUP('Données projet'!$B$9,Paramètres!$A$1:$I$89,5,0)</f>
        <v>259.68384000000003</v>
      </c>
      <c r="P82" s="13">
        <f t="shared" si="87"/>
        <v>62.654980648867358</v>
      </c>
      <c r="Q82" s="20">
        <f t="shared" si="54"/>
        <v>561.40677929677736</v>
      </c>
      <c r="R82" s="59">
        <f t="shared" si="55"/>
        <v>854.74011263011062</v>
      </c>
      <c r="S82" s="59">
        <f ca="1">AVERAGE(OFFSET($R$3,0,0,'Données projet'!$E$9+1,1))-AVERAGE(OFFSET($H$3,0,0,'Données projet'!$E$9+1,1))</f>
        <v>353.37479213497227</v>
      </c>
      <c r="T82" s="59">
        <f t="shared" si="88"/>
        <v>345.4750813433123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13.795945749809329</v>
      </c>
      <c r="AA82" s="21">
        <f>EXP(-LN(2)/25)*AA81+(1-EXP(-LN(2)/25))/(LN(2)/25)*Calculateur!V82*Calculateur!X82*VLOOKUP('Données projet'!$B$9,Paramètres!$A$1:$I$89,3,0)*0.475*44/12</f>
        <v>13.384492641718417</v>
      </c>
      <c r="AB82" s="21">
        <f>EXP(-LN(2)/2)*AB81+(1-EXP(-LN(2)/2))/(LN(2)/2)*V82*Y82*VLOOKUP('Données projet'!$B$9,Paramètres!$A$1:$I$89,3,0)*0.475*44/12</f>
        <v>0.69444265493143975</v>
      </c>
      <c r="AC82" s="22">
        <f t="shared" si="57"/>
        <v>27.874881046459183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10.417499999999999</v>
      </c>
      <c r="AI82" s="13">
        <f>IF('Données projet'!$A$62&gt;35,AI81+AH82-AQ81,IF(A82&lt;'Données projet'!$A$62,$AF$205^A82,IF(A82='Données projet'!$A$62,'Données projet'!$B$62,AI81+AH82-AQ81)))</f>
        <v>343.41999999999996</v>
      </c>
      <c r="AJ82" s="13">
        <f>AI82*VLOOKUP('Données projet'!$B$10,Paramètres!$A$1:$I$89,3,0)*VLOOKUP('Données projet'!$B$10,Paramètres!$A$1:$I$89,5,0)</f>
        <v>160.72055999999998</v>
      </c>
      <c r="AK82" s="13">
        <f t="shared" si="89"/>
        <v>41.004997199014468</v>
      </c>
      <c r="AL82" s="20">
        <f t="shared" si="58"/>
        <v>351.33867878828346</v>
      </c>
      <c r="AM82" s="59">
        <f t="shared" si="59"/>
        <v>644.67201212161672</v>
      </c>
      <c r="AN82" s="59">
        <f ca="1">AVERAGE(OFFSET($AM$3,0,0,'Données projet'!$E$10+1,1))-AVERAGE(OFFSET($H$3,0,0,'Données projet'!$E$10+1,1))</f>
        <v>293.15557501692803</v>
      </c>
      <c r="AO82" s="59">
        <f t="shared" si="90"/>
        <v>237.1930412773068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39.976662182220217</v>
      </c>
      <c r="AV82" s="21">
        <f>EXP(-LN(2)/25)*AV81+(1-EXP(-LN(2)/25))/(LN(2)/25)*Calculateur!AQ82*Calculateur!AS82*VLOOKUP('Données projet'!$B$10,Paramètres!$A$1:$I$89,3,0)*0.475*44/12</f>
        <v>16.635303416393636</v>
      </c>
      <c r="AW82" s="21">
        <f>EXP(-LN(2)/2)*AW81+(1-EXP(-LN(2)/2))/(LN(2)/2)*AQ82*AT82*VLOOKUP('Données projet'!$B$10,Paramètres!$A$1:$I$89,3,0)*0.475*44/12</f>
        <v>2.5331990172345624</v>
      </c>
      <c r="AX82" s="21">
        <f t="shared" si="60"/>
        <v>59.145164615848415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8.0188888888888883</v>
      </c>
      <c r="BD82" s="12">
        <f>IF('Données projet'!$A$88&gt;35,BD81+BC82-BL81,IF(A82&lt;'Données projet'!$A$88,$BA$205^A82,IF(A82='Données projet'!$A$88,'Données projet'!$B$88,BD81+BC82-BL81)))</f>
        <v>243.67555555555583</v>
      </c>
      <c r="BE82" s="13">
        <f>BD82*VLOOKUP('Données projet'!$B$11,Paramètres!$A$1:$I$89,3,0)*VLOOKUP('Données projet'!$B$11,Paramètres!$A$1:$I$89,5,0)</f>
        <v>220.4776426666669</v>
      </c>
      <c r="BF82" s="13">
        <f t="shared" si="91"/>
        <v>54.21868588718452</v>
      </c>
      <c r="BG82" s="20">
        <f t="shared" si="61"/>
        <v>478.42943889795788</v>
      </c>
      <c r="BH82" s="59">
        <f t="shared" si="62"/>
        <v>771.76277223129114</v>
      </c>
      <c r="BI82" s="59">
        <f ca="1">AVERAGE(OFFSET($BH$3,0,0,'Données projet'!$E$11+1,1))-AVERAGE(OFFSET($H$3,0,0,'Données projet'!$E$11+1,1))</f>
        <v>490.06222615476065</v>
      </c>
      <c r="BJ82" s="59">
        <f t="shared" si="92"/>
        <v>310.43914804089906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16.606703791340326</v>
      </c>
      <c r="BQ82" s="21">
        <f>EXP(-LN(2)/25)*BQ81+(1-EXP(-LN(2)/25))/(LN(2)/25)*Calculateur!BL82*Calculateur!BN82*VLOOKUP('Données projet'!$B$11,Paramètres!$A$1:$I$89,3,0)*0.475*44/12</f>
        <v>26.277668313905899</v>
      </c>
      <c r="BR82" s="21">
        <f>EXP(-LN(2)/2)*BR81+(1-EXP(-LN(2)/2))/(LN(2)/2)*BL82*BO82*VLOOKUP('Données projet'!$B$11,Paramètres!$A$1:$I$89,3,0)*0.475*44/12</f>
        <v>0.98781570343392433</v>
      </c>
      <c r="BS82" s="22">
        <f t="shared" si="63"/>
        <v>43.872187808680152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330</v>
      </c>
      <c r="L83" s="12">
        <f>VLOOKUP(A83,'Données projet'!$A$35:$I$55,9,0)</f>
        <v>3.6</v>
      </c>
      <c r="M83" s="12">
        <f t="array" ref="M83">INDEX(L:L,MIN(IF(ISNUMBER(L83:L279),ROW(L83:L279),"")))</f>
        <v>3.6</v>
      </c>
      <c r="N83" s="13">
        <f>IF('Données projet'!$A$36&gt;35,N82+M83-V82,IF(A83&lt;'Données projet'!$A$36,$K$205^A83,IF(A83='Données projet'!$A$36,'Données projet'!$B$36,N82+M83-V82)))</f>
        <v>330</v>
      </c>
      <c r="O83" s="13">
        <f>N83*VLOOKUP('Données projet'!$B$9,Paramètres!$A$1:$I$89,3,0)*VLOOKUP('Données projet'!$B$9,Paramètres!$A$1:$I$89,5,0)</f>
        <v>262.548</v>
      </c>
      <c r="P83" s="13">
        <f t="shared" si="87"/>
        <v>63.265199933079444</v>
      </c>
      <c r="Q83" s="20">
        <f t="shared" si="54"/>
        <v>567.45798988344666</v>
      </c>
      <c r="R83" s="59">
        <f t="shared" si="55"/>
        <v>860.79132321678003</v>
      </c>
      <c r="S83" s="59">
        <f ca="1">AVERAGE(OFFSET($R$3,0,0,'Données projet'!$E$9+1,1))-AVERAGE(OFFSET($H$3,0,0,'Données projet'!$E$9+1,1))</f>
        <v>353.37479213497227</v>
      </c>
      <c r="T83" s="59">
        <f t="shared" si="88"/>
        <v>345.4750813433123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330</v>
      </c>
      <c r="W83" s="16">
        <f>IF(ISNA(VLOOKUP(A83,'Données projet'!$A$35:$I$55,5,0)),0%,VLOOKUP(A83,'Données projet'!$A$35:$I$55,5,0)*VLOOKUP('Données projet'!$B$9,Paramètres!$A$1:$I$89,7,0))</f>
        <v>0.13250000000000001</v>
      </c>
      <c r="X83" s="16">
        <f>IF(ISNA(VLOOKUP(A83,'Données projet'!$A$35:$I$55,6,0)),0%,VLOOKUP(A83,'Données projet'!$A$35:$I$55,6,0)*VLOOKUP('Données projet'!$B$9,Paramètres!$A$1:$I$89,7,0))</f>
        <v>0.13250000000000001</v>
      </c>
      <c r="Y83" s="16">
        <f>IF(ISNA(VLOOKUP(A83,'Données projet'!$A$35:$I$55,7,0)),0%,VLOOKUP(A83,'Données projet'!$A$35:$I$55,7,0))</f>
        <v>0.25</v>
      </c>
      <c r="Z83" s="21">
        <f>EXP(-LN(2)/35)*Z82+(1-EXP(-LN(2)/35))/(LN(2)/35)*V83*W83*VLOOKUP('Données projet'!$B$9,Paramètres!$A$1:$I$89,3,0)*0.475*44/12</f>
        <v>51.982088098095851</v>
      </c>
      <c r="AA83" s="21">
        <f>EXP(-LN(2)/25)*AA82+(1-EXP(-LN(2)/25))/(LN(2)/25)*Calculateur!V83*Calculateur!X83*VLOOKUP('Données projet'!$B$9,Paramètres!$A$1:$I$89,3,0)*0.475*44/12</f>
        <v>51.323746843818121</v>
      </c>
      <c r="AB83" s="21">
        <f>EXP(-LN(2)/2)*AB82+(1-EXP(-LN(2)/2))/(LN(2)/2)*V83*Y83*VLOOKUP('Données projet'!$B$9,Paramètres!$A$1:$I$89,3,0)*0.475*44/12</f>
        <v>62.421321204401075</v>
      </c>
      <c r="AC83" s="22">
        <f t="shared" si="57"/>
        <v>165.72715614631505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10.417499999999999</v>
      </c>
      <c r="AI83" s="13">
        <f>IF('Données projet'!$A$62&gt;35,AI82+AH83-AQ82,IF(A83&lt;'Données projet'!$A$62,$AF$205^A83,IF(A83='Données projet'!$A$62,'Données projet'!$B$62,AI82+AH83-AQ82)))</f>
        <v>353.83749999999998</v>
      </c>
      <c r="AJ83" s="13">
        <f>AI83*VLOOKUP('Données projet'!$B$10,Paramètres!$A$1:$I$89,3,0)*VLOOKUP('Données projet'!$B$10,Paramètres!$A$1:$I$89,5,0)</f>
        <v>165.59594999999999</v>
      </c>
      <c r="AK83" s="13">
        <f t="shared" si="89"/>
        <v>42.102161176994215</v>
      </c>
      <c r="AL83" s="20">
        <f t="shared" si="58"/>
        <v>361.74087696659825</v>
      </c>
      <c r="AM83" s="59">
        <f t="shared" si="59"/>
        <v>655.07421029993156</v>
      </c>
      <c r="AN83" s="59">
        <f ca="1">AVERAGE(OFFSET($AM$3,0,0,'Données projet'!$E$10+1,1))-AVERAGE(OFFSET($H$3,0,0,'Données projet'!$E$10+1,1))</f>
        <v>293.15557501692803</v>
      </c>
      <c r="AO83" s="59">
        <f t="shared" si="90"/>
        <v>237.1930412773068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39.192744220183151</v>
      </c>
      <c r="AV83" s="21">
        <f>EXP(-LN(2)/25)*AV82+(1-EXP(-LN(2)/25))/(LN(2)/25)*Calculateur!AQ83*Calculateur!AS83*VLOOKUP('Données projet'!$B$10,Paramètres!$A$1:$I$89,3,0)*0.475*44/12</f>
        <v>16.180410169659766</v>
      </c>
      <c r="AW83" s="21">
        <f>EXP(-LN(2)/2)*AW82+(1-EXP(-LN(2)/2))/(LN(2)/2)*AQ83*AT83*VLOOKUP('Données projet'!$B$10,Paramètres!$A$1:$I$89,3,0)*0.475*44/12</f>
        <v>1.7912422031816571</v>
      </c>
      <c r="AX83" s="21">
        <f t="shared" si="60"/>
        <v>57.164396593024577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8.0188888888888883</v>
      </c>
      <c r="BD83" s="12">
        <f>IF('Données projet'!$A$88&gt;35,BD82+BC83-BL82,IF(A83&lt;'Données projet'!$A$88,$BA$205^A83,IF(A83='Données projet'!$A$88,'Données projet'!$B$88,BD82+BC83-BL82)))</f>
        <v>251.69444444444471</v>
      </c>
      <c r="BE83" s="13">
        <f>BD83*VLOOKUP('Données projet'!$B$11,Paramètres!$A$1:$I$89,3,0)*VLOOKUP('Données projet'!$B$11,Paramètres!$A$1:$I$89,5,0)</f>
        <v>227.73313333333357</v>
      </c>
      <c r="BF83" s="13">
        <f t="shared" si="91"/>
        <v>55.792249764284776</v>
      </c>
      <c r="BG83" s="20">
        <f t="shared" si="61"/>
        <v>493.80670889501863</v>
      </c>
      <c r="BH83" s="59">
        <f t="shared" si="62"/>
        <v>787.14004222835194</v>
      </c>
      <c r="BI83" s="59">
        <f ca="1">AVERAGE(OFFSET($BH$3,0,0,'Données projet'!$E$11+1,1))-AVERAGE(OFFSET($H$3,0,0,'Données projet'!$E$11+1,1))</f>
        <v>490.06222615476065</v>
      </c>
      <c r="BJ83" s="59">
        <f t="shared" si="92"/>
        <v>310.43914804089906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16.281056459081292</v>
      </c>
      <c r="BQ83" s="21">
        <f>EXP(-LN(2)/25)*BQ82+(1-EXP(-LN(2)/25))/(LN(2)/25)*Calculateur!BL83*Calculateur!BN83*VLOOKUP('Données projet'!$B$11,Paramètres!$A$1:$I$89,3,0)*0.475*44/12</f>
        <v>25.559104091979624</v>
      </c>
      <c r="BR83" s="21">
        <f>EXP(-LN(2)/2)*BR82+(1-EXP(-LN(2)/2))/(LN(2)/2)*BL83*BO83*VLOOKUP('Données projet'!$B$11,Paramètres!$A$1:$I$89,3,0)*0.475*44/12</f>
        <v>0.69849118246068753</v>
      </c>
      <c r="BS83" s="22">
        <f t="shared" si="63"/>
        <v>42.538651733521604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353.37479213497227</v>
      </c>
      <c r="T84" s="59">
        <f t="shared" si="88"/>
        <v>345.4750813433123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50.962751056435231</v>
      </c>
      <c r="AA84" s="21">
        <f>EXP(-LN(2)/25)*AA83+(1-EXP(-LN(2)/25))/(LN(2)/25)*Calculateur!V84*Calculateur!X84*VLOOKUP('Données projet'!$B$9,Paramètres!$A$1:$I$89,3,0)*0.475*44/12</f>
        <v>49.920296287375372</v>
      </c>
      <c r="AB84" s="21">
        <f>EXP(-LN(2)/2)*AB83+(1-EXP(-LN(2)/2))/(LN(2)/2)*V84*Y84*VLOOKUP('Données projet'!$B$9,Paramètres!$A$1:$I$89,3,0)*0.475*44/12</f>
        <v>44.138539514255633</v>
      </c>
      <c r="AC84" s="22">
        <f t="shared" si="57"/>
        <v>145.02158685806623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10.417499999999999</v>
      </c>
      <c r="AI84" s="13">
        <f>IF('Données projet'!$A$62&gt;35,AI83+AH84-AQ83,IF(A84&lt;'Données projet'!$A$62,$AF$205^A84,IF(A84='Données projet'!$A$62,'Données projet'!$B$62,AI83+AH84-AQ83)))</f>
        <v>364.255</v>
      </c>
      <c r="AJ84" s="13">
        <f>AI84*VLOOKUP('Données projet'!$B$10,Paramètres!$A$1:$I$89,3,0)*VLOOKUP('Données projet'!$B$10,Paramètres!$A$1:$I$89,5,0)</f>
        <v>170.47134</v>
      </c>
      <c r="AK84" s="13">
        <f t="shared" si="89"/>
        <v>43.195571049057939</v>
      </c>
      <c r="AL84" s="20">
        <f t="shared" si="58"/>
        <v>372.13653674377588</v>
      </c>
      <c r="AM84" s="59">
        <f t="shared" si="59"/>
        <v>665.46987007710914</v>
      </c>
      <c r="AN84" s="59">
        <f ca="1">AVERAGE(OFFSET($AM$3,0,0,'Données projet'!$E$10+1,1))-AVERAGE(OFFSET($H$3,0,0,'Données projet'!$E$10+1,1))</f>
        <v>293.15557501692803</v>
      </c>
      <c r="AO84" s="59">
        <f t="shared" si="90"/>
        <v>237.1930412773068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38.424198411238891</v>
      </c>
      <c r="AV84" s="21">
        <f>EXP(-LN(2)/25)*AV83+(1-EXP(-LN(2)/25))/(LN(2)/25)*Calculateur!AQ84*Calculateur!AS84*VLOOKUP('Données projet'!$B$10,Paramètres!$A$1:$I$89,3,0)*0.475*44/12</f>
        <v>15.737956002679629</v>
      </c>
      <c r="AW84" s="21">
        <f>EXP(-LN(2)/2)*AW83+(1-EXP(-LN(2)/2))/(LN(2)/2)*AQ84*AT84*VLOOKUP('Données projet'!$B$10,Paramètres!$A$1:$I$89,3,0)*0.475*44/12</f>
        <v>1.2665995086172814</v>
      </c>
      <c r="AX84" s="21">
        <f t="shared" si="60"/>
        <v>55.428753922535805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8.0188888888888883</v>
      </c>
      <c r="BD84" s="12">
        <f>IF('Données projet'!$A$88&gt;35,BD83+BC84-BL83,IF(A84&lt;'Données projet'!$A$88,$BA$205^A84,IF(A84='Données projet'!$A$88,'Données projet'!$B$88,BD83+BC84-BL83)))</f>
        <v>259.71333333333359</v>
      </c>
      <c r="BE84" s="13">
        <f>BD84*VLOOKUP('Données projet'!$B$11,Paramètres!$A$1:$I$89,3,0)*VLOOKUP('Données projet'!$B$11,Paramètres!$A$1:$I$89,5,0)</f>
        <v>234.98862400000024</v>
      </c>
      <c r="BF84" s="13">
        <f t="shared" si="91"/>
        <v>57.359987909148515</v>
      </c>
      <c r="BG84" s="20">
        <f t="shared" si="61"/>
        <v>509.17383240843407</v>
      </c>
      <c r="BH84" s="59">
        <f t="shared" si="62"/>
        <v>802.50716574176738</v>
      </c>
      <c r="BI84" s="59">
        <f ca="1">AVERAGE(OFFSET($BH$3,0,0,'Données projet'!$E$11+1,1))-AVERAGE(OFFSET($H$3,0,0,'Données projet'!$E$11+1,1))</f>
        <v>490.06222615476065</v>
      </c>
      <c r="BJ84" s="59">
        <f t="shared" si="92"/>
        <v>310.43914804089906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15.961794872382596</v>
      </c>
      <c r="BQ84" s="21">
        <f>EXP(-LN(2)/25)*BQ83+(1-EXP(-LN(2)/25))/(LN(2)/25)*Calculateur!BL84*Calculateur!BN84*VLOOKUP('Données projet'!$B$11,Paramètres!$A$1:$I$89,3,0)*0.475*44/12</f>
        <v>24.860189046489573</v>
      </c>
      <c r="BR84" s="21">
        <f>EXP(-LN(2)/2)*BR83+(1-EXP(-LN(2)/2))/(LN(2)/2)*BL84*BO84*VLOOKUP('Données projet'!$B$11,Paramètres!$A$1:$I$89,3,0)*0.475*44/12</f>
        <v>0.49390785171696228</v>
      </c>
      <c r="BS84" s="22">
        <f t="shared" si="63"/>
        <v>41.315891770589133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353.37479213497227</v>
      </c>
      <c r="T85" s="59">
        <f t="shared" si="88"/>
        <v>345.4750813433123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49.963402592427371</v>
      </c>
      <c r="AA85" s="21">
        <f>EXP(-LN(2)/25)*AA84+(1-EXP(-LN(2)/25))/(LN(2)/25)*Calculateur!V85*Calculateur!X85*VLOOKUP('Données projet'!$B$9,Paramètres!$A$1:$I$89,3,0)*0.475*44/12</f>
        <v>48.555223160202807</v>
      </c>
      <c r="AB85" s="21">
        <f>EXP(-LN(2)/2)*AB84+(1-EXP(-LN(2)/2))/(LN(2)/2)*V85*Y85*VLOOKUP('Données projet'!$B$9,Paramètres!$A$1:$I$89,3,0)*0.475*44/12</f>
        <v>31.210660602200541</v>
      </c>
      <c r="AC85" s="22">
        <f t="shared" si="57"/>
        <v>129.72928635483072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10.417499999999999</v>
      </c>
      <c r="AI85" s="13">
        <f>IF('Données projet'!$A$62&gt;35,AI84+AH85-AQ84,IF(A85&lt;'Données projet'!$A$62,$AF$205^A85,IF(A85='Données projet'!$A$62,'Données projet'!$B$62,AI84+AH85-AQ84)))</f>
        <v>374.67250000000001</v>
      </c>
      <c r="AJ85" s="13">
        <f>AI85*VLOOKUP('Données projet'!$B$10,Paramètres!$A$1:$I$89,3,0)*VLOOKUP('Données projet'!$B$10,Paramètres!$A$1:$I$89,5,0)</f>
        <v>175.34673000000001</v>
      </c>
      <c r="AK85" s="13">
        <f t="shared" si="89"/>
        <v>44.285346511760764</v>
      </c>
      <c r="AL85" s="20">
        <f t="shared" si="58"/>
        <v>382.52586659131663</v>
      </c>
      <c r="AM85" s="59">
        <f t="shared" si="59"/>
        <v>675.85919992464994</v>
      </c>
      <c r="AN85" s="59">
        <f ca="1">AVERAGE(OFFSET($AM$3,0,0,'Données projet'!$E$10+1,1))-AVERAGE(OFFSET($H$3,0,0,'Données projet'!$E$10+1,1))</f>
        <v>293.15557501692803</v>
      </c>
      <c r="AO85" s="59">
        <f t="shared" si="90"/>
        <v>237.1930412773068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37.670723316841368</v>
      </c>
      <c r="AV85" s="21">
        <f>EXP(-LN(2)/25)*AV84+(1-EXP(-LN(2)/25))/(LN(2)/25)*Calculateur!AQ85*Calculateur!AS85*VLOOKUP('Données projet'!$B$10,Paramètres!$A$1:$I$89,3,0)*0.475*44/12</f>
        <v>15.307600768163219</v>
      </c>
      <c r="AW85" s="21">
        <f>EXP(-LN(2)/2)*AW84+(1-EXP(-LN(2)/2))/(LN(2)/2)*AQ85*AT85*VLOOKUP('Données projet'!$B$10,Paramètres!$A$1:$I$89,3,0)*0.475*44/12</f>
        <v>0.89562110159082875</v>
      </c>
      <c r="AX85" s="21">
        <f t="shared" si="60"/>
        <v>53.873945186595414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8.0188888888888883</v>
      </c>
      <c r="BD85" s="12">
        <f>IF('Données projet'!$A$88&gt;35,BD84+BC85-BL84,IF(A85&lt;'Données projet'!$A$88,$BA$205^A85,IF(A85='Données projet'!$A$88,'Données projet'!$B$88,BD84+BC85-BL84)))</f>
        <v>267.7322222222225</v>
      </c>
      <c r="BE85" s="13">
        <f>BD85*VLOOKUP('Données projet'!$B$11,Paramètres!$A$1:$I$89,3,0)*VLOOKUP('Données projet'!$B$11,Paramètres!$A$1:$I$89,5,0)</f>
        <v>242.24411466666692</v>
      </c>
      <c r="BF85" s="13">
        <f t="shared" si="91"/>
        <v>58.922100838280507</v>
      </c>
      <c r="BG85" s="20">
        <f t="shared" si="61"/>
        <v>524.53115867111683</v>
      </c>
      <c r="BH85" s="59">
        <f t="shared" si="62"/>
        <v>817.86449200445009</v>
      </c>
      <c r="BI85" s="59">
        <f ca="1">AVERAGE(OFFSET($BH$3,0,0,'Données projet'!$E$11+1,1))-AVERAGE(OFFSET($H$3,0,0,'Données projet'!$E$11+1,1))</f>
        <v>490.06222615476065</v>
      </c>
      <c r="BJ85" s="59">
        <f t="shared" si="92"/>
        <v>310.43914804089906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15.648793810668721</v>
      </c>
      <c r="BQ85" s="21">
        <f>EXP(-LN(2)/25)*BQ84+(1-EXP(-LN(2)/25))/(LN(2)/25)*Calculateur!BL85*Calculateur!BN85*VLOOKUP('Données projet'!$B$11,Paramètres!$A$1:$I$89,3,0)*0.475*44/12</f>
        <v>24.180385869672794</v>
      </c>
      <c r="BR85" s="21">
        <f>EXP(-LN(2)/2)*BR84+(1-EXP(-LN(2)/2))/(LN(2)/2)*BL85*BO85*VLOOKUP('Données projet'!$B$11,Paramètres!$A$1:$I$89,3,0)*0.475*44/12</f>
        <v>0.34924559123034382</v>
      </c>
      <c r="BS85" s="22">
        <f t="shared" si="63"/>
        <v>40.178425271571854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353.37479213497227</v>
      </c>
      <c r="T86" s="59">
        <f t="shared" si="88"/>
        <v>345.4750813433123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48.98365074225633</v>
      </c>
      <c r="AA86" s="21">
        <f>EXP(-LN(2)/25)*AA85+(1-EXP(-LN(2)/25))/(LN(2)/25)*Calculateur!V86*Calculateur!X86*VLOOKUP('Données projet'!$B$9,Paramètres!$A$1:$I$89,3,0)*0.475*44/12</f>
        <v>47.227478029478853</v>
      </c>
      <c r="AB86" s="21">
        <f>EXP(-LN(2)/2)*AB85+(1-EXP(-LN(2)/2))/(LN(2)/2)*V86*Y86*VLOOKUP('Données projet'!$B$9,Paramètres!$A$1:$I$89,3,0)*0.475*44/12</f>
        <v>22.06926975712782</v>
      </c>
      <c r="AC86" s="22">
        <f t="shared" si="57"/>
        <v>118.280398528863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10.417499999999999</v>
      </c>
      <c r="AI86" s="13">
        <f>IF('Données projet'!$A$62&gt;35,AI85+AH86-AQ85,IF(A86&lt;'Données projet'!$A$62,$AF$205^A86,IF(A86='Données projet'!$A$62,'Données projet'!$B$62,AI85+AH86-AQ85)))</f>
        <v>385.09000000000003</v>
      </c>
      <c r="AJ86" s="13">
        <f>AI86*VLOOKUP('Données projet'!$B$10,Paramètres!$A$1:$I$89,3,0)*VLOOKUP('Données projet'!$B$10,Paramètres!$A$1:$I$89,5,0)</f>
        <v>180.22212000000002</v>
      </c>
      <c r="AK86" s="13">
        <f t="shared" si="89"/>
        <v>45.371600226761309</v>
      </c>
      <c r="AL86" s="20">
        <f t="shared" si="58"/>
        <v>392.90906272827596</v>
      </c>
      <c r="AM86" s="59">
        <f t="shared" si="59"/>
        <v>686.24239606160927</v>
      </c>
      <c r="AN86" s="59">
        <f ca="1">AVERAGE(OFFSET($AM$3,0,0,'Données projet'!$E$10+1,1))-AVERAGE(OFFSET($H$3,0,0,'Données projet'!$E$10+1,1))</f>
        <v>293.15557501692803</v>
      </c>
      <c r="AO86" s="59">
        <f t="shared" si="90"/>
        <v>237.1930412773068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36.932023409470553</v>
      </c>
      <c r="AV86" s="21">
        <f>EXP(-LN(2)/25)*AV85+(1-EXP(-LN(2)/25))/(LN(2)/25)*Calculateur!AQ86*Calculateur!AS86*VLOOKUP('Données projet'!$B$10,Paramètres!$A$1:$I$89,3,0)*0.475*44/12</f>
        <v>14.889013620166057</v>
      </c>
      <c r="AW86" s="21">
        <f>EXP(-LN(2)/2)*AW85+(1-EXP(-LN(2)/2))/(LN(2)/2)*AQ86*AT86*VLOOKUP('Données projet'!$B$10,Paramètres!$A$1:$I$89,3,0)*0.475*44/12</f>
        <v>0.63329975430864083</v>
      </c>
      <c r="AX86" s="21">
        <f t="shared" si="60"/>
        <v>52.454336783945251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8.0188888888888883</v>
      </c>
      <c r="BD86" s="12">
        <f>IF('Données projet'!$A$88&gt;35,BD85+BC86-BL85,IF(A86&lt;'Données projet'!$A$88,$BA$205^A86,IF(A86='Données projet'!$A$88,'Données projet'!$B$88,BD85+BC86-BL85)))</f>
        <v>275.75111111111141</v>
      </c>
      <c r="BE86" s="13">
        <f>BD86*VLOOKUP('Données projet'!$B$11,Paramètres!$A$1:$I$89,3,0)*VLOOKUP('Données projet'!$B$11,Paramètres!$A$1:$I$89,5,0)</f>
        <v>249.49960533333362</v>
      </c>
      <c r="BF86" s="13">
        <f t="shared" si="91"/>
        <v>60.478776374100285</v>
      </c>
      <c r="BG86" s="20">
        <f t="shared" si="61"/>
        <v>539.879014807114</v>
      </c>
      <c r="BH86" s="59">
        <f t="shared" si="62"/>
        <v>833.21234814044738</v>
      </c>
      <c r="BI86" s="59">
        <f ca="1">AVERAGE(OFFSET($BH$3,0,0,'Données projet'!$E$11+1,1))-AVERAGE(OFFSET($H$3,0,0,'Données projet'!$E$11+1,1))</f>
        <v>490.06222615476065</v>
      </c>
      <c r="BJ86" s="59">
        <f t="shared" si="92"/>
        <v>310.43914804089906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15.341930508863259</v>
      </c>
      <c r="BQ86" s="21">
        <f>EXP(-LN(2)/25)*BQ85+(1-EXP(-LN(2)/25))/(LN(2)/25)*Calculateur!BL86*Calculateur!BN86*VLOOKUP('Données projet'!$B$11,Paramètres!$A$1:$I$89,3,0)*0.475*44/12</f>
        <v>23.519171946475364</v>
      </c>
      <c r="BR86" s="21">
        <f>EXP(-LN(2)/2)*BR85+(1-EXP(-LN(2)/2))/(LN(2)/2)*BL86*BO86*VLOOKUP('Données projet'!$B$11,Paramètres!$A$1:$I$89,3,0)*0.475*44/12</f>
        <v>0.24695392585848117</v>
      </c>
      <c r="BS86" s="22">
        <f t="shared" si="63"/>
        <v>39.108056381197109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353.37479213497227</v>
      </c>
      <c r="T87" s="59">
        <f t="shared" si="88"/>
        <v>345.4750813433123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48.023111228277521</v>
      </c>
      <c r="AA87" s="21">
        <f>EXP(-LN(2)/25)*AA86+(1-EXP(-LN(2)/25))/(LN(2)/25)*Calculateur!V87*Calculateur!X87*VLOOKUP('Données projet'!$B$9,Paramètres!$A$1:$I$89,3,0)*0.475*44/12</f>
        <v>45.936040159177622</v>
      </c>
      <c r="AB87" s="21">
        <f>EXP(-LN(2)/2)*AB86+(1-EXP(-LN(2)/2))/(LN(2)/2)*V87*Y87*VLOOKUP('Données projet'!$B$9,Paramètres!$A$1:$I$89,3,0)*0.475*44/12</f>
        <v>15.605330301100274</v>
      </c>
      <c r="AC87" s="22">
        <f t="shared" si="57"/>
        <v>109.56448168855542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10.417499999999999</v>
      </c>
      <c r="AI87" s="13">
        <f>IF('Données projet'!$A$62&gt;35,AI86+AH87-AQ86,IF(A87&lt;'Données projet'!$A$62,$AF$205^A87,IF(A87='Données projet'!$A$62,'Données projet'!$B$62,AI86+AH87-AQ86)))</f>
        <v>395.50750000000005</v>
      </c>
      <c r="AJ87" s="13">
        <f>AI87*VLOOKUP('Données projet'!$B$10,Paramètres!$A$1:$I$89,3,0)*VLOOKUP('Données projet'!$B$10,Paramètres!$A$1:$I$89,5,0)</f>
        <v>185.09751</v>
      </c>
      <c r="AK87" s="13">
        <f t="shared" si="89"/>
        <v>46.454438413259567</v>
      </c>
      <c r="AL87" s="20">
        <f t="shared" si="58"/>
        <v>403.28631015309378</v>
      </c>
      <c r="AM87" s="59">
        <f t="shared" si="59"/>
        <v>696.61964348642709</v>
      </c>
      <c r="AN87" s="59">
        <f ca="1">AVERAGE(OFFSET($AM$3,0,0,'Données projet'!$E$10+1,1))-AVERAGE(OFFSET($H$3,0,0,'Données projet'!$E$10+1,1))</f>
        <v>293.15557501692803</v>
      </c>
      <c r="AO87" s="59">
        <f t="shared" si="90"/>
        <v>237.1930412773068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36.207808956720825</v>
      </c>
      <c r="AV87" s="21">
        <f>EXP(-LN(2)/25)*AV86+(1-EXP(-LN(2)/25))/(LN(2)/25)*Calculateur!AQ87*Calculateur!AS87*VLOOKUP('Données projet'!$B$10,Paramètres!$A$1:$I$89,3,0)*0.475*44/12</f>
        <v>14.481872759743419</v>
      </c>
      <c r="AW87" s="21">
        <f>EXP(-LN(2)/2)*AW86+(1-EXP(-LN(2)/2))/(LN(2)/2)*AQ87*AT87*VLOOKUP('Données projet'!$B$10,Paramètres!$A$1:$I$89,3,0)*0.475*44/12</f>
        <v>0.44781055079541443</v>
      </c>
      <c r="AX87" s="21">
        <f t="shared" si="60"/>
        <v>51.13749226725966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283.77</v>
      </c>
      <c r="BB87" s="12">
        <f>VLOOKUP(A87,'Données projet'!$A$87:$I$107,9,0)</f>
        <v>8.0188888888888883</v>
      </c>
      <c r="BC87" s="12">
        <f t="array" ref="BC87">INDEX(BB:BB,MIN(IF(ISNUMBER(BB87:BB283),ROW(BB87:BB283),"")))</f>
        <v>8.0188888888888883</v>
      </c>
      <c r="BD87" s="12">
        <f>IF('Données projet'!$A$88&gt;35,BD86+BC87-BL86,IF(A87&lt;'Données projet'!$A$88,$BA$205^A87,IF(A87='Données projet'!$A$88,'Données projet'!$B$88,BD86+BC87-BL86)))</f>
        <v>283.77000000000032</v>
      </c>
      <c r="BE87" s="13">
        <f>BD87*VLOOKUP('Données projet'!$B$11,Paramètres!$A$1:$I$89,3,0)*VLOOKUP('Données projet'!$B$11,Paramètres!$A$1:$I$89,5,0)</f>
        <v>256.75509600000026</v>
      </c>
      <c r="BF87" s="13">
        <f t="shared" si="91"/>
        <v>62.030190794062349</v>
      </c>
      <c r="BG87" s="20">
        <f t="shared" si="61"/>
        <v>555.21770783299235</v>
      </c>
      <c r="BH87" s="59">
        <f t="shared" si="62"/>
        <v>848.5510411663256</v>
      </c>
      <c r="BI87" s="59">
        <f ca="1">AVERAGE(OFFSET($BH$3,0,0,'Données projet'!$E$11+1,1))-AVERAGE(OFFSET($H$3,0,0,'Données projet'!$E$11+1,1))</f>
        <v>490.06222615476065</v>
      </c>
      <c r="BJ87" s="59">
        <f t="shared" si="92"/>
        <v>310.43914804089906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49.669999999999987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22.518135941679432</v>
      </c>
      <c r="BQ87" s="21">
        <f>EXP(-LN(2)/25)*BQ86+(1-EXP(-LN(2)/25))/(LN(2)/25)*Calculateur!BL87*Calculateur!BN87*VLOOKUP('Données projet'!$B$11,Paramètres!$A$1:$I$89,3,0)*0.475*44/12</f>
        <v>27.131816856988426</v>
      </c>
      <c r="BR87" s="21">
        <f>EXP(-LN(2)/2)*BR86+(1-EXP(-LN(2)/2))/(LN(2)/2)*BL87*BO87*VLOOKUP('Données projet'!$B$11,Paramètres!$A$1:$I$89,3,0)*0.475*44/12</f>
        <v>4.4149663532628933</v>
      </c>
      <c r="BS87" s="22">
        <f t="shared" si="63"/>
        <v>54.064919151930745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353.37479213497227</v>
      </c>
      <c r="T88" s="59">
        <f t="shared" si="88"/>
        <v>345.4750813433123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47.081407308296583</v>
      </c>
      <c r="AA88" s="21">
        <f>EXP(-LN(2)/25)*AA87+(1-EXP(-LN(2)/25))/(LN(2)/25)*Calculateur!V88*Calculateur!X88*VLOOKUP('Données projet'!$B$9,Paramètres!$A$1:$I$89,3,0)*0.475*44/12</f>
        <v>44.67991672535355</v>
      </c>
      <c r="AB88" s="21">
        <f>EXP(-LN(2)/2)*AB87+(1-EXP(-LN(2)/2))/(LN(2)/2)*V88*Y88*VLOOKUP('Données projet'!$B$9,Paramètres!$A$1:$I$89,3,0)*0.475*44/12</f>
        <v>11.034634878563912</v>
      </c>
      <c r="AC88" s="22">
        <f t="shared" si="57"/>
        <v>102.79595891221405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10.417499999999999</v>
      </c>
      <c r="AI88" s="13">
        <f>IF('Données projet'!$A$62&gt;35,AI87+AH88-AQ87,IF(A88&lt;'Données projet'!$A$62,$AF$205^A88,IF(A88='Données projet'!$A$62,'Données projet'!$B$62,AI87+AH88-AQ87)))</f>
        <v>405.92500000000007</v>
      </c>
      <c r="AJ88" s="13">
        <f>AI88*VLOOKUP('Données projet'!$B$10,Paramètres!$A$1:$I$89,3,0)*VLOOKUP('Données projet'!$B$10,Paramètres!$A$1:$I$89,5,0)</f>
        <v>189.97290000000001</v>
      </c>
      <c r="AK88" s="13">
        <f t="shared" si="89"/>
        <v>47.533961376261203</v>
      </c>
      <c r="AL88" s="20">
        <f t="shared" si="58"/>
        <v>413.6577835636549</v>
      </c>
      <c r="AM88" s="59">
        <f t="shared" si="59"/>
        <v>706.99111689698816</v>
      </c>
      <c r="AN88" s="59">
        <f ca="1">AVERAGE(OFFSET($AM$3,0,0,'Données projet'!$E$10+1,1))-AVERAGE(OFFSET($H$3,0,0,'Données projet'!$E$10+1,1))</f>
        <v>293.15557501692803</v>
      </c>
      <c r="AO88" s="59">
        <f t="shared" si="90"/>
        <v>237.1930412773068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35.497795907662322</v>
      </c>
      <c r="AV88" s="21">
        <f>EXP(-LN(2)/25)*AV87+(1-EXP(-LN(2)/25))/(LN(2)/25)*Calculateur!AQ88*Calculateur!AS88*VLOOKUP('Données projet'!$B$10,Paramètres!$A$1:$I$89,3,0)*0.475*44/12</f>
        <v>14.085865187559646</v>
      </c>
      <c r="AW88" s="21">
        <f>EXP(-LN(2)/2)*AW87+(1-EXP(-LN(2)/2))/(LN(2)/2)*AQ88*AT88*VLOOKUP('Données projet'!$B$10,Paramètres!$A$1:$I$89,3,0)*0.475*44/12</f>
        <v>0.31664987715432047</v>
      </c>
      <c r="AX88" s="21">
        <f t="shared" si="60"/>
        <v>49.900310972376289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7.6966666666666681</v>
      </c>
      <c r="BD88" s="12">
        <f>IF('Données projet'!$A$88&gt;35,BD87+BC88-BL87,IF(A88&lt;'Données projet'!$A$88,$BA$205^A88,IF(A88='Données projet'!$A$88,'Données projet'!$B$88,BD87+BC88-BL87)))</f>
        <v>241.79666666666699</v>
      </c>
      <c r="BE88" s="13">
        <f>BD88*VLOOKUP('Données projet'!$B$11,Paramètres!$A$1:$I$89,3,0)*VLOOKUP('Données projet'!$B$11,Paramètres!$A$1:$I$89,5,0)</f>
        <v>218.77762400000032</v>
      </c>
      <c r="BF88" s="13">
        <f t="shared" si="91"/>
        <v>53.849122245192362</v>
      </c>
      <c r="BG88" s="20">
        <f t="shared" si="61"/>
        <v>474.82491637704396</v>
      </c>
      <c r="BH88" s="59">
        <f t="shared" si="62"/>
        <v>768.15824971037728</v>
      </c>
      <c r="BI88" s="59">
        <f ca="1">AVERAGE(OFFSET($BH$3,0,0,'Données projet'!$E$11+1,1))-AVERAGE(OFFSET($H$3,0,0,'Données projet'!$E$11+1,1))</f>
        <v>490.06222615476065</v>
      </c>
      <c r="BJ88" s="59">
        <f t="shared" si="92"/>
        <v>310.43914804089906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22.076569030569832</v>
      </c>
      <c r="BQ88" s="21">
        <f>EXP(-LN(2)/25)*BQ87+(1-EXP(-LN(2)/25))/(LN(2)/25)*Calculateur!BL88*Calculateur!BN88*VLOOKUP('Données projet'!$B$11,Paramètres!$A$1:$I$89,3,0)*0.475*44/12</f>
        <v>26.389895898233839</v>
      </c>
      <c r="BR88" s="21">
        <f>EXP(-LN(2)/2)*BR87+(1-EXP(-LN(2)/2))/(LN(2)/2)*BL88*BO88*VLOOKUP('Données projet'!$B$11,Paramètres!$A$1:$I$89,3,0)*0.475*44/12</f>
        <v>3.1218526471026347</v>
      </c>
      <c r="BS88" s="22">
        <f t="shared" si="63"/>
        <v>51.588317575906309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353.37479213497227</v>
      </c>
      <c r="T89" s="59">
        <f t="shared" si="88"/>
        <v>345.4750813433123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46.158169627803794</v>
      </c>
      <c r="AA89" s="21">
        <f>EXP(-LN(2)/25)*AA88+(1-EXP(-LN(2)/25))/(LN(2)/25)*Calculateur!V89*Calculateur!X89*VLOOKUP('Données projet'!$B$9,Paramètres!$A$1:$I$89,3,0)*0.475*44/12</f>
        <v>43.458142052884057</v>
      </c>
      <c r="AB89" s="21">
        <f>EXP(-LN(2)/2)*AB88+(1-EXP(-LN(2)/2))/(LN(2)/2)*V89*Y89*VLOOKUP('Données projet'!$B$9,Paramètres!$A$1:$I$89,3,0)*0.475*44/12</f>
        <v>7.8026651505501379</v>
      </c>
      <c r="AC89" s="22">
        <f t="shared" si="57"/>
        <v>97.418976831237998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10.417499999999999</v>
      </c>
      <c r="AI89" s="13">
        <f>IF('Données projet'!$A$62&gt;35,AI88+AH89-AQ88,IF(A89&lt;'Données projet'!$A$62,$AF$205^A89,IF(A89='Données projet'!$A$62,'Données projet'!$B$62,AI88+AH89-AQ88)))</f>
        <v>416.34250000000009</v>
      </c>
      <c r="AJ89" s="13">
        <f>AI89*VLOOKUP('Données projet'!$B$10,Paramètres!$A$1:$I$89,3,0)*VLOOKUP('Données projet'!$B$10,Paramètres!$A$1:$I$89,5,0)</f>
        <v>194.84829000000002</v>
      </c>
      <c r="AK89" s="13">
        <f t="shared" si="89"/>
        <v>48.610263979086888</v>
      </c>
      <c r="AL89" s="20">
        <f t="shared" si="58"/>
        <v>424.02364818024301</v>
      </c>
      <c r="AM89" s="59">
        <f t="shared" si="59"/>
        <v>717.35698151357633</v>
      </c>
      <c r="AN89" s="59">
        <f ca="1">AVERAGE(OFFSET($AM$3,0,0,'Données projet'!$E$10+1,1))-AVERAGE(OFFSET($H$3,0,0,'Données projet'!$E$10+1,1))</f>
        <v>293.15557501692803</v>
      </c>
      <c r="AO89" s="59">
        <f t="shared" si="90"/>
        <v>237.1930412773068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34.801705781430655</v>
      </c>
      <c r="AV89" s="21">
        <f>EXP(-LN(2)/25)*AV88+(1-EXP(-LN(2)/25))/(LN(2)/25)*Calculateur!AQ89*Calculateur!AS89*VLOOKUP('Données projet'!$B$10,Paramètres!$A$1:$I$89,3,0)*0.475*44/12</f>
        <v>13.700686463262372</v>
      </c>
      <c r="AW89" s="21">
        <f>EXP(-LN(2)/2)*AW88+(1-EXP(-LN(2)/2))/(LN(2)/2)*AQ89*AT89*VLOOKUP('Données projet'!$B$10,Paramètres!$A$1:$I$89,3,0)*0.475*44/12</f>
        <v>0.22390527539770724</v>
      </c>
      <c r="AX89" s="21">
        <f t="shared" si="60"/>
        <v>48.726297520090732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7.6966666666666681</v>
      </c>
      <c r="BD89" s="12">
        <f>IF('Données projet'!$A$88&gt;35,BD88+BC89-BL88,IF(A89&lt;'Données projet'!$A$88,$BA$205^A89,IF(A89='Données projet'!$A$88,'Données projet'!$B$88,BD88+BC89-BL88)))</f>
        <v>249.49333333333365</v>
      </c>
      <c r="BE89" s="13">
        <f>BD89*VLOOKUP('Données projet'!$B$11,Paramètres!$A$1:$I$89,3,0)*VLOOKUP('Données projet'!$B$11,Paramètres!$A$1:$I$89,5,0)</f>
        <v>225.74156800000026</v>
      </c>
      <c r="BF89" s="13">
        <f t="shared" si="91"/>
        <v>55.360909871129053</v>
      </c>
      <c r="BG89" s="20">
        <f t="shared" si="61"/>
        <v>489.58681562555012</v>
      </c>
      <c r="BH89" s="59">
        <f t="shared" si="62"/>
        <v>782.92014895888337</v>
      </c>
      <c r="BI89" s="59">
        <f ca="1">AVERAGE(OFFSET($BH$3,0,0,'Données projet'!$E$11+1,1))-AVERAGE(OFFSET($H$3,0,0,'Données projet'!$E$11+1,1))</f>
        <v>490.06222615476065</v>
      </c>
      <c r="BJ89" s="59">
        <f t="shared" si="92"/>
        <v>310.43914804089906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21.64366097725787</v>
      </c>
      <c r="BQ89" s="21">
        <f>EXP(-LN(2)/25)*BQ88+(1-EXP(-LN(2)/25))/(LN(2)/25)*Calculateur!BL89*Calculateur!BN89*VLOOKUP('Données projet'!$B$11,Paramètres!$A$1:$I$89,3,0)*0.475*44/12</f>
        <v>25.668262807112324</v>
      </c>
      <c r="BR89" s="21">
        <f>EXP(-LN(2)/2)*BR88+(1-EXP(-LN(2)/2))/(LN(2)/2)*BL89*BO89*VLOOKUP('Données projet'!$B$11,Paramètres!$A$1:$I$89,3,0)*0.475*44/12</f>
        <v>2.2074831766314471</v>
      </c>
      <c r="BS89" s="22">
        <f t="shared" si="63"/>
        <v>49.519406961001643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353.37479213497227</v>
      </c>
      <c r="T90" s="59">
        <f t="shared" si="88"/>
        <v>345.4750813433123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45.253036075106088</v>
      </c>
      <c r="AA90" s="21">
        <f>EXP(-LN(2)/25)*AA89+(1-EXP(-LN(2)/25))/(LN(2)/25)*Calculateur!V90*Calculateur!X90*VLOOKUP('Données projet'!$B$9,Paramètres!$A$1:$I$89,3,0)*0.475*44/12</f>
        <v>42.269776873083579</v>
      </c>
      <c r="AB90" s="21">
        <f>EXP(-LN(2)/2)*AB89+(1-EXP(-LN(2)/2))/(LN(2)/2)*V90*Y90*VLOOKUP('Données projet'!$B$9,Paramètres!$A$1:$I$89,3,0)*0.475*44/12</f>
        <v>5.5173174392819568</v>
      </c>
      <c r="AC90" s="22">
        <f t="shared" si="57"/>
        <v>93.040130387471621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426.76</v>
      </c>
      <c r="AG90" s="12">
        <f>VLOOKUP(A90,'Données projet'!$A$61:$I$81,9,0)</f>
        <v>10.417499999999999</v>
      </c>
      <c r="AH90" s="12">
        <f t="array" ref="AH90">INDEX(AG:AG,MIN(IF(ISNUMBER(AG90:AG286),ROW(AG90:AG286),"")))</f>
        <v>10.417499999999999</v>
      </c>
      <c r="AI90" s="13">
        <f>IF('Données projet'!$A$62&gt;35,AI89+AH90-AQ89,IF(A90&lt;'Données projet'!$A$62,$AF$205^A90,IF(A90='Données projet'!$A$62,'Données projet'!$B$62,AI89+AH90-AQ89)))</f>
        <v>426.7600000000001</v>
      </c>
      <c r="AJ90" s="13">
        <f>AI90*VLOOKUP('Données projet'!$B$10,Paramètres!$A$1:$I$89,3,0)*VLOOKUP('Données projet'!$B$10,Paramètres!$A$1:$I$89,5,0)</f>
        <v>199.72368000000006</v>
      </c>
      <c r="AK90" s="13">
        <f t="shared" si="89"/>
        <v>49.68343606725896</v>
      </c>
      <c r="AL90" s="20">
        <f t="shared" si="58"/>
        <v>434.38406048380944</v>
      </c>
      <c r="AM90" s="59">
        <f t="shared" si="59"/>
        <v>727.71739381714269</v>
      </c>
      <c r="AN90" s="59">
        <f ca="1">AVERAGE(OFFSET($AM$3,0,0,'Données projet'!$E$10+1,1))-AVERAGE(OFFSET($H$3,0,0,'Données projet'!$E$10+1,1))</f>
        <v>293.15557501692803</v>
      </c>
      <c r="AO90" s="59">
        <f t="shared" si="90"/>
        <v>237.1930412773068</v>
      </c>
      <c r="AP90" s="15">
        <f>IF(ISNA(VLOOKUP(A90,'Données projet'!$A$61:$I$81,3,0)),0,VLOOKUP(A90,'Données projet'!$A$61:$I$81,3,0))</f>
        <v>4</v>
      </c>
      <c r="AQ90" s="15">
        <f>IF(ISNA(VLOOKUP(A90,'Données projet'!$A$61:$I$81,4,0)),0,VLOOKUP(A90,'Données projet'!$A$61:$I$81,4,0))</f>
        <v>92.519999999999982</v>
      </c>
      <c r="AR90" s="16">
        <f>IF(ISNA(VLOOKUP(A90,'Données projet'!$A$61:$I$81,5,0)),0%,VLOOKUP(A90,'Données projet'!$A$61:$I$81,5,0)*VLOOKUP('Données projet'!$B$10,Paramètres!$A$1:$I$89,7,0))</f>
        <v>0.33</v>
      </c>
      <c r="AS90" s="16">
        <f>IF(ISNA(VLOOKUP(A90,'Données projet'!$A$61:$I$81,6,0)),0%,VLOOKUP(A90,'Données projet'!$A$61:$I$81,6,0)*VLOOKUP('Données projet'!$B$10,Paramètres!$A$1:$I$89,7,0))</f>
        <v>0.11000000000000001</v>
      </c>
      <c r="AT90" s="16">
        <f>IF(ISNA(VLOOKUP(A90,'Données projet'!$A$61:$I$81,7,0)),0%,VLOOKUP(A90,'Données projet'!$A$61:$I$81,7,0))</f>
        <v>0.2</v>
      </c>
      <c r="AU90" s="21">
        <f>EXP(-LN(2)/35)*AU89+(1-EXP(-LN(2)/35))/(LN(2)/35)*AQ90*AR90*VLOOKUP('Données projet'!$B$10,Paramètres!$A$1:$I$89,3,0)*0.475*44/12</f>
        <v>53.074264891363939</v>
      </c>
      <c r="AV90" s="21">
        <f>EXP(-LN(2)/25)*AV89+(1-EXP(-LN(2)/25))/(LN(2)/25)*Calculateur!AQ90*Calculateur!AS90*VLOOKUP('Données projet'!$B$10,Paramètres!$A$1:$I$89,3,0)*0.475*44/12</f>
        <v>19.619495897625399</v>
      </c>
      <c r="AW90" s="21">
        <f>EXP(-LN(2)/2)*AW89+(1-EXP(-LN(2)/2))/(LN(2)/2)*AQ90*AT90*VLOOKUP('Données projet'!$B$10,Paramètres!$A$1:$I$89,3,0)*0.475*44/12</f>
        <v>9.9633117094222658</v>
      </c>
      <c r="AX90" s="21">
        <f t="shared" si="60"/>
        <v>82.657072498411608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7.6966666666666681</v>
      </c>
      <c r="BD90" s="12">
        <f>IF('Données projet'!$A$88&gt;35,BD89+BC90-BL89,IF(A90&lt;'Données projet'!$A$88,$BA$205^A90,IF(A90='Données projet'!$A$88,'Données projet'!$B$88,BD89+BC90-BL89)))</f>
        <v>257.19000000000034</v>
      </c>
      <c r="BE90" s="13">
        <f>BD90*VLOOKUP('Données projet'!$B$11,Paramètres!$A$1:$I$89,3,0)*VLOOKUP('Données projet'!$B$11,Paramètres!$A$1:$I$89,5,0)</f>
        <v>232.70551200000031</v>
      </c>
      <c r="BF90" s="13">
        <f t="shared" si="91"/>
        <v>56.867277728071947</v>
      </c>
      <c r="BG90" s="20">
        <f t="shared" si="61"/>
        <v>504.33927544305925</v>
      </c>
      <c r="BH90" s="59">
        <f t="shared" si="62"/>
        <v>797.67260877639251</v>
      </c>
      <c r="BI90" s="59">
        <f ca="1">AVERAGE(OFFSET($BH$3,0,0,'Données projet'!$E$11+1,1))-AVERAGE(OFFSET($H$3,0,0,'Données projet'!$E$11+1,1))</f>
        <v>490.06222615476065</v>
      </c>
      <c r="BJ90" s="59">
        <f t="shared" si="92"/>
        <v>310.43914804089906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21.219241986823516</v>
      </c>
      <c r="BQ90" s="21">
        <f>EXP(-LN(2)/25)*BQ89+(1-EXP(-LN(2)/25))/(LN(2)/25)*Calculateur!BL90*Calculateur!BN90*VLOOKUP('Données projet'!$B$11,Paramètres!$A$1:$I$89,3,0)*0.475*44/12</f>
        <v>24.966362810816563</v>
      </c>
      <c r="BR90" s="21">
        <f>EXP(-LN(2)/2)*BR89+(1-EXP(-LN(2)/2))/(LN(2)/2)*BL90*BO90*VLOOKUP('Données projet'!$B$11,Paramètres!$A$1:$I$89,3,0)*0.475*44/12</f>
        <v>1.5609263235513176</v>
      </c>
      <c r="BS90" s="22">
        <f t="shared" si="63"/>
        <v>47.746531121191396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353.37479213497227</v>
      </c>
      <c r="T91" s="59">
        <f t="shared" si="88"/>
        <v>345.4750813433123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44.365651639299827</v>
      </c>
      <c r="AA91" s="21">
        <f>EXP(-LN(2)/25)*AA90+(1-EXP(-LN(2)/25))/(LN(2)/25)*Calculateur!V91*Calculateur!X91*VLOOKUP('Données projet'!$B$9,Paramètres!$A$1:$I$89,3,0)*0.475*44/12</f>
        <v>41.113907601618152</v>
      </c>
      <c r="AB91" s="21">
        <f>EXP(-LN(2)/2)*AB90+(1-EXP(-LN(2)/2))/(LN(2)/2)*V91*Y91*VLOOKUP('Données projet'!$B$9,Paramètres!$A$1:$I$89,3,0)*0.475*44/12</f>
        <v>3.9013325752750698</v>
      </c>
      <c r="AC91" s="22">
        <f t="shared" si="57"/>
        <v>89.380891816193042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9.4258333333333351</v>
      </c>
      <c r="AI91" s="13">
        <f>IF('Données projet'!$A$62&gt;35,AI90+AH91-AQ90,IF(A91&lt;'Données projet'!$A$62,$AF$205^A91,IF(A91='Données projet'!$A$62,'Données projet'!$B$62,AI90+AH91-AQ90)))</f>
        <v>343.66583333333347</v>
      </c>
      <c r="AJ91" s="13">
        <f>AI91*VLOOKUP('Données projet'!$B$10,Paramètres!$A$1:$I$89,3,0)*VLOOKUP('Données projet'!$B$10,Paramètres!$A$1:$I$89,5,0)</f>
        <v>160.83561000000006</v>
      </c>
      <c r="AK91" s="13">
        <f t="shared" si="89"/>
        <v>41.030932398377978</v>
      </c>
      <c r="AL91" s="20">
        <f t="shared" si="58"/>
        <v>351.58422801050841</v>
      </c>
      <c r="AM91" s="59">
        <f t="shared" si="59"/>
        <v>644.91756134384173</v>
      </c>
      <c r="AN91" s="59">
        <f ca="1">AVERAGE(OFFSET($AM$3,0,0,'Données projet'!$E$10+1,1))-AVERAGE(OFFSET($H$3,0,0,'Données projet'!$E$10+1,1))</f>
        <v>293.15557501692803</v>
      </c>
      <c r="AO91" s="59">
        <f t="shared" si="90"/>
        <v>237.1930412773068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52.033510928949397</v>
      </c>
      <c r="AV91" s="21">
        <f>EXP(-LN(2)/25)*AV90+(1-EXP(-LN(2)/25))/(LN(2)/25)*Calculateur!AQ91*Calculateur!AS91*VLOOKUP('Données projet'!$B$10,Paramètres!$A$1:$I$89,3,0)*0.475*44/12</f>
        <v>19.082999750560383</v>
      </c>
      <c r="AW91" s="21">
        <f>EXP(-LN(2)/2)*AW90+(1-EXP(-LN(2)/2))/(LN(2)/2)*AQ91*AT91*VLOOKUP('Données projet'!$B$10,Paramètres!$A$1:$I$89,3,0)*0.475*44/12</f>
        <v>7.0451252728078178</v>
      </c>
      <c r="AX91" s="21">
        <f t="shared" si="60"/>
        <v>78.16163595231761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7.6966666666666681</v>
      </c>
      <c r="BD91" s="12">
        <f>IF('Données projet'!$A$88&gt;35,BD90+BC91-BL90,IF(A91&lt;'Données projet'!$A$88,$BA$205^A91,IF(A91='Données projet'!$A$88,'Données projet'!$B$88,BD90+BC91-BL90)))</f>
        <v>264.886666666667</v>
      </c>
      <c r="BE91" s="13">
        <f>BD91*VLOOKUP('Données projet'!$B$11,Paramètres!$A$1:$I$89,3,0)*VLOOKUP('Données projet'!$B$11,Paramètres!$A$1:$I$89,5,0)</f>
        <v>239.66945600000031</v>
      </c>
      <c r="BF91" s="13">
        <f t="shared" si="91"/>
        <v>58.368406626869316</v>
      </c>
      <c r="BG91" s="20">
        <f t="shared" si="61"/>
        <v>519.08261074179791</v>
      </c>
      <c r="BH91" s="59">
        <f t="shared" si="62"/>
        <v>812.41594407513116</v>
      </c>
      <c r="BI91" s="59">
        <f ca="1">AVERAGE(OFFSET($BH$3,0,0,'Données projet'!$E$11+1,1))-AVERAGE(OFFSET($H$3,0,0,'Données projet'!$E$11+1,1))</f>
        <v>490.06222615476065</v>
      </c>
      <c r="BJ91" s="59">
        <f t="shared" si="92"/>
        <v>310.43914804089906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20.803145593921556</v>
      </c>
      <c r="BQ91" s="21">
        <f>EXP(-LN(2)/25)*BQ90+(1-EXP(-LN(2)/25))/(LN(2)/25)*Calculateur!BL91*Calculateur!BN91*VLOOKUP('Données projet'!$B$11,Paramètres!$A$1:$I$89,3,0)*0.475*44/12</f>
        <v>24.283656306830824</v>
      </c>
      <c r="BR91" s="21">
        <f>EXP(-LN(2)/2)*BR90+(1-EXP(-LN(2)/2))/(LN(2)/2)*BL91*BO91*VLOOKUP('Données projet'!$B$11,Paramètres!$A$1:$I$89,3,0)*0.475*44/12</f>
        <v>1.1037415883157236</v>
      </c>
      <c r="BS91" s="22">
        <f t="shared" si="63"/>
        <v>46.190543489068098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353.37479213497227</v>
      </c>
      <c r="T92" s="59">
        <f t="shared" si="88"/>
        <v>345.4750813433123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43.49566827102867</v>
      </c>
      <c r="AA92" s="21">
        <f>EXP(-LN(2)/25)*AA91+(1-EXP(-LN(2)/25))/(LN(2)/25)*Calculateur!V92*Calculateur!X92*VLOOKUP('Données projet'!$B$9,Paramètres!$A$1:$I$89,3,0)*0.475*44/12</f>
        <v>39.98964563616547</v>
      </c>
      <c r="AB92" s="21">
        <f>EXP(-LN(2)/2)*AB91+(1-EXP(-LN(2)/2))/(LN(2)/2)*V92*Y92*VLOOKUP('Données projet'!$B$9,Paramètres!$A$1:$I$89,3,0)*0.475*44/12</f>
        <v>2.7586587196409789</v>
      </c>
      <c r="AC92" s="22">
        <f t="shared" si="57"/>
        <v>86.243972626835117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9.4258333333333351</v>
      </c>
      <c r="AI92" s="13">
        <f>IF('Données projet'!$A$62&gt;35,AI91+AH92-AQ91,IF(A92&lt;'Données projet'!$A$62,$AF$205^A92,IF(A92='Données projet'!$A$62,'Données projet'!$B$62,AI91+AH92-AQ91)))</f>
        <v>353.09166666666681</v>
      </c>
      <c r="AJ92" s="13">
        <f>AI92*VLOOKUP('Données projet'!$B$10,Paramètres!$A$1:$I$89,3,0)*VLOOKUP('Données projet'!$B$10,Paramètres!$A$1:$I$89,5,0)</f>
        <v>165.24690000000007</v>
      </c>
      <c r="AK92" s="13">
        <f t="shared" si="89"/>
        <v>42.023736751793869</v>
      </c>
      <c r="AL92" s="20">
        <f t="shared" si="58"/>
        <v>360.99635900937443</v>
      </c>
      <c r="AM92" s="59">
        <f t="shared" si="59"/>
        <v>654.32969234270774</v>
      </c>
      <c r="AN92" s="59">
        <f ca="1">AVERAGE(OFFSET($AM$3,0,0,'Données projet'!$E$10+1,1))-AVERAGE(OFFSET($H$3,0,0,'Données projet'!$E$10+1,1))</f>
        <v>293.15557501692803</v>
      </c>
      <c r="AO92" s="59">
        <f t="shared" si="90"/>
        <v>237.1930412773068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51.013165516940568</v>
      </c>
      <c r="AV92" s="21">
        <f>EXP(-LN(2)/25)*AV91+(1-EXP(-LN(2)/25))/(LN(2)/25)*Calculateur!AQ92*Calculateur!AS92*VLOOKUP('Données projet'!$B$10,Paramètres!$A$1:$I$89,3,0)*0.475*44/12</f>
        <v>18.561174118849966</v>
      </c>
      <c r="AW92" s="21">
        <f>EXP(-LN(2)/2)*AW91+(1-EXP(-LN(2)/2))/(LN(2)/2)*AQ92*AT92*VLOOKUP('Données projet'!$B$10,Paramètres!$A$1:$I$89,3,0)*0.475*44/12</f>
        <v>4.9816558547111338</v>
      </c>
      <c r="AX92" s="21">
        <f t="shared" si="60"/>
        <v>74.555995490501672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7.6966666666666681</v>
      </c>
      <c r="BD92" s="12">
        <f>IF('Données projet'!$A$88&gt;35,BD91+BC92-BL91,IF(A92&lt;'Données projet'!$A$88,$BA$205^A92,IF(A92='Données projet'!$A$88,'Données projet'!$B$88,BD91+BC92-BL91)))</f>
        <v>272.58333333333366</v>
      </c>
      <c r="BE92" s="13">
        <f>BD92*VLOOKUP('Données projet'!$B$11,Paramètres!$A$1:$I$89,3,0)*VLOOKUP('Données projet'!$B$11,Paramètres!$A$1:$I$89,5,0)</f>
        <v>246.63340000000028</v>
      </c>
      <c r="BF92" s="13">
        <f t="shared" si="91"/>
        <v>59.864466273444549</v>
      </c>
      <c r="BG92" s="20">
        <f t="shared" si="61"/>
        <v>533.81711709291642</v>
      </c>
      <c r="BH92" s="59">
        <f t="shared" si="62"/>
        <v>827.15045042624979</v>
      </c>
      <c r="BI92" s="59">
        <f ca="1">AVERAGE(OFFSET($BH$3,0,0,'Données projet'!$E$11+1,1))-AVERAGE(OFFSET($H$3,0,0,'Données projet'!$E$11+1,1))</f>
        <v>490.06222615476065</v>
      </c>
      <c r="BJ92" s="59">
        <f t="shared" si="92"/>
        <v>310.43914804089906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20.395208597490665</v>
      </c>
      <c r="BQ92" s="21">
        <f>EXP(-LN(2)/25)*BQ91+(1-EXP(-LN(2)/25))/(LN(2)/25)*Calculateur!BL92*Calculateur!BN92*VLOOKUP('Données projet'!$B$11,Paramètres!$A$1:$I$89,3,0)*0.475*44/12</f>
        <v>23.619618448098553</v>
      </c>
      <c r="BR92" s="21">
        <f>EXP(-LN(2)/2)*BR91+(1-EXP(-LN(2)/2))/(LN(2)/2)*BL92*BO92*VLOOKUP('Données projet'!$B$11,Paramètres!$A$1:$I$89,3,0)*0.475*44/12</f>
        <v>0.78046316177565878</v>
      </c>
      <c r="BS92" s="22">
        <f t="shared" si="63"/>
        <v>44.795290207364872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353.37479213497227</v>
      </c>
      <c r="T93" s="59">
        <f t="shared" si="88"/>
        <v>345.4750813433123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42.642744745971846</v>
      </c>
      <c r="AA93" s="21">
        <f>EXP(-LN(2)/25)*AA92+(1-EXP(-LN(2)/25))/(LN(2)/25)*Calculateur!V93*Calculateur!X93*VLOOKUP('Données projet'!$B$9,Paramètres!$A$1:$I$89,3,0)*0.475*44/12</f>
        <v>38.896126673280456</v>
      </c>
      <c r="AB93" s="21">
        <f>EXP(-LN(2)/2)*AB92+(1-EXP(-LN(2)/2))/(LN(2)/2)*V93*Y93*VLOOKUP('Données projet'!$B$9,Paramètres!$A$1:$I$89,3,0)*0.475*44/12</f>
        <v>1.9506662876375351</v>
      </c>
      <c r="AC93" s="22">
        <f t="shared" si="57"/>
        <v>83.489537706889834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9.4258333333333351</v>
      </c>
      <c r="AI93" s="13">
        <f>IF('Données projet'!$A$62&gt;35,AI92+AH93-AQ92,IF(A93&lt;'Données projet'!$A$62,$AF$205^A93,IF(A93='Données projet'!$A$62,'Données projet'!$B$62,AI92+AH93-AQ92)))</f>
        <v>362.51750000000015</v>
      </c>
      <c r="AJ93" s="13">
        <f>AI93*VLOOKUP('Données projet'!$B$10,Paramètres!$A$1:$I$89,3,0)*VLOOKUP('Données projet'!$B$10,Paramètres!$A$1:$I$89,5,0)</f>
        <v>169.65819000000005</v>
      </c>
      <c r="AK93" s="13">
        <f t="shared" si="89"/>
        <v>43.013460550801888</v>
      </c>
      <c r="AL93" s="20">
        <f t="shared" si="58"/>
        <v>370.40312470931332</v>
      </c>
      <c r="AM93" s="59">
        <f t="shared" si="59"/>
        <v>663.73645804264663</v>
      </c>
      <c r="AN93" s="59">
        <f ca="1">AVERAGE(OFFSET($AM$3,0,0,'Données projet'!$E$10+1,1))-AVERAGE(OFFSET($H$3,0,0,'Données projet'!$E$10+1,1))</f>
        <v>293.15557501692803</v>
      </c>
      <c r="AO93" s="59">
        <f t="shared" si="90"/>
        <v>237.1930412773068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50.012828456111983</v>
      </c>
      <c r="AV93" s="21">
        <f>EXP(-LN(2)/25)*AV92+(1-EXP(-LN(2)/25))/(LN(2)/25)*Calculateur!AQ93*Calculateur!AS93*VLOOKUP('Données projet'!$B$10,Paramètres!$A$1:$I$89,3,0)*0.475*44/12</f>
        <v>18.053617836480289</v>
      </c>
      <c r="AW93" s="21">
        <f>EXP(-LN(2)/2)*AW92+(1-EXP(-LN(2)/2))/(LN(2)/2)*AQ93*AT93*VLOOKUP('Données projet'!$B$10,Paramètres!$A$1:$I$89,3,0)*0.475*44/12</f>
        <v>3.5225626364039093</v>
      </c>
      <c r="AX93" s="21">
        <f t="shared" si="60"/>
        <v>71.589008928996179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7.6966666666666681</v>
      </c>
      <c r="BD93" s="12">
        <f>IF('Données projet'!$A$88&gt;35,BD92+BC93-BL92,IF(A93&lt;'Données projet'!$A$88,$BA$205^A93,IF(A93='Données projet'!$A$88,'Données projet'!$B$88,BD92+BC93-BL92)))</f>
        <v>280.28000000000031</v>
      </c>
      <c r="BE93" s="13">
        <f>BD93*VLOOKUP('Données projet'!$B$11,Paramètres!$A$1:$I$89,3,0)*VLOOKUP('Données projet'!$B$11,Paramètres!$A$1:$I$89,5,0)</f>
        <v>253.59734400000028</v>
      </c>
      <c r="BF93" s="13">
        <f t="shared" si="91"/>
        <v>61.355616244892218</v>
      </c>
      <c r="BG93" s="20">
        <f t="shared" si="61"/>
        <v>548.54307242652112</v>
      </c>
      <c r="BH93" s="59">
        <f t="shared" si="62"/>
        <v>841.87640575985438</v>
      </c>
      <c r="BI93" s="59">
        <f ca="1">AVERAGE(OFFSET($BH$3,0,0,'Données projet'!$E$11+1,1))-AVERAGE(OFFSET($H$3,0,0,'Données projet'!$E$11+1,1))</f>
        <v>490.06222615476065</v>
      </c>
      <c r="BJ93" s="59">
        <f t="shared" si="92"/>
        <v>310.43914804089906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19.995270996742786</v>
      </c>
      <c r="BQ93" s="21">
        <f>EXP(-LN(2)/25)*BQ92+(1-EXP(-LN(2)/25))/(LN(2)/25)*Calculateur!BL93*Calculateur!BN93*VLOOKUP('Données projet'!$B$11,Paramètres!$A$1:$I$89,3,0)*0.475*44/12</f>
        <v>22.973738739533548</v>
      </c>
      <c r="BR93" s="21">
        <f>EXP(-LN(2)/2)*BR92+(1-EXP(-LN(2)/2))/(LN(2)/2)*BL93*BO93*VLOOKUP('Données projet'!$B$11,Paramètres!$A$1:$I$89,3,0)*0.475*44/12</f>
        <v>0.55187079415786178</v>
      </c>
      <c r="BS93" s="22">
        <f t="shared" si="63"/>
        <v>43.520880530434198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353.37479213497227</v>
      </c>
      <c r="T94" s="59">
        <f t="shared" si="88"/>
        <v>345.4750813433123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41.80654653100941</v>
      </c>
      <c r="AA94" s="21">
        <f>EXP(-LN(2)/25)*AA93+(1-EXP(-LN(2)/25))/(LN(2)/25)*Calculateur!V94*Calculateur!X94*VLOOKUP('Données projet'!$B$9,Paramètres!$A$1:$I$89,3,0)*0.475*44/12</f>
        <v>37.832510043941198</v>
      </c>
      <c r="AB94" s="21">
        <f>EXP(-LN(2)/2)*AB93+(1-EXP(-LN(2)/2))/(LN(2)/2)*V94*Y94*VLOOKUP('Données projet'!$B$9,Paramètres!$A$1:$I$89,3,0)*0.475*44/12</f>
        <v>1.3793293598204897</v>
      </c>
      <c r="AC94" s="22">
        <f t="shared" si="57"/>
        <v>81.018385934771104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9.4258333333333351</v>
      </c>
      <c r="AI94" s="13">
        <f>IF('Données projet'!$A$62&gt;35,AI93+AH94-AQ93,IF(A94&lt;'Données projet'!$A$62,$AF$205^A94,IF(A94='Données projet'!$A$62,'Données projet'!$B$62,AI93+AH94-AQ93)))</f>
        <v>371.9433333333335</v>
      </c>
      <c r="AJ94" s="13">
        <f>AI94*VLOOKUP('Données projet'!$B$10,Paramètres!$A$1:$I$89,3,0)*VLOOKUP('Données projet'!$B$10,Paramètres!$A$1:$I$89,5,0)</f>
        <v>174.06948000000008</v>
      </c>
      <c r="AK94" s="13">
        <f t="shared" si="89"/>
        <v>44.000193101581445</v>
      </c>
      <c r="AL94" s="20">
        <f t="shared" si="58"/>
        <v>379.80468065192116</v>
      </c>
      <c r="AM94" s="59">
        <f t="shared" si="59"/>
        <v>673.13801398525447</v>
      </c>
      <c r="AN94" s="59">
        <f ca="1">AVERAGE(OFFSET($AM$3,0,0,'Données projet'!$E$10+1,1))-AVERAGE(OFFSET($H$3,0,0,'Données projet'!$E$10+1,1))</f>
        <v>293.15557501692803</v>
      </c>
      <c r="AO94" s="59">
        <f t="shared" si="90"/>
        <v>237.1930412773068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49.032107394900883</v>
      </c>
      <c r="AV94" s="21">
        <f>EXP(-LN(2)/25)*AV93+(1-EXP(-LN(2)/25))/(LN(2)/25)*Calculateur!AQ94*Calculateur!AS94*VLOOKUP('Données projet'!$B$10,Paramètres!$A$1:$I$89,3,0)*0.475*44/12</f>
        <v>17.559940707343234</v>
      </c>
      <c r="AW94" s="21">
        <f>EXP(-LN(2)/2)*AW93+(1-EXP(-LN(2)/2))/(LN(2)/2)*AQ94*AT94*VLOOKUP('Données projet'!$B$10,Paramètres!$A$1:$I$89,3,0)*0.475*44/12</f>
        <v>2.4908279273555674</v>
      </c>
      <c r="AX94" s="21">
        <f t="shared" si="60"/>
        <v>69.082876029599689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7.6966666666666681</v>
      </c>
      <c r="BD94" s="12">
        <f>IF('Données projet'!$A$88&gt;35,BD93+BC94-BL93,IF(A94&lt;'Données projet'!$A$88,$BA$205^A94,IF(A94='Données projet'!$A$88,'Données projet'!$B$88,BD93+BC94-BL93)))</f>
        <v>287.97666666666697</v>
      </c>
      <c r="BE94" s="13">
        <f>BD94*VLOOKUP('Données projet'!$B$11,Paramètres!$A$1:$I$89,3,0)*VLOOKUP('Données projet'!$B$11,Paramètres!$A$1:$I$89,5,0)</f>
        <v>260.56128800000027</v>
      </c>
      <c r="BF94" s="13">
        <f t="shared" si="91"/>
        <v>62.842006855343143</v>
      </c>
      <c r="BG94" s="20">
        <f t="shared" si="61"/>
        <v>563.26073853972309</v>
      </c>
      <c r="BH94" s="59">
        <f t="shared" si="62"/>
        <v>856.59407187305646</v>
      </c>
      <c r="BI94" s="59">
        <f ca="1">AVERAGE(OFFSET($BH$3,0,0,'Données projet'!$E$11+1,1))-AVERAGE(OFFSET($H$3,0,0,'Données projet'!$E$11+1,1))</f>
        <v>490.06222615476065</v>
      </c>
      <c r="BJ94" s="59">
        <f t="shared" si="92"/>
        <v>310.43914804089906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19.603175928407722</v>
      </c>
      <c r="BQ94" s="21">
        <f>EXP(-LN(2)/25)*BQ93+(1-EXP(-LN(2)/25))/(LN(2)/25)*Calculateur!BL94*Calculateur!BN94*VLOOKUP('Données projet'!$B$11,Paramètres!$A$1:$I$89,3,0)*0.475*44/12</f>
        <v>22.345520645564591</v>
      </c>
      <c r="BR94" s="21">
        <f>EXP(-LN(2)/2)*BR93+(1-EXP(-LN(2)/2))/(LN(2)/2)*BL94*BO94*VLOOKUP('Données projet'!$B$11,Paramètres!$A$1:$I$89,3,0)*0.475*44/12</f>
        <v>0.39023158088782939</v>
      </c>
      <c r="BS94" s="22">
        <f t="shared" si="63"/>
        <v>42.338928154860142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353.37479213497227</v>
      </c>
      <c r="T95" s="59">
        <f t="shared" si="88"/>
        <v>345.4750813433123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40.986745653011837</v>
      </c>
      <c r="AA95" s="21">
        <f>EXP(-LN(2)/25)*AA94+(1-EXP(-LN(2)/25))/(LN(2)/25)*Calculateur!V95*Calculateur!X95*VLOOKUP('Données projet'!$B$9,Paramètres!$A$1:$I$89,3,0)*0.475*44/12</f>
        <v>36.797978067264388</v>
      </c>
      <c r="AB95" s="21">
        <f>EXP(-LN(2)/2)*AB94+(1-EXP(-LN(2)/2))/(LN(2)/2)*V95*Y95*VLOOKUP('Données projet'!$B$9,Paramètres!$A$1:$I$89,3,0)*0.475*44/12</f>
        <v>0.97533314381876768</v>
      </c>
      <c r="AC95" s="22">
        <f t="shared" si="57"/>
        <v>78.760056864094992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9.4258333333333351</v>
      </c>
      <c r="AI95" s="13">
        <f>IF('Données projet'!$A$62&gt;35,AI94+AH95-AQ94,IF(A95&lt;'Données projet'!$A$62,$AF$205^A95,IF(A95='Données projet'!$A$62,'Données projet'!$B$62,AI94+AH95-AQ94)))</f>
        <v>381.36916666666684</v>
      </c>
      <c r="AJ95" s="13">
        <f>AI95*VLOOKUP('Données projet'!$B$10,Paramètres!$A$1:$I$89,3,0)*VLOOKUP('Données projet'!$B$10,Paramètres!$A$1:$I$89,5,0)</f>
        <v>178.48077000000009</v>
      </c>
      <c r="AK95" s="13">
        <f t="shared" si="89"/>
        <v>44.984018925971618</v>
      </c>
      <c r="AL95" s="20">
        <f t="shared" si="58"/>
        <v>389.20117404606736</v>
      </c>
      <c r="AM95" s="59">
        <f t="shared" si="59"/>
        <v>682.53450737940068</v>
      </c>
      <c r="AN95" s="59">
        <f ca="1">AVERAGE(OFFSET($AM$3,0,0,'Données projet'!$E$10+1,1))-AVERAGE(OFFSET($H$3,0,0,'Données projet'!$E$10+1,1))</f>
        <v>293.15557501692803</v>
      </c>
      <c r="AO95" s="59">
        <f t="shared" si="90"/>
        <v>237.1930412773068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48.070617675519351</v>
      </c>
      <c r="AV95" s="21">
        <f>EXP(-LN(2)/25)*AV94+(1-EXP(-LN(2)/25))/(LN(2)/25)*Calculateur!AQ95*Calculateur!AS95*VLOOKUP('Données projet'!$B$10,Paramètres!$A$1:$I$89,3,0)*0.475*44/12</f>
        <v>17.079763205263784</v>
      </c>
      <c r="AW95" s="21">
        <f>EXP(-LN(2)/2)*AW94+(1-EXP(-LN(2)/2))/(LN(2)/2)*AQ95*AT95*VLOOKUP('Données projet'!$B$10,Paramètres!$A$1:$I$89,3,0)*0.475*44/12</f>
        <v>1.7612813182019549</v>
      </c>
      <c r="AX95" s="21">
        <f t="shared" si="60"/>
        <v>66.911662198985084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7.6966666666666681</v>
      </c>
      <c r="BD95" s="12">
        <f>IF('Données projet'!$A$88&gt;35,BD94+BC95-BL94,IF(A95&lt;'Données projet'!$A$88,$BA$205^A95,IF(A95='Données projet'!$A$88,'Données projet'!$B$88,BD94+BC95-BL94)))</f>
        <v>295.67333333333363</v>
      </c>
      <c r="BE95" s="13">
        <f>BD95*VLOOKUP('Données projet'!$B$11,Paramètres!$A$1:$I$89,3,0)*VLOOKUP('Données projet'!$B$11,Paramètres!$A$1:$I$89,5,0)</f>
        <v>267.5252320000003</v>
      </c>
      <c r="BF95" s="13">
        <f t="shared" si="91"/>
        <v>64.323779926659213</v>
      </c>
      <c r="BG95" s="20">
        <f t="shared" si="61"/>
        <v>577.97036243893194</v>
      </c>
      <c r="BH95" s="59">
        <f t="shared" si="62"/>
        <v>871.3036957722652</v>
      </c>
      <c r="BI95" s="59">
        <f ca="1">AVERAGE(OFFSET($BH$3,0,0,'Données projet'!$E$11+1,1))-AVERAGE(OFFSET($H$3,0,0,'Données projet'!$E$11+1,1))</f>
        <v>490.06222615476065</v>
      </c>
      <c r="BJ95" s="59">
        <f t="shared" si="92"/>
        <v>310.43914804089906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19.218769605208333</v>
      </c>
      <c r="BQ95" s="21">
        <f>EXP(-LN(2)/25)*BQ94+(1-EXP(-LN(2)/25))/(LN(2)/25)*Calculateur!BL95*Calculateur!BN95*VLOOKUP('Données projet'!$B$11,Paramètres!$A$1:$I$89,3,0)*0.475*44/12</f>
        <v>21.734481208411768</v>
      </c>
      <c r="BR95" s="21">
        <f>EXP(-LN(2)/2)*BR94+(1-EXP(-LN(2)/2))/(LN(2)/2)*BL95*BO95*VLOOKUP('Données projet'!$B$11,Paramètres!$A$1:$I$89,3,0)*0.475*44/12</f>
        <v>0.27593539707893089</v>
      </c>
      <c r="BS95" s="22">
        <f t="shared" si="63"/>
        <v>41.229186210699034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353.37479213497227</v>
      </c>
      <c r="T96" s="59">
        <f t="shared" si="88"/>
        <v>345.4750813433123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40.183020570202636</v>
      </c>
      <c r="AA96" s="21">
        <f>EXP(-LN(2)/25)*AA95+(1-EXP(-LN(2)/25))/(LN(2)/25)*Calculateur!V96*Calculateur!X96*VLOOKUP('Données projet'!$B$9,Paramètres!$A$1:$I$89,3,0)*0.475*44/12</f>
        <v>35.791735421893478</v>
      </c>
      <c r="AB96" s="21">
        <f>EXP(-LN(2)/2)*AB95+(1-EXP(-LN(2)/2))/(LN(2)/2)*V96*Y96*VLOOKUP('Données projet'!$B$9,Paramètres!$A$1:$I$89,3,0)*0.475*44/12</f>
        <v>0.68966467991024494</v>
      </c>
      <c r="AC96" s="22">
        <f t="shared" si="57"/>
        <v>76.664420672006358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9.4258333333333351</v>
      </c>
      <c r="AI96" s="13">
        <f>IF('Données projet'!$A$62&gt;35,AI95+AH96-AQ95,IF(A96&lt;'Données projet'!$A$62,$AF$205^A96,IF(A96='Données projet'!$A$62,'Données projet'!$B$62,AI95+AH96-AQ95)))</f>
        <v>390.79500000000019</v>
      </c>
      <c r="AJ96" s="13">
        <f>AI96*VLOOKUP('Données projet'!$B$10,Paramètres!$A$1:$I$89,3,0)*VLOOKUP('Données projet'!$B$10,Paramètres!$A$1:$I$89,5,0)</f>
        <v>182.8920600000001</v>
      </c>
      <c r="AK96" s="13">
        <f t="shared" si="89"/>
        <v>45.965018129602747</v>
      </c>
      <c r="AL96" s="20">
        <f t="shared" si="58"/>
        <v>398.59274440905824</v>
      </c>
      <c r="AM96" s="59">
        <f t="shared" si="59"/>
        <v>691.9260777423915</v>
      </c>
      <c r="AN96" s="59">
        <f ca="1">AVERAGE(OFFSET($AM$3,0,0,'Données projet'!$E$10+1,1))-AVERAGE(OFFSET($H$3,0,0,'Données projet'!$E$10+1,1))</f>
        <v>293.15557501692803</v>
      </c>
      <c r="AO96" s="59">
        <f t="shared" si="90"/>
        <v>237.1930412773068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47.127982183084072</v>
      </c>
      <c r="AV96" s="21">
        <f>EXP(-LN(2)/25)*AV95+(1-EXP(-LN(2)/25))/(LN(2)/25)*Calculateur!AQ96*Calculateur!AS96*VLOOKUP('Données projet'!$B$10,Paramètres!$A$1:$I$89,3,0)*0.475*44/12</f>
        <v>16.612716182230134</v>
      </c>
      <c r="AW96" s="21">
        <f>EXP(-LN(2)/2)*AW95+(1-EXP(-LN(2)/2))/(LN(2)/2)*AQ96*AT96*VLOOKUP('Données projet'!$B$10,Paramètres!$A$1:$I$89,3,0)*0.475*44/12</f>
        <v>1.2454139636777837</v>
      </c>
      <c r="AX96" s="21">
        <f t="shared" si="60"/>
        <v>64.986112328991979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303.37</v>
      </c>
      <c r="BB96" s="12">
        <f>VLOOKUP(A96,'Données projet'!$A$87:$I$107,9,0)</f>
        <v>7.6966666666666681</v>
      </c>
      <c r="BC96" s="12">
        <f t="array" ref="BC96">INDEX(BB:BB,MIN(IF(ISNUMBER(BB96:BB292),ROW(BB96:BB292),"")))</f>
        <v>7.6966666666666681</v>
      </c>
      <c r="BD96" s="12">
        <f>IF('Données projet'!$A$88&gt;35,BD95+BC96-BL95,IF(A96&lt;'Données projet'!$A$88,$BA$205^A96,IF(A96='Données projet'!$A$88,'Données projet'!$B$88,BD95+BC96-BL95)))</f>
        <v>303.37000000000029</v>
      </c>
      <c r="BE96" s="13">
        <f>BD96*VLOOKUP('Données projet'!$B$11,Paramètres!$A$1:$I$89,3,0)*VLOOKUP('Données projet'!$B$11,Paramètres!$A$1:$I$89,5,0)</f>
        <v>274.48917600000021</v>
      </c>
      <c r="BF96" s="13">
        <f t="shared" si="91"/>
        <v>65.801069476622146</v>
      </c>
      <c r="BG96" s="20">
        <f t="shared" si="61"/>
        <v>592.67217753845057</v>
      </c>
      <c r="BH96" s="59">
        <f t="shared" si="62"/>
        <v>886.00551087178383</v>
      </c>
      <c r="BI96" s="59">
        <f ca="1">AVERAGE(OFFSET($BH$3,0,0,'Données projet'!$E$11+1,1))-AVERAGE(OFFSET($H$3,0,0,'Données projet'!$E$11+1,1))</f>
        <v>490.06222615476065</v>
      </c>
      <c r="BJ96" s="59">
        <f t="shared" si="92"/>
        <v>310.43914804089906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42.910000000000025</v>
      </c>
      <c r="BM96" s="16">
        <f>IF(ISNA(VLOOKUP(A96,'Données projet'!$A$87:$I$107,5,0)),0%,VLOOKUP(A96,'Données projet'!$A$87:$I$107,5,0)*VLOOKUP('Données projet'!$B$11,Paramètres!$A$1:$I$89,7,0))</f>
        <v>0.15049999999999999</v>
      </c>
      <c r="BN96" s="16">
        <f>IF(ISNA(VLOOKUP(A96,'Données projet'!$A$87:$I$107,6,0)),0%,VLOOKUP(A96,'Données projet'!$A$87:$I$107,6,0)*VLOOKUP('Données projet'!$B$11,Paramètres!$A$1:$I$89,7,0))</f>
        <v>8.6000000000000007E-2</v>
      </c>
      <c r="BO96" s="16">
        <f>IF(ISNA(VLOOKUP(A96,'Données projet'!$A$87:$I$107,7,0)),0%,VLOOKUP(A96,'Données projet'!$A$87:$I$107,7,0))</f>
        <v>0.1</v>
      </c>
      <c r="BP96" s="21">
        <f>EXP(-LN(2)/35)*BP95+(1-EXP(-LN(2)/35))/(LN(2)/35)*BL96*BM96*VLOOKUP('Données projet'!$B$11,Paramètres!$A$1:$I$89,3,0)*0.475*44/12</f>
        <v>25.301338998144534</v>
      </c>
      <c r="BQ96" s="21">
        <f>EXP(-LN(2)/25)*BQ95+(1-EXP(-LN(2)/25))/(LN(2)/25)*Calculateur!BL96*Calculateur!BN96*VLOOKUP('Données projet'!$B$11,Paramètres!$A$1:$I$89,3,0)*0.475*44/12</f>
        <v>24.816724662498768</v>
      </c>
      <c r="BR96" s="21">
        <f>EXP(-LN(2)/2)*BR95+(1-EXP(-LN(2)/2))/(LN(2)/2)*BL96*BO96*VLOOKUP('Données projet'!$B$11,Paramètres!$A$1:$I$89,3,0)*0.475*44/12</f>
        <v>3.8583560171132096</v>
      </c>
      <c r="BS96" s="22">
        <f t="shared" si="63"/>
        <v>53.97641967775651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353.37479213497227</v>
      </c>
      <c r="T97" s="59">
        <f t="shared" si="88"/>
        <v>345.4750813433123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39.395056046043429</v>
      </c>
      <c r="AA97" s="21">
        <f>EXP(-LN(2)/25)*AA96+(1-EXP(-LN(2)/25))/(LN(2)/25)*Calculateur!V97*Calculateur!X97*VLOOKUP('Données projet'!$B$9,Paramètres!$A$1:$I$89,3,0)*0.475*44/12</f>
        <v>34.813008534576241</v>
      </c>
      <c r="AB97" s="21">
        <f>EXP(-LN(2)/2)*AB96+(1-EXP(-LN(2)/2))/(LN(2)/2)*V97*Y97*VLOOKUP('Données projet'!$B$9,Paramètres!$A$1:$I$89,3,0)*0.475*44/12</f>
        <v>0.48766657190938395</v>
      </c>
      <c r="AC97" s="22">
        <f t="shared" si="57"/>
        <v>74.695731152529049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9.4258333333333351</v>
      </c>
      <c r="AI97" s="13">
        <f>IF('Données projet'!$A$62&gt;35,AI96+AH97-AQ96,IF(A97&lt;'Données projet'!$A$62,$AF$205^A97,IF(A97='Données projet'!$A$62,'Données projet'!$B$62,AI96+AH97-AQ96)))</f>
        <v>400.22083333333353</v>
      </c>
      <c r="AJ97" s="13">
        <f>AI97*VLOOKUP('Données projet'!$B$10,Paramètres!$A$1:$I$89,3,0)*VLOOKUP('Données projet'!$B$10,Paramètres!$A$1:$I$89,5,0)</f>
        <v>187.30335000000008</v>
      </c>
      <c r="AK97" s="13">
        <f t="shared" si="89"/>
        <v>46.943266733511237</v>
      </c>
      <c r="AL97" s="20">
        <f t="shared" si="58"/>
        <v>407.97952414419888</v>
      </c>
      <c r="AM97" s="59">
        <f t="shared" si="59"/>
        <v>701.31285747753213</v>
      </c>
      <c r="AN97" s="59">
        <f ca="1">AVERAGE(OFFSET($AM$3,0,0,'Données projet'!$E$10+1,1))-AVERAGE(OFFSET($H$3,0,0,'Données projet'!$E$10+1,1))</f>
        <v>293.15557501692803</v>
      </c>
      <c r="AO97" s="59">
        <f t="shared" si="90"/>
        <v>237.1930412773068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46.203831197704567</v>
      </c>
      <c r="AV97" s="21">
        <f>EXP(-LN(2)/25)*AV96+(1-EXP(-LN(2)/25))/(LN(2)/25)*Calculateur!AQ97*Calculateur!AS97*VLOOKUP('Données projet'!$B$10,Paramètres!$A$1:$I$89,3,0)*0.475*44/12</f>
        <v>16.158440584602275</v>
      </c>
      <c r="AW97" s="21">
        <f>EXP(-LN(2)/2)*AW96+(1-EXP(-LN(2)/2))/(LN(2)/2)*AQ97*AT97*VLOOKUP('Données projet'!$B$10,Paramètres!$A$1:$I$89,3,0)*0.475*44/12</f>
        <v>0.88064065910097744</v>
      </c>
      <c r="AX97" s="21">
        <f t="shared" si="60"/>
        <v>63.242912441407817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7.7249999999999996</v>
      </c>
      <c r="BD97" s="12">
        <f>IF('Données projet'!$A$88&gt;35,BD96+BC97-BL96,IF(A97&lt;'Données projet'!$A$88,$BA$205^A97,IF(A97='Données projet'!$A$88,'Données projet'!$B$88,BD96+BC97-BL96)))</f>
        <v>268.18500000000029</v>
      </c>
      <c r="BE97" s="13">
        <f>BD97*VLOOKUP('Données projet'!$B$11,Paramètres!$A$1:$I$89,3,0)*VLOOKUP('Données projet'!$B$11,Paramètres!$A$1:$I$89,5,0)</f>
        <v>242.65378800000025</v>
      </c>
      <c r="BF97" s="13">
        <f t="shared" si="91"/>
        <v>59.010139953692004</v>
      </c>
      <c r="BG97" s="20">
        <f t="shared" si="61"/>
        <v>525.39800785268062</v>
      </c>
      <c r="BH97" s="59">
        <f t="shared" si="62"/>
        <v>818.73134118601388</v>
      </c>
      <c r="BI97" s="59">
        <f ca="1">AVERAGE(OFFSET($BH$3,0,0,'Données projet'!$E$11+1,1))-AVERAGE(OFFSET($H$3,0,0,'Données projet'!$E$11+1,1))</f>
        <v>490.06222615476065</v>
      </c>
      <c r="BJ97" s="59">
        <f t="shared" si="92"/>
        <v>310.43914804089906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24.805195172683895</v>
      </c>
      <c r="BQ97" s="21">
        <f>EXP(-LN(2)/25)*BQ96+(1-EXP(-LN(2)/25))/(LN(2)/25)*Calculateur!BL97*Calculateur!BN97*VLOOKUP('Données projet'!$B$11,Paramètres!$A$1:$I$89,3,0)*0.475*44/12</f>
        <v>24.138110021547909</v>
      </c>
      <c r="BR97" s="21">
        <f>EXP(-LN(2)/2)*BR96+(1-EXP(-LN(2)/2))/(LN(2)/2)*BL97*BO97*VLOOKUP('Données projet'!$B$11,Paramètres!$A$1:$I$89,3,0)*0.475*44/12</f>
        <v>2.7282697039326695</v>
      </c>
      <c r="BS97" s="22">
        <f t="shared" si="63"/>
        <v>51.671574898164472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353.37479213497227</v>
      </c>
      <c r="T98" s="59">
        <f t="shared" si="88"/>
        <v>345.4750813433123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38.62254302559208</v>
      </c>
      <c r="AA98" s="21">
        <f>EXP(-LN(2)/25)*AA97+(1-EXP(-LN(2)/25))/(LN(2)/25)*Calculateur!V98*Calculateur!X98*VLOOKUP('Données projet'!$B$9,Paramètres!$A$1:$I$89,3,0)*0.475*44/12</f>
        <v>33.861044985461703</v>
      </c>
      <c r="AB98" s="21">
        <f>EXP(-LN(2)/2)*AB97+(1-EXP(-LN(2)/2))/(LN(2)/2)*V98*Y98*VLOOKUP('Données projet'!$B$9,Paramètres!$A$1:$I$89,3,0)*0.475*44/12</f>
        <v>0.34483233995512252</v>
      </c>
      <c r="AC98" s="22">
        <f t="shared" si="57"/>
        <v>72.828420351008901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9.4258333333333351</v>
      </c>
      <c r="AI98" s="13">
        <f>IF('Données projet'!$A$62&gt;35,AI97+AH98-AQ97,IF(A98&lt;'Données projet'!$A$62,$AF$205^A98,IF(A98='Données projet'!$A$62,'Données projet'!$B$62,AI97+AH98-AQ97)))</f>
        <v>409.64666666666687</v>
      </c>
      <c r="AJ98" s="13">
        <f>AI98*VLOOKUP('Données projet'!$B$10,Paramètres!$A$1:$I$89,3,0)*VLOOKUP('Données projet'!$B$10,Paramètres!$A$1:$I$89,5,0)</f>
        <v>191.71464000000009</v>
      </c>
      <c r="AK98" s="13">
        <f t="shared" si="89"/>
        <v>47.918836973633752</v>
      </c>
      <c r="AL98" s="20">
        <f t="shared" si="58"/>
        <v>417.36163906241222</v>
      </c>
      <c r="AM98" s="59">
        <f t="shared" si="59"/>
        <v>710.69497239574548</v>
      </c>
      <c r="AN98" s="59">
        <f ca="1">AVERAGE(OFFSET($AM$3,0,0,'Données projet'!$E$10+1,1))-AVERAGE(OFFSET($H$3,0,0,'Données projet'!$E$10+1,1))</f>
        <v>293.15557501692803</v>
      </c>
      <c r="AO98" s="59">
        <f t="shared" si="90"/>
        <v>237.1930412773068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45.297802249471914</v>
      </c>
      <c r="AV98" s="21">
        <f>EXP(-LN(2)/25)*AV97+(1-EXP(-LN(2)/25))/(LN(2)/25)*Calculateur!AQ98*Calculateur!AS98*VLOOKUP('Données projet'!$B$10,Paramètres!$A$1:$I$89,3,0)*0.475*44/12</f>
        <v>15.716587177080866</v>
      </c>
      <c r="AW98" s="21">
        <f>EXP(-LN(2)/2)*AW97+(1-EXP(-LN(2)/2))/(LN(2)/2)*AQ98*AT98*VLOOKUP('Données projet'!$B$10,Paramètres!$A$1:$I$89,3,0)*0.475*44/12</f>
        <v>0.62270698183889184</v>
      </c>
      <c r="AX98" s="21">
        <f t="shared" si="60"/>
        <v>61.63709640839167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7.7249999999999996</v>
      </c>
      <c r="BD98" s="12">
        <f>IF('Données projet'!$A$88&gt;35,BD97+BC98-BL97,IF(A98&lt;'Données projet'!$A$88,$BA$205^A98,IF(A98='Données projet'!$A$88,'Données projet'!$B$88,BD97+BC98-BL97)))</f>
        <v>275.91000000000031</v>
      </c>
      <c r="BE98" s="13">
        <f>BD98*VLOOKUP('Données projet'!$B$11,Paramètres!$A$1:$I$89,3,0)*VLOOKUP('Données projet'!$B$11,Paramètres!$A$1:$I$89,5,0)</f>
        <v>249.64336800000024</v>
      </c>
      <c r="BF98" s="13">
        <f t="shared" si="91"/>
        <v>60.5095671334008</v>
      </c>
      <c r="BG98" s="20">
        <f t="shared" si="61"/>
        <v>540.1830286906735</v>
      </c>
      <c r="BH98" s="59">
        <f t="shared" si="62"/>
        <v>833.51636202400687</v>
      </c>
      <c r="BI98" s="59">
        <f ca="1">AVERAGE(OFFSET($BH$3,0,0,'Données projet'!$E$11+1,1))-AVERAGE(OFFSET($H$3,0,0,'Données projet'!$E$11+1,1))</f>
        <v>490.06222615476065</v>
      </c>
      <c r="BJ98" s="59">
        <f t="shared" si="92"/>
        <v>310.43914804089906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24.318780425022688</v>
      </c>
      <c r="BQ98" s="21">
        <f>EXP(-LN(2)/25)*BQ97+(1-EXP(-LN(2)/25))/(LN(2)/25)*Calculateur!BL98*Calculateur!BN98*VLOOKUP('Données projet'!$B$11,Paramètres!$A$1:$I$89,3,0)*0.475*44/12</f>
        <v>23.478052133640645</v>
      </c>
      <c r="BR98" s="21">
        <f>EXP(-LN(2)/2)*BR97+(1-EXP(-LN(2)/2))/(LN(2)/2)*BL98*BO98*VLOOKUP('Données projet'!$B$11,Paramètres!$A$1:$I$89,3,0)*0.475*44/12</f>
        <v>1.929178008556605</v>
      </c>
      <c r="BS98" s="22">
        <f t="shared" si="63"/>
        <v>49.726010567219937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353.37479213497227</v>
      </c>
      <c r="T99" s="59">
        <f t="shared" si="88"/>
        <v>345.4750813433123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37.865178514285361</v>
      </c>
      <c r="AA99" s="21">
        <f>EXP(-LN(2)/25)*AA98+(1-EXP(-LN(2)/25))/(LN(2)/25)*Calculateur!V99*Calculateur!X99*VLOOKUP('Données projet'!$B$9,Paramètres!$A$1:$I$89,3,0)*0.475*44/12</f>
        <v>32.93511292965929</v>
      </c>
      <c r="AB99" s="21">
        <f>EXP(-LN(2)/2)*AB98+(1-EXP(-LN(2)/2))/(LN(2)/2)*V99*Y99*VLOOKUP('Données projet'!$B$9,Paramètres!$A$1:$I$89,3,0)*0.475*44/12</f>
        <v>0.243833285954692</v>
      </c>
      <c r="AC99" s="22">
        <f t="shared" si="57"/>
        <v>71.044124729899337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9.4258333333333351</v>
      </c>
      <c r="AI99" s="13">
        <f>IF('Données projet'!$A$62&gt;35,AI98+AH99-AQ98,IF(A99&lt;'Données projet'!$A$62,$AF$205^A99,IF(A99='Données projet'!$A$62,'Données projet'!$B$62,AI98+AH99-AQ98)))</f>
        <v>419.07250000000022</v>
      </c>
      <c r="AJ99" s="13">
        <f>AI99*VLOOKUP('Données projet'!$B$10,Paramètres!$A$1:$I$89,3,0)*VLOOKUP('Données projet'!$B$10,Paramètres!$A$1:$I$89,5,0)</f>
        <v>196.1259300000001</v>
      </c>
      <c r="AK99" s="13">
        <f t="shared" si="89"/>
        <v>48.891797571959543</v>
      </c>
      <c r="AL99" s="20">
        <f t="shared" si="58"/>
        <v>426.73920885449638</v>
      </c>
      <c r="AM99" s="59">
        <f t="shared" si="59"/>
        <v>720.07254218782964</v>
      </c>
      <c r="AN99" s="59">
        <f ca="1">AVERAGE(OFFSET($AM$3,0,0,'Données projet'!$E$10+1,1))-AVERAGE(OFFSET($H$3,0,0,'Données projet'!$E$10+1,1))</f>
        <v>293.15557501692803</v>
      </c>
      <c r="AO99" s="59">
        <f t="shared" si="90"/>
        <v>237.1930412773068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44.409539976291015</v>
      </c>
      <c r="AV99" s="21">
        <f>EXP(-LN(2)/25)*AV98+(1-EXP(-LN(2)/25))/(LN(2)/25)*Calculateur!AQ99*Calculateur!AS99*VLOOKUP('Données projet'!$B$10,Paramètres!$A$1:$I$89,3,0)*0.475*44/12</f>
        <v>15.286816274224192</v>
      </c>
      <c r="AW99" s="21">
        <f>EXP(-LN(2)/2)*AW98+(1-EXP(-LN(2)/2))/(LN(2)/2)*AQ99*AT99*VLOOKUP('Données projet'!$B$10,Paramètres!$A$1:$I$89,3,0)*0.475*44/12</f>
        <v>0.44032032955048872</v>
      </c>
      <c r="AX99" s="21">
        <f t="shared" si="60"/>
        <v>60.136676580065696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7.7249999999999996</v>
      </c>
      <c r="BD99" s="12">
        <f>IF('Données projet'!$A$88&gt;35,BD98+BC99-BL98,IF(A99&lt;'Données projet'!$A$88,$BA$205^A99,IF(A99='Données projet'!$A$88,'Données projet'!$B$88,BD98+BC99-BL98)))</f>
        <v>283.63500000000033</v>
      </c>
      <c r="BE99" s="13">
        <f>BD99*VLOOKUP('Données projet'!$B$11,Paramètres!$A$1:$I$89,3,0)*VLOOKUP('Données projet'!$B$11,Paramètres!$A$1:$I$89,5,0)</f>
        <v>256.63294800000028</v>
      </c>
      <c r="BF99" s="13">
        <f t="shared" si="91"/>
        <v>62.00411496417383</v>
      </c>
      <c r="BG99" s="20">
        <f t="shared" si="61"/>
        <v>554.95955132926986</v>
      </c>
      <c r="BH99" s="59">
        <f t="shared" si="62"/>
        <v>848.29288466260323</v>
      </c>
      <c r="BI99" s="59">
        <f ca="1">AVERAGE(OFFSET($BH$3,0,0,'Données projet'!$E$11+1,1))-AVERAGE(OFFSET($H$3,0,0,'Données projet'!$E$11+1,1))</f>
        <v>490.06222615476065</v>
      </c>
      <c r="BJ99" s="59">
        <f t="shared" si="92"/>
        <v>310.43914804089906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23.841903973879415</v>
      </c>
      <c r="BQ99" s="21">
        <f>EXP(-LN(2)/25)*BQ98+(1-EXP(-LN(2)/25))/(LN(2)/25)*Calculateur!BL99*Calculateur!BN99*VLOOKUP('Données projet'!$B$11,Paramètres!$A$1:$I$89,3,0)*0.475*44/12</f>
        <v>22.83604356338914</v>
      </c>
      <c r="BR99" s="21">
        <f>EXP(-LN(2)/2)*BR98+(1-EXP(-LN(2)/2))/(LN(2)/2)*BL99*BO99*VLOOKUP('Données projet'!$B$11,Paramètres!$A$1:$I$89,3,0)*0.475*44/12</f>
        <v>1.364134851966335</v>
      </c>
      <c r="BS99" s="22">
        <f t="shared" si="63"/>
        <v>48.042082389234885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353.37479213497227</v>
      </c>
      <c r="T100" s="59">
        <f t="shared" si="88"/>
        <v>345.4750813433123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37.122665459098627</v>
      </c>
      <c r="AA100" s="21">
        <f>EXP(-LN(2)/25)*AA99+(1-EXP(-LN(2)/25))/(LN(2)/25)*Calculateur!V100*Calculateur!X100*VLOOKUP('Données projet'!$B$9,Paramètres!$A$1:$I$89,3,0)*0.475*44/12</f>
        <v>32.034500534615439</v>
      </c>
      <c r="AB100" s="21">
        <f>EXP(-LN(2)/2)*AB99+(1-EXP(-LN(2)/2))/(LN(2)/2)*V100*Y100*VLOOKUP('Données projet'!$B$9,Paramètres!$A$1:$I$89,3,0)*0.475*44/12</f>
        <v>0.17241616997756129</v>
      </c>
      <c r="AC100" s="22">
        <f t="shared" si="57"/>
        <v>69.32958216369164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9.4258333333333351</v>
      </c>
      <c r="AI100" s="13">
        <f>IF('Données projet'!$A$62&gt;35,AI99+AH100-AQ99,IF(A100&lt;'Données projet'!$A$62,$AF$205^A100,IF(A100='Données projet'!$A$62,'Données projet'!$B$62,AI99+AH100-AQ99)))</f>
        <v>428.49833333333356</v>
      </c>
      <c r="AJ100" s="13">
        <f>AI100*VLOOKUP('Données projet'!$B$10,Paramètres!$A$1:$I$89,3,0)*VLOOKUP('Données projet'!$B$10,Paramètres!$A$1:$I$89,5,0)</f>
        <v>200.5372200000001</v>
      </c>
      <c r="AK100" s="13">
        <f t="shared" si="89"/>
        <v>49.862213982600288</v>
      </c>
      <c r="AL100" s="20">
        <f t="shared" si="58"/>
        <v>436.11234751969567</v>
      </c>
      <c r="AM100" s="59">
        <f t="shared" si="59"/>
        <v>729.44568085302899</v>
      </c>
      <c r="AN100" s="59">
        <f ca="1">AVERAGE(OFFSET($AM$3,0,0,'Données projet'!$E$10+1,1))-AVERAGE(OFFSET($H$3,0,0,'Données projet'!$E$10+1,1))</f>
        <v>293.15557501692803</v>
      </c>
      <c r="AO100" s="59">
        <f t="shared" si="90"/>
        <v>237.1930412773068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43.538695984500698</v>
      </c>
      <c r="AV100" s="21">
        <f>EXP(-LN(2)/25)*AV99+(1-EXP(-LN(2)/25))/(LN(2)/25)*Calculateur!AQ100*Calculateur!AS100*VLOOKUP('Données projet'!$B$10,Paramètres!$A$1:$I$89,3,0)*0.475*44/12</f>
        <v>14.868797479306801</v>
      </c>
      <c r="AW100" s="21">
        <f>EXP(-LN(2)/2)*AW99+(1-EXP(-LN(2)/2))/(LN(2)/2)*AQ100*AT100*VLOOKUP('Données projet'!$B$10,Paramètres!$A$1:$I$89,3,0)*0.475*44/12</f>
        <v>0.31135349091944592</v>
      </c>
      <c r="AX100" s="21">
        <f t="shared" si="60"/>
        <v>58.718846954726942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7.7249999999999996</v>
      </c>
      <c r="BD100" s="12">
        <f>IF('Données projet'!$A$88&gt;35,BD99+BC100-BL99,IF(A100&lt;'Données projet'!$A$88,$BA$205^A100,IF(A100='Données projet'!$A$88,'Données projet'!$B$88,BD99+BC100-BL99)))</f>
        <v>291.36000000000035</v>
      </c>
      <c r="BE100" s="13">
        <f>BD100*VLOOKUP('Données projet'!$B$11,Paramètres!$A$1:$I$89,3,0)*VLOOKUP('Données projet'!$B$11,Paramètres!$A$1:$I$89,5,0)</f>
        <v>263.62252800000033</v>
      </c>
      <c r="BF100" s="13">
        <f t="shared" si="91"/>
        <v>63.493931609397407</v>
      </c>
      <c r="BG100" s="20">
        <f t="shared" si="61"/>
        <v>569.727833819701</v>
      </c>
      <c r="BH100" s="59">
        <f t="shared" si="62"/>
        <v>863.06116715303438</v>
      </c>
      <c r="BI100" s="59">
        <f ca="1">AVERAGE(OFFSET($BH$3,0,0,'Données projet'!$E$11+1,1))-AVERAGE(OFFSET($H$3,0,0,'Données projet'!$E$11+1,1))</f>
        <v>490.06222615476065</v>
      </c>
      <c r="BJ100" s="59">
        <f t="shared" si="92"/>
        <v>310.43914804089906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23.374378779077148</v>
      </c>
      <c r="BQ100" s="21">
        <f>EXP(-LN(2)/25)*BQ99+(1-EXP(-LN(2)/25))/(LN(2)/25)*Calculateur!BL100*Calculateur!BN100*VLOOKUP('Données projet'!$B$11,Paramètres!$A$1:$I$89,3,0)*0.475*44/12</f>
        <v>22.211590751252924</v>
      </c>
      <c r="BR100" s="21">
        <f>EXP(-LN(2)/2)*BR99+(1-EXP(-LN(2)/2))/(LN(2)/2)*BL100*BO100*VLOOKUP('Données projet'!$B$11,Paramètres!$A$1:$I$89,3,0)*0.475*44/12</f>
        <v>0.96458900427830274</v>
      </c>
      <c r="BS100" s="22">
        <f t="shared" si="63"/>
        <v>46.550558534608378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353.37479213497227</v>
      </c>
      <c r="T101" s="59">
        <f t="shared" si="88"/>
        <v>345.4750813433123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36.394712632035862</v>
      </c>
      <c r="AA101" s="21">
        <f>EXP(-LN(2)/25)*AA100+(1-EXP(-LN(2)/25))/(LN(2)/25)*Calculateur!V101*Calculateur!X101*VLOOKUP('Données projet'!$B$9,Paramètres!$A$1:$I$89,3,0)*0.475*44/12</f>
        <v>31.158515432875213</v>
      </c>
      <c r="AB101" s="21">
        <f>EXP(-LN(2)/2)*AB100+(1-EXP(-LN(2)/2))/(LN(2)/2)*V101*Y101*VLOOKUP('Données projet'!$B$9,Paramètres!$A$1:$I$89,3,0)*0.475*44/12</f>
        <v>0.12191664297734603</v>
      </c>
      <c r="AC101" s="22">
        <f t="shared" si="57"/>
        <v>67.675144707888421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9.4258333333333351</v>
      </c>
      <c r="AI101" s="13">
        <f>IF('Données projet'!$A$62&gt;35,AI100+AH101-AQ100,IF(A101&lt;'Données projet'!$A$62,$AF$205^A101,IF(A101='Données projet'!$A$62,'Données projet'!$B$62,AI100+AH101-AQ100)))</f>
        <v>437.92416666666691</v>
      </c>
      <c r="AJ101" s="13">
        <f>AI101*VLOOKUP('Données projet'!$B$10,Paramètres!$A$1:$I$89,3,0)*VLOOKUP('Données projet'!$B$10,Paramètres!$A$1:$I$89,5,0)</f>
        <v>204.94851000000008</v>
      </c>
      <c r="AK101" s="13">
        <f t="shared" si="89"/>
        <v>50.83014861559694</v>
      </c>
      <c r="AL101" s="20">
        <f t="shared" si="58"/>
        <v>445.48116375549813</v>
      </c>
      <c r="AM101" s="59">
        <f t="shared" si="59"/>
        <v>738.81449708883144</v>
      </c>
      <c r="AN101" s="59">
        <f ca="1">AVERAGE(OFFSET($AM$3,0,0,'Données projet'!$E$10+1,1))-AVERAGE(OFFSET($H$3,0,0,'Données projet'!$E$10+1,1))</f>
        <v>293.15557501692803</v>
      </c>
      <c r="AO101" s="59">
        <f t="shared" si="90"/>
        <v>237.1930412773068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42.684928712227006</v>
      </c>
      <c r="AV101" s="21">
        <f>EXP(-LN(2)/25)*AV100+(1-EXP(-LN(2)/25))/(LN(2)/25)*Calculateur!AQ101*Calculateur!AS101*VLOOKUP('Données projet'!$B$10,Paramètres!$A$1:$I$89,3,0)*0.475*44/12</f>
        <v>14.46220943031908</v>
      </c>
      <c r="AW101" s="21">
        <f>EXP(-LN(2)/2)*AW100+(1-EXP(-LN(2)/2))/(LN(2)/2)*AQ101*AT101*VLOOKUP('Données projet'!$B$10,Paramètres!$A$1:$I$89,3,0)*0.475*44/12</f>
        <v>0.22016016477524436</v>
      </c>
      <c r="AX101" s="21">
        <f t="shared" si="60"/>
        <v>57.367298307321327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7.7249999999999996</v>
      </c>
      <c r="BD101" s="12">
        <f>IF('Données projet'!$A$88&gt;35,BD100+BC101-BL100,IF(A101&lt;'Données projet'!$A$88,$BA$205^A101,IF(A101='Données projet'!$A$88,'Données projet'!$B$88,BD100+BC101-BL100)))</f>
        <v>299.08500000000038</v>
      </c>
      <c r="BE101" s="13">
        <f>BD101*VLOOKUP('Données projet'!$B$11,Paramètres!$A$1:$I$89,3,0)*VLOOKUP('Données projet'!$B$11,Paramètres!$A$1:$I$89,5,0)</f>
        <v>270.61210800000032</v>
      </c>
      <c r="BF101" s="13">
        <f t="shared" si="91"/>
        <v>64.979156928389983</v>
      </c>
      <c r="BG101" s="20">
        <f t="shared" si="61"/>
        <v>584.48811975027968</v>
      </c>
      <c r="BH101" s="59">
        <f t="shared" si="62"/>
        <v>877.82145308361305</v>
      </c>
      <c r="BI101" s="59">
        <f ca="1">AVERAGE(OFFSET($BH$3,0,0,'Données projet'!$E$11+1,1))-AVERAGE(OFFSET($H$3,0,0,'Données projet'!$E$11+1,1))</f>
        <v>490.06222615476065</v>
      </c>
      <c r="BJ101" s="59">
        <f t="shared" si="92"/>
        <v>310.43914804089906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22.916021468182741</v>
      </c>
      <c r="BQ101" s="21">
        <f>EXP(-LN(2)/25)*BQ100+(1-EXP(-LN(2)/25))/(LN(2)/25)*Calculateur!BL101*Calculateur!BN101*VLOOKUP('Données projet'!$B$11,Paramètres!$A$1:$I$89,3,0)*0.475*44/12</f>
        <v>21.604213634103122</v>
      </c>
      <c r="BR101" s="21">
        <f>EXP(-LN(2)/2)*BR100+(1-EXP(-LN(2)/2))/(LN(2)/2)*BL101*BO101*VLOOKUP('Données projet'!$B$11,Paramètres!$A$1:$I$89,3,0)*0.475*44/12</f>
        <v>0.68206742598316761</v>
      </c>
      <c r="BS101" s="22">
        <f t="shared" si="63"/>
        <v>45.202302528269037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353.37479213497227</v>
      </c>
      <c r="T102" s="59">
        <f t="shared" si="88"/>
        <v>345.4750813433123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35.681034515904415</v>
      </c>
      <c r="AA102" s="21">
        <f>EXP(-LN(2)/25)*AA101+(1-EXP(-LN(2)/25))/(LN(2)/25)*Calculateur!V102*Calculateur!X102*VLOOKUP('Données projet'!$B$9,Paramètres!$A$1:$I$89,3,0)*0.475*44/12</f>
        <v>30.306484189808128</v>
      </c>
      <c r="AB102" s="21">
        <f>EXP(-LN(2)/2)*AB101+(1-EXP(-LN(2)/2))/(LN(2)/2)*V102*Y102*VLOOKUP('Données projet'!$B$9,Paramètres!$A$1:$I$89,3,0)*0.475*44/12</f>
        <v>8.6208084988780659E-2</v>
      </c>
      <c r="AC102" s="22">
        <f t="shared" si="57"/>
        <v>66.073726790701329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447.35</v>
      </c>
      <c r="AG102" s="12">
        <f>VLOOKUP(A102,'Données projet'!$A$61:$I$81,9,0)</f>
        <v>9.4258333333333351</v>
      </c>
      <c r="AH102" s="12">
        <f t="array" ref="AH102">INDEX(AG:AG,MIN(IF(ISNUMBER(AG102:AG298),ROW(AG102:AG298),"")))</f>
        <v>9.4258333333333351</v>
      </c>
      <c r="AI102" s="13">
        <f>IF('Données projet'!$A$62&gt;35,AI101+AH102-AQ101,IF(A102&lt;'Données projet'!$A$62,$AF$205^A102,IF(A102='Données projet'!$A$62,'Données projet'!$B$62,AI101+AH102-AQ101)))</f>
        <v>447.35000000000025</v>
      </c>
      <c r="AJ102" s="13">
        <f>AI102*VLOOKUP('Données projet'!$B$10,Paramètres!$A$1:$I$89,3,0)*VLOOKUP('Données projet'!$B$10,Paramètres!$A$1:$I$89,5,0)</f>
        <v>209.35980000000012</v>
      </c>
      <c r="AK102" s="13">
        <f t="shared" si="89"/>
        <v>51.795661040915135</v>
      </c>
      <c r="AL102" s="20">
        <f t="shared" si="58"/>
        <v>454.84576131292738</v>
      </c>
      <c r="AM102" s="59">
        <f t="shared" si="59"/>
        <v>748.17909464626064</v>
      </c>
      <c r="AN102" s="59">
        <f ca="1">AVERAGE(OFFSET($AM$3,0,0,'Données projet'!$E$10+1,1))-AVERAGE(OFFSET($H$3,0,0,'Données projet'!$E$10+1,1))</f>
        <v>293.15557501692803</v>
      </c>
      <c r="AO102" s="59">
        <f t="shared" si="90"/>
        <v>237.1930412773068</v>
      </c>
      <c r="AP102" s="15">
        <f>IF(ISNA(VLOOKUP(A102,'Données projet'!$A$61:$I$81,3,0)),0,VLOOKUP(A102,'Données projet'!$A$61:$I$81,3,0))</f>
        <v>5</v>
      </c>
      <c r="AQ102" s="15">
        <f>IF(ISNA(VLOOKUP(A102,'Données projet'!$A$61:$I$81,4,0)),0,VLOOKUP(A102,'Données projet'!$A$61:$I$81,4,0))</f>
        <v>222.86</v>
      </c>
      <c r="AR102" s="16">
        <f>IF(ISNA(VLOOKUP(A102,'Données projet'!$A$61:$I$81,5,0)),0%,VLOOKUP(A102,'Données projet'!$A$61:$I$81,5,0)*VLOOKUP('Données projet'!$B$10,Paramètres!$A$1:$I$89,7,0))</f>
        <v>0.33</v>
      </c>
      <c r="AS102" s="16">
        <f>IF(ISNA(VLOOKUP(A102,'Données projet'!$A$61:$I$81,6,0)),0%,VLOOKUP(A102,'Données projet'!$A$61:$I$81,6,0)*VLOOKUP('Données projet'!$B$10,Paramètres!$A$1:$I$89,7,0))</f>
        <v>0.11000000000000001</v>
      </c>
      <c r="AT102" s="16">
        <f>IF(ISNA(VLOOKUP(A102,'Données projet'!$A$61:$I$81,7,0)),0%,VLOOKUP(A102,'Données projet'!$A$61:$I$81,7,0))</f>
        <v>0.2</v>
      </c>
      <c r="AU102" s="21">
        <f>EXP(-LN(2)/35)*AU101+(1-EXP(-LN(2)/35))/(LN(2)/35)*AQ102*AR102*VLOOKUP('Données projet'!$B$10,Paramètres!$A$1:$I$89,3,0)*0.475*44/12</f>
        <v>87.506259882458664</v>
      </c>
      <c r="AV102" s="21">
        <f>EXP(-LN(2)/25)*AV101+(1-EXP(-LN(2)/25))/(LN(2)/25)*Calculateur!AQ102*Calculateur!AS102*VLOOKUP('Données projet'!$B$10,Paramètres!$A$1:$I$89,3,0)*0.475*44/12</f>
        <v>29.226266966233041</v>
      </c>
      <c r="AW102" s="21">
        <f>EXP(-LN(2)/2)*AW101+(1-EXP(-LN(2)/2))/(LN(2)/2)*AQ102*AT102*VLOOKUP('Données projet'!$B$10,Paramètres!$A$1:$I$89,3,0)*0.475*44/12</f>
        <v>23.773698273243351</v>
      </c>
      <c r="AX102" s="21">
        <f t="shared" si="60"/>
        <v>140.50622512193505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7.7249999999999996</v>
      </c>
      <c r="BD102" s="12">
        <f>IF('Données projet'!$A$88&gt;35,BD101+BC102-BL101,IF(A102&lt;'Données projet'!$A$88,$BA$205^A102,IF(A102='Données projet'!$A$88,'Données projet'!$B$88,BD101+BC102-BL101)))</f>
        <v>306.8100000000004</v>
      </c>
      <c r="BE102" s="13">
        <f>BD102*VLOOKUP('Données projet'!$B$11,Paramètres!$A$1:$I$89,3,0)*VLOOKUP('Données projet'!$B$11,Paramètres!$A$1:$I$89,5,0)</f>
        <v>277.60168800000031</v>
      </c>
      <c r="BF102" s="13">
        <f t="shared" si="91"/>
        <v>66.459923144116161</v>
      </c>
      <c r="BG102" s="20">
        <f t="shared" si="61"/>
        <v>599.24063940933604</v>
      </c>
      <c r="BH102" s="59">
        <f t="shared" si="62"/>
        <v>892.57397274266941</v>
      </c>
      <c r="BI102" s="59">
        <f ca="1">AVERAGE(OFFSET($BH$3,0,0,'Données projet'!$E$11+1,1))-AVERAGE(OFFSET($H$3,0,0,'Données projet'!$E$11+1,1))</f>
        <v>490.06222615476065</v>
      </c>
      <c r="BJ102" s="59">
        <f t="shared" si="92"/>
        <v>310.43914804089906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22.466652264584621</v>
      </c>
      <c r="BQ102" s="21">
        <f>EXP(-LN(2)/25)*BQ101+(1-EXP(-LN(2)/25))/(LN(2)/25)*Calculateur!BL102*Calculateur!BN102*VLOOKUP('Données projet'!$B$11,Paramètres!$A$1:$I$89,3,0)*0.475*44/12</f>
        <v>21.013445276162354</v>
      </c>
      <c r="BR102" s="21">
        <f>EXP(-LN(2)/2)*BR101+(1-EXP(-LN(2)/2))/(LN(2)/2)*BL102*BO102*VLOOKUP('Données projet'!$B$11,Paramètres!$A$1:$I$89,3,0)*0.475*44/12</f>
        <v>0.48229450213915143</v>
      </c>
      <c r="BS102" s="22">
        <f t="shared" si="63"/>
        <v>43.96239204288613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353.37479213497227</v>
      </c>
      <c r="T103" s="59">
        <f t="shared" si="88"/>
        <v>345.4750813433123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34.98135119232964</v>
      </c>
      <c r="AA103" s="21">
        <f>EXP(-LN(2)/25)*AA102+(1-EXP(-LN(2)/25))/(LN(2)/25)*Calculateur!V103*Calculateur!X103*VLOOKUP('Données projet'!$B$9,Paramètres!$A$1:$I$89,3,0)*0.475*44/12</f>
        <v>29.477751785889087</v>
      </c>
      <c r="AB103" s="21">
        <f>EXP(-LN(2)/2)*AB102+(1-EXP(-LN(2)/2))/(LN(2)/2)*V103*Y103*VLOOKUP('Données projet'!$B$9,Paramètres!$A$1:$I$89,3,0)*0.475*44/12</f>
        <v>6.0958321488673022E-2</v>
      </c>
      <c r="AC103" s="22">
        <f t="shared" si="57"/>
        <v>64.520061299707393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6.5620000000000003</v>
      </c>
      <c r="AI103" s="13">
        <f>IF('Données projet'!$A$62&gt;35,AI102+AH103-AQ102,IF(A103&lt;'Données projet'!$A$62,$AF$205^A103,IF(A103='Données projet'!$A$62,'Données projet'!$B$62,AI102+AH103-AQ102)))</f>
        <v>231.05200000000025</v>
      </c>
      <c r="AJ103" s="13">
        <f>AI103*VLOOKUP('Données projet'!$B$10,Paramètres!$A$1:$I$89,3,0)*VLOOKUP('Données projet'!$B$10,Paramètres!$A$1:$I$89,5,0)</f>
        <v>108.13233600000011</v>
      </c>
      <c r="AK103" s="13">
        <f t="shared" si="89"/>
        <v>28.890510766614838</v>
      </c>
      <c r="AL103" s="20">
        <f t="shared" si="58"/>
        <v>238.64812478518766</v>
      </c>
      <c r="AM103" s="59">
        <f t="shared" si="59"/>
        <v>531.981458118521</v>
      </c>
      <c r="AN103" s="59">
        <f ca="1">AVERAGE(OFFSET($AM$3,0,0,'Données projet'!$E$10+1,1))-AVERAGE(OFFSET($H$3,0,0,'Données projet'!$E$10+1,1))</f>
        <v>293.15557501692803</v>
      </c>
      <c r="AO103" s="59">
        <f t="shared" si="90"/>
        <v>237.1930412773068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85.79031549971198</v>
      </c>
      <c r="AV103" s="21">
        <f>EXP(-LN(2)/25)*AV102+(1-EXP(-LN(2)/25))/(LN(2)/25)*Calculateur!AQ103*Calculateur!AS103*VLOOKUP('Données projet'!$B$10,Paramètres!$A$1:$I$89,3,0)*0.475*44/12</f>
        <v>28.427073159098818</v>
      </c>
      <c r="AW103" s="21">
        <f>EXP(-LN(2)/2)*AW102+(1-EXP(-LN(2)/2))/(LN(2)/2)*AQ103*AT103*VLOOKUP('Données projet'!$B$10,Paramètres!$A$1:$I$89,3,0)*0.475*44/12</f>
        <v>16.81054326289329</v>
      </c>
      <c r="AX103" s="21">
        <f t="shared" si="60"/>
        <v>131.02793192170407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7.7249999999999996</v>
      </c>
      <c r="BD103" s="12">
        <f>IF('Données projet'!$A$88&gt;35,BD102+BC103-BL102,IF(A103&lt;'Données projet'!$A$88,$BA$205^A103,IF(A103='Données projet'!$A$88,'Données projet'!$B$88,BD102+BC103-BL102)))</f>
        <v>314.53500000000042</v>
      </c>
      <c r="BE103" s="13">
        <f>BD103*VLOOKUP('Données projet'!$B$11,Paramètres!$A$1:$I$89,3,0)*VLOOKUP('Données projet'!$B$11,Paramètres!$A$1:$I$89,5,0)</f>
        <v>284.59126800000041</v>
      </c>
      <c r="BF103" s="13">
        <f t="shared" si="91"/>
        <v>67.936355441759275</v>
      </c>
      <c r="BG103" s="20">
        <f t="shared" si="61"/>
        <v>613.98561082773153</v>
      </c>
      <c r="BH103" s="59">
        <f t="shared" si="62"/>
        <v>907.31894416106479</v>
      </c>
      <c r="BI103" s="59">
        <f ca="1">AVERAGE(OFFSET($BH$3,0,0,'Données projet'!$E$11+1,1))-AVERAGE(OFFSET($H$3,0,0,'Données projet'!$E$11+1,1))</f>
        <v>490.06222615476065</v>
      </c>
      <c r="BJ103" s="59">
        <f t="shared" si="92"/>
        <v>310.43914804089906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22.026094916980909</v>
      </c>
      <c r="BQ103" s="21">
        <f>EXP(-LN(2)/25)*BQ102+(1-EXP(-LN(2)/25))/(LN(2)/25)*Calculateur!BL103*Calculateur!BN103*VLOOKUP('Données projet'!$B$11,Paramètres!$A$1:$I$89,3,0)*0.475*44/12</f>
        <v>20.438831510036636</v>
      </c>
      <c r="BR103" s="21">
        <f>EXP(-LN(2)/2)*BR102+(1-EXP(-LN(2)/2))/(LN(2)/2)*BL103*BO103*VLOOKUP('Données projet'!$B$11,Paramètres!$A$1:$I$89,3,0)*0.475*44/12</f>
        <v>0.34103371299158386</v>
      </c>
      <c r="BS103" s="22">
        <f t="shared" si="63"/>
        <v>42.805960140009127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353.37479213497227</v>
      </c>
      <c r="T104" s="59">
        <f t="shared" si="88"/>
        <v>345.4750813433123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34.295388231965475</v>
      </c>
      <c r="AA104" s="21">
        <f>EXP(-LN(2)/25)*AA103+(1-EXP(-LN(2)/25))/(LN(2)/25)*Calculateur!V104*Calculateur!X104*VLOOKUP('Données projet'!$B$9,Paramètres!$A$1:$I$89,3,0)*0.475*44/12</f>
        <v>28.671681113136355</v>
      </c>
      <c r="AB104" s="21">
        <f>EXP(-LN(2)/2)*AB103+(1-EXP(-LN(2)/2))/(LN(2)/2)*V104*Y104*VLOOKUP('Données projet'!$B$9,Paramètres!$A$1:$I$89,3,0)*0.475*44/12</f>
        <v>4.3104042494390336E-2</v>
      </c>
      <c r="AC104" s="22">
        <f t="shared" si="57"/>
        <v>63.010173387596225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6.5620000000000003</v>
      </c>
      <c r="AI104" s="13">
        <f>IF('Données projet'!$A$62&gt;35,AI103+AH104-AQ103,IF(A104&lt;'Données projet'!$A$62,$AF$205^A104,IF(A104='Données projet'!$A$62,'Données projet'!$B$62,AI103+AH104-AQ103)))</f>
        <v>237.61400000000026</v>
      </c>
      <c r="AJ104" s="13">
        <f>AI104*VLOOKUP('Données projet'!$B$10,Paramètres!$A$1:$I$89,3,0)*VLOOKUP('Données projet'!$B$10,Paramètres!$A$1:$I$89,5,0)</f>
        <v>111.20335200000012</v>
      </c>
      <c r="AK104" s="13">
        <f t="shared" si="89"/>
        <v>29.614323908502584</v>
      </c>
      <c r="AL104" s="20">
        <f t="shared" si="58"/>
        <v>245.25745220730889</v>
      </c>
      <c r="AM104" s="59">
        <f t="shared" si="59"/>
        <v>538.59078554064217</v>
      </c>
      <c r="AN104" s="59">
        <f ca="1">AVERAGE(OFFSET($AM$3,0,0,'Données projet'!$E$10+1,1))-AVERAGE(OFFSET($H$3,0,0,'Données projet'!$E$10+1,1))</f>
        <v>293.15557501692803</v>
      </c>
      <c r="AO104" s="59">
        <f t="shared" si="90"/>
        <v>237.1930412773068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84.108019739688231</v>
      </c>
      <c r="AV104" s="21">
        <f>EXP(-LN(2)/25)*AV103+(1-EXP(-LN(2)/25))/(LN(2)/25)*Calculateur!AQ104*Calculateur!AS104*VLOOKUP('Données projet'!$B$10,Paramètres!$A$1:$I$89,3,0)*0.475*44/12</f>
        <v>27.649733348648454</v>
      </c>
      <c r="AW104" s="21">
        <f>EXP(-LN(2)/2)*AW103+(1-EXP(-LN(2)/2))/(LN(2)/2)*AQ104*AT104*VLOOKUP('Données projet'!$B$10,Paramètres!$A$1:$I$89,3,0)*0.475*44/12</f>
        <v>11.886849136621677</v>
      </c>
      <c r="AX104" s="21">
        <f t="shared" si="60"/>
        <v>123.64460222495836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7.7249999999999996</v>
      </c>
      <c r="BD104" s="12">
        <f>IF('Données projet'!$A$88&gt;35,BD103+BC104-BL103,IF(A104&lt;'Données projet'!$A$88,$BA$205^A104,IF(A104='Données projet'!$A$88,'Données projet'!$B$88,BD103+BC104-BL103)))</f>
        <v>322.26000000000045</v>
      </c>
      <c r="BE104" s="13">
        <f>BD104*VLOOKUP('Données projet'!$B$11,Paramètres!$A$1:$I$89,3,0)*VLOOKUP('Données projet'!$B$11,Paramètres!$A$1:$I$89,5,0)</f>
        <v>291.5808480000004</v>
      </c>
      <c r="BF104" s="13">
        <f t="shared" si="91"/>
        <v>69.408572506835355</v>
      </c>
      <c r="BG104" s="20">
        <f t="shared" si="61"/>
        <v>628.72324071607227</v>
      </c>
      <c r="BH104" s="59">
        <f t="shared" si="62"/>
        <v>922.05657404940553</v>
      </c>
      <c r="BI104" s="59">
        <f ca="1">AVERAGE(OFFSET($BH$3,0,0,'Données projet'!$E$11+1,1))-AVERAGE(OFFSET($H$3,0,0,'Données projet'!$E$11+1,1))</f>
        <v>490.06222615476065</v>
      </c>
      <c r="BJ104" s="59">
        <f t="shared" si="92"/>
        <v>310.43914804089906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21.594176630250256</v>
      </c>
      <c r="BQ104" s="21">
        <f>EXP(-LN(2)/25)*BQ103+(1-EXP(-LN(2)/25))/(LN(2)/25)*Calculateur!BL104*Calculateur!BN104*VLOOKUP('Données projet'!$B$11,Paramètres!$A$1:$I$89,3,0)*0.475*44/12</f>
        <v>19.879930587563248</v>
      </c>
      <c r="BR104" s="21">
        <f>EXP(-LN(2)/2)*BR103+(1-EXP(-LN(2)/2))/(LN(2)/2)*BL104*BO104*VLOOKUP('Données projet'!$B$11,Paramètres!$A$1:$I$89,3,0)*0.475*44/12</f>
        <v>0.24114725106957574</v>
      </c>
      <c r="BS104" s="22">
        <f t="shared" si="63"/>
        <v>41.715254468883082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353.37479213497227</v>
      </c>
      <c r="T105" s="59">
        <f t="shared" si="88"/>
        <v>345.4750813433123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33.622876586857963</v>
      </c>
      <c r="AA105" s="21">
        <f>EXP(-LN(2)/25)*AA104+(1-EXP(-LN(2)/25))/(LN(2)/25)*Calculateur!V105*Calculateur!X105*VLOOKUP('Données projet'!$B$9,Paramètres!$A$1:$I$89,3,0)*0.475*44/12</f>
        <v>27.88765248531946</v>
      </c>
      <c r="AB105" s="21">
        <f>EXP(-LN(2)/2)*AB104+(1-EXP(-LN(2)/2))/(LN(2)/2)*V105*Y105*VLOOKUP('Données projet'!$B$9,Paramètres!$A$1:$I$89,3,0)*0.475*44/12</f>
        <v>3.0479160744336514E-2</v>
      </c>
      <c r="AC105" s="22">
        <f t="shared" si="57"/>
        <v>61.541008232921754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6.5620000000000003</v>
      </c>
      <c r="AI105" s="13">
        <f>IF('Données projet'!$A$62&gt;35,AI104+AH105-AQ104,IF(A105&lt;'Données projet'!$A$62,$AF$205^A105,IF(A105='Données projet'!$A$62,'Données projet'!$B$62,AI104+AH105-AQ104)))</f>
        <v>244.17600000000027</v>
      </c>
      <c r="AJ105" s="13">
        <f>AI105*VLOOKUP('Données projet'!$B$10,Paramètres!$A$1:$I$89,3,0)*VLOOKUP('Données projet'!$B$10,Paramètres!$A$1:$I$89,5,0)</f>
        <v>114.27436800000012</v>
      </c>
      <c r="AK105" s="13">
        <f t="shared" si="89"/>
        <v>30.335813756540151</v>
      </c>
      <c r="AL105" s="20">
        <f t="shared" si="58"/>
        <v>251.86273322597432</v>
      </c>
      <c r="AM105" s="59">
        <f t="shared" si="59"/>
        <v>545.19606655930761</v>
      </c>
      <c r="AN105" s="59">
        <f ca="1">AVERAGE(OFFSET($AM$3,0,0,'Données projet'!$E$10+1,1))-AVERAGE(OFFSET($H$3,0,0,'Données projet'!$E$10+1,1))</f>
        <v>293.15557501692803</v>
      </c>
      <c r="AO105" s="59">
        <f t="shared" si="90"/>
        <v>237.1930412773068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82.45871277341945</v>
      </c>
      <c r="AV105" s="21">
        <f>EXP(-LN(2)/25)*AV104+(1-EXP(-LN(2)/25))/(LN(2)/25)*Calculateur!AQ105*Calculateur!AS105*VLOOKUP('Données projet'!$B$10,Paramètres!$A$1:$I$89,3,0)*0.475*44/12</f>
        <v>26.893649936193381</v>
      </c>
      <c r="AW105" s="21">
        <f>EXP(-LN(2)/2)*AW104+(1-EXP(-LN(2)/2))/(LN(2)/2)*AQ105*AT105*VLOOKUP('Données projet'!$B$10,Paramètres!$A$1:$I$89,3,0)*0.475*44/12</f>
        <v>8.4052716314466469</v>
      </c>
      <c r="AX105" s="21">
        <f t="shared" si="60"/>
        <v>117.75763434105949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7.7249999999999996</v>
      </c>
      <c r="BD105" s="12">
        <f>IF('Données projet'!$A$88&gt;35,BD104+BC105-BL104,IF(A105&lt;'Données projet'!$A$88,$BA$205^A105,IF(A105='Données projet'!$A$88,'Données projet'!$B$88,BD104+BC105-BL104)))</f>
        <v>329.98500000000047</v>
      </c>
      <c r="BE105" s="13">
        <f>BD105*VLOOKUP('Données projet'!$B$11,Paramètres!$A$1:$I$89,3,0)*VLOOKUP('Données projet'!$B$11,Paramètres!$A$1:$I$89,5,0)</f>
        <v>298.57042800000039</v>
      </c>
      <c r="BF105" s="13">
        <f t="shared" si="91"/>
        <v>70.876687010255509</v>
      </c>
      <c r="BG105" s="20">
        <f t="shared" si="61"/>
        <v>643.45372530952898</v>
      </c>
      <c r="BH105" s="59">
        <f t="shared" si="62"/>
        <v>936.78705864286235</v>
      </c>
      <c r="BI105" s="59">
        <f ca="1">AVERAGE(OFFSET($BH$3,0,0,'Données projet'!$E$11+1,1))-AVERAGE(OFFSET($H$3,0,0,'Données projet'!$E$11+1,1))</f>
        <v>490.06222615476065</v>
      </c>
      <c r="BJ105" s="59">
        <f t="shared" si="92"/>
        <v>310.43914804089906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21.170727997678252</v>
      </c>
      <c r="BQ105" s="21">
        <f>EXP(-LN(2)/25)*BQ104+(1-EXP(-LN(2)/25))/(LN(2)/25)*Calculateur!BL105*Calculateur!BN105*VLOOKUP('Données projet'!$B$11,Paramètres!$A$1:$I$89,3,0)*0.475*44/12</f>
        <v>19.336312840206219</v>
      </c>
      <c r="BR105" s="21">
        <f>EXP(-LN(2)/2)*BR104+(1-EXP(-LN(2)/2))/(LN(2)/2)*BL105*BO105*VLOOKUP('Données projet'!$B$11,Paramètres!$A$1:$I$89,3,0)*0.475*44/12</f>
        <v>0.17051685649579196</v>
      </c>
      <c r="BS105" s="22">
        <f t="shared" si="63"/>
        <v>40.677557694380269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353.37479213497227</v>
      </c>
      <c r="T106" s="59">
        <f t="shared" si="88"/>
        <v>345.4750813433123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32.963552484919404</v>
      </c>
      <c r="AA106" s="21">
        <f>EXP(-LN(2)/25)*AA105+(1-EXP(-LN(2)/25))/(LN(2)/25)*Calculateur!V106*Calculateur!X106*VLOOKUP('Données projet'!$B$9,Paramètres!$A$1:$I$89,3,0)*0.475*44/12</f>
        <v>27.125063161560494</v>
      </c>
      <c r="AB106" s="21">
        <f>EXP(-LN(2)/2)*AB105+(1-EXP(-LN(2)/2))/(LN(2)/2)*V106*Y106*VLOOKUP('Données projet'!$B$9,Paramètres!$A$1:$I$89,3,0)*0.475*44/12</f>
        <v>2.1552021247195172E-2</v>
      </c>
      <c r="AC106" s="22">
        <f t="shared" si="57"/>
        <v>60.11016766772709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6.5620000000000003</v>
      </c>
      <c r="AI106" s="13">
        <f>IF('Données projet'!$A$62&gt;35,AI105+AH106-AQ105,IF(A106&lt;'Données projet'!$A$62,$AF$205^A106,IF(A106='Données projet'!$A$62,'Données projet'!$B$62,AI105+AH106-AQ105)))</f>
        <v>250.73800000000028</v>
      </c>
      <c r="AJ106" s="13">
        <f>AI106*VLOOKUP('Données projet'!$B$10,Paramètres!$A$1:$I$89,3,0)*VLOOKUP('Données projet'!$B$10,Paramètres!$A$1:$I$89,5,0)</f>
        <v>117.34538400000014</v>
      </c>
      <c r="AK106" s="13">
        <f t="shared" si="89"/>
        <v>31.055049922708768</v>
      </c>
      <c r="AL106" s="20">
        <f t="shared" si="58"/>
        <v>258.46408908205132</v>
      </c>
      <c r="AM106" s="59">
        <f t="shared" si="59"/>
        <v>551.79742241538463</v>
      </c>
      <c r="AN106" s="59">
        <f ca="1">AVERAGE(OFFSET($AM$3,0,0,'Données projet'!$E$10+1,1))-AVERAGE(OFFSET($H$3,0,0,'Données projet'!$E$10+1,1))</f>
        <v>293.15557501692803</v>
      </c>
      <c r="AO106" s="59">
        <f t="shared" si="90"/>
        <v>237.1930412773068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80.841747710781277</v>
      </c>
      <c r="AV106" s="21">
        <f>EXP(-LN(2)/25)*AV105+(1-EXP(-LN(2)/25))/(LN(2)/25)*Calculateur!AQ106*Calculateur!AS106*VLOOKUP('Données projet'!$B$10,Paramètres!$A$1:$I$89,3,0)*0.475*44/12</f>
        <v>26.158241664412589</v>
      </c>
      <c r="AW106" s="21">
        <f>EXP(-LN(2)/2)*AW105+(1-EXP(-LN(2)/2))/(LN(2)/2)*AQ106*AT106*VLOOKUP('Données projet'!$B$10,Paramètres!$A$1:$I$89,3,0)*0.475*44/12</f>
        <v>5.9434245683108395</v>
      </c>
      <c r="AX106" s="21">
        <f t="shared" si="60"/>
        <v>112.94341394350471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337.71</v>
      </c>
      <c r="BB106" s="12">
        <f>VLOOKUP(A106,'Données projet'!$A$87:$I$107,9,0)</f>
        <v>7.7249999999999996</v>
      </c>
      <c r="BC106" s="12">
        <f t="array" ref="BC106">INDEX(BB:BB,MIN(IF(ISNUMBER(BB106:BB302),ROW(BB106:BB302),"")))</f>
        <v>7.7249999999999996</v>
      </c>
      <c r="BD106" s="12">
        <f>IF('Données projet'!$A$88&gt;35,BD105+BC106-BL105,IF(A106&lt;'Données projet'!$A$88,$BA$205^A106,IF(A106='Données projet'!$A$88,'Données projet'!$B$88,BD105+BC106-BL105)))</f>
        <v>337.71000000000049</v>
      </c>
      <c r="BE106" s="13">
        <f>BD106*VLOOKUP('Données projet'!$B$11,Paramètres!$A$1:$I$89,3,0)*VLOOKUP('Données projet'!$B$11,Paramètres!$A$1:$I$89,5,0)</f>
        <v>305.56000800000044</v>
      </c>
      <c r="BF106" s="13">
        <f t="shared" si="91"/>
        <v>72.340806046688371</v>
      </c>
      <c r="BG106" s="20">
        <f t="shared" si="61"/>
        <v>658.17725113131621</v>
      </c>
      <c r="BH106" s="59">
        <f t="shared" si="62"/>
        <v>951.51058446464958</v>
      </c>
      <c r="BI106" s="59">
        <f ca="1">AVERAGE(OFFSET($BH$3,0,0,'Données projet'!$E$11+1,1))-AVERAGE(OFFSET($H$3,0,0,'Données projet'!$E$11+1,1))</f>
        <v>490.06222615476065</v>
      </c>
      <c r="BJ106" s="59">
        <f t="shared" si="92"/>
        <v>310.43914804089906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56.789999999999964</v>
      </c>
      <c r="BM106" s="16">
        <f>IF(ISNA(VLOOKUP(A106,'Données projet'!$A$87:$I$107,5,0)),0%,VLOOKUP(A106,'Données projet'!$A$87:$I$107,5,0)*VLOOKUP('Données projet'!$B$11,Paramètres!$A$1:$I$89,7,0))</f>
        <v>0.15049999999999999</v>
      </c>
      <c r="BN106" s="16">
        <f>IF(ISNA(VLOOKUP(A106,'Données projet'!$A$87:$I$107,6,0)),0%,VLOOKUP(A106,'Données projet'!$A$87:$I$107,6,0)*VLOOKUP('Données projet'!$B$11,Paramètres!$A$1:$I$89,7,0))</f>
        <v>8.6000000000000007E-2</v>
      </c>
      <c r="BO106" s="16">
        <f>IF(ISNA(VLOOKUP(A106,'Données projet'!$A$87:$I$107,7,0)),0%,VLOOKUP(A106,'Données projet'!$A$87:$I$107,7,0))</f>
        <v>0.1</v>
      </c>
      <c r="BP106" s="21">
        <f>EXP(-LN(2)/35)*BP105+(1-EXP(-LN(2)/35))/(LN(2)/35)*BL106*BM106*VLOOKUP('Données projet'!$B$11,Paramètres!$A$1:$I$89,3,0)*0.475*44/12</f>
        <v>29.304440296488757</v>
      </c>
      <c r="BQ106" s="21">
        <f>EXP(-LN(2)/25)*BQ105+(1-EXP(-LN(2)/25))/(LN(2)/25)*Calculateur!BL106*Calculateur!BN106*VLOOKUP('Données projet'!$B$11,Paramètres!$A$1:$I$89,3,0)*0.475*44/12</f>
        <v>23.673387350550744</v>
      </c>
      <c r="BR106" s="21">
        <f>EXP(-LN(2)/2)*BR105+(1-EXP(-LN(2)/2))/(LN(2)/2)*BL106*BO106*VLOOKUP('Données projet'!$B$11,Paramètres!$A$1:$I$89,3,0)*0.475*44/12</f>
        <v>4.9687538276449956</v>
      </c>
      <c r="BS106" s="22">
        <f t="shared" si="63"/>
        <v>57.9465814746845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353.37479213497227</v>
      </c>
      <c r="T107" s="59">
        <f t="shared" si="88"/>
        <v>345.4750813433123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32.317157326471872</v>
      </c>
      <c r="AA107" s="21">
        <f>EXP(-LN(2)/25)*AA106+(1-EXP(-LN(2)/25))/(LN(2)/25)*Calculateur!V107*Calculateur!X107*VLOOKUP('Données projet'!$B$9,Paramètres!$A$1:$I$89,3,0)*0.475*44/12</f>
        <v>26.383326882962546</v>
      </c>
      <c r="AB107" s="21">
        <f>EXP(-LN(2)/2)*AB106+(1-EXP(-LN(2)/2))/(LN(2)/2)*V107*Y107*VLOOKUP('Données projet'!$B$9,Paramètres!$A$1:$I$89,3,0)*0.475*44/12</f>
        <v>1.5239580372168261E-2</v>
      </c>
      <c r="AC107" s="22">
        <f t="shared" si="57"/>
        <v>58.715723789806589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6.5620000000000003</v>
      </c>
      <c r="AI107" s="13">
        <f>IF('Données projet'!$A$62&gt;35,AI106+AH107-AQ106,IF(A107&lt;'Données projet'!$A$62,$AF$205^A107,IF(A107='Données projet'!$A$62,'Données projet'!$B$62,AI106+AH107-AQ106)))</f>
        <v>257.3000000000003</v>
      </c>
      <c r="AJ107" s="13">
        <f>AI107*VLOOKUP('Données projet'!$B$10,Paramètres!$A$1:$I$89,3,0)*VLOOKUP('Données projet'!$B$10,Paramètres!$A$1:$I$89,5,0)</f>
        <v>120.41640000000014</v>
      </c>
      <c r="AK107" s="13">
        <f t="shared" si="89"/>
        <v>31.772098167877449</v>
      </c>
      <c r="AL107" s="20">
        <f t="shared" si="58"/>
        <v>265.06163430905343</v>
      </c>
      <c r="AM107" s="59">
        <f t="shared" si="59"/>
        <v>558.39496764238675</v>
      </c>
      <c r="AN107" s="59">
        <f ca="1">AVERAGE(OFFSET($AM$3,0,0,'Données projet'!$E$10+1,1))-AVERAGE(OFFSET($H$3,0,0,'Données projet'!$E$10+1,1))</f>
        <v>293.15557501692803</v>
      </c>
      <c r="AO107" s="59">
        <f t="shared" si="90"/>
        <v>237.1930412773068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79.256490346770136</v>
      </c>
      <c r="AV107" s="21">
        <f>EXP(-LN(2)/25)*AV106+(1-EXP(-LN(2)/25))/(LN(2)/25)*Calculateur!AQ107*Calculateur!AS107*VLOOKUP('Données projet'!$B$10,Paramètres!$A$1:$I$89,3,0)*0.475*44/12</f>
        <v>25.442943170497085</v>
      </c>
      <c r="AW107" s="21">
        <f>EXP(-LN(2)/2)*AW106+(1-EXP(-LN(2)/2))/(LN(2)/2)*AQ107*AT107*VLOOKUP('Données projet'!$B$10,Paramètres!$A$1:$I$89,3,0)*0.475*44/12</f>
        <v>4.2026358157233235</v>
      </c>
      <c r="AX107" s="21">
        <f t="shared" si="60"/>
        <v>108.90206933299055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7.5129999999999999</v>
      </c>
      <c r="BD107" s="12">
        <f>IF('Données projet'!$A$88&gt;35,BD106+BC107-BL106,IF(A107&lt;'Données projet'!$A$88,$BA$205^A107,IF(A107='Données projet'!$A$88,'Données projet'!$B$88,BD106+BC107-BL106)))</f>
        <v>288.4330000000005</v>
      </c>
      <c r="BE107" s="13">
        <f>BD107*VLOOKUP('Données projet'!$B$11,Paramètres!$A$1:$I$89,3,0)*VLOOKUP('Données projet'!$B$11,Paramètres!$A$1:$I$89,5,0)</f>
        <v>260.97417840000043</v>
      </c>
      <c r="BF107" s="13">
        <f t="shared" si="91"/>
        <v>62.929988204000416</v>
      </c>
      <c r="BG107" s="20">
        <f t="shared" si="61"/>
        <v>564.13309016863479</v>
      </c>
      <c r="BH107" s="59">
        <f t="shared" si="62"/>
        <v>857.46642350196817</v>
      </c>
      <c r="BI107" s="59">
        <f ca="1">AVERAGE(OFFSET($BH$3,0,0,'Données projet'!$E$11+1,1))-AVERAGE(OFFSET($H$3,0,0,'Données projet'!$E$11+1,1))</f>
        <v>490.06222615476065</v>
      </c>
      <c r="BJ107" s="59">
        <f t="shared" si="92"/>
        <v>310.43914804089906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28.729798096218289</v>
      </c>
      <c r="BQ107" s="21">
        <f>EXP(-LN(2)/25)*BQ106+(1-EXP(-LN(2)/25))/(LN(2)/25)*Calculateur!BL107*Calculateur!BN107*VLOOKUP('Données projet'!$B$11,Paramètres!$A$1:$I$89,3,0)*0.475*44/12</f>
        <v>23.026037328520598</v>
      </c>
      <c r="BR107" s="21">
        <f>EXP(-LN(2)/2)*BR106+(1-EXP(-LN(2)/2))/(LN(2)/2)*BL107*BO107*VLOOKUP('Données projet'!$B$11,Paramètres!$A$1:$I$89,3,0)*0.475*44/12</f>
        <v>3.5134395255743907</v>
      </c>
      <c r="BS107" s="22">
        <f t="shared" si="63"/>
        <v>55.269274950313282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353.37479213497227</v>
      </c>
      <c r="T108" s="59">
        <f t="shared" si="88"/>
        <v>345.4750813433123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31.683437582819376</v>
      </c>
      <c r="AA108" s="21">
        <f>EXP(-LN(2)/25)*AA107+(1-EXP(-LN(2)/25))/(LN(2)/25)*Calculateur!V108*Calculateur!X108*VLOOKUP('Données projet'!$B$9,Paramètres!$A$1:$I$89,3,0)*0.475*44/12</f>
        <v>25.661873421909075</v>
      </c>
      <c r="AB108" s="21">
        <f>EXP(-LN(2)/2)*AB107+(1-EXP(-LN(2)/2))/(LN(2)/2)*V108*Y108*VLOOKUP('Données projet'!$B$9,Paramètres!$A$1:$I$89,3,0)*0.475*44/12</f>
        <v>1.0776010623597588E-2</v>
      </c>
      <c r="AC108" s="22">
        <f t="shared" si="57"/>
        <v>57.356087015352045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6.5620000000000003</v>
      </c>
      <c r="AI108" s="13">
        <f>IF('Données projet'!$A$62&gt;35,AI107+AH108-AQ107,IF(A108&lt;'Données projet'!$A$62,$AF$205^A108,IF(A108='Données projet'!$A$62,'Données projet'!$B$62,AI107+AH108-AQ107)))</f>
        <v>263.86200000000031</v>
      </c>
      <c r="AJ108" s="13">
        <f>AI108*VLOOKUP('Données projet'!$B$10,Paramètres!$A$1:$I$89,3,0)*VLOOKUP('Données projet'!$B$10,Paramètres!$A$1:$I$89,5,0)</f>
        <v>123.48741600000015</v>
      </c>
      <c r="AK108" s="13">
        <f t="shared" si="89"/>
        <v>32.48702070756385</v>
      </c>
      <c r="AL108" s="20">
        <f t="shared" si="58"/>
        <v>271.65547726567394</v>
      </c>
      <c r="AM108" s="59">
        <f t="shared" si="59"/>
        <v>564.98881059900725</v>
      </c>
      <c r="AN108" s="59">
        <f ca="1">AVERAGE(OFFSET($AM$3,0,0,'Données projet'!$E$10+1,1))-AVERAGE(OFFSET($H$3,0,0,'Données projet'!$E$10+1,1))</f>
        <v>293.15557501692803</v>
      </c>
      <c r="AO108" s="59">
        <f t="shared" si="90"/>
        <v>237.1930412773068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77.702318912755743</v>
      </c>
      <c r="AV108" s="21">
        <f>EXP(-LN(2)/25)*AV107+(1-EXP(-LN(2)/25))/(LN(2)/25)*Calculateur!AQ108*Calculateur!AS108*VLOOKUP('Données projet'!$B$10,Paramètres!$A$1:$I$89,3,0)*0.475*44/12</f>
        <v>24.747204551513612</v>
      </c>
      <c r="AW108" s="21">
        <f>EXP(-LN(2)/2)*AW107+(1-EXP(-LN(2)/2))/(LN(2)/2)*AQ108*AT108*VLOOKUP('Données projet'!$B$10,Paramètres!$A$1:$I$89,3,0)*0.475*44/12</f>
        <v>2.9717122841554198</v>
      </c>
      <c r="AX108" s="21">
        <f t="shared" si="60"/>
        <v>105.42123574842478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7.5129999999999999</v>
      </c>
      <c r="BD108" s="12">
        <f>IF('Données projet'!$A$88&gt;35,BD107+BC108-BL107,IF(A108&lt;'Données projet'!$A$88,$BA$205^A108,IF(A108='Données projet'!$A$88,'Données projet'!$B$88,BD107+BC108-BL107)))</f>
        <v>295.94600000000048</v>
      </c>
      <c r="BE108" s="13">
        <f>BD108*VLOOKUP('Données projet'!$B$11,Paramètres!$A$1:$I$89,3,0)*VLOOKUP('Données projet'!$B$11,Paramètres!$A$1:$I$89,5,0)</f>
        <v>267.77194080000044</v>
      </c>
      <c r="BF108" s="13">
        <f t="shared" si="91"/>
        <v>64.376191096600778</v>
      </c>
      <c r="BG108" s="20">
        <f t="shared" si="61"/>
        <v>578.49132971991378</v>
      </c>
      <c r="BH108" s="59">
        <f t="shared" si="62"/>
        <v>871.82466305324715</v>
      </c>
      <c r="BI108" s="59">
        <f ca="1">AVERAGE(OFFSET($BH$3,0,0,'Données projet'!$E$11+1,1))-AVERAGE(OFFSET($H$3,0,0,'Données projet'!$E$11+1,1))</f>
        <v>490.06222615476065</v>
      </c>
      <c r="BJ108" s="59">
        <f t="shared" si="92"/>
        <v>310.43914804089906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28.16642427899799</v>
      </c>
      <c r="BQ108" s="21">
        <f>EXP(-LN(2)/25)*BQ107+(1-EXP(-LN(2)/25))/(LN(2)/25)*Calculateur!BL108*Calculateur!BN108*VLOOKUP('Données projet'!$B$11,Paramètres!$A$1:$I$89,3,0)*0.475*44/12</f>
        <v>22.396389126885527</v>
      </c>
      <c r="BR108" s="21">
        <f>EXP(-LN(2)/2)*BR107+(1-EXP(-LN(2)/2))/(LN(2)/2)*BL108*BO108*VLOOKUP('Données projet'!$B$11,Paramètres!$A$1:$I$89,3,0)*0.475*44/12</f>
        <v>2.4843769138224983</v>
      </c>
      <c r="BS108" s="22">
        <f t="shared" si="63"/>
        <v>53.047190319706019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353.37479213497227</v>
      </c>
      <c r="T109" s="59">
        <f t="shared" si="88"/>
        <v>345.4750813433123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31.062144696809028</v>
      </c>
      <c r="AA109" s="21">
        <f>EXP(-LN(2)/25)*AA108+(1-EXP(-LN(2)/25))/(LN(2)/25)*Calculateur!V109*Calculateur!X109*VLOOKUP('Données projet'!$B$9,Paramètres!$A$1:$I$89,3,0)*0.475*44/12</f>
        <v>24.9601481436877</v>
      </c>
      <c r="AB109" s="21">
        <f>EXP(-LN(2)/2)*AB108+(1-EXP(-LN(2)/2))/(LN(2)/2)*V109*Y109*VLOOKUP('Données projet'!$B$9,Paramètres!$A$1:$I$89,3,0)*0.475*44/12</f>
        <v>7.6197901860841312E-3</v>
      </c>
      <c r="AC109" s="22">
        <f t="shared" si="57"/>
        <v>56.029912630682816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6.5620000000000003</v>
      </c>
      <c r="AI109" s="13">
        <f>IF('Données projet'!$A$62&gt;35,AI108+AH109-AQ108,IF(A109&lt;'Données projet'!$A$62,$AF$205^A109,IF(A109='Données projet'!$A$62,'Données projet'!$B$62,AI108+AH109-AQ108)))</f>
        <v>270.42400000000032</v>
      </c>
      <c r="AJ109" s="13">
        <f>AI109*VLOOKUP('Données projet'!$B$10,Paramètres!$A$1:$I$89,3,0)*VLOOKUP('Données projet'!$B$10,Paramètres!$A$1:$I$89,5,0)</f>
        <v>126.55843200000014</v>
      </c>
      <c r="AK109" s="13">
        <f t="shared" si="89"/>
        <v>33.199876486422404</v>
      </c>
      <c r="AL109" s="20">
        <f t="shared" si="58"/>
        <v>278.2457206138526</v>
      </c>
      <c r="AM109" s="59">
        <f t="shared" si="59"/>
        <v>571.57905394718591</v>
      </c>
      <c r="AN109" s="59">
        <f ca="1">AVERAGE(OFFSET($AM$3,0,0,'Données projet'!$E$10+1,1))-AVERAGE(OFFSET($H$3,0,0,'Données projet'!$E$10+1,1))</f>
        <v>293.15557501692803</v>
      </c>
      <c r="AO109" s="59">
        <f t="shared" si="90"/>
        <v>237.1930412773068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76.178623832611393</v>
      </c>
      <c r="AV109" s="21">
        <f>EXP(-LN(2)/25)*AV108+(1-EXP(-LN(2)/25))/(LN(2)/25)*Calculateur!AQ109*Calculateur!AS109*VLOOKUP('Données projet'!$B$10,Paramètres!$A$1:$I$89,3,0)*0.475*44/12</f>
        <v>24.070490941653546</v>
      </c>
      <c r="AW109" s="21">
        <f>EXP(-LN(2)/2)*AW108+(1-EXP(-LN(2)/2))/(LN(2)/2)*AQ109*AT109*VLOOKUP('Données projet'!$B$10,Paramètres!$A$1:$I$89,3,0)*0.475*44/12</f>
        <v>2.1013179078616617</v>
      </c>
      <c r="AX109" s="21">
        <f t="shared" si="60"/>
        <v>102.35043268212659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7.5129999999999999</v>
      </c>
      <c r="BD109" s="12">
        <f>IF('Données projet'!$A$88&gt;35,BD108+BC109-BL108,IF(A109&lt;'Données projet'!$A$88,$BA$205^A109,IF(A109='Données projet'!$A$88,'Données projet'!$B$88,BD108+BC109-BL108)))</f>
        <v>303.45900000000046</v>
      </c>
      <c r="BE109" s="13">
        <f>BD109*VLOOKUP('Données projet'!$B$11,Paramètres!$A$1:$I$89,3,0)*VLOOKUP('Données projet'!$B$11,Paramètres!$A$1:$I$89,5,0)</f>
        <v>274.56970320000039</v>
      </c>
      <c r="BF109" s="13">
        <f t="shared" si="91"/>
        <v>65.818126318370446</v>
      </c>
      <c r="BG109" s="20">
        <f t="shared" si="61"/>
        <v>592.84213641116253</v>
      </c>
      <c r="BH109" s="59">
        <f t="shared" si="62"/>
        <v>886.17546974449579</v>
      </c>
      <c r="BI109" s="59">
        <f ca="1">AVERAGE(OFFSET($BH$3,0,0,'Données projet'!$E$11+1,1))-AVERAGE(OFFSET($H$3,0,0,'Données projet'!$E$11+1,1))</f>
        <v>490.06222615476065</v>
      </c>
      <c r="BJ109" s="59">
        <f t="shared" si="92"/>
        <v>310.43914804089906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27.614097878709284</v>
      </c>
      <c r="BQ109" s="21">
        <f>EXP(-LN(2)/25)*BQ108+(1-EXP(-LN(2)/25))/(LN(2)/25)*Calculateur!BL109*Calculateur!BN109*VLOOKUP('Données projet'!$B$11,Paramètres!$A$1:$I$89,3,0)*0.475*44/12</f>
        <v>21.783958688435927</v>
      </c>
      <c r="BR109" s="21">
        <f>EXP(-LN(2)/2)*BR108+(1-EXP(-LN(2)/2))/(LN(2)/2)*BL109*BO109*VLOOKUP('Données projet'!$B$11,Paramètres!$A$1:$I$89,3,0)*0.475*44/12</f>
        <v>1.7567197627871955</v>
      </c>
      <c r="BS109" s="22">
        <f t="shared" si="63"/>
        <v>51.154776329932403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353.37479213497227</v>
      </c>
      <c r="T110" s="59">
        <f t="shared" si="88"/>
        <v>345.4750813433123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30.453034985342104</v>
      </c>
      <c r="AA110" s="21">
        <f>EXP(-LN(2)/25)*AA109+(1-EXP(-LN(2)/25))/(LN(2)/25)*Calculateur!V110*Calculateur!X110*VLOOKUP('Données projet'!$B$9,Paramètres!$A$1:$I$89,3,0)*0.475*44/12</f>
        <v>24.277611580101418</v>
      </c>
      <c r="AB110" s="21">
        <f>EXP(-LN(2)/2)*AB109+(1-EXP(-LN(2)/2))/(LN(2)/2)*V110*Y110*VLOOKUP('Données projet'!$B$9,Paramètres!$A$1:$I$89,3,0)*0.475*44/12</f>
        <v>5.3880053117987946E-3</v>
      </c>
      <c r="AC110" s="22">
        <f t="shared" si="57"/>
        <v>54.736034570755322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6.5620000000000003</v>
      </c>
      <c r="AI110" s="13">
        <f>IF('Données projet'!$A$62&gt;35,AI109+AH110-AQ109,IF(A110&lt;'Données projet'!$A$62,$AF$205^A110,IF(A110='Données projet'!$A$62,'Données projet'!$B$62,AI109+AH110-AQ109)))</f>
        <v>276.98600000000033</v>
      </c>
      <c r="AJ110" s="13">
        <f>AI110*VLOOKUP('Données projet'!$B$10,Paramètres!$A$1:$I$89,3,0)*VLOOKUP('Données projet'!$B$10,Paramètres!$A$1:$I$89,5,0)</f>
        <v>129.62944800000017</v>
      </c>
      <c r="AK110" s="13">
        <f t="shared" si="89"/>
        <v>33.910721425340135</v>
      </c>
      <c r="AL110" s="20">
        <f t="shared" si="58"/>
        <v>284.83246174913438</v>
      </c>
      <c r="AM110" s="59">
        <f t="shared" si="59"/>
        <v>578.16579508246764</v>
      </c>
      <c r="AN110" s="59">
        <f ca="1">AVERAGE(OFFSET($AM$3,0,0,'Données projet'!$E$10+1,1))-AVERAGE(OFFSET($H$3,0,0,'Données projet'!$E$10+1,1))</f>
        <v>293.15557501692803</v>
      </c>
      <c r="AO110" s="59">
        <f t="shared" si="90"/>
        <v>237.1930412773068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74.684807483626443</v>
      </c>
      <c r="AV110" s="21">
        <f>EXP(-LN(2)/25)*AV109+(1-EXP(-LN(2)/25))/(LN(2)/25)*Calculateur!AQ110*Calculateur!AS110*VLOOKUP('Données projet'!$B$10,Paramètres!$A$1:$I$89,3,0)*0.475*44/12</f>
        <v>23.412282101041924</v>
      </c>
      <c r="AW110" s="21">
        <f>EXP(-LN(2)/2)*AW109+(1-EXP(-LN(2)/2))/(LN(2)/2)*AQ110*AT110*VLOOKUP('Données projet'!$B$10,Paramètres!$A$1:$I$89,3,0)*0.475*44/12</f>
        <v>1.4858561420777099</v>
      </c>
      <c r="AX110" s="21">
        <f t="shared" si="60"/>
        <v>99.582945726746075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7.5129999999999999</v>
      </c>
      <c r="BD110" s="12">
        <f>IF('Données projet'!$A$88&gt;35,BD109+BC110-BL109,IF(A110&lt;'Données projet'!$A$88,$BA$205^A110,IF(A110='Données projet'!$A$88,'Données projet'!$B$88,BD109+BC110-BL109)))</f>
        <v>310.97200000000043</v>
      </c>
      <c r="BE110" s="13">
        <f>BD110*VLOOKUP('Données projet'!$B$11,Paramètres!$A$1:$I$89,3,0)*VLOOKUP('Données projet'!$B$11,Paramètres!$A$1:$I$89,5,0)</f>
        <v>281.3674656000004</v>
      </c>
      <c r="BF110" s="13">
        <f t="shared" si="91"/>
        <v>67.255911680958462</v>
      </c>
      <c r="BG110" s="20">
        <f t="shared" si="61"/>
        <v>607.18571543100336</v>
      </c>
      <c r="BH110" s="59">
        <f t="shared" si="62"/>
        <v>900.51904876433673</v>
      </c>
      <c r="BI110" s="59">
        <f ca="1">AVERAGE(OFFSET($BH$3,0,0,'Données projet'!$E$11+1,1))-AVERAGE(OFFSET($H$3,0,0,'Données projet'!$E$11+1,1))</f>
        <v>490.06222615476065</v>
      </c>
      <c r="BJ110" s="59">
        <f t="shared" si="92"/>
        <v>310.43914804089906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27.072602262244398</v>
      </c>
      <c r="BQ110" s="21">
        <f>EXP(-LN(2)/25)*BQ109+(1-EXP(-LN(2)/25))/(LN(2)/25)*Calculateur!BL110*Calculateur!BN110*VLOOKUP('Données projet'!$B$11,Paramètres!$A$1:$I$89,3,0)*0.475*44/12</f>
        <v>21.188275192532046</v>
      </c>
      <c r="BR110" s="21">
        <f>EXP(-LN(2)/2)*BR109+(1-EXP(-LN(2)/2))/(LN(2)/2)*BL110*BO110*VLOOKUP('Données projet'!$B$11,Paramètres!$A$1:$I$89,3,0)*0.475*44/12</f>
        <v>1.2421884569112494</v>
      </c>
      <c r="BS110" s="22">
        <f t="shared" si="63"/>
        <v>49.503065911687699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353.37479213497227</v>
      </c>
      <c r="T111" s="59">
        <f t="shared" si="88"/>
        <v>345.4750813433123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29.855869543796803</v>
      </c>
      <c r="AA111" s="21">
        <f>EXP(-LN(2)/25)*AA110+(1-EXP(-LN(2)/25))/(LN(2)/25)*Calculateur!V111*Calculateur!X111*VLOOKUP('Données projet'!$B$9,Paramètres!$A$1:$I$89,3,0)*0.475*44/12</f>
        <v>23.613739014739437</v>
      </c>
      <c r="AB111" s="21">
        <f>EXP(-LN(2)/2)*AB110+(1-EXP(-LN(2)/2))/(LN(2)/2)*V111*Y111*VLOOKUP('Données projet'!$B$9,Paramètres!$A$1:$I$89,3,0)*0.475*44/12</f>
        <v>3.8098950930420664E-3</v>
      </c>
      <c r="AC111" s="22">
        <f t="shared" si="57"/>
        <v>53.473418453629279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6.5620000000000003</v>
      </c>
      <c r="AI111" s="13">
        <f>IF('Données projet'!$A$62&gt;35,AI110+AH111-AQ110,IF(A111&lt;'Données projet'!$A$62,$AF$205^A111,IF(A111='Données projet'!$A$62,'Données projet'!$B$62,AI110+AH111-AQ110)))</f>
        <v>283.54800000000034</v>
      </c>
      <c r="AJ111" s="13">
        <f>AI111*VLOOKUP('Données projet'!$B$10,Paramètres!$A$1:$I$89,3,0)*VLOOKUP('Données projet'!$B$10,Paramètres!$A$1:$I$89,5,0)</f>
        <v>132.70046400000015</v>
      </c>
      <c r="AK111" s="13">
        <f t="shared" si="89"/>
        <v>34.619608644457088</v>
      </c>
      <c r="AL111" s="20">
        <f t="shared" si="58"/>
        <v>291.41579318909641</v>
      </c>
      <c r="AM111" s="59">
        <f t="shared" si="59"/>
        <v>584.74912652242972</v>
      </c>
      <c r="AN111" s="59">
        <f ca="1">AVERAGE(OFFSET($AM$3,0,0,'Données projet'!$E$10+1,1))-AVERAGE(OFFSET($H$3,0,0,'Données projet'!$E$10+1,1))</f>
        <v>293.15557501692803</v>
      </c>
      <c r="AO111" s="59">
        <f t="shared" si="90"/>
        <v>237.1930412773068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73.220283962107089</v>
      </c>
      <c r="AV111" s="21">
        <f>EXP(-LN(2)/25)*AV110+(1-EXP(-LN(2)/25))/(LN(2)/25)*Calculateur!AQ111*Calculateur!AS111*VLOOKUP('Données projet'!$B$10,Paramètres!$A$1:$I$89,3,0)*0.475*44/12</f>
        <v>22.772072015790528</v>
      </c>
      <c r="AW111" s="21">
        <f>EXP(-LN(2)/2)*AW110+(1-EXP(-LN(2)/2))/(LN(2)/2)*AQ111*AT111*VLOOKUP('Données projet'!$B$10,Paramètres!$A$1:$I$89,3,0)*0.475*44/12</f>
        <v>1.0506589539308309</v>
      </c>
      <c r="AX111" s="21">
        <f t="shared" si="60"/>
        <v>97.043014931828452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7.5129999999999999</v>
      </c>
      <c r="BD111" s="12">
        <f>IF('Données projet'!$A$88&gt;35,BD110+BC111-BL110,IF(A111&lt;'Données projet'!$A$88,$BA$205^A111,IF(A111='Données projet'!$A$88,'Données projet'!$B$88,BD110+BC111-BL110)))</f>
        <v>318.48500000000041</v>
      </c>
      <c r="BE111" s="13">
        <f>BD111*VLOOKUP('Données projet'!$B$11,Paramètres!$A$1:$I$89,3,0)*VLOOKUP('Données projet'!$B$11,Paramètres!$A$1:$I$89,5,0)</f>
        <v>288.16522800000035</v>
      </c>
      <c r="BF111" s="13">
        <f t="shared" si="91"/>
        <v>68.689658978808254</v>
      </c>
      <c r="BG111" s="20">
        <f t="shared" si="61"/>
        <v>621.52226148809166</v>
      </c>
      <c r="BH111" s="59">
        <f t="shared" si="62"/>
        <v>914.85559482142503</v>
      </c>
      <c r="BI111" s="59">
        <f ca="1">AVERAGE(OFFSET($BH$3,0,0,'Données projet'!$E$11+1,1))-AVERAGE(OFFSET($H$3,0,0,'Données projet'!$E$11+1,1))</f>
        <v>490.06222615476065</v>
      </c>
      <c r="BJ111" s="59">
        <f t="shared" si="92"/>
        <v>310.43914804089906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26.541725044538676</v>
      </c>
      <c r="BQ111" s="21">
        <f>EXP(-LN(2)/25)*BQ110+(1-EXP(-LN(2)/25))/(LN(2)/25)*Calculateur!BL111*Calculateur!BN111*VLOOKUP('Données projet'!$B$11,Paramètres!$A$1:$I$89,3,0)*0.475*44/12</f>
        <v>20.608880693149292</v>
      </c>
      <c r="BR111" s="21">
        <f>EXP(-LN(2)/2)*BR110+(1-EXP(-LN(2)/2))/(LN(2)/2)*BL111*BO111*VLOOKUP('Données projet'!$B$11,Paramètres!$A$1:$I$89,3,0)*0.475*44/12</f>
        <v>0.878359881393598</v>
      </c>
      <c r="BS111" s="22">
        <f t="shared" si="63"/>
        <v>48.028965619081568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353.37479213497227</v>
      </c>
      <c r="T112" s="59">
        <f t="shared" si="88"/>
        <v>345.4750813433123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29.270414152325255</v>
      </c>
      <c r="AA112" s="21">
        <f>EXP(-LN(2)/25)*AA111+(1-EXP(-LN(2)/25))/(LN(2)/25)*Calculateur!V112*Calculateur!X112*VLOOKUP('Données projet'!$B$9,Paramètres!$A$1:$I$89,3,0)*0.475*44/12</f>
        <v>22.968020079588822</v>
      </c>
      <c r="AB112" s="21">
        <f>EXP(-LN(2)/2)*AB111+(1-EXP(-LN(2)/2))/(LN(2)/2)*V112*Y112*VLOOKUP('Données projet'!$B$9,Paramètres!$A$1:$I$89,3,0)*0.475*44/12</f>
        <v>2.6940026558993978E-3</v>
      </c>
      <c r="AC112" s="22">
        <f t="shared" si="57"/>
        <v>52.241128234569977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290.11</v>
      </c>
      <c r="AG112" s="12">
        <f>VLOOKUP(A112,'Données projet'!$A$61:$I$81,9,0)</f>
        <v>6.5620000000000003</v>
      </c>
      <c r="AH112" s="12">
        <f t="array" ref="AH112">INDEX(AG:AG,MIN(IF(ISNUMBER(AG112:AG308),ROW(AG112:AG308),"")))</f>
        <v>6.5620000000000003</v>
      </c>
      <c r="AI112" s="13">
        <f>IF('Données projet'!$A$62&gt;35,AI111+AH112-AQ111,IF(A112&lt;'Données projet'!$A$62,$AF$205^A112,IF(A112='Données projet'!$A$62,'Données projet'!$B$62,AI111+AH112-AQ111)))</f>
        <v>290.11000000000035</v>
      </c>
      <c r="AJ112" s="13">
        <f>AI112*VLOOKUP('Données projet'!$B$10,Paramètres!$A$1:$I$89,3,0)*VLOOKUP('Données projet'!$B$10,Paramètres!$A$1:$I$89,5,0)</f>
        <v>135.77148000000017</v>
      </c>
      <c r="AK112" s="13">
        <f t="shared" si="89"/>
        <v>35.326588664960227</v>
      </c>
      <c r="AL112" s="20">
        <f t="shared" si="58"/>
        <v>297.99580292480601</v>
      </c>
      <c r="AM112" s="59">
        <f t="shared" si="59"/>
        <v>591.32913625813933</v>
      </c>
      <c r="AN112" s="59">
        <f ca="1">AVERAGE(OFFSET($AM$3,0,0,'Données projet'!$E$10+1,1))-AVERAGE(OFFSET($H$3,0,0,'Données projet'!$E$10+1,1))</f>
        <v>293.15557501692803</v>
      </c>
      <c r="AO112" s="59">
        <f t="shared" si="90"/>
        <v>237.1930412773068</v>
      </c>
      <c r="AP112" s="15">
        <f>IF(ISNA(VLOOKUP(A112,'Données projet'!$A$61:$I$81,3,0)),0,VLOOKUP(A112,'Données projet'!$A$61:$I$81,3,0))</f>
        <v>6</v>
      </c>
      <c r="AQ112" s="15">
        <f>IF(ISNA(VLOOKUP(A112,'Données projet'!$A$61:$I$81,4,0)),0,VLOOKUP(A112,'Données projet'!$A$61:$I$81,4,0))</f>
        <v>290.11</v>
      </c>
      <c r="AR112" s="16">
        <f>IF(ISNA(VLOOKUP(A112,'Données projet'!$A$61:$I$81,5,0)),0%,VLOOKUP(A112,'Données projet'!$A$61:$I$81,5,0)*VLOOKUP('Données projet'!$B$10,Paramètres!$A$1:$I$89,7,0))</f>
        <v>0.33</v>
      </c>
      <c r="AS112" s="16">
        <f>IF(ISNA(VLOOKUP(A112,'Données projet'!$A$61:$I$81,6,0)),0%,VLOOKUP(A112,'Données projet'!$A$61:$I$81,6,0)*VLOOKUP('Données projet'!$B$10,Paramètres!$A$1:$I$89,7,0))</f>
        <v>0.11000000000000001</v>
      </c>
      <c r="AT112" s="16">
        <f>IF(ISNA(VLOOKUP(A112,'Données projet'!$A$61:$I$81,7,0)),0%,VLOOKUP(A112,'Données projet'!$A$61:$I$81,7,0))</f>
        <v>0.2</v>
      </c>
      <c r="AU112" s="21">
        <f>EXP(-LN(2)/35)*AU111+(1-EXP(-LN(2)/35))/(LN(2)/35)*AQ112*AR112*VLOOKUP('Données projet'!$B$10,Paramètres!$A$1:$I$89,3,0)*0.475*44/12</f>
        <v>131.2206532656123</v>
      </c>
      <c r="AV112" s="21">
        <f>EXP(-LN(2)/25)*AV111+(1-EXP(-LN(2)/25))/(LN(2)/25)*Calculateur!AQ112*Calculateur!AS112*VLOOKUP('Données projet'!$B$10,Paramètres!$A$1:$I$89,3,0)*0.475*44/12</f>
        <v>41.883419024461048</v>
      </c>
      <c r="AW112" s="21">
        <f>EXP(-LN(2)/2)*AW111+(1-EXP(-LN(2)/2))/(LN(2)/2)*AQ112*AT112*VLOOKUP('Données projet'!$B$10,Paramètres!$A$1:$I$89,3,0)*0.475*44/12</f>
        <v>31.487899018832582</v>
      </c>
      <c r="AX112" s="21">
        <f t="shared" si="60"/>
        <v>204.59197130890595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7.5129999999999999</v>
      </c>
      <c r="BD112" s="12">
        <f>IF('Données projet'!$A$88&gt;35,BD111+BC112-BL111,IF(A112&lt;'Données projet'!$A$88,$BA$205^A112,IF(A112='Données projet'!$A$88,'Données projet'!$B$88,BD111+BC112-BL111)))</f>
        <v>325.99800000000039</v>
      </c>
      <c r="BE112" s="13">
        <f>BD112*VLOOKUP('Données projet'!$B$11,Paramètres!$A$1:$I$89,3,0)*VLOOKUP('Données projet'!$B$11,Paramètres!$A$1:$I$89,5,0)</f>
        <v>294.96299040000036</v>
      </c>
      <c r="BF112" s="13">
        <f t="shared" si="91"/>
        <v>70.119474431072192</v>
      </c>
      <c r="BG112" s="20">
        <f t="shared" si="61"/>
        <v>635.85195958078464</v>
      </c>
      <c r="BH112" s="59">
        <f t="shared" si="62"/>
        <v>929.18529291411801</v>
      </c>
      <c r="BI112" s="59">
        <f ca="1">AVERAGE(OFFSET($BH$3,0,0,'Données projet'!$E$11+1,1))-AVERAGE(OFFSET($H$3,0,0,'Données projet'!$E$11+1,1))</f>
        <v>490.06222615476065</v>
      </c>
      <c r="BJ112" s="59">
        <f t="shared" si="92"/>
        <v>310.43914804089906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26.021258005269033</v>
      </c>
      <c r="BQ112" s="21">
        <f>EXP(-LN(2)/25)*BQ111+(1-EXP(-LN(2)/25))/(LN(2)/25)*Calculateur!BL112*Calculateur!BN112*VLOOKUP('Données projet'!$B$11,Paramètres!$A$1:$I$89,3,0)*0.475*44/12</f>
        <v>20.04532976682119</v>
      </c>
      <c r="BR112" s="21">
        <f>EXP(-LN(2)/2)*BR111+(1-EXP(-LN(2)/2))/(LN(2)/2)*BL112*BO112*VLOOKUP('Données projet'!$B$11,Paramètres!$A$1:$I$89,3,0)*0.475*44/12</f>
        <v>0.62109422845562479</v>
      </c>
      <c r="BS112" s="22">
        <f t="shared" si="63"/>
        <v>46.687682000545848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353.37479213497227</v>
      </c>
      <c r="T113" s="59">
        <f t="shared" si="88"/>
        <v>345.4750813433123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28.696439183987934</v>
      </c>
      <c r="AA113" s="21">
        <f>EXP(-LN(2)/25)*AA112+(1-EXP(-LN(2)/25))/(LN(2)/25)*Calculateur!V113*Calculateur!X113*VLOOKUP('Données projet'!$B$9,Paramètres!$A$1:$I$89,3,0)*0.475*44/12</f>
        <v>22.339958362676782</v>
      </c>
      <c r="AB113" s="21">
        <f>EXP(-LN(2)/2)*AB112+(1-EXP(-LN(2)/2))/(LN(2)/2)*V113*Y113*VLOOKUP('Données projet'!$B$9,Paramètres!$A$1:$I$89,3,0)*0.475*44/12</f>
        <v>1.9049475465210334E-3</v>
      </c>
      <c r="AC113" s="22">
        <f t="shared" si="57"/>
        <v>51.038302494211237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3.4106051316484809E-13</v>
      </c>
      <c r="AJ113" s="13">
        <f>AI113*VLOOKUP('Données projet'!$B$10,Paramètres!$A$1:$I$89,3,0)*VLOOKUP('Données projet'!$B$10,Paramètres!$A$1:$I$89,5,0)</f>
        <v>1.5961632016114892E-13</v>
      </c>
      <c r="AK113" s="13">
        <f t="shared" si="89"/>
        <v>2.2708641912150958E-12</v>
      </c>
      <c r="AL113" s="20">
        <f t="shared" si="58"/>
        <v>4.2330868906469593E-12</v>
      </c>
      <c r="AM113" s="59">
        <f t="shared" si="59"/>
        <v>293.33333333333752</v>
      </c>
      <c r="AN113" s="59">
        <f ca="1">AVERAGE(OFFSET($AM$3,0,0,'Données projet'!$E$10+1,1))-AVERAGE(OFFSET($H$3,0,0,'Données projet'!$E$10+1,1))</f>
        <v>293.15557501692803</v>
      </c>
      <c r="AO113" s="59">
        <f t="shared" si="90"/>
        <v>237.1930412773068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128.64749629176916</v>
      </c>
      <c r="AV113" s="21">
        <f>EXP(-LN(2)/25)*AV112+(1-EXP(-LN(2)/25))/(LN(2)/25)*Calculateur!AQ113*Calculateur!AS113*VLOOKUP('Données projet'!$B$10,Paramètres!$A$1:$I$89,3,0)*0.475*44/12</f>
        <v>40.738114728683883</v>
      </c>
      <c r="AW113" s="21">
        <f>EXP(-LN(2)/2)*AW112+(1-EXP(-LN(2)/2))/(LN(2)/2)*AQ113*AT113*VLOOKUP('Données projet'!$B$10,Paramètres!$A$1:$I$89,3,0)*0.475*44/12</f>
        <v>22.265306921533757</v>
      </c>
      <c r="AX113" s="21">
        <f t="shared" si="60"/>
        <v>191.65091794198679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7.5129999999999999</v>
      </c>
      <c r="BD113" s="12">
        <f>IF('Données projet'!$A$88&gt;35,BD112+BC113-BL112,IF(A113&lt;'Données projet'!$A$88,$BA$205^A113,IF(A113='Données projet'!$A$88,'Données projet'!$B$88,BD112+BC113-BL112)))</f>
        <v>333.51100000000037</v>
      </c>
      <c r="BE113" s="13">
        <f>BD113*VLOOKUP('Données projet'!$B$11,Paramètres!$A$1:$I$89,3,0)*VLOOKUP('Données projet'!$B$11,Paramètres!$A$1:$I$89,5,0)</f>
        <v>301.76075280000032</v>
      </c>
      <c r="BF113" s="13">
        <f t="shared" si="91"/>
        <v>71.545459081640786</v>
      </c>
      <c r="BG113" s="20">
        <f t="shared" si="61"/>
        <v>650.17498569385816</v>
      </c>
      <c r="BH113" s="59">
        <f t="shared" si="62"/>
        <v>943.50831902719142</v>
      </c>
      <c r="BI113" s="59">
        <f ca="1">AVERAGE(OFFSET($BH$3,0,0,'Données projet'!$E$11+1,1))-AVERAGE(OFFSET($H$3,0,0,'Données projet'!$E$11+1,1))</f>
        <v>490.06222615476065</v>
      </c>
      <c r="BJ113" s="59">
        <f t="shared" si="92"/>
        <v>310.43914804089906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25.510997007185921</v>
      </c>
      <c r="BQ113" s="21">
        <f>EXP(-LN(2)/25)*BQ112+(1-EXP(-LN(2)/25))/(LN(2)/25)*Calculateur!BL113*Calculateur!BN113*VLOOKUP('Données projet'!$B$11,Paramètres!$A$1:$I$89,3,0)*0.475*44/12</f>
        <v>19.497189170209385</v>
      </c>
      <c r="BR113" s="21">
        <f>EXP(-LN(2)/2)*BR112+(1-EXP(-LN(2)/2))/(LN(2)/2)*BL113*BO113*VLOOKUP('Données projet'!$B$11,Paramètres!$A$1:$I$89,3,0)*0.475*44/12</f>
        <v>0.43917994069679905</v>
      </c>
      <c r="BS113" s="22">
        <f t="shared" si="63"/>
        <v>45.447366118092098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353.37479213497227</v>
      </c>
      <c r="T114" s="59">
        <f t="shared" si="88"/>
        <v>345.4750813433123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28.133719514689545</v>
      </c>
      <c r="AA114" s="21">
        <f>EXP(-LN(2)/25)*AA113+(1-EXP(-LN(2)/25))/(LN(2)/25)*Calculateur!V114*Calculateur!X114*VLOOKUP('Données projet'!$B$9,Paramètres!$A$1:$I$89,3,0)*0.475*44/12</f>
        <v>21.729071026442035</v>
      </c>
      <c r="AB114" s="21">
        <f>EXP(-LN(2)/2)*AB113+(1-EXP(-LN(2)/2))/(LN(2)/2)*V114*Y114*VLOOKUP('Données projet'!$B$9,Paramètres!$A$1:$I$89,3,0)*0.475*44/12</f>
        <v>1.3470013279496991E-3</v>
      </c>
      <c r="AC114" s="22">
        <f t="shared" si="57"/>
        <v>49.864137542459531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3.4106051316484809E-13</v>
      </c>
      <c r="AJ114" s="13">
        <f>AI114*VLOOKUP('Données projet'!$B$10,Paramètres!$A$1:$I$89,3,0)*VLOOKUP('Données projet'!$B$10,Paramètres!$A$1:$I$89,5,0)</f>
        <v>1.5961632016114892E-13</v>
      </c>
      <c r="AK114" s="13">
        <f t="shared" si="89"/>
        <v>2.2708641912150958E-12</v>
      </c>
      <c r="AL114" s="20">
        <f t="shared" si="58"/>
        <v>4.2330868906469593E-12</v>
      </c>
      <c r="AM114" s="59">
        <f t="shared" si="59"/>
        <v>293.33333333333752</v>
      </c>
      <c r="AN114" s="59">
        <f ca="1">AVERAGE(OFFSET($AM$3,0,0,'Données projet'!$E$10+1,1))-AVERAGE(OFFSET($H$3,0,0,'Données projet'!$E$10+1,1))</f>
        <v>293.15557501692803</v>
      </c>
      <c r="AO114" s="59">
        <f t="shared" si="90"/>
        <v>237.1930412773068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126.12479735671231</v>
      </c>
      <c r="AV114" s="21">
        <f>EXP(-LN(2)/25)*AV113+(1-EXP(-LN(2)/25))/(LN(2)/25)*Calculateur!AQ114*Calculateur!AS114*VLOOKUP('Données projet'!$B$10,Paramètres!$A$1:$I$89,3,0)*0.475*44/12</f>
        <v>39.624128839103676</v>
      </c>
      <c r="AW114" s="21">
        <f>EXP(-LN(2)/2)*AW113+(1-EXP(-LN(2)/2))/(LN(2)/2)*AQ114*AT114*VLOOKUP('Données projet'!$B$10,Paramètres!$A$1:$I$89,3,0)*0.475*44/12</f>
        <v>15.743949509416293</v>
      </c>
      <c r="AX114" s="21">
        <f t="shared" si="60"/>
        <v>181.49287570523228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7.5129999999999999</v>
      </c>
      <c r="BD114" s="12">
        <f>IF('Données projet'!$A$88&gt;35,BD113+BC114-BL113,IF(A114&lt;'Données projet'!$A$88,$BA$205^A114,IF(A114='Données projet'!$A$88,'Données projet'!$B$88,BD113+BC114-BL113)))</f>
        <v>341.02400000000034</v>
      </c>
      <c r="BE114" s="13">
        <f>BD114*VLOOKUP('Données projet'!$B$11,Paramètres!$A$1:$I$89,3,0)*VLOOKUP('Données projet'!$B$11,Paramètres!$A$1:$I$89,5,0)</f>
        <v>308.55851520000027</v>
      </c>
      <c r="BF114" s="13">
        <f t="shared" si="91"/>
        <v>72.967709162109642</v>
      </c>
      <c r="BG114" s="20">
        <f t="shared" si="61"/>
        <v>664.4915074306748</v>
      </c>
      <c r="BH114" s="59">
        <f t="shared" si="62"/>
        <v>957.82484076400806</v>
      </c>
      <c r="BI114" s="59">
        <f ca="1">AVERAGE(OFFSET($BH$3,0,0,'Données projet'!$E$11+1,1))-AVERAGE(OFFSET($H$3,0,0,'Données projet'!$E$11+1,1))</f>
        <v>490.06222615476065</v>
      </c>
      <c r="BJ114" s="59">
        <f t="shared" si="92"/>
        <v>310.43914804089906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25.01074191604674</v>
      </c>
      <c r="BQ114" s="21">
        <f>EXP(-LN(2)/25)*BQ113+(1-EXP(-LN(2)/25))/(LN(2)/25)*Calculateur!BL114*Calculateur!BN114*VLOOKUP('Données projet'!$B$11,Paramètres!$A$1:$I$89,3,0)*0.475*44/12</f>
        <v>18.964037507037393</v>
      </c>
      <c r="BR114" s="21">
        <f>EXP(-LN(2)/2)*BR113+(1-EXP(-LN(2)/2))/(LN(2)/2)*BL114*BO114*VLOOKUP('Données projet'!$B$11,Paramètres!$A$1:$I$89,3,0)*0.475*44/12</f>
        <v>0.31054711422781245</v>
      </c>
      <c r="BS114" s="22">
        <f t="shared" si="63"/>
        <v>44.285326537311938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353.37479213497227</v>
      </c>
      <c r="T115" s="59">
        <f t="shared" si="88"/>
        <v>345.4750813433123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27.582034434880992</v>
      </c>
      <c r="AA115" s="21">
        <f>EXP(-LN(2)/25)*AA114+(1-EXP(-LN(2)/25))/(LN(2)/25)*Calculateur!V115*Calculateur!X115*VLOOKUP('Données projet'!$B$9,Paramètres!$A$1:$I$89,3,0)*0.475*44/12</f>
        <v>21.134888436541797</v>
      </c>
      <c r="AB115" s="21">
        <f>EXP(-LN(2)/2)*AB114+(1-EXP(-LN(2)/2))/(LN(2)/2)*V115*Y115*VLOOKUP('Données projet'!$B$9,Paramètres!$A$1:$I$89,3,0)*0.475*44/12</f>
        <v>9.5247377326051694E-4</v>
      </c>
      <c r="AC115" s="22">
        <f t="shared" si="57"/>
        <v>48.717875345196049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3.4106051316484809E-13</v>
      </c>
      <c r="AJ115" s="13">
        <f>AI115*VLOOKUP('Données projet'!$B$10,Paramètres!$A$1:$I$89,3,0)*VLOOKUP('Données projet'!$B$10,Paramètres!$A$1:$I$89,5,0)</f>
        <v>1.5961632016114892E-13</v>
      </c>
      <c r="AK115" s="13">
        <f t="shared" si="89"/>
        <v>2.2708641912150958E-12</v>
      </c>
      <c r="AL115" s="20">
        <f t="shared" si="58"/>
        <v>4.2330868906469593E-12</v>
      </c>
      <c r="AM115" s="59">
        <f t="shared" si="59"/>
        <v>293.33333333333752</v>
      </c>
      <c r="AN115" s="59">
        <f ca="1">AVERAGE(OFFSET($AM$3,0,0,'Données projet'!$E$10+1,1))-AVERAGE(OFFSET($H$3,0,0,'Données projet'!$E$10+1,1))</f>
        <v>293.15557501692803</v>
      </c>
      <c r="AO115" s="59">
        <f t="shared" si="90"/>
        <v>237.1930412773068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123.65156700907751</v>
      </c>
      <c r="AV115" s="21">
        <f>EXP(-LN(2)/25)*AV114+(1-EXP(-LN(2)/25))/(LN(2)/25)*Calculateur!AQ115*Calculateur!AS115*VLOOKUP('Données projet'!$B$10,Paramètres!$A$1:$I$89,3,0)*0.475*44/12</f>
        <v>38.540604952256011</v>
      </c>
      <c r="AW115" s="21">
        <f>EXP(-LN(2)/2)*AW114+(1-EXP(-LN(2)/2))/(LN(2)/2)*AQ115*AT115*VLOOKUP('Données projet'!$B$10,Paramètres!$A$1:$I$89,3,0)*0.475*44/12</f>
        <v>11.13265346076688</v>
      </c>
      <c r="AX115" s="21">
        <f t="shared" si="60"/>
        <v>173.32482542210039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7.5129999999999999</v>
      </c>
      <c r="BD115" s="12">
        <f>IF('Données projet'!$A$88&gt;35,BD114+BC115-BL114,IF(A115&lt;'Données projet'!$A$88,$BA$205^A115,IF(A115='Données projet'!$A$88,'Données projet'!$B$88,BD114+BC115-BL114)))</f>
        <v>348.53700000000032</v>
      </c>
      <c r="BE115" s="13">
        <f>BD115*VLOOKUP('Données projet'!$B$11,Paramètres!$A$1:$I$89,3,0)*VLOOKUP('Données projet'!$B$11,Paramètres!$A$1:$I$89,5,0)</f>
        <v>315.35627760000028</v>
      </c>
      <c r="BF115" s="13">
        <f t="shared" si="91"/>
        <v>74.386316421858538</v>
      </c>
      <c r="BG115" s="20">
        <f t="shared" si="61"/>
        <v>678.80168458807077</v>
      </c>
      <c r="BH115" s="59">
        <f t="shared" si="62"/>
        <v>972.13501792140414</v>
      </c>
      <c r="BI115" s="59">
        <f ca="1">AVERAGE(OFFSET($BH$3,0,0,'Données projet'!$E$11+1,1))-AVERAGE(OFFSET($H$3,0,0,'Données projet'!$E$11+1,1))</f>
        <v>490.06222615476065</v>
      </c>
      <c r="BJ115" s="59">
        <f t="shared" si="92"/>
        <v>310.43914804089906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24.52029652211932</v>
      </c>
      <c r="BQ115" s="21">
        <f>EXP(-LN(2)/25)*BQ114+(1-EXP(-LN(2)/25))/(LN(2)/25)*Calculateur!BL115*Calculateur!BN115*VLOOKUP('Données projet'!$B$11,Paramètres!$A$1:$I$89,3,0)*0.475*44/12</f>
        <v>18.445464904132066</v>
      </c>
      <c r="BR115" s="21">
        <f>EXP(-LN(2)/2)*BR114+(1-EXP(-LN(2)/2))/(LN(2)/2)*BL115*BO115*VLOOKUP('Données projet'!$B$11,Paramètres!$A$1:$I$89,3,0)*0.475*44/12</f>
        <v>0.21958997034839958</v>
      </c>
      <c r="BS115" s="22">
        <f t="shared" si="63"/>
        <v>43.185351396599792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353.37479213497227</v>
      </c>
      <c r="T116" s="59">
        <f t="shared" si="88"/>
        <v>345.4750813433123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27.041167562992811</v>
      </c>
      <c r="AA116" s="21">
        <f>EXP(-LN(2)/25)*AA115+(1-EXP(-LN(2)/25))/(LN(2)/25)*Calculateur!V116*Calculateur!X116*VLOOKUP('Données projet'!$B$9,Paramètres!$A$1:$I$89,3,0)*0.475*44/12</f>
        <v>20.556953800809083</v>
      </c>
      <c r="AB116" s="21">
        <f>EXP(-LN(2)/2)*AB115+(1-EXP(-LN(2)/2))/(LN(2)/2)*V116*Y116*VLOOKUP('Données projet'!$B$9,Paramètres!$A$1:$I$89,3,0)*0.475*44/12</f>
        <v>6.7350066397484966E-4</v>
      </c>
      <c r="AC116" s="22">
        <f t="shared" si="57"/>
        <v>47.598794864465866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3.4106051316484809E-13</v>
      </c>
      <c r="AJ116" s="13">
        <f>AI116*VLOOKUP('Données projet'!$B$10,Paramètres!$A$1:$I$89,3,0)*VLOOKUP('Données projet'!$B$10,Paramètres!$A$1:$I$89,5,0)</f>
        <v>1.5961632016114892E-13</v>
      </c>
      <c r="AK116" s="13">
        <f t="shared" si="89"/>
        <v>2.2708641912150958E-12</v>
      </c>
      <c r="AL116" s="20">
        <f t="shared" si="58"/>
        <v>4.2330868906469593E-12</v>
      </c>
      <c r="AM116" s="59">
        <f t="shared" si="59"/>
        <v>293.33333333333752</v>
      </c>
      <c r="AN116" s="59">
        <f ca="1">AVERAGE(OFFSET($AM$3,0,0,'Données projet'!$E$10+1,1))-AVERAGE(OFFSET($H$3,0,0,'Données projet'!$E$10+1,1))</f>
        <v>293.15557501692803</v>
      </c>
      <c r="AO116" s="59">
        <f t="shared" si="90"/>
        <v>237.1930412773068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121.22683520003827</v>
      </c>
      <c r="AV116" s="21">
        <f>EXP(-LN(2)/25)*AV115+(1-EXP(-LN(2)/25))/(LN(2)/25)*Calculateur!AQ116*Calculateur!AS116*VLOOKUP('Données projet'!$B$10,Paramètres!$A$1:$I$89,3,0)*0.475*44/12</f>
        <v>37.486710083074243</v>
      </c>
      <c r="AW116" s="21">
        <f>EXP(-LN(2)/2)*AW115+(1-EXP(-LN(2)/2))/(LN(2)/2)*AQ116*AT116*VLOOKUP('Données projet'!$B$10,Paramètres!$A$1:$I$89,3,0)*0.475*44/12</f>
        <v>7.8719747547081482</v>
      </c>
      <c r="AX116" s="21">
        <f t="shared" si="60"/>
        <v>166.58552003782069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356.05</v>
      </c>
      <c r="BB116" s="12">
        <f>VLOOKUP(A116,'Données projet'!$A$87:$I$107,9,0)</f>
        <v>7.5129999999999999</v>
      </c>
      <c r="BC116" s="12">
        <f t="array" ref="BC116">INDEX(BB:BB,MIN(IF(ISNUMBER(BB116:BB312),ROW(BB116:BB312),"")))</f>
        <v>7.5129999999999999</v>
      </c>
      <c r="BD116" s="12">
        <f>IF('Données projet'!$A$88&gt;35,BD115+BC116-BL115,IF(A116&lt;'Données projet'!$A$88,$BA$205^A116,IF(A116='Données projet'!$A$88,'Données projet'!$B$88,BD115+BC116-BL115)))</f>
        <v>356.0500000000003</v>
      </c>
      <c r="BE116" s="13">
        <f>BD116*VLOOKUP('Données projet'!$B$11,Paramètres!$A$1:$I$89,3,0)*VLOOKUP('Données projet'!$B$11,Paramètres!$A$1:$I$89,5,0)</f>
        <v>322.15404000000024</v>
      </c>
      <c r="BF116" s="13">
        <f t="shared" si="91"/>
        <v>75.801368428867207</v>
      </c>
      <c r="BG116" s="20">
        <f t="shared" si="61"/>
        <v>693.1056696802774</v>
      </c>
      <c r="BH116" s="59">
        <f t="shared" si="62"/>
        <v>986.43900301361077</v>
      </c>
      <c r="BI116" s="59">
        <f ca="1">AVERAGE(OFFSET($BH$3,0,0,'Données projet'!$E$11+1,1))-AVERAGE(OFFSET($H$3,0,0,'Données projet'!$E$11+1,1))</f>
        <v>490.06222615476065</v>
      </c>
      <c r="BJ116" s="59">
        <f t="shared" si="92"/>
        <v>310.43914804089906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45.660000000000025</v>
      </c>
      <c r="BM116" s="16">
        <f>IF(ISNA(VLOOKUP(A116,'Données projet'!$A$87:$I$107,5,0)),0%,VLOOKUP(A116,'Données projet'!$A$87:$I$107,5,0)*VLOOKUP('Données projet'!$B$11,Paramètres!$A$1:$I$89,7,0))</f>
        <v>0.215</v>
      </c>
      <c r="BN116" s="16">
        <f>IF(ISNA(VLOOKUP(A116,'Données projet'!$A$87:$I$107,6,0)),0%,VLOOKUP(A116,'Données projet'!$A$87:$I$107,6,0)*VLOOKUP('Données projet'!$B$11,Paramètres!$A$1:$I$89,7,0))</f>
        <v>8.6000000000000007E-2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33.858622417588407</v>
      </c>
      <c r="BQ116" s="21">
        <f>EXP(-LN(2)/25)*BQ115+(1-EXP(-LN(2)/25))/(LN(2)/25)*Calculateur!BL116*Calculateur!BN116*VLOOKUP('Données projet'!$B$11,Paramètres!$A$1:$I$89,3,0)*0.475*44/12</f>
        <v>21.853269577865508</v>
      </c>
      <c r="BR116" s="21">
        <f>EXP(-LN(2)/2)*BR115+(1-EXP(-LN(2)/2))/(LN(2)/2)*BL116*BO116*VLOOKUP('Données projet'!$B$11,Paramètres!$A$1:$I$89,3,0)*0.475*44/12</f>
        <v>0.15527355711390625</v>
      </c>
      <c r="BS116" s="22">
        <f t="shared" si="63"/>
        <v>55.867165552567819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353.37479213497227</v>
      </c>
      <c r="T117" s="59">
        <f t="shared" si="88"/>
        <v>345.4750813433123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26.51090676056614</v>
      </c>
      <c r="AA117" s="21">
        <f>EXP(-LN(2)/25)*AA116+(1-EXP(-LN(2)/25))/(LN(2)/25)*Calculateur!V117*Calculateur!X117*VLOOKUP('Données projet'!$B$9,Paramètres!$A$1:$I$89,3,0)*0.475*44/12</f>
        <v>19.994822818082742</v>
      </c>
      <c r="AB117" s="21">
        <f>EXP(-LN(2)/2)*AB116+(1-EXP(-LN(2)/2))/(LN(2)/2)*V117*Y117*VLOOKUP('Données projet'!$B$9,Paramètres!$A$1:$I$89,3,0)*0.475*44/12</f>
        <v>4.7623688663025852E-4</v>
      </c>
      <c r="AC117" s="22">
        <f t="shared" si="57"/>
        <v>46.506205815535516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3.4106051316484809E-13</v>
      </c>
      <c r="AJ117" s="13">
        <f>AI117*VLOOKUP('Données projet'!$B$10,Paramètres!$A$1:$I$89,3,0)*VLOOKUP('Données projet'!$B$10,Paramètres!$A$1:$I$89,5,0)</f>
        <v>1.5961632016114892E-13</v>
      </c>
      <c r="AK117" s="13">
        <f t="shared" si="89"/>
        <v>2.2708641912150958E-12</v>
      </c>
      <c r="AL117" s="20">
        <f t="shared" si="58"/>
        <v>4.2330868906469593E-12</v>
      </c>
      <c r="AM117" s="59">
        <f t="shared" si="59"/>
        <v>293.33333333333752</v>
      </c>
      <c r="AN117" s="59">
        <f ca="1">AVERAGE(OFFSET($AM$3,0,0,'Données projet'!$E$10+1,1))-AVERAGE(OFFSET($H$3,0,0,'Données projet'!$E$10+1,1))</f>
        <v>293.15557501692803</v>
      </c>
      <c r="AO117" s="59">
        <f t="shared" si="90"/>
        <v>237.1930412773068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118.84965090283391</v>
      </c>
      <c r="AV117" s="21">
        <f>EXP(-LN(2)/25)*AV116+(1-EXP(-LN(2)/25))/(LN(2)/25)*Calculateur!AQ117*Calculateur!AS117*VLOOKUP('Données projet'!$B$10,Paramètres!$A$1:$I$89,3,0)*0.475*44/12</f>
        <v>36.461634024512172</v>
      </c>
      <c r="AW117" s="21">
        <f>EXP(-LN(2)/2)*AW116+(1-EXP(-LN(2)/2))/(LN(2)/2)*AQ117*AT117*VLOOKUP('Données projet'!$B$10,Paramètres!$A$1:$I$89,3,0)*0.475*44/12</f>
        <v>5.5663267303834409</v>
      </c>
      <c r="AX117" s="21">
        <f t="shared" si="60"/>
        <v>160.87761165772955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7.8516666666666692</v>
      </c>
      <c r="BD117" s="12">
        <f>IF('Données projet'!$A$88&gt;35,BD116+BC117-BL116,IF(A117&lt;'Données projet'!$A$88,$BA$205^A117,IF(A117='Données projet'!$A$88,'Données projet'!$B$88,BD116+BC117-BL116)))</f>
        <v>318.24166666666696</v>
      </c>
      <c r="BE117" s="13">
        <f>BD117*VLOOKUP('Données projet'!$B$11,Paramètres!$A$1:$I$89,3,0)*VLOOKUP('Données projet'!$B$11,Paramètres!$A$1:$I$89,5,0)</f>
        <v>287.94506000000024</v>
      </c>
      <c r="BF117" s="13">
        <f t="shared" si="91"/>
        <v>68.643284503725127</v>
      </c>
      <c r="BG117" s="20">
        <f t="shared" si="61"/>
        <v>621.05803334398831</v>
      </c>
      <c r="BH117" s="59">
        <f t="shared" si="62"/>
        <v>914.39136667732168</v>
      </c>
      <c r="BI117" s="59">
        <f ca="1">AVERAGE(OFFSET($BH$3,0,0,'Données projet'!$E$11+1,1))-AVERAGE(OFFSET($H$3,0,0,'Données projet'!$E$11+1,1))</f>
        <v>490.06222615476065</v>
      </c>
      <c r="BJ117" s="59">
        <f t="shared" si="92"/>
        <v>310.43914804089906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33.194675483699982</v>
      </c>
      <c r="BQ117" s="21">
        <f>EXP(-LN(2)/25)*BQ116+(1-EXP(-LN(2)/25))/(LN(2)/25)*Calculateur!BL117*Calculateur!BN117*VLOOKUP('Données projet'!$B$11,Paramètres!$A$1:$I$89,3,0)*0.475*44/12</f>
        <v>21.255690772045273</v>
      </c>
      <c r="BR117" s="21">
        <f>EXP(-LN(2)/2)*BR116+(1-EXP(-LN(2)/2))/(LN(2)/2)*BL117*BO117*VLOOKUP('Données projet'!$B$11,Paramètres!$A$1:$I$89,3,0)*0.475*44/12</f>
        <v>0.10979498517419981</v>
      </c>
      <c r="BS117" s="22">
        <f t="shared" si="63"/>
        <v>54.560161240919449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353.37479213497227</v>
      </c>
      <c r="T118" s="59">
        <f t="shared" si="88"/>
        <v>345.4750813433123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25.9910440490479</v>
      </c>
      <c r="AA118" s="21">
        <f>EXP(-LN(2)/25)*AA117+(1-EXP(-LN(2)/25))/(LN(2)/25)*Calculateur!V118*Calculateur!X118*VLOOKUP('Données projet'!$B$9,Paramètres!$A$1:$I$89,3,0)*0.475*44/12</f>
        <v>19.448063336640235</v>
      </c>
      <c r="AB118" s="21">
        <f>EXP(-LN(2)/2)*AB117+(1-EXP(-LN(2)/2))/(LN(2)/2)*V118*Y118*VLOOKUP('Données projet'!$B$9,Paramètres!$A$1:$I$89,3,0)*0.475*44/12</f>
        <v>3.3675033198742488E-4</v>
      </c>
      <c r="AC118" s="22">
        <f t="shared" si="57"/>
        <v>45.439444136020121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3.4106051316484809E-13</v>
      </c>
      <c r="AJ118" s="13">
        <f>AI118*VLOOKUP('Données projet'!$B$10,Paramètres!$A$1:$I$89,3,0)*VLOOKUP('Données projet'!$B$10,Paramètres!$A$1:$I$89,5,0)</f>
        <v>1.5961632016114892E-13</v>
      </c>
      <c r="AK118" s="13">
        <f t="shared" si="89"/>
        <v>2.2708641912150958E-12</v>
      </c>
      <c r="AL118" s="20">
        <f t="shared" si="58"/>
        <v>4.2330868906469593E-12</v>
      </c>
      <c r="AM118" s="59">
        <f t="shared" si="59"/>
        <v>293.33333333333752</v>
      </c>
      <c r="AN118" s="59">
        <f ca="1">AVERAGE(OFFSET($AM$3,0,0,'Données projet'!$E$10+1,1))-AVERAGE(OFFSET($H$3,0,0,'Données projet'!$E$10+1,1))</f>
        <v>293.15557501692803</v>
      </c>
      <c r="AO118" s="59">
        <f t="shared" si="90"/>
        <v>237.1930412773068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116.51908173975849</v>
      </c>
      <c r="AV118" s="21">
        <f>EXP(-LN(2)/25)*AV117+(1-EXP(-LN(2)/25))/(LN(2)/25)*Calculateur!AQ118*Calculateur!AS118*VLOOKUP('Données projet'!$B$10,Paramètres!$A$1:$I$89,3,0)*0.475*44/12</f>
        <v>35.464588724677888</v>
      </c>
      <c r="AW118" s="21">
        <f>EXP(-LN(2)/2)*AW117+(1-EXP(-LN(2)/2))/(LN(2)/2)*AQ118*AT118*VLOOKUP('Données projet'!$B$10,Paramètres!$A$1:$I$89,3,0)*0.475*44/12</f>
        <v>3.9359873773540746</v>
      </c>
      <c r="AX118" s="21">
        <f t="shared" si="60"/>
        <v>155.91965784179047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7.8516666666666692</v>
      </c>
      <c r="BD118" s="12">
        <f>IF('Données projet'!$A$88&gt;35,BD117+BC118-BL117,IF(A118&lt;'Données projet'!$A$88,$BA$205^A118,IF(A118='Données projet'!$A$88,'Données projet'!$B$88,BD117+BC118-BL117)))</f>
        <v>326.09333333333365</v>
      </c>
      <c r="BE118" s="13">
        <f>BD118*VLOOKUP('Données projet'!$B$11,Paramètres!$A$1:$I$89,3,0)*VLOOKUP('Données projet'!$B$11,Paramètres!$A$1:$I$89,5,0)</f>
        <v>295.04924800000026</v>
      </c>
      <c r="BF118" s="13">
        <f t="shared" si="91"/>
        <v>70.13759270458003</v>
      </c>
      <c r="BG118" s="20">
        <f t="shared" si="61"/>
        <v>636.03374756047731</v>
      </c>
      <c r="BH118" s="59">
        <f t="shared" si="62"/>
        <v>929.36708089381068</v>
      </c>
      <c r="BI118" s="59">
        <f ca="1">AVERAGE(OFFSET($BH$3,0,0,'Données projet'!$E$11+1,1))-AVERAGE(OFFSET($H$3,0,0,'Données projet'!$E$11+1,1))</f>
        <v>490.06222615476065</v>
      </c>
      <c r="BJ118" s="59">
        <f t="shared" si="92"/>
        <v>310.43914804089906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32.543748144217467</v>
      </c>
      <c r="BQ118" s="21">
        <f>EXP(-LN(2)/25)*BQ117+(1-EXP(-LN(2)/25))/(LN(2)/25)*Calculateur!BL118*Calculateur!BN118*VLOOKUP('Données projet'!$B$11,Paramètres!$A$1:$I$89,3,0)*0.475*44/12</f>
        <v>20.674452790095497</v>
      </c>
      <c r="BR118" s="21">
        <f>EXP(-LN(2)/2)*BR117+(1-EXP(-LN(2)/2))/(LN(2)/2)*BL118*BO118*VLOOKUP('Données projet'!$B$11,Paramètres!$A$1:$I$89,3,0)*0.475*44/12</f>
        <v>7.763677855695314E-2</v>
      </c>
      <c r="BS118" s="22">
        <f t="shared" si="63"/>
        <v>53.295837712869911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353.37479213497227</v>
      </c>
      <c r="T119" s="59">
        <f t="shared" si="88"/>
        <v>345.4750813433123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25.48137552821759</v>
      </c>
      <c r="AA119" s="21">
        <f>EXP(-LN(2)/25)*AA118+(1-EXP(-LN(2)/25))/(LN(2)/25)*Calculateur!V119*Calculateur!X119*VLOOKUP('Données projet'!$B$9,Paramètres!$A$1:$I$89,3,0)*0.475*44/12</f>
        <v>18.916255021970606</v>
      </c>
      <c r="AB119" s="21">
        <f>EXP(-LN(2)/2)*AB118+(1-EXP(-LN(2)/2))/(LN(2)/2)*V119*Y119*VLOOKUP('Données projet'!$B$9,Paramètres!$A$1:$I$89,3,0)*0.475*44/12</f>
        <v>2.3811844331512929E-4</v>
      </c>
      <c r="AC119" s="22">
        <f t="shared" si="57"/>
        <v>44.39786866863151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3.4106051316484809E-13</v>
      </c>
      <c r="AJ119" s="13">
        <f>AI119*VLOOKUP('Données projet'!$B$10,Paramètres!$A$1:$I$89,3,0)*VLOOKUP('Données projet'!$B$10,Paramètres!$A$1:$I$89,5,0)</f>
        <v>1.5961632016114892E-13</v>
      </c>
      <c r="AK119" s="13">
        <f t="shared" si="89"/>
        <v>2.2708641912150958E-12</v>
      </c>
      <c r="AL119" s="20">
        <f t="shared" si="58"/>
        <v>4.2330868906469593E-12</v>
      </c>
      <c r="AM119" s="59">
        <f t="shared" si="59"/>
        <v>293.33333333333752</v>
      </c>
      <c r="AN119" s="59">
        <f ca="1">AVERAGE(OFFSET($AM$3,0,0,'Données projet'!$E$10+1,1))-AVERAGE(OFFSET($H$3,0,0,'Données projet'!$E$10+1,1))</f>
        <v>293.15557501692803</v>
      </c>
      <c r="AO119" s="59">
        <f t="shared" si="90"/>
        <v>237.1930412773068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114.23421361646415</v>
      </c>
      <c r="AV119" s="21">
        <f>EXP(-LN(2)/25)*AV118+(1-EXP(-LN(2)/25))/(LN(2)/25)*Calculateur!AQ119*Calculateur!AS119*VLOOKUP('Données projet'!$B$10,Paramètres!$A$1:$I$89,3,0)*0.475*44/12</f>
        <v>34.494807680999905</v>
      </c>
      <c r="AW119" s="21">
        <f>EXP(-LN(2)/2)*AW118+(1-EXP(-LN(2)/2))/(LN(2)/2)*AQ119*AT119*VLOOKUP('Données projet'!$B$10,Paramètres!$A$1:$I$89,3,0)*0.475*44/12</f>
        <v>2.7831633651917209</v>
      </c>
      <c r="AX119" s="21">
        <f t="shared" si="60"/>
        <v>151.51218466265576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7.8516666666666692</v>
      </c>
      <c r="BD119" s="12">
        <f>IF('Données projet'!$A$88&gt;35,BD118+BC119-BL118,IF(A119&lt;'Données projet'!$A$88,$BA$205^A119,IF(A119='Données projet'!$A$88,'Données projet'!$B$88,BD118+BC119-BL118)))</f>
        <v>333.94500000000033</v>
      </c>
      <c r="BE119" s="13">
        <f>BD119*VLOOKUP('Données projet'!$B$11,Paramètres!$A$1:$I$89,3,0)*VLOOKUP('Données projet'!$B$11,Paramètres!$A$1:$I$89,5,0)</f>
        <v>302.15343600000028</v>
      </c>
      <c r="BF119" s="13">
        <f t="shared" si="91"/>
        <v>71.627718279800249</v>
      </c>
      <c r="BG119" s="20">
        <f t="shared" si="61"/>
        <v>651.00217703731926</v>
      </c>
      <c r="BH119" s="59">
        <f t="shared" si="62"/>
        <v>944.33551037065263</v>
      </c>
      <c r="BI119" s="59">
        <f ca="1">AVERAGE(OFFSET($BH$3,0,0,'Données projet'!$E$11+1,1))-AVERAGE(OFFSET($H$3,0,0,'Données projet'!$E$11+1,1))</f>
        <v>490.06222615476065</v>
      </c>
      <c r="BJ119" s="59">
        <f t="shared" si="92"/>
        <v>310.43914804089906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31.905585092835732</v>
      </c>
      <c r="BQ119" s="21">
        <f>EXP(-LN(2)/25)*BQ118+(1-EXP(-LN(2)/25))/(LN(2)/25)*Calculateur!BL119*Calculateur!BN119*VLOOKUP('Données projet'!$B$11,Paramètres!$A$1:$I$89,3,0)*0.475*44/12</f>
        <v>20.109108791328115</v>
      </c>
      <c r="BR119" s="21">
        <f>EXP(-LN(2)/2)*BR118+(1-EXP(-LN(2)/2))/(LN(2)/2)*BL119*BO119*VLOOKUP('Données projet'!$B$11,Paramètres!$A$1:$I$89,3,0)*0.475*44/12</f>
        <v>5.4897492587099909E-2</v>
      </c>
      <c r="BS119" s="22">
        <f t="shared" si="63"/>
        <v>52.06959137675095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353.37479213497227</v>
      </c>
      <c r="T120" s="59">
        <f t="shared" si="88"/>
        <v>345.4750813433123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24.981701296213661</v>
      </c>
      <c r="AA120" s="21">
        <f>EXP(-LN(2)/25)*AA119+(1-EXP(-LN(2)/25))/(LN(2)/25)*Calculateur!V120*Calculateur!X120*VLOOKUP('Données projet'!$B$9,Paramètres!$A$1:$I$89,3,0)*0.475*44/12</f>
        <v>18.398989033632201</v>
      </c>
      <c r="AB120" s="21">
        <f>EXP(-LN(2)/2)*AB119+(1-EXP(-LN(2)/2))/(LN(2)/2)*V120*Y120*VLOOKUP('Données projet'!$B$9,Paramètres!$A$1:$I$89,3,0)*0.475*44/12</f>
        <v>1.6837516599371247E-4</v>
      </c>
      <c r="AC120" s="22">
        <f t="shared" si="57"/>
        <v>43.380858705011853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3.4106051316484809E-13</v>
      </c>
      <c r="AJ120" s="13">
        <f>AI120*VLOOKUP('Données projet'!$B$10,Paramètres!$A$1:$I$89,3,0)*VLOOKUP('Données projet'!$B$10,Paramètres!$A$1:$I$89,5,0)</f>
        <v>1.5961632016114892E-13</v>
      </c>
      <c r="AK120" s="13">
        <f t="shared" si="89"/>
        <v>2.2708641912150958E-12</v>
      </c>
      <c r="AL120" s="20">
        <f t="shared" si="58"/>
        <v>4.2330868906469593E-12</v>
      </c>
      <c r="AM120" s="59">
        <f t="shared" si="59"/>
        <v>293.33333333333752</v>
      </c>
      <c r="AN120" s="59">
        <f ca="1">AVERAGE(OFFSET($AM$3,0,0,'Données projet'!$E$10+1,1))-AVERAGE(OFFSET($H$3,0,0,'Données projet'!$E$10+1,1))</f>
        <v>293.15557501692803</v>
      </c>
      <c r="AO120" s="59">
        <f t="shared" si="90"/>
        <v>237.1930412773068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111.99415036343565</v>
      </c>
      <c r="AV120" s="21">
        <f>EXP(-LN(2)/25)*AV119+(1-EXP(-LN(2)/25))/(LN(2)/25)*Calculateur!AQ120*Calculateur!AS120*VLOOKUP('Données projet'!$B$10,Paramètres!$A$1:$I$89,3,0)*0.475*44/12</f>
        <v>33.551545350959863</v>
      </c>
      <c r="AW120" s="21">
        <f>EXP(-LN(2)/2)*AW119+(1-EXP(-LN(2)/2))/(LN(2)/2)*AQ120*AT120*VLOOKUP('Données projet'!$B$10,Paramètres!$A$1:$I$89,3,0)*0.475*44/12</f>
        <v>1.9679936886770375</v>
      </c>
      <c r="AX120" s="21">
        <f t="shared" si="60"/>
        <v>147.51368940307256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7.8516666666666692</v>
      </c>
      <c r="BD120" s="12">
        <f>IF('Données projet'!$A$88&gt;35,BD119+BC120-BL119,IF(A120&lt;'Données projet'!$A$88,$BA$205^A120,IF(A120='Données projet'!$A$88,'Données projet'!$B$88,BD119+BC120-BL119)))</f>
        <v>341.79666666666702</v>
      </c>
      <c r="BE120" s="13">
        <f>BD120*VLOOKUP('Données projet'!$B$11,Paramètres!$A$1:$I$89,3,0)*VLOOKUP('Données projet'!$B$11,Paramètres!$A$1:$I$89,5,0)</f>
        <v>309.25762400000031</v>
      </c>
      <c r="BF120" s="13">
        <f t="shared" si="91"/>
        <v>73.113770887931139</v>
      </c>
      <c r="BG120" s="20">
        <f t="shared" si="61"/>
        <v>665.96351276314715</v>
      </c>
      <c r="BH120" s="59">
        <f t="shared" si="62"/>
        <v>959.29684609648052</v>
      </c>
      <c r="BI120" s="59">
        <f ca="1">AVERAGE(OFFSET($BH$3,0,0,'Données projet'!$E$11+1,1))-AVERAGE(OFFSET($H$3,0,0,'Données projet'!$E$11+1,1))</f>
        <v>490.06222615476065</v>
      </c>
      <c r="BJ120" s="59">
        <f t="shared" si="92"/>
        <v>310.43914804089906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31.279936029650568</v>
      </c>
      <c r="BQ120" s="21">
        <f>EXP(-LN(2)/25)*BQ119+(1-EXP(-LN(2)/25))/(LN(2)/25)*Calculateur!BL120*Calculateur!BN120*VLOOKUP('Données projet'!$B$11,Paramètres!$A$1:$I$89,3,0)*0.475*44/12</f>
        <v>19.559224153937176</v>
      </c>
      <c r="BR120" s="21">
        <f>EXP(-LN(2)/2)*BR119+(1-EXP(-LN(2)/2))/(LN(2)/2)*BL120*BO120*VLOOKUP('Données projet'!$B$11,Paramètres!$A$1:$I$89,3,0)*0.475*44/12</f>
        <v>3.881838927847657E-2</v>
      </c>
      <c r="BS120" s="22">
        <f t="shared" si="63"/>
        <v>50.877978572866219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353.37479213497227</v>
      </c>
      <c r="T121" s="59">
        <f t="shared" si="88"/>
        <v>345.4750813433123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24.49182537112814</v>
      </c>
      <c r="AA121" s="21">
        <f>EXP(-LN(2)/25)*AA120+(1-EXP(-LN(2)/25))/(LN(2)/25)*Calculateur!V121*Calculateur!X121*VLOOKUP('Données projet'!$B$9,Paramètres!$A$1:$I$89,3,0)*0.475*44/12</f>
        <v>17.895867710946746</v>
      </c>
      <c r="AB121" s="21">
        <f>EXP(-LN(2)/2)*AB120+(1-EXP(-LN(2)/2))/(LN(2)/2)*V121*Y121*VLOOKUP('Données projet'!$B$9,Paramètres!$A$1:$I$89,3,0)*0.475*44/12</f>
        <v>1.1905922165756467E-4</v>
      </c>
      <c r="AC121" s="22">
        <f t="shared" si="57"/>
        <v>42.38781214129655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3.4106051316484809E-13</v>
      </c>
      <c r="AJ121" s="13">
        <f>AI121*VLOOKUP('Données projet'!$B$10,Paramètres!$A$1:$I$89,3,0)*VLOOKUP('Données projet'!$B$10,Paramètres!$A$1:$I$89,5,0)</f>
        <v>1.5961632016114892E-13</v>
      </c>
      <c r="AK121" s="13">
        <f t="shared" si="89"/>
        <v>2.2708641912150958E-12</v>
      </c>
      <c r="AL121" s="20">
        <f t="shared" si="58"/>
        <v>4.2330868906469593E-12</v>
      </c>
      <c r="AM121" s="59">
        <f t="shared" si="59"/>
        <v>293.33333333333752</v>
      </c>
      <c r="AN121" s="59">
        <f ca="1">AVERAGE(OFFSET($AM$3,0,0,'Données projet'!$E$10+1,1))-AVERAGE(OFFSET($H$3,0,0,'Données projet'!$E$10+1,1))</f>
        <v>293.15557501692803</v>
      </c>
      <c r="AO121" s="59">
        <f t="shared" si="90"/>
        <v>237.1930412773068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109.79801338449538</v>
      </c>
      <c r="AV121" s="21">
        <f>EXP(-LN(2)/25)*AV120+(1-EXP(-LN(2)/25))/(LN(2)/25)*Calculateur!AQ121*Calculateur!AS121*VLOOKUP('Données projet'!$B$10,Paramètres!$A$1:$I$89,3,0)*0.475*44/12</f>
        <v>32.634076578938782</v>
      </c>
      <c r="AW121" s="21">
        <f>EXP(-LN(2)/2)*AW120+(1-EXP(-LN(2)/2))/(LN(2)/2)*AQ121*AT121*VLOOKUP('Données projet'!$B$10,Paramètres!$A$1:$I$89,3,0)*0.475*44/12</f>
        <v>1.3915816825958607</v>
      </c>
      <c r="AX121" s="21">
        <f t="shared" si="60"/>
        <v>143.82367164603002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7.8516666666666692</v>
      </c>
      <c r="BD121" s="12">
        <f>IF('Données projet'!$A$88&gt;35,BD120+BC121-BL120,IF(A121&lt;'Données projet'!$A$88,$BA$205^A121,IF(A121='Données projet'!$A$88,'Données projet'!$B$88,BD120+BC121-BL120)))</f>
        <v>349.64833333333371</v>
      </c>
      <c r="BE121" s="13">
        <f>BD121*VLOOKUP('Données projet'!$B$11,Paramètres!$A$1:$I$89,3,0)*VLOOKUP('Données projet'!$B$11,Paramètres!$A$1:$I$89,5,0)</f>
        <v>316.36181200000033</v>
      </c>
      <c r="BF121" s="13">
        <f t="shared" si="91"/>
        <v>74.59585486191655</v>
      </c>
      <c r="BG121" s="20">
        <f t="shared" si="61"/>
        <v>680.91793645117184</v>
      </c>
      <c r="BH121" s="59">
        <f t="shared" si="62"/>
        <v>974.25126978450521</v>
      </c>
      <c r="BI121" s="59">
        <f ca="1">AVERAGE(OFFSET($BH$3,0,0,'Données projet'!$E$11+1,1))-AVERAGE(OFFSET($H$3,0,0,'Données projet'!$E$11+1,1))</f>
        <v>490.06222615476065</v>
      </c>
      <c r="BJ121" s="59">
        <f t="shared" si="92"/>
        <v>310.43914804089906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30.666555562986215</v>
      </c>
      <c r="BQ121" s="21">
        <f>EXP(-LN(2)/25)*BQ120+(1-EXP(-LN(2)/25))/(LN(2)/25)*Calculateur!BL121*Calculateur!BN121*VLOOKUP('Données projet'!$B$11,Paramètres!$A$1:$I$89,3,0)*0.475*44/12</f>
        <v>19.024376140872871</v>
      </c>
      <c r="BR121" s="21">
        <f>EXP(-LN(2)/2)*BR120+(1-EXP(-LN(2)/2))/(LN(2)/2)*BL121*BO121*VLOOKUP('Données projet'!$B$11,Paramètres!$A$1:$I$89,3,0)*0.475*44/12</f>
        <v>2.7448746293549955E-2</v>
      </c>
      <c r="BS121" s="22">
        <f t="shared" si="63"/>
        <v>49.718380450152637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353.37479213497227</v>
      </c>
      <c r="T122" s="59">
        <f t="shared" si="88"/>
        <v>345.4750813433123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24.011555614138736</v>
      </c>
      <c r="AA122" s="21">
        <f>EXP(-LN(2)/25)*AA121+(1-EXP(-LN(2)/25))/(LN(2)/25)*Calculateur!V122*Calculateur!X122*VLOOKUP('Données projet'!$B$9,Paramètres!$A$1:$I$89,3,0)*0.475*44/12</f>
        <v>17.406504267288124</v>
      </c>
      <c r="AB122" s="21">
        <f>EXP(-LN(2)/2)*AB121+(1-EXP(-LN(2)/2))/(LN(2)/2)*V122*Y122*VLOOKUP('Données projet'!$B$9,Paramètres!$A$1:$I$89,3,0)*0.475*44/12</f>
        <v>8.4187582996856248E-5</v>
      </c>
      <c r="AC122" s="22">
        <f t="shared" si="57"/>
        <v>41.418144069009855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3.4106051316484809E-13</v>
      </c>
      <c r="AJ122" s="13">
        <f>AI122*VLOOKUP('Données projet'!$B$10,Paramètres!$A$1:$I$89,3,0)*VLOOKUP('Données projet'!$B$10,Paramètres!$A$1:$I$89,5,0)</f>
        <v>1.5961632016114892E-13</v>
      </c>
      <c r="AK122" s="13">
        <f t="shared" si="89"/>
        <v>2.2708641912150958E-12</v>
      </c>
      <c r="AL122" s="20">
        <f t="shared" si="58"/>
        <v>4.2330868906469593E-12</v>
      </c>
      <c r="AM122" s="59">
        <f t="shared" si="59"/>
        <v>293.33333333333752</v>
      </c>
      <c r="AN122" s="59">
        <f ca="1">AVERAGE(OFFSET($AM$3,0,0,'Données projet'!$E$10+1,1))-AVERAGE(OFFSET($H$3,0,0,'Données projet'!$E$10+1,1))</f>
        <v>293.15557501692803</v>
      </c>
      <c r="AO122" s="59">
        <f t="shared" si="90"/>
        <v>237.1930412773068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107.64494131220083</v>
      </c>
      <c r="AV122" s="21">
        <f>EXP(-LN(2)/25)*AV121+(1-EXP(-LN(2)/25))/(LN(2)/25)*Calculateur!AQ122*Calculateur!AS122*VLOOKUP('Données projet'!$B$10,Paramètres!$A$1:$I$89,3,0)*0.475*44/12</f>
        <v>31.741696038736201</v>
      </c>
      <c r="AW122" s="21">
        <f>EXP(-LN(2)/2)*AW121+(1-EXP(-LN(2)/2))/(LN(2)/2)*AQ122*AT122*VLOOKUP('Données projet'!$B$10,Paramètres!$A$1:$I$89,3,0)*0.475*44/12</f>
        <v>0.98399684433851897</v>
      </c>
      <c r="AX122" s="21">
        <f t="shared" si="60"/>
        <v>140.37063419527556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7.8516666666666692</v>
      </c>
      <c r="BD122" s="12">
        <f>IF('Données projet'!$A$88&gt;35,BD121+BC122-BL121,IF(A122&lt;'Données projet'!$A$88,$BA$205^A122,IF(A122='Données projet'!$A$88,'Données projet'!$B$88,BD121+BC122-BL121)))</f>
        <v>357.5000000000004</v>
      </c>
      <c r="BE122" s="13">
        <f>BD122*VLOOKUP('Données projet'!$B$11,Paramètres!$A$1:$I$89,3,0)*VLOOKUP('Données projet'!$B$11,Paramètres!$A$1:$I$89,5,0)</f>
        <v>323.46600000000035</v>
      </c>
      <c r="BF122" s="13">
        <f t="shared" si="91"/>
        <v>76.074069581431218</v>
      </c>
      <c r="BG122" s="20">
        <f t="shared" si="61"/>
        <v>695.86562118765994</v>
      </c>
      <c r="BH122" s="59">
        <f t="shared" si="62"/>
        <v>989.19895452099331</v>
      </c>
      <c r="BI122" s="59">
        <f ca="1">AVERAGE(OFFSET($BH$3,0,0,'Données projet'!$E$11+1,1))-AVERAGE(OFFSET($H$3,0,0,'Données projet'!$E$11+1,1))</f>
        <v>490.06222615476065</v>
      </c>
      <c r="BJ122" s="59">
        <f t="shared" si="92"/>
        <v>310.43914804089906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30.065203113148009</v>
      </c>
      <c r="BQ122" s="21">
        <f>EXP(-LN(2)/25)*BQ121+(1-EXP(-LN(2)/25))/(LN(2)/25)*Calculateur!BL122*Calculateur!BN122*VLOOKUP('Données projet'!$B$11,Paramètres!$A$1:$I$89,3,0)*0.475*44/12</f>
        <v>18.504153574852243</v>
      </c>
      <c r="BR122" s="21">
        <f>EXP(-LN(2)/2)*BR121+(1-EXP(-LN(2)/2))/(LN(2)/2)*BL122*BO122*VLOOKUP('Données projet'!$B$11,Paramètres!$A$1:$I$89,3,0)*0.475*44/12</f>
        <v>1.9409194639238285E-2</v>
      </c>
      <c r="BS122" s="22">
        <f t="shared" si="63"/>
        <v>48.588765882639493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353.37479213497227</v>
      </c>
      <c r="T123" s="59">
        <f t="shared" si="88"/>
        <v>345.4750813433123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23.540703654148267</v>
      </c>
      <c r="AA123" s="21">
        <f>EXP(-LN(2)/25)*AA122+(1-EXP(-LN(2)/25))/(LN(2)/25)*Calculateur!V123*Calculateur!X123*VLOOKUP('Données projet'!$B$9,Paramètres!$A$1:$I$89,3,0)*0.475*44/12</f>
        <v>16.930522492730855</v>
      </c>
      <c r="AB123" s="21">
        <f>EXP(-LN(2)/2)*AB122+(1-EXP(-LN(2)/2))/(LN(2)/2)*V123*Y123*VLOOKUP('Données projet'!$B$9,Paramètres!$A$1:$I$89,3,0)*0.475*44/12</f>
        <v>5.9529610828782342E-5</v>
      </c>
      <c r="AC123" s="22">
        <f t="shared" si="57"/>
        <v>40.471285676489948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3.4106051316484809E-13</v>
      </c>
      <c r="AJ123" s="13">
        <f>AI123*VLOOKUP('Données projet'!$B$10,Paramètres!$A$1:$I$89,3,0)*VLOOKUP('Données projet'!$B$10,Paramètres!$A$1:$I$89,5,0)</f>
        <v>1.5961632016114892E-13</v>
      </c>
      <c r="AK123" s="13">
        <f t="shared" si="89"/>
        <v>2.2708641912150958E-12</v>
      </c>
      <c r="AL123" s="20">
        <f t="shared" si="58"/>
        <v>4.2330868906469593E-12</v>
      </c>
      <c r="AM123" s="59">
        <f t="shared" si="59"/>
        <v>293.33333333333752</v>
      </c>
      <c r="AN123" s="59">
        <f ca="1">AVERAGE(OFFSET($AM$3,0,0,'Données projet'!$E$10+1,1))-AVERAGE(OFFSET($H$3,0,0,'Données projet'!$E$10+1,1))</f>
        <v>293.15557501692803</v>
      </c>
      <c r="AO123" s="59">
        <f t="shared" si="90"/>
        <v>237.1930412773068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105.53408966999969</v>
      </c>
      <c r="AV123" s="21">
        <f>EXP(-LN(2)/25)*AV122+(1-EXP(-LN(2)/25))/(LN(2)/25)*Calculateur!AQ123*Calculateur!AS123*VLOOKUP('Données projet'!$B$10,Paramètres!$A$1:$I$89,3,0)*0.475*44/12</f>
        <v>30.873717691333713</v>
      </c>
      <c r="AW123" s="21">
        <f>EXP(-LN(2)/2)*AW122+(1-EXP(-LN(2)/2))/(LN(2)/2)*AQ123*AT123*VLOOKUP('Données projet'!$B$10,Paramètres!$A$1:$I$89,3,0)*0.475*44/12</f>
        <v>0.69579084129793045</v>
      </c>
      <c r="AX123" s="21">
        <f t="shared" si="60"/>
        <v>137.10359820263133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7.8516666666666692</v>
      </c>
      <c r="BD123" s="12">
        <f>IF('Données projet'!$A$88&gt;35,BD122+BC123-BL122,IF(A123&lt;'Données projet'!$A$88,$BA$205^A123,IF(A123='Données projet'!$A$88,'Données projet'!$B$88,BD122+BC123-BL122)))</f>
        <v>365.35166666666709</v>
      </c>
      <c r="BE123" s="13">
        <f>BD123*VLOOKUP('Données projet'!$B$11,Paramètres!$A$1:$I$89,3,0)*VLOOKUP('Données projet'!$B$11,Paramètres!$A$1:$I$89,5,0)</f>
        <v>330.57018800000037</v>
      </c>
      <c r="BF123" s="13">
        <f t="shared" si="91"/>
        <v>77.548509811581681</v>
      </c>
      <c r="BG123" s="20">
        <f t="shared" si="61"/>
        <v>710.80673202183868</v>
      </c>
      <c r="BH123" s="59">
        <f t="shared" si="62"/>
        <v>1004.1400653551721</v>
      </c>
      <c r="BI123" s="59">
        <f ca="1">AVERAGE(OFFSET($BH$3,0,0,'Données projet'!$E$11+1,1))-AVERAGE(OFFSET($H$3,0,0,'Données projet'!$E$11+1,1))</f>
        <v>490.06222615476065</v>
      </c>
      <c r="BJ123" s="59">
        <f t="shared" si="92"/>
        <v>310.43914804089906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29.475642818062351</v>
      </c>
      <c r="BQ123" s="21">
        <f>EXP(-LN(2)/25)*BQ122+(1-EXP(-LN(2)/25))/(LN(2)/25)*Calculateur!BL123*Calculateur!BN123*VLOOKUP('Données projet'!$B$11,Paramètres!$A$1:$I$89,3,0)*0.475*44/12</f>
        <v>17.998156522256764</v>
      </c>
      <c r="BR123" s="21">
        <f>EXP(-LN(2)/2)*BR122+(1-EXP(-LN(2)/2))/(LN(2)/2)*BL123*BO123*VLOOKUP('Données projet'!$B$11,Paramètres!$A$1:$I$89,3,0)*0.475*44/12</f>
        <v>1.3724373146774977E-2</v>
      </c>
      <c r="BS123" s="22">
        <f t="shared" si="63"/>
        <v>47.48752371346589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353.37479213497227</v>
      </c>
      <c r="T124" s="59">
        <f t="shared" si="88"/>
        <v>345.4750813433123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23.079084813901872</v>
      </c>
      <c r="AA124" s="21">
        <f>EXP(-LN(2)/25)*AA123+(1-EXP(-LN(2)/25))/(LN(2)/25)*Calculateur!V124*Calculateur!X124*VLOOKUP('Données projet'!$B$9,Paramètres!$A$1:$I$89,3,0)*0.475*44/12</f>
        <v>16.467556464829649</v>
      </c>
      <c r="AB124" s="21">
        <f>EXP(-LN(2)/2)*AB123+(1-EXP(-LN(2)/2))/(LN(2)/2)*V124*Y124*VLOOKUP('Données projet'!$B$9,Paramètres!$A$1:$I$89,3,0)*0.475*44/12</f>
        <v>4.2093791498428131E-5</v>
      </c>
      <c r="AC124" s="22">
        <f t="shared" si="57"/>
        <v>39.54668337252302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3.4106051316484809E-13</v>
      </c>
      <c r="AJ124" s="13">
        <f>AI124*VLOOKUP('Données projet'!$B$10,Paramètres!$A$1:$I$89,3,0)*VLOOKUP('Données projet'!$B$10,Paramètres!$A$1:$I$89,5,0)</f>
        <v>1.5961632016114892E-13</v>
      </c>
      <c r="AK124" s="13">
        <f t="shared" si="89"/>
        <v>2.2708641912150958E-12</v>
      </c>
      <c r="AL124" s="20">
        <f t="shared" si="58"/>
        <v>4.2330868906469593E-12</v>
      </c>
      <c r="AM124" s="59">
        <f t="shared" si="59"/>
        <v>293.33333333333752</v>
      </c>
      <c r="AN124" s="59">
        <f ca="1">AVERAGE(OFFSET($AM$3,0,0,'Données projet'!$E$10+1,1))-AVERAGE(OFFSET($H$3,0,0,'Données projet'!$E$10+1,1))</f>
        <v>293.15557501692803</v>
      </c>
      <c r="AO124" s="59">
        <f t="shared" si="90"/>
        <v>237.1930412773068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103.46463054100974</v>
      </c>
      <c r="AV124" s="21">
        <f>EXP(-LN(2)/25)*AV123+(1-EXP(-LN(2)/25))/(LN(2)/25)*Calculateur!AQ124*Calculateur!AS124*VLOOKUP('Données projet'!$B$10,Paramètres!$A$1:$I$89,3,0)*0.475*44/12</f>
        <v>30.029474257485941</v>
      </c>
      <c r="AW124" s="21">
        <f>EXP(-LN(2)/2)*AW123+(1-EXP(-LN(2)/2))/(LN(2)/2)*AQ124*AT124*VLOOKUP('Données projet'!$B$10,Paramètres!$A$1:$I$89,3,0)*0.475*44/12</f>
        <v>0.49199842216925954</v>
      </c>
      <c r="AX124" s="21">
        <f t="shared" si="60"/>
        <v>133.98610322066492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7.8516666666666692</v>
      </c>
      <c r="BD124" s="12">
        <f>IF('Données projet'!$A$88&gt;35,BD123+BC124-BL123,IF(A124&lt;'Données projet'!$A$88,$BA$205^A124,IF(A124='Données projet'!$A$88,'Données projet'!$B$88,BD123+BC124-BL123)))</f>
        <v>373.20333333333377</v>
      </c>
      <c r="BE124" s="13">
        <f>BD124*VLOOKUP('Données projet'!$B$11,Paramètres!$A$1:$I$89,3,0)*VLOOKUP('Données projet'!$B$11,Paramètres!$A$1:$I$89,5,0)</f>
        <v>337.67437600000039</v>
      </c>
      <c r="BF124" s="13">
        <f t="shared" si="91"/>
        <v>79.019266011670013</v>
      </c>
      <c r="BG124" s="20">
        <f t="shared" si="61"/>
        <v>725.74142650365923</v>
      </c>
      <c r="BH124" s="59">
        <f t="shared" si="62"/>
        <v>1019.0747598369926</v>
      </c>
      <c r="BI124" s="59">
        <f ca="1">AVERAGE(OFFSET($BH$3,0,0,'Données projet'!$E$11+1,1))-AVERAGE(OFFSET($H$3,0,0,'Données projet'!$E$11+1,1))</f>
        <v>490.06222615476065</v>
      </c>
      <c r="BJ124" s="59">
        <f t="shared" si="92"/>
        <v>310.43914804089906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28.897643440767052</v>
      </c>
      <c r="BQ124" s="21">
        <f>EXP(-LN(2)/25)*BQ123+(1-EXP(-LN(2)/25))/(LN(2)/25)*Calculateur!BL124*Calculateur!BN124*VLOOKUP('Données projet'!$B$11,Paramètres!$A$1:$I$89,3,0)*0.475*44/12</f>
        <v>17.505995985673735</v>
      </c>
      <c r="BR124" s="21">
        <f>EXP(-LN(2)/2)*BR123+(1-EXP(-LN(2)/2))/(LN(2)/2)*BL124*BO124*VLOOKUP('Données projet'!$B$11,Paramètres!$A$1:$I$89,3,0)*0.475*44/12</f>
        <v>9.7045973196191425E-3</v>
      </c>
      <c r="BS124" s="22">
        <f t="shared" si="63"/>
        <v>46.413344023760409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353.37479213497227</v>
      </c>
      <c r="T125" s="59">
        <f t="shared" si="88"/>
        <v>345.4750813433123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22.626518037553019</v>
      </c>
      <c r="AA125" s="21">
        <f>EXP(-LN(2)/25)*AA124+(1-EXP(-LN(2)/25))/(LN(2)/25)*Calculateur!V125*Calculateur!X125*VLOOKUP('Données projet'!$B$9,Paramètres!$A$1:$I$89,3,0)*0.475*44/12</f>
        <v>16.017250267307723</v>
      </c>
      <c r="AB125" s="21">
        <f>EXP(-LN(2)/2)*AB124+(1-EXP(-LN(2)/2))/(LN(2)/2)*V125*Y125*VLOOKUP('Données projet'!$B$9,Paramètres!$A$1:$I$89,3,0)*0.475*44/12</f>
        <v>2.9764805414391178E-5</v>
      </c>
      <c r="AC125" s="22">
        <f t="shared" si="57"/>
        <v>38.643798069666154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3.4106051316484809E-13</v>
      </c>
      <c r="AJ125" s="13">
        <f>AI125*VLOOKUP('Données projet'!$B$10,Paramètres!$A$1:$I$89,3,0)*VLOOKUP('Données projet'!$B$10,Paramètres!$A$1:$I$89,5,0)</f>
        <v>1.5961632016114892E-13</v>
      </c>
      <c r="AK125" s="13">
        <f t="shared" si="89"/>
        <v>2.2708641912150958E-12</v>
      </c>
      <c r="AL125" s="20">
        <f t="shared" si="58"/>
        <v>4.2330868906469593E-12</v>
      </c>
      <c r="AM125" s="59">
        <f t="shared" si="59"/>
        <v>293.33333333333752</v>
      </c>
      <c r="AN125" s="59">
        <f ca="1">AVERAGE(OFFSET($AM$3,0,0,'Données projet'!$E$10+1,1))-AVERAGE(OFFSET($H$3,0,0,'Données projet'!$E$10+1,1))</f>
        <v>293.15557501692803</v>
      </c>
      <c r="AO125" s="59">
        <f t="shared" si="90"/>
        <v>237.1930412773068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101.43575224329385</v>
      </c>
      <c r="AV125" s="21">
        <f>EXP(-LN(2)/25)*AV124+(1-EXP(-LN(2)/25))/(LN(2)/25)*Calculateur!AQ125*Calculateur!AS125*VLOOKUP('Données projet'!$B$10,Paramètres!$A$1:$I$89,3,0)*0.475*44/12</f>
        <v>29.208316704733569</v>
      </c>
      <c r="AW125" s="21">
        <f>EXP(-LN(2)/2)*AW124+(1-EXP(-LN(2)/2))/(LN(2)/2)*AQ125*AT125*VLOOKUP('Données projet'!$B$10,Paramètres!$A$1:$I$89,3,0)*0.475*44/12</f>
        <v>0.34789542064896528</v>
      </c>
      <c r="AX125" s="21">
        <f t="shared" si="60"/>
        <v>130.99196436867638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7.8516666666666692</v>
      </c>
      <c r="BD125" s="12">
        <f>IF('Données projet'!$A$88&gt;35,BD124+BC125-BL124,IF(A125&lt;'Données projet'!$A$88,$BA$205^A125,IF(A125='Données projet'!$A$88,'Données projet'!$B$88,BD124+BC125-BL124)))</f>
        <v>381.05500000000046</v>
      </c>
      <c r="BE125" s="13">
        <f>BD125*VLOOKUP('Données projet'!$B$11,Paramètres!$A$1:$I$89,3,0)*VLOOKUP('Données projet'!$B$11,Paramètres!$A$1:$I$89,5,0)</f>
        <v>344.77856400000042</v>
      </c>
      <c r="BF125" s="13">
        <f t="shared" si="91"/>
        <v>80.486424617240047</v>
      </c>
      <c r="BG125" s="20">
        <f t="shared" si="61"/>
        <v>740.66985517502701</v>
      </c>
      <c r="BH125" s="59">
        <f t="shared" si="62"/>
        <v>1034.0031885083604</v>
      </c>
      <c r="BI125" s="59">
        <f ca="1">AVERAGE(OFFSET($BH$3,0,0,'Données projet'!$E$11+1,1))-AVERAGE(OFFSET($H$3,0,0,'Données projet'!$E$11+1,1))</f>
        <v>490.06222615476065</v>
      </c>
      <c r="BJ125" s="59">
        <f t="shared" si="92"/>
        <v>310.43914804089906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28.330978278715705</v>
      </c>
      <c r="BQ125" s="21">
        <f>EXP(-LN(2)/25)*BQ124+(1-EXP(-LN(2)/25))/(LN(2)/25)*Calculateur!BL125*Calculateur!BN125*VLOOKUP('Données projet'!$B$11,Paramètres!$A$1:$I$89,3,0)*0.475*44/12</f>
        <v>17.02729360484517</v>
      </c>
      <c r="BR125" s="21">
        <f>EXP(-LN(2)/2)*BR124+(1-EXP(-LN(2)/2))/(LN(2)/2)*BL125*BO125*VLOOKUP('Données projet'!$B$11,Paramètres!$A$1:$I$89,3,0)*0.475*44/12</f>
        <v>6.8621865733874887E-3</v>
      </c>
      <c r="BS125" s="22">
        <f t="shared" si="63"/>
        <v>45.36513407013426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353.37479213497227</v>
      </c>
      <c r="T126" s="59">
        <f t="shared" si="88"/>
        <v>345.4750813433123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22.182825819649889</v>
      </c>
      <c r="AA126" s="21">
        <f>EXP(-LN(2)/25)*AA125+(1-EXP(-LN(2)/25))/(LN(2)/25)*Calculateur!V126*Calculateur!X126*VLOOKUP('Données projet'!$B$9,Paramètres!$A$1:$I$89,3,0)*0.475*44/12</f>
        <v>15.57925771643761</v>
      </c>
      <c r="AB126" s="21">
        <f>EXP(-LN(2)/2)*AB125+(1-EXP(-LN(2)/2))/(LN(2)/2)*V126*Y126*VLOOKUP('Données projet'!$B$9,Paramètres!$A$1:$I$89,3,0)*0.475*44/12</f>
        <v>2.1046895749214069E-5</v>
      </c>
      <c r="AC126" s="22">
        <f t="shared" si="57"/>
        <v>37.762104582983248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3.4106051316484809E-13</v>
      </c>
      <c r="AJ126" s="13">
        <f>AI126*VLOOKUP('Données projet'!$B$10,Paramètres!$A$1:$I$89,3,0)*VLOOKUP('Données projet'!$B$10,Paramètres!$A$1:$I$89,5,0)</f>
        <v>1.5961632016114892E-13</v>
      </c>
      <c r="AK126" s="13">
        <f t="shared" si="89"/>
        <v>2.2708641912150958E-12</v>
      </c>
      <c r="AL126" s="20">
        <f t="shared" si="58"/>
        <v>4.2330868906469593E-12</v>
      </c>
      <c r="AM126" s="59">
        <f t="shared" si="59"/>
        <v>293.33333333333752</v>
      </c>
      <c r="AN126" s="59">
        <f ca="1">AVERAGE(OFFSET($AM$3,0,0,'Données projet'!$E$10+1,1))-AVERAGE(OFFSET($H$3,0,0,'Données projet'!$E$10+1,1))</f>
        <v>293.15557501692803</v>
      </c>
      <c r="AO126" s="59">
        <f t="shared" si="90"/>
        <v>237.1930412773068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99.446659011502604</v>
      </c>
      <c r="AV126" s="21">
        <f>EXP(-LN(2)/25)*AV125+(1-EXP(-LN(2)/25))/(LN(2)/25)*Calculateur!AQ126*Calculateur!AS126*VLOOKUP('Données projet'!$B$10,Paramètres!$A$1:$I$89,3,0)*0.475*44/12</f>
        <v>28.409613748444009</v>
      </c>
      <c r="AW126" s="21">
        <f>EXP(-LN(2)/2)*AW125+(1-EXP(-LN(2)/2))/(LN(2)/2)*AQ126*AT126*VLOOKUP('Données projet'!$B$10,Paramètres!$A$1:$I$89,3,0)*0.475*44/12</f>
        <v>0.24599921108462983</v>
      </c>
      <c r="AX126" s="21">
        <f t="shared" si="60"/>
        <v>128.10227197103126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7.8516666666666692</v>
      </c>
      <c r="BD126" s="12">
        <f>IF('Données projet'!$A$88&gt;35,BD125+BC126-BL125,IF(A126&lt;'Données projet'!$A$88,$BA$205^A126,IF(A126='Données projet'!$A$88,'Données projet'!$B$88,BD125+BC126-BL125)))</f>
        <v>388.90666666666715</v>
      </c>
      <c r="BE126" s="13">
        <f>BD126*VLOOKUP('Données projet'!$B$11,Paramètres!$A$1:$I$89,3,0)*VLOOKUP('Données projet'!$B$11,Paramètres!$A$1:$I$89,5,0)</f>
        <v>351.88275200000038</v>
      </c>
      <c r="BF126" s="13">
        <f t="shared" si="91"/>
        <v>81.950068298221169</v>
      </c>
      <c r="BG126" s="20">
        <f t="shared" si="61"/>
        <v>755.59216201940251</v>
      </c>
      <c r="BH126" s="59">
        <f t="shared" si="62"/>
        <v>1048.9254953527359</v>
      </c>
      <c r="BI126" s="59">
        <f ca="1">AVERAGE(OFFSET($BH$3,0,0,'Données projet'!$E$11+1,1))-AVERAGE(OFFSET($H$3,0,0,'Données projet'!$E$11+1,1))</f>
        <v>490.06222615476065</v>
      </c>
      <c r="BJ126" s="59">
        <f t="shared" si="92"/>
        <v>310.43914804089906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27.775425074860564</v>
      </c>
      <c r="BQ126" s="21">
        <f>EXP(-LN(2)/25)*BQ125+(1-EXP(-LN(2)/25))/(LN(2)/25)*Calculateur!BL126*Calculateur!BN126*VLOOKUP('Données projet'!$B$11,Paramètres!$A$1:$I$89,3,0)*0.475*44/12</f>
        <v>16.561681365794225</v>
      </c>
      <c r="BR126" s="21">
        <f>EXP(-LN(2)/2)*BR125+(1-EXP(-LN(2)/2))/(LN(2)/2)*BL126*BO126*VLOOKUP('Données projet'!$B$11,Paramètres!$A$1:$I$89,3,0)*0.475*44/12</f>
        <v>4.8522986598095712E-3</v>
      </c>
      <c r="BS126" s="22">
        <f t="shared" si="63"/>
        <v>44.341958739314606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353.37479213497227</v>
      </c>
      <c r="T127" s="59">
        <f t="shared" si="88"/>
        <v>345.4750813433123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21.74783413551431</v>
      </c>
      <c r="AA127" s="21">
        <f>EXP(-LN(2)/25)*AA126+(1-EXP(-LN(2)/25))/(LN(2)/25)*Calculateur!V127*Calculateur!X127*VLOOKUP('Données projet'!$B$9,Paramètres!$A$1:$I$89,3,0)*0.475*44/12</f>
        <v>15.153242094904067</v>
      </c>
      <c r="AB127" s="21">
        <f>EXP(-LN(2)/2)*AB126+(1-EXP(-LN(2)/2))/(LN(2)/2)*V127*Y127*VLOOKUP('Données projet'!$B$9,Paramètres!$A$1:$I$89,3,0)*0.475*44/12</f>
        <v>1.4882402707195591E-5</v>
      </c>
      <c r="AC127" s="22">
        <f t="shared" si="57"/>
        <v>36.901091112821085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3.4106051316484809E-13</v>
      </c>
      <c r="AJ127" s="13">
        <f>AI127*VLOOKUP('Données projet'!$B$10,Paramètres!$A$1:$I$89,3,0)*VLOOKUP('Données projet'!$B$10,Paramètres!$A$1:$I$89,5,0)</f>
        <v>1.5961632016114892E-13</v>
      </c>
      <c r="AK127" s="13">
        <f t="shared" si="89"/>
        <v>2.2708641912150958E-12</v>
      </c>
      <c r="AL127" s="20">
        <f t="shared" si="58"/>
        <v>4.2330868906469593E-12</v>
      </c>
      <c r="AM127" s="59">
        <f t="shared" si="59"/>
        <v>293.33333333333752</v>
      </c>
      <c r="AN127" s="59">
        <f ca="1">AVERAGE(OFFSET($AM$3,0,0,'Données projet'!$E$10+1,1))-AVERAGE(OFFSET($H$3,0,0,'Données projet'!$E$10+1,1))</f>
        <v>293.15557501692803</v>
      </c>
      <c r="AO127" s="59">
        <f t="shared" si="90"/>
        <v>237.1930412773068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97.496570684759703</v>
      </c>
      <c r="AV127" s="21">
        <f>EXP(-LN(2)/25)*AV126+(1-EXP(-LN(2)/25))/(LN(2)/25)*Calculateur!AQ127*Calculateur!AS127*VLOOKUP('Données projet'!$B$10,Paramètres!$A$1:$I$89,3,0)*0.475*44/12</f>
        <v>27.632751366496151</v>
      </c>
      <c r="AW127" s="21">
        <f>EXP(-LN(2)/2)*AW126+(1-EXP(-LN(2)/2))/(LN(2)/2)*AQ127*AT127*VLOOKUP('Données projet'!$B$10,Paramètres!$A$1:$I$89,3,0)*0.475*44/12</f>
        <v>0.17394771032448267</v>
      </c>
      <c r="AX127" s="21">
        <f t="shared" si="60"/>
        <v>125.30326976158034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7.8516666666666692</v>
      </c>
      <c r="BD127" s="12">
        <f>IF('Données projet'!$A$88&gt;35,BD126+BC127-BL126,IF(A127&lt;'Données projet'!$A$88,$BA$205^A127,IF(A127='Données projet'!$A$88,'Données projet'!$B$88,BD126+BC127-BL126)))</f>
        <v>396.75833333333384</v>
      </c>
      <c r="BE127" s="13">
        <f>BD127*VLOOKUP('Données projet'!$B$11,Paramètres!$A$1:$I$89,3,0)*VLOOKUP('Données projet'!$B$11,Paramètres!$A$1:$I$89,5,0)</f>
        <v>358.98694000000046</v>
      </c>
      <c r="BF127" s="13">
        <f t="shared" si="91"/>
        <v>83.410276195636754</v>
      </c>
      <c r="BG127" s="20">
        <f t="shared" si="61"/>
        <v>770.50848487406813</v>
      </c>
      <c r="BH127" s="59">
        <f t="shared" si="62"/>
        <v>1063.8418182074015</v>
      </c>
      <c r="BI127" s="59">
        <f ca="1">AVERAGE(OFFSET($BH$3,0,0,'Données projet'!$E$11+1,1))-AVERAGE(OFFSET($H$3,0,0,'Données projet'!$E$11+1,1))</f>
        <v>490.06222615476065</v>
      </c>
      <c r="BJ127" s="59">
        <f t="shared" si="92"/>
        <v>310.43914804089906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27.230765930479027</v>
      </c>
      <c r="BQ127" s="21">
        <f>EXP(-LN(2)/25)*BQ126+(1-EXP(-LN(2)/25))/(LN(2)/25)*Calculateur!BL127*Calculateur!BN127*VLOOKUP('Données projet'!$B$11,Paramètres!$A$1:$I$89,3,0)*0.475*44/12</f>
        <v>16.108801317905613</v>
      </c>
      <c r="BR127" s="21">
        <f>EXP(-LN(2)/2)*BR126+(1-EXP(-LN(2)/2))/(LN(2)/2)*BL127*BO127*VLOOKUP('Données projet'!$B$11,Paramètres!$A$1:$I$89,3,0)*0.475*44/12</f>
        <v>3.4310932866937443E-3</v>
      </c>
      <c r="BS127" s="22">
        <f t="shared" si="63"/>
        <v>43.342998341671333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353.37479213497227</v>
      </c>
      <c r="T128" s="59">
        <f t="shared" si="88"/>
        <v>345.4750813433123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21.321372372985898</v>
      </c>
      <c r="AA128" s="21">
        <f>EXP(-LN(2)/25)*AA127+(1-EXP(-LN(2)/25))/(LN(2)/25)*Calculateur!V128*Calculateur!X128*VLOOKUP('Données projet'!$B$9,Paramètres!$A$1:$I$89,3,0)*0.475*44/12</f>
        <v>14.738875892944547</v>
      </c>
      <c r="AB128" s="21">
        <f>EXP(-LN(2)/2)*AB127+(1-EXP(-LN(2)/2))/(LN(2)/2)*V128*Y128*VLOOKUP('Données projet'!$B$9,Paramètres!$A$1:$I$89,3,0)*0.475*44/12</f>
        <v>1.0523447874607036E-5</v>
      </c>
      <c r="AC128" s="22">
        <f t="shared" si="57"/>
        <v>36.060258789378324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3.4106051316484809E-13</v>
      </c>
      <c r="AJ128" s="13">
        <f>AI128*VLOOKUP('Données projet'!$B$10,Paramètres!$A$1:$I$89,3,0)*VLOOKUP('Données projet'!$B$10,Paramètres!$A$1:$I$89,5,0)</f>
        <v>1.5961632016114892E-13</v>
      </c>
      <c r="AK128" s="13">
        <f t="shared" si="89"/>
        <v>2.2708641912150958E-12</v>
      </c>
      <c r="AL128" s="20">
        <f t="shared" si="58"/>
        <v>4.2330868906469593E-12</v>
      </c>
      <c r="AM128" s="59">
        <f t="shared" si="59"/>
        <v>293.33333333333752</v>
      </c>
      <c r="AN128" s="59">
        <f ca="1">AVERAGE(OFFSET($AM$3,0,0,'Données projet'!$E$10+1,1))-AVERAGE(OFFSET($H$3,0,0,'Données projet'!$E$10+1,1))</f>
        <v>293.15557501692803</v>
      </c>
      <c r="AO128" s="59">
        <f t="shared" si="90"/>
        <v>237.1930412773068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95.5847224006678</v>
      </c>
      <c r="AV128" s="21">
        <f>EXP(-LN(2)/25)*AV127+(1-EXP(-LN(2)/25))/(LN(2)/25)*Calculateur!AQ128*Calculateur!AS128*VLOOKUP('Données projet'!$B$10,Paramètres!$A$1:$I$89,3,0)*0.475*44/12</f>
        <v>26.877132327236076</v>
      </c>
      <c r="AW128" s="21">
        <f>EXP(-LN(2)/2)*AW127+(1-EXP(-LN(2)/2))/(LN(2)/2)*AQ128*AT128*VLOOKUP('Données projet'!$B$10,Paramètres!$A$1:$I$89,3,0)*0.475*44/12</f>
        <v>0.12299960554231493</v>
      </c>
      <c r="AX128" s="21">
        <f t="shared" si="60"/>
        <v>122.58485433344619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404.61</v>
      </c>
      <c r="BB128" s="12">
        <f>VLOOKUP(A128,'Données projet'!$A$87:$I$107,9,0)</f>
        <v>7.8516666666666692</v>
      </c>
      <c r="BC128" s="12">
        <f t="array" ref="BC128">INDEX(BB:BB,MIN(IF(ISNUMBER(BB128:BB324),ROW(BB128:BB324),"")))</f>
        <v>7.8516666666666692</v>
      </c>
      <c r="BD128" s="12">
        <f>IF('Données projet'!$A$88&gt;35,BD127+BC128-BL127,IF(A128&lt;'Données projet'!$A$88,$BA$205^A128,IF(A128='Données projet'!$A$88,'Données projet'!$B$88,BD127+BC128-BL127)))</f>
        <v>404.61000000000053</v>
      </c>
      <c r="BE128" s="13">
        <f>BD128*VLOOKUP('Données projet'!$B$11,Paramètres!$A$1:$I$89,3,0)*VLOOKUP('Données projet'!$B$11,Paramètres!$A$1:$I$89,5,0)</f>
        <v>366.09112800000048</v>
      </c>
      <c r="BF128" s="13">
        <f t="shared" si="91"/>
        <v>84.86712413904533</v>
      </c>
      <c r="BG128" s="20">
        <f t="shared" si="61"/>
        <v>785.41895580883818</v>
      </c>
      <c r="BH128" s="59">
        <f t="shared" si="62"/>
        <v>1078.7522891421715</v>
      </c>
      <c r="BI128" s="59">
        <f ca="1">AVERAGE(OFFSET($BH$3,0,0,'Données projet'!$E$11+1,1))-AVERAGE(OFFSET($H$3,0,0,'Données projet'!$E$11+1,1))</f>
        <v>490.06222615476065</v>
      </c>
      <c r="BJ128" s="59">
        <f t="shared" si="92"/>
        <v>310.43914804089906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70</v>
      </c>
      <c r="BM128" s="16">
        <f>IF(ISNA(VLOOKUP(A128,'Données projet'!$A$87:$I$107,5,0)),0%,VLOOKUP(A128,'Données projet'!$A$87:$I$107,5,0)*VLOOKUP('Données projet'!$B$11,Paramètres!$A$1:$I$89,7,0))</f>
        <v>0.215</v>
      </c>
      <c r="BN128" s="16">
        <f>IF(ISNA(VLOOKUP(A128,'Données projet'!$A$87:$I$107,6,0)),0%,VLOOKUP(A128,'Données projet'!$A$87:$I$107,6,0)*VLOOKUP('Données projet'!$B$11,Paramètres!$A$1:$I$89,7,0))</f>
        <v>8.6000000000000007E-2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41.750242690700809</v>
      </c>
      <c r="BQ128" s="21">
        <f>EXP(-LN(2)/25)*BQ127+(1-EXP(-LN(2)/25))/(LN(2)/25)*Calculateur!BL128*Calculateur!BN128*VLOOKUP('Données projet'!$B$11,Paramètres!$A$1:$I$89,3,0)*0.475*44/12</f>
        <v>21.665979011136745</v>
      </c>
      <c r="BR128" s="21">
        <f>EXP(-LN(2)/2)*BR127+(1-EXP(-LN(2)/2))/(LN(2)/2)*BL128*BO128*VLOOKUP('Données projet'!$B$11,Paramètres!$A$1:$I$89,3,0)*0.475*44/12</f>
        <v>2.4261493299047856E-3</v>
      </c>
      <c r="BS128" s="22">
        <f t="shared" si="63"/>
        <v>63.418647851167464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353.37479213497227</v>
      </c>
      <c r="T129" s="59">
        <f t="shared" si="88"/>
        <v>345.4750813433123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20.90327326550468</v>
      </c>
      <c r="AA129" s="21">
        <f>EXP(-LN(2)/25)*AA128+(1-EXP(-LN(2)/25))/(LN(2)/25)*Calculateur!V129*Calculateur!X129*VLOOKUP('Données projet'!$B$9,Paramètres!$A$1:$I$89,3,0)*0.475*44/12</f>
        <v>14.335840556568181</v>
      </c>
      <c r="AB129" s="21">
        <f>EXP(-LN(2)/2)*AB128+(1-EXP(-LN(2)/2))/(LN(2)/2)*V129*Y129*VLOOKUP('Données projet'!$B$9,Paramètres!$A$1:$I$89,3,0)*0.475*44/12</f>
        <v>7.4412013535977962E-6</v>
      </c>
      <c r="AC129" s="22">
        <f t="shared" si="57"/>
        <v>35.239121263274214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1.5961632016114892E-13</v>
      </c>
      <c r="AK129" s="13">
        <f t="shared" si="89"/>
        <v>2.2708641912150958E-12</v>
      </c>
      <c r="AL129" s="20">
        <f t="shared" si="58"/>
        <v>4.2330868906469593E-12</v>
      </c>
      <c r="AM129" s="59">
        <f t="shared" si="59"/>
        <v>293.33333333333752</v>
      </c>
      <c r="AN129" s="59">
        <f ca="1">AVERAGE(OFFSET($AM$3,0,0,'Données projet'!$E$10+1,1))-AVERAGE(OFFSET($H$3,0,0,'Données projet'!$E$10+1,1))</f>
        <v>293.15557501692803</v>
      </c>
      <c r="AO129" s="59">
        <f t="shared" si="90"/>
        <v>237.1930412773068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93.710364295314633</v>
      </c>
      <c r="AV129" s="21">
        <f>EXP(-LN(2)/25)*AV128+(1-EXP(-LN(2)/25))/(LN(2)/25)*Calculateur!AQ129*Calculateur!AS129*VLOOKUP('Données projet'!$B$10,Paramètres!$A$1:$I$89,3,0)*0.475*44/12</f>
        <v>26.142175730340846</v>
      </c>
      <c r="AW129" s="21">
        <f>EXP(-LN(2)/2)*AW128+(1-EXP(-LN(2)/2))/(LN(2)/2)*AQ129*AT129*VLOOKUP('Données projet'!$B$10,Paramètres!$A$1:$I$89,3,0)*0.475*44/12</f>
        <v>8.6973855162241348E-2</v>
      </c>
      <c r="AX129" s="21">
        <f t="shared" si="60"/>
        <v>119.93951388081773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7.7849999999999966</v>
      </c>
      <c r="BD129" s="12">
        <f>IF('Données projet'!$A$88&gt;35,BD128+BC129-BL128,IF(A129&lt;'Données projet'!$A$88,$BA$205^A129,IF(A129='Données projet'!$A$88,'Données projet'!$B$88,BD128+BC129-BL128)))</f>
        <v>342.39500000000055</v>
      </c>
      <c r="BE129" s="13">
        <f>BD129*VLOOKUP('Données projet'!$B$11,Paramètres!$A$1:$I$89,3,0)*VLOOKUP('Données projet'!$B$11,Paramètres!$A$1:$I$89,5,0)</f>
        <v>309.7989960000005</v>
      </c>
      <c r="BF129" s="13">
        <f t="shared" si="91"/>
        <v>73.226850951914003</v>
      </c>
      <c r="BG129" s="20">
        <f t="shared" si="61"/>
        <v>667.10335010791766</v>
      </c>
      <c r="BH129" s="59">
        <f t="shared" si="62"/>
        <v>960.43668344125103</v>
      </c>
      <c r="BI129" s="59">
        <f ca="1">AVERAGE(OFFSET($BH$3,0,0,'Données projet'!$E$11+1,1))-AVERAGE(OFFSET($H$3,0,0,'Données projet'!$E$11+1,1))</f>
        <v>490.06222615476065</v>
      </c>
      <c r="BJ129" s="59">
        <f t="shared" si="92"/>
        <v>310.43914804089906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40.931545896669732</v>
      </c>
      <c r="BQ129" s="21">
        <f>EXP(-LN(2)/25)*BQ128+(1-EXP(-LN(2)/25))/(LN(2)/25)*Calculateur!BL129*Calculateur!BN129*VLOOKUP('Données projet'!$B$11,Paramètres!$A$1:$I$89,3,0)*0.475*44/12</f>
        <v>21.073521675712893</v>
      </c>
      <c r="BR129" s="21">
        <f>EXP(-LN(2)/2)*BR128+(1-EXP(-LN(2)/2))/(LN(2)/2)*BL129*BO129*VLOOKUP('Données projet'!$B$11,Paramètres!$A$1:$I$89,3,0)*0.475*44/12</f>
        <v>1.7155466433468722E-3</v>
      </c>
      <c r="BS129" s="22">
        <f t="shared" si="63"/>
        <v>62.006783119025975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353.37479213497227</v>
      </c>
      <c r="T130" s="59">
        <f t="shared" si="88"/>
        <v>345.4750813433123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20.493372826505894</v>
      </c>
      <c r="AA130" s="21">
        <f>EXP(-LN(2)/25)*AA129+(1-EXP(-LN(2)/25))/(LN(2)/25)*Calculateur!V130*Calculateur!X130*VLOOKUP('Données projet'!$B$9,Paramètres!$A$1:$I$89,3,0)*0.475*44/12</f>
        <v>13.943826242659734</v>
      </c>
      <c r="AB130" s="21">
        <f>EXP(-LN(2)/2)*AB129+(1-EXP(-LN(2)/2))/(LN(2)/2)*V130*Y130*VLOOKUP('Données projet'!$B$9,Paramètres!$A$1:$I$89,3,0)*0.475*44/12</f>
        <v>5.2617239373035189E-6</v>
      </c>
      <c r="AC130" s="22">
        <f t="shared" si="57"/>
        <v>34.437204330889564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1.5961632016114892E-13</v>
      </c>
      <c r="AK130" s="13">
        <f t="shared" si="89"/>
        <v>2.2708641912150958E-12</v>
      </c>
      <c r="AL130" s="20">
        <f t="shared" si="58"/>
        <v>4.2330868906469593E-12</v>
      </c>
      <c r="AM130" s="59">
        <f t="shared" si="59"/>
        <v>293.33333333333752</v>
      </c>
      <c r="AN130" s="59">
        <f ca="1">AVERAGE(OFFSET($AM$3,0,0,'Données projet'!$E$10+1,1))-AVERAGE(OFFSET($H$3,0,0,'Données projet'!$E$10+1,1))</f>
        <v>293.15557501692803</v>
      </c>
      <c r="AO130" s="59">
        <f t="shared" si="90"/>
        <v>237.1930412773068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91.872761209161879</v>
      </c>
      <c r="AV130" s="21">
        <f>EXP(-LN(2)/25)*AV129+(1-EXP(-LN(2)/25))/(LN(2)/25)*Calculateur!AQ130*Calculateur!AS130*VLOOKUP('Données projet'!$B$10,Paramètres!$A$1:$I$89,3,0)*0.475*44/12</f>
        <v>25.427316560237401</v>
      </c>
      <c r="AW130" s="21">
        <f>EXP(-LN(2)/2)*AW129+(1-EXP(-LN(2)/2))/(LN(2)/2)*AQ130*AT130*VLOOKUP('Données projet'!$B$10,Paramètres!$A$1:$I$89,3,0)*0.475*44/12</f>
        <v>6.1499802771157477E-2</v>
      </c>
      <c r="AX130" s="21">
        <f t="shared" si="60"/>
        <v>117.36157757217043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7.7849999999999966</v>
      </c>
      <c r="BD130" s="12">
        <f>IF('Données projet'!$A$88&gt;35,BD129+BC130-BL129,IF(A130&lt;'Données projet'!$A$88,$BA$205^A130,IF(A130='Données projet'!$A$88,'Données projet'!$B$88,BD129+BC130-BL129)))</f>
        <v>350.18000000000052</v>
      </c>
      <c r="BE130" s="13">
        <f>BD130*VLOOKUP('Données projet'!$B$11,Paramètres!$A$1:$I$89,3,0)*VLOOKUP('Données projet'!$B$11,Paramètres!$A$1:$I$89,5,0)</f>
        <v>316.84286400000047</v>
      </c>
      <c r="BF130" s="13">
        <f t="shared" si="91"/>
        <v>74.696071529813665</v>
      </c>
      <c r="BG130" s="20">
        <f t="shared" si="61"/>
        <v>681.93031271442624</v>
      </c>
      <c r="BH130" s="59">
        <f t="shared" si="62"/>
        <v>975.26364604775949</v>
      </c>
      <c r="BI130" s="59">
        <f ca="1">AVERAGE(OFFSET($BH$3,0,0,'Données projet'!$E$11+1,1))-AVERAGE(OFFSET($H$3,0,0,'Données projet'!$E$11+1,1))</f>
        <v>490.06222615476065</v>
      </c>
      <c r="BJ130" s="59">
        <f t="shared" si="92"/>
        <v>310.43914804089906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40.128903247413866</v>
      </c>
      <c r="BQ130" s="21">
        <f>EXP(-LN(2)/25)*BQ129+(1-EXP(-LN(2)/25))/(LN(2)/25)*Calculateur!BL130*Calculateur!BN130*VLOOKUP('Données projet'!$B$11,Paramètres!$A$1:$I$89,3,0)*0.475*44/12</f>
        <v>20.497265117282183</v>
      </c>
      <c r="BR130" s="21">
        <f>EXP(-LN(2)/2)*BR129+(1-EXP(-LN(2)/2))/(LN(2)/2)*BL130*BO130*VLOOKUP('Données projet'!$B$11,Paramètres!$A$1:$I$89,3,0)*0.475*44/12</f>
        <v>1.2130746649523928E-3</v>
      </c>
      <c r="BS130" s="22">
        <f t="shared" si="63"/>
        <v>60.627381439361002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353.37479213497227</v>
      </c>
      <c r="T131" s="59">
        <f t="shared" si="88"/>
        <v>345.4750813433123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20.091510285101293</v>
      </c>
      <c r="AA131" s="21">
        <f>EXP(-LN(2)/25)*AA130+(1-EXP(-LN(2)/25))/(LN(2)/25)*Calculateur!V131*Calculateur!X131*VLOOKUP('Données projet'!$B$9,Paramètres!$A$1:$I$89,3,0)*0.475*44/12</f>
        <v>13.56253158078025</v>
      </c>
      <c r="AB131" s="21">
        <f>EXP(-LN(2)/2)*AB130+(1-EXP(-LN(2)/2))/(LN(2)/2)*V131*Y131*VLOOKUP('Données projet'!$B$9,Paramètres!$A$1:$I$89,3,0)*0.475*44/12</f>
        <v>3.7206006767988989E-6</v>
      </c>
      <c r="AC131" s="22">
        <f t="shared" si="57"/>
        <v>33.654045586482219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1.5961632016114892E-13</v>
      </c>
      <c r="AK131" s="13">
        <f t="shared" si="89"/>
        <v>2.2708641912150958E-12</v>
      </c>
      <c r="AL131" s="20">
        <f t="shared" si="58"/>
        <v>4.2330868906469593E-12</v>
      </c>
      <c r="AM131" s="59">
        <f t="shared" si="59"/>
        <v>293.33333333333752</v>
      </c>
      <c r="AN131" s="59">
        <f ca="1">AVERAGE(OFFSET($AM$3,0,0,'Données projet'!$E$10+1,1))-AVERAGE(OFFSET($H$3,0,0,'Données projet'!$E$10+1,1))</f>
        <v>293.15557501692803</v>
      </c>
      <c r="AO131" s="59">
        <f t="shared" si="90"/>
        <v>237.1930412773068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90.071192398701371</v>
      </c>
      <c r="AV131" s="21">
        <f>EXP(-LN(2)/25)*AV130+(1-EXP(-LN(2)/25))/(LN(2)/25)*Calculateur!AQ131*Calculateur!AS131*VLOOKUP('Données projet'!$B$10,Paramètres!$A$1:$I$89,3,0)*0.475*44/12</f>
        <v>24.732005251733245</v>
      </c>
      <c r="AW131" s="21">
        <f>EXP(-LN(2)/2)*AW130+(1-EXP(-LN(2)/2))/(LN(2)/2)*AQ131*AT131*VLOOKUP('Données projet'!$B$10,Paramètres!$A$1:$I$89,3,0)*0.475*44/12</f>
        <v>4.3486927581120681E-2</v>
      </c>
      <c r="AX131" s="21">
        <f t="shared" si="60"/>
        <v>114.84668457801573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7.7849999999999966</v>
      </c>
      <c r="BD131" s="12">
        <f>IF('Données projet'!$A$88&gt;35,BD130+BC131-BL130,IF(A131&lt;'Données projet'!$A$88,$BA$205^A131,IF(A131='Données projet'!$A$88,'Données projet'!$B$88,BD130+BC131-BL130)))</f>
        <v>357.96500000000049</v>
      </c>
      <c r="BE131" s="13">
        <f>BD131*VLOOKUP('Données projet'!$B$11,Paramètres!$A$1:$I$89,3,0)*VLOOKUP('Données projet'!$B$11,Paramètres!$A$1:$I$89,5,0)</f>
        <v>323.88673200000045</v>
      </c>
      <c r="BF131" s="13">
        <f t="shared" si="91"/>
        <v>76.161494734560648</v>
      </c>
      <c r="BG131" s="20">
        <f t="shared" si="61"/>
        <v>696.75066156269395</v>
      </c>
      <c r="BH131" s="59">
        <f t="shared" si="62"/>
        <v>990.08399489602721</v>
      </c>
      <c r="BI131" s="59">
        <f ca="1">AVERAGE(OFFSET($BH$3,0,0,'Données projet'!$E$11+1,1))-AVERAGE(OFFSET($H$3,0,0,'Données projet'!$E$11+1,1))</f>
        <v>490.06222615476065</v>
      </c>
      <c r="BJ131" s="59">
        <f t="shared" si="92"/>
        <v>310.43914804089906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39.341999930946237</v>
      </c>
      <c r="BQ131" s="21">
        <f>EXP(-LN(2)/25)*BQ130+(1-EXP(-LN(2)/25))/(LN(2)/25)*Calculateur!BL131*Calculateur!BN131*VLOOKUP('Données projet'!$B$11,Paramètres!$A$1:$I$89,3,0)*0.475*44/12</f>
        <v>19.936766324745776</v>
      </c>
      <c r="BR131" s="21">
        <f>EXP(-LN(2)/2)*BR130+(1-EXP(-LN(2)/2))/(LN(2)/2)*BL131*BO131*VLOOKUP('Données projet'!$B$11,Paramètres!$A$1:$I$89,3,0)*0.475*44/12</f>
        <v>8.5777332167343609E-4</v>
      </c>
      <c r="BS131" s="22">
        <f t="shared" si="63"/>
        <v>59.279624029013689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353.37479213497227</v>
      </c>
      <c r="T132" s="59">
        <f t="shared" si="88"/>
        <v>345.4750813433123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19.69752802302169</v>
      </c>
      <c r="AA132" s="21">
        <f>EXP(-LN(2)/25)*AA131+(1-EXP(-LN(2)/25))/(LN(2)/25)*Calculateur!V132*Calculateur!X132*VLOOKUP('Données projet'!$B$9,Paramètres!$A$1:$I$89,3,0)*0.475*44/12</f>
        <v>13.191663441481277</v>
      </c>
      <c r="AB132" s="21">
        <f>EXP(-LN(2)/2)*AB131+(1-EXP(-LN(2)/2))/(LN(2)/2)*V132*Y132*VLOOKUP('Données projet'!$B$9,Paramètres!$A$1:$I$89,3,0)*0.475*44/12</f>
        <v>2.6308619686517599E-6</v>
      </c>
      <c r="AC132" s="22">
        <f t="shared" ref="AC132:AC153" si="111">SUM(Z132:AB132)</f>
        <v>32.889194095364935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1.5961632016114892E-13</v>
      </c>
      <c r="AK132" s="13">
        <f t="shared" si="89"/>
        <v>2.2708641912150958E-12</v>
      </c>
      <c r="AL132" s="20">
        <f t="shared" ref="AL132:AL153" si="112">(AJ132+AK132)*0.475*44/12</f>
        <v>4.2330868906469593E-12</v>
      </c>
      <c r="AM132" s="59">
        <f t="shared" ref="AM132:AM195" si="113">AL132+(AD132+AE132)*44/12</f>
        <v>293.33333333333752</v>
      </c>
      <c r="AN132" s="59">
        <f ca="1">AVERAGE(OFFSET($AM$3,0,0,'Données projet'!$E$10+1,1))-AVERAGE(OFFSET($H$3,0,0,'Données projet'!$E$10+1,1))</f>
        <v>293.15557501692803</v>
      </c>
      <c r="AO132" s="59">
        <f t="shared" si="90"/>
        <v>237.1930412773068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88.304951253765523</v>
      </c>
      <c r="AV132" s="21">
        <f>EXP(-LN(2)/25)*AV131+(1-EXP(-LN(2)/25))/(LN(2)/25)*Calculateur!AQ132*Calculateur!AS132*VLOOKUP('Données projet'!$B$10,Paramètres!$A$1:$I$89,3,0)*0.475*44/12</f>
        <v>24.055707267524969</v>
      </c>
      <c r="AW132" s="21">
        <f>EXP(-LN(2)/2)*AW131+(1-EXP(-LN(2)/2))/(LN(2)/2)*AQ132*AT132*VLOOKUP('Données projet'!$B$10,Paramètres!$A$1:$I$89,3,0)*0.475*44/12</f>
        <v>3.0749901385578742E-2</v>
      </c>
      <c r="AX132" s="21">
        <f t="shared" ref="AX132:AX153" si="114">SUM(AU132:AW132)</f>
        <v>112.39140842267607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7.7849999999999966</v>
      </c>
      <c r="BD132" s="12">
        <f>IF('Données projet'!$A$88&gt;35,BD131+BC132-BL131,IF(A132&lt;'Données projet'!$A$88,$BA$205^A132,IF(A132='Données projet'!$A$88,'Données projet'!$B$88,BD131+BC132-BL131)))</f>
        <v>365.75000000000045</v>
      </c>
      <c r="BE132" s="13">
        <f>BD132*VLOOKUP('Données projet'!$B$11,Paramètres!$A$1:$I$89,3,0)*VLOOKUP('Données projet'!$B$11,Paramètres!$A$1:$I$89,5,0)</f>
        <v>330.93060000000037</v>
      </c>
      <c r="BF132" s="13">
        <f t="shared" si="91"/>
        <v>77.623212662146571</v>
      </c>
      <c r="BG132" s="20">
        <f t="shared" ref="BG132:BG153" si="115">(BE132+BF132)*0.475*44/12</f>
        <v>711.56455705323924</v>
      </c>
      <c r="BH132" s="59">
        <f t="shared" ref="BH132:BH195" si="116">BG132+(AY132+AZ132)*44/12</f>
        <v>1004.8978903865725</v>
      </c>
      <c r="BI132" s="59">
        <f ca="1">AVERAGE(OFFSET($BH$3,0,0,'Données projet'!$E$11+1,1))-AVERAGE(OFFSET($H$3,0,0,'Données projet'!$E$11+1,1))</f>
        <v>490.06222615476065</v>
      </c>
      <c r="BJ132" s="59">
        <f t="shared" si="92"/>
        <v>310.43914804089906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38.570527308550908</v>
      </c>
      <c r="BQ132" s="21">
        <f>EXP(-LN(2)/25)*BQ131+(1-EXP(-LN(2)/25))/(LN(2)/25)*Calculateur!BL132*Calculateur!BN132*VLOOKUP('Données projet'!$B$11,Paramètres!$A$1:$I$89,3,0)*0.475*44/12</f>
        <v>19.391594401166628</v>
      </c>
      <c r="BR132" s="21">
        <f>EXP(-LN(2)/2)*BR131+(1-EXP(-LN(2)/2))/(LN(2)/2)*BL132*BO132*VLOOKUP('Données projet'!$B$11,Paramètres!$A$1:$I$89,3,0)*0.475*44/12</f>
        <v>6.0653733247619641E-4</v>
      </c>
      <c r="BS132" s="22">
        <f t="shared" ref="BS132:BS153" si="117">SUM(BP132:BR132)</f>
        <v>57.962728247050009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353.37479213497227</v>
      </c>
      <c r="T133" s="59">
        <f t="shared" ref="T133:T196" si="142">$T$3</f>
        <v>345.4750813433123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19.311271512796015</v>
      </c>
      <c r="AA133" s="21">
        <f>EXP(-LN(2)/25)*AA132+(1-EXP(-LN(2)/25))/(LN(2)/25)*Calculateur!V133*Calculateur!X133*VLOOKUP('Données projet'!$B$9,Paramètres!$A$1:$I$89,3,0)*0.475*44/12</f>
        <v>12.830936710954541</v>
      </c>
      <c r="AB133" s="21">
        <f>EXP(-LN(2)/2)*AB132+(1-EXP(-LN(2)/2))/(LN(2)/2)*V133*Y133*VLOOKUP('Données projet'!$B$9,Paramètres!$A$1:$I$89,3,0)*0.475*44/12</f>
        <v>1.8603003383994497E-6</v>
      </c>
      <c r="AC133" s="22">
        <f t="shared" si="111"/>
        <v>32.142210084050895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1.5961632016114892E-13</v>
      </c>
      <c r="AK133" s="13">
        <f t="shared" ref="AK133:AK153" si="143">EXP(-1.0587+0.8836*LN(AJ133)+0.284)</f>
        <v>2.2708641912150958E-12</v>
      </c>
      <c r="AL133" s="20">
        <f t="shared" si="112"/>
        <v>4.2330868906469593E-12</v>
      </c>
      <c r="AM133" s="59">
        <f t="shared" si="113"/>
        <v>293.33333333333752</v>
      </c>
      <c r="AN133" s="59">
        <f ca="1">AVERAGE(OFFSET($AM$3,0,0,'Données projet'!$E$10+1,1))-AVERAGE(OFFSET($H$3,0,0,'Données projet'!$E$10+1,1))</f>
        <v>293.15557501692803</v>
      </c>
      <c r="AO133" s="59">
        <f t="shared" ref="AO133:AO196" si="144">$AO$3</f>
        <v>237.1930412773068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86.57334502038114</v>
      </c>
      <c r="AV133" s="21">
        <f>EXP(-LN(2)/25)*AV132+(1-EXP(-LN(2)/25))/(LN(2)/25)*Calculateur!AQ133*Calculateur!AS133*VLOOKUP('Données projet'!$B$10,Paramètres!$A$1:$I$89,3,0)*0.475*44/12</f>
        <v>23.397902687259833</v>
      </c>
      <c r="AW133" s="21">
        <f>EXP(-LN(2)/2)*AW132+(1-EXP(-LN(2)/2))/(LN(2)/2)*AQ133*AT133*VLOOKUP('Données projet'!$B$10,Paramètres!$A$1:$I$89,3,0)*0.475*44/12</f>
        <v>2.1743463790560344E-2</v>
      </c>
      <c r="AX133" s="21">
        <f t="shared" si="114"/>
        <v>109.99299117143153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7.7849999999999966</v>
      </c>
      <c r="BD133" s="12">
        <f>IF('Données projet'!$A$88&gt;35,BD132+BC133-BL132,IF(A133&lt;'Données projet'!$A$88,$BA$205^A133,IF(A133='Données projet'!$A$88,'Données projet'!$B$88,BD132+BC133-BL132)))</f>
        <v>373.53500000000042</v>
      </c>
      <c r="BE133" s="13">
        <f>BD133*VLOOKUP('Données projet'!$B$11,Paramètres!$A$1:$I$89,3,0)*VLOOKUP('Données projet'!$B$11,Paramètres!$A$1:$I$89,5,0)</f>
        <v>337.9744680000004</v>
      </c>
      <c r="BF133" s="13">
        <f t="shared" ref="BF133:BF153" si="145">EXP(-1.0587+0.8836*LN(BE133)+0.284)</f>
        <v>79.081313264051104</v>
      </c>
      <c r="BG133" s="20">
        <f t="shared" si="115"/>
        <v>726.37215236822306</v>
      </c>
      <c r="BH133" s="59">
        <f t="shared" si="116"/>
        <v>1019.7054857015564</v>
      </c>
      <c r="BI133" s="59">
        <f ca="1">AVERAGE(OFFSET($BH$3,0,0,'Données projet'!$E$11+1,1))-AVERAGE(OFFSET($H$3,0,0,'Données projet'!$E$11+1,1))</f>
        <v>490.06222615476065</v>
      </c>
      <c r="BJ133" s="59">
        <f t="shared" ref="BJ133:BJ196" si="146">$BJ$3</f>
        <v>310.43914804089906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37.814182793728911</v>
      </c>
      <c r="BQ133" s="21">
        <f>EXP(-LN(2)/25)*BQ132+(1-EXP(-LN(2)/25))/(LN(2)/25)*Calculateur!BL133*Calculateur!BN133*VLOOKUP('Données projet'!$B$11,Paramètres!$A$1:$I$89,3,0)*0.475*44/12</f>
        <v>18.861330232507097</v>
      </c>
      <c r="BR133" s="21">
        <f>EXP(-LN(2)/2)*BR132+(1-EXP(-LN(2)/2))/(LN(2)/2)*BL133*BO133*VLOOKUP('Données projet'!$B$11,Paramètres!$A$1:$I$89,3,0)*0.475*44/12</f>
        <v>4.2888666083671804E-4</v>
      </c>
      <c r="BS133" s="22">
        <f t="shared" si="117"/>
        <v>56.675941912896839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353.37479213497227</v>
      </c>
      <c r="T134" s="59">
        <f t="shared" si="142"/>
        <v>345.4750813433123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18.932589257142656</v>
      </c>
      <c r="AA134" s="21">
        <f>EXP(-LN(2)/25)*AA133+(1-EXP(-LN(2)/25))/(LN(2)/25)*Calculateur!V134*Calculateur!X134*VLOOKUP('Données projet'!$B$9,Paramètres!$A$1:$I$89,3,0)*0.475*44/12</f>
        <v>12.480074071843854</v>
      </c>
      <c r="AB134" s="21">
        <f>EXP(-LN(2)/2)*AB133+(1-EXP(-LN(2)/2))/(LN(2)/2)*V134*Y134*VLOOKUP('Données projet'!$B$9,Paramètres!$A$1:$I$89,3,0)*0.475*44/12</f>
        <v>1.3154309843258801E-6</v>
      </c>
      <c r="AC134" s="22">
        <f t="shared" si="111"/>
        <v>31.412664644417497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1.5961632016114892E-13</v>
      </c>
      <c r="AK134" s="13">
        <f t="shared" si="143"/>
        <v>2.2708641912150958E-12</v>
      </c>
      <c r="AL134" s="20">
        <f t="shared" si="112"/>
        <v>4.2330868906469593E-12</v>
      </c>
      <c r="AM134" s="59">
        <f t="shared" si="113"/>
        <v>293.33333333333752</v>
      </c>
      <c r="AN134" s="59">
        <f ca="1">AVERAGE(OFFSET($AM$3,0,0,'Données projet'!$E$10+1,1))-AVERAGE(OFFSET($H$3,0,0,'Données projet'!$E$10+1,1))</f>
        <v>293.15557501692803</v>
      </c>
      <c r="AO134" s="59">
        <f t="shared" si="144"/>
        <v>237.1930412773068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84.87569452905791</v>
      </c>
      <c r="AV134" s="21">
        <f>EXP(-LN(2)/25)*AV133+(1-EXP(-LN(2)/25))/(LN(2)/25)*Calculateur!AQ134*Calculateur!AS134*VLOOKUP('Données projet'!$B$10,Paramètres!$A$1:$I$89,3,0)*0.475*44/12</f>
        <v>22.758085807834487</v>
      </c>
      <c r="AW134" s="21">
        <f>EXP(-LN(2)/2)*AW133+(1-EXP(-LN(2)/2))/(LN(2)/2)*AQ134*AT134*VLOOKUP('Données projet'!$B$10,Paramètres!$A$1:$I$89,3,0)*0.475*44/12</f>
        <v>1.5374950692789373E-2</v>
      </c>
      <c r="AX134" s="21">
        <f t="shared" si="114"/>
        <v>107.64915528758519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7.7849999999999966</v>
      </c>
      <c r="BD134" s="12">
        <f>IF('Données projet'!$A$88&gt;35,BD133+BC134-BL133,IF(A134&lt;'Données projet'!$A$88,$BA$205^A134,IF(A134='Données projet'!$A$88,'Données projet'!$B$88,BD133+BC134-BL133)))</f>
        <v>381.32000000000039</v>
      </c>
      <c r="BE134" s="13">
        <f>BD134*VLOOKUP('Données projet'!$B$11,Paramètres!$A$1:$I$89,3,0)*VLOOKUP('Données projet'!$B$11,Paramètres!$A$1:$I$89,5,0)</f>
        <v>345.01833600000032</v>
      </c>
      <c r="BF134" s="13">
        <f t="shared" si="145"/>
        <v>80.535880616180918</v>
      </c>
      <c r="BG134" s="20">
        <f t="shared" si="115"/>
        <v>741.17359393984896</v>
      </c>
      <c r="BH134" s="59">
        <f t="shared" si="116"/>
        <v>1034.5069272731823</v>
      </c>
      <c r="BI134" s="59">
        <f ca="1">AVERAGE(OFFSET($BH$3,0,0,'Données projet'!$E$11+1,1))-AVERAGE(OFFSET($H$3,0,0,'Données projet'!$E$11+1,1))</f>
        <v>490.06222615476065</v>
      </c>
      <c r="BJ134" s="59">
        <f t="shared" si="146"/>
        <v>310.43914804089906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37.072669733517976</v>
      </c>
      <c r="BQ134" s="21">
        <f>EXP(-LN(2)/25)*BQ133+(1-EXP(-LN(2)/25))/(LN(2)/25)*Calculateur!BL134*Calculateur!BN134*VLOOKUP('Données projet'!$B$11,Paramètres!$A$1:$I$89,3,0)*0.475*44/12</f>
        <v>18.345566165424941</v>
      </c>
      <c r="BR134" s="21">
        <f>EXP(-LN(2)/2)*BR133+(1-EXP(-LN(2)/2))/(LN(2)/2)*BL134*BO134*VLOOKUP('Données projet'!$B$11,Paramètres!$A$1:$I$89,3,0)*0.475*44/12</f>
        <v>3.032686662380982E-4</v>
      </c>
      <c r="BS134" s="22">
        <f t="shared" si="117"/>
        <v>55.418539167609154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353.37479213497227</v>
      </c>
      <c r="T135" s="59">
        <f t="shared" si="142"/>
        <v>345.4750813433123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18.561332729549292</v>
      </c>
      <c r="AA135" s="21">
        <f>EXP(-LN(2)/25)*AA134+(1-EXP(-LN(2)/25))/(LN(2)/25)*Calculateur!V135*Calculateur!X135*VLOOKUP('Données projet'!$B$9,Paramètres!$A$1:$I$89,3,0)*0.475*44/12</f>
        <v>12.138805790050712</v>
      </c>
      <c r="AB135" s="21">
        <f>EXP(-LN(2)/2)*AB134+(1-EXP(-LN(2)/2))/(LN(2)/2)*V135*Y135*VLOOKUP('Données projet'!$B$9,Paramètres!$A$1:$I$89,3,0)*0.475*44/12</f>
        <v>9.3015016919972505E-7</v>
      </c>
      <c r="AC135" s="22">
        <f t="shared" si="111"/>
        <v>30.700139449750171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1.5961632016114892E-13</v>
      </c>
      <c r="AK135" s="13">
        <f t="shared" si="143"/>
        <v>2.2708641912150958E-12</v>
      </c>
      <c r="AL135" s="20">
        <f t="shared" si="112"/>
        <v>4.2330868906469593E-12</v>
      </c>
      <c r="AM135" s="59">
        <f t="shared" si="113"/>
        <v>293.33333333333752</v>
      </c>
      <c r="AN135" s="59">
        <f ca="1">AVERAGE(OFFSET($AM$3,0,0,'Données projet'!$E$10+1,1))-AVERAGE(OFFSET($H$3,0,0,'Données projet'!$E$10+1,1))</f>
        <v>293.15557501692803</v>
      </c>
      <c r="AO135" s="59">
        <f t="shared" si="144"/>
        <v>237.1930412773068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83.211333928404983</v>
      </c>
      <c r="AV135" s="21">
        <f>EXP(-LN(2)/25)*AV134+(1-EXP(-LN(2)/25))/(LN(2)/25)*Calculateur!AQ135*Calculateur!AS135*VLOOKUP('Données projet'!$B$10,Paramètres!$A$1:$I$89,3,0)*0.475*44/12</f>
        <v>22.135764754623533</v>
      </c>
      <c r="AW135" s="21">
        <f>EXP(-LN(2)/2)*AW134+(1-EXP(-LN(2)/2))/(LN(2)/2)*AQ135*AT135*VLOOKUP('Données projet'!$B$10,Paramètres!$A$1:$I$89,3,0)*0.475*44/12</f>
        <v>1.0871731895280174E-2</v>
      </c>
      <c r="AX135" s="21">
        <f t="shared" si="114"/>
        <v>105.3579704149238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7.7849999999999966</v>
      </c>
      <c r="BD135" s="12">
        <f>IF('Données projet'!$A$88&gt;35,BD134+BC135-BL134,IF(A135&lt;'Données projet'!$A$88,$BA$205^A135,IF(A135='Données projet'!$A$88,'Données projet'!$B$88,BD134+BC135-BL134)))</f>
        <v>389.10500000000036</v>
      </c>
      <c r="BE135" s="13">
        <f>BD135*VLOOKUP('Données projet'!$B$11,Paramètres!$A$1:$I$89,3,0)*VLOOKUP('Données projet'!$B$11,Paramètres!$A$1:$I$89,5,0)</f>
        <v>352.06220400000029</v>
      </c>
      <c r="BF135" s="13">
        <f t="shared" si="145"/>
        <v>81.986995165225665</v>
      </c>
      <c r="BG135" s="20">
        <f t="shared" si="115"/>
        <v>755.96902187943522</v>
      </c>
      <c r="BH135" s="59">
        <f t="shared" si="116"/>
        <v>1049.3023552127686</v>
      </c>
      <c r="BI135" s="59">
        <f ca="1">AVERAGE(OFFSET($BH$3,0,0,'Données projet'!$E$11+1,1))-AVERAGE(OFFSET($H$3,0,0,'Données projet'!$E$11+1,1))</f>
        <v>490.06222615476065</v>
      </c>
      <c r="BJ135" s="59">
        <f t="shared" si="146"/>
        <v>310.43914804089906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36.345697292139469</v>
      </c>
      <c r="BQ135" s="21">
        <f>EXP(-LN(2)/25)*BQ134+(1-EXP(-LN(2)/25))/(LN(2)/25)*Calculateur!BL135*Calculateur!BN135*VLOOKUP('Données projet'!$B$11,Paramètres!$A$1:$I$89,3,0)*0.475*44/12</f>
        <v>17.84390569388</v>
      </c>
      <c r="BR135" s="21">
        <f>EXP(-LN(2)/2)*BR134+(1-EXP(-LN(2)/2))/(LN(2)/2)*BL135*BO135*VLOOKUP('Données projet'!$B$11,Paramètres!$A$1:$I$89,3,0)*0.475*44/12</f>
        <v>2.1444333041835902E-4</v>
      </c>
      <c r="BS135" s="22">
        <f t="shared" si="117"/>
        <v>54.189817429349887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353.37479213497227</v>
      </c>
      <c r="T136" s="59">
        <f t="shared" si="142"/>
        <v>345.4750813433123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18.19735631601791</v>
      </c>
      <c r="AA136" s="21">
        <f>EXP(-LN(2)/25)*AA135+(1-EXP(-LN(2)/25))/(LN(2)/25)*Calculateur!V136*Calculateur!X136*VLOOKUP('Données projet'!$B$9,Paramètres!$A$1:$I$89,3,0)*0.475*44/12</f>
        <v>11.806869507369722</v>
      </c>
      <c r="AB136" s="21">
        <f>EXP(-LN(2)/2)*AB135+(1-EXP(-LN(2)/2))/(LN(2)/2)*V136*Y136*VLOOKUP('Données projet'!$B$9,Paramètres!$A$1:$I$89,3,0)*0.475*44/12</f>
        <v>6.5771549216294018E-7</v>
      </c>
      <c r="AC136" s="22">
        <f t="shared" si="111"/>
        <v>30.004226481103125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1.5961632016114892E-13</v>
      </c>
      <c r="AK136" s="13">
        <f t="shared" si="143"/>
        <v>2.2708641912150958E-12</v>
      </c>
      <c r="AL136" s="20">
        <f t="shared" si="112"/>
        <v>4.2330868906469593E-12</v>
      </c>
      <c r="AM136" s="59">
        <f t="shared" si="113"/>
        <v>293.33333333333752</v>
      </c>
      <c r="AN136" s="59">
        <f ca="1">AVERAGE(OFFSET($AM$3,0,0,'Données projet'!$E$10+1,1))-AVERAGE(OFFSET($H$3,0,0,'Données projet'!$E$10+1,1))</f>
        <v>293.15557501692803</v>
      </c>
      <c r="AO136" s="59">
        <f t="shared" si="144"/>
        <v>237.1930412773068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81.579610423971133</v>
      </c>
      <c r="AV136" s="21">
        <f>EXP(-LN(2)/25)*AV135+(1-EXP(-LN(2)/25))/(LN(2)/25)*Calculateur!AQ136*Calculateur!AS136*VLOOKUP('Données projet'!$B$10,Paramètres!$A$1:$I$89,3,0)*0.475*44/12</f>
        <v>21.530461103339075</v>
      </c>
      <c r="AW136" s="21">
        <f>EXP(-LN(2)/2)*AW135+(1-EXP(-LN(2)/2))/(LN(2)/2)*AQ136*AT136*VLOOKUP('Données projet'!$B$10,Paramètres!$A$1:$I$89,3,0)*0.475*44/12</f>
        <v>7.6874753463946881E-3</v>
      </c>
      <c r="AX136" s="21">
        <f t="shared" si="114"/>
        <v>103.11775900265661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7.7849999999999966</v>
      </c>
      <c r="BD136" s="12">
        <f>IF('Données projet'!$A$88&gt;35,BD135+BC136-BL135,IF(A136&lt;'Données projet'!$A$88,$BA$205^A136,IF(A136='Données projet'!$A$88,'Données projet'!$B$88,BD135+BC136-BL135)))</f>
        <v>396.89000000000033</v>
      </c>
      <c r="BE136" s="13">
        <f>BD136*VLOOKUP('Données projet'!$B$11,Paramètres!$A$1:$I$89,3,0)*VLOOKUP('Données projet'!$B$11,Paramètres!$A$1:$I$89,5,0)</f>
        <v>359.10607200000027</v>
      </c>
      <c r="BF136" s="13">
        <f t="shared" si="145"/>
        <v>83.434733954740693</v>
      </c>
      <c r="BG136" s="20">
        <f t="shared" si="115"/>
        <v>770.75857037117385</v>
      </c>
      <c r="BH136" s="59">
        <f t="shared" si="116"/>
        <v>1064.0919037045071</v>
      </c>
      <c r="BI136" s="59">
        <f ca="1">AVERAGE(OFFSET($BH$3,0,0,'Données projet'!$E$11+1,1))-AVERAGE(OFFSET($H$3,0,0,'Données projet'!$E$11+1,1))</f>
        <v>490.06222615476065</v>
      </c>
      <c r="BJ136" s="59">
        <f t="shared" si="146"/>
        <v>310.43914804089906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35.632980336926984</v>
      </c>
      <c r="BQ136" s="21">
        <f>EXP(-LN(2)/25)*BQ135+(1-EXP(-LN(2)/25))/(LN(2)/25)*Calculateur!BL136*Calculateur!BN136*VLOOKUP('Données projet'!$B$11,Paramètres!$A$1:$I$89,3,0)*0.475*44/12</f>
        <v>17.355963154310633</v>
      </c>
      <c r="BR136" s="21">
        <f>EXP(-LN(2)/2)*BR135+(1-EXP(-LN(2)/2))/(LN(2)/2)*BL136*BO136*VLOOKUP('Données projet'!$B$11,Paramètres!$A$1:$I$89,3,0)*0.475*44/12</f>
        <v>1.516343331190491E-4</v>
      </c>
      <c r="BS136" s="22">
        <f t="shared" si="117"/>
        <v>52.989095125570742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353.37479213497227</v>
      </c>
      <c r="T137" s="59">
        <f t="shared" si="142"/>
        <v>345.4750813433123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17.840517257952186</v>
      </c>
      <c r="AA137" s="21">
        <f>EXP(-LN(2)/25)*AA136+(1-EXP(-LN(2)/25))/(LN(2)/25)*Calculateur!V137*Calculateur!X137*VLOOKUP('Données projet'!$B$9,Paramètres!$A$1:$I$89,3,0)*0.475*44/12</f>
        <v>11.484010039794414</v>
      </c>
      <c r="AB137" s="21">
        <f>EXP(-LN(2)/2)*AB136+(1-EXP(-LN(2)/2))/(LN(2)/2)*V137*Y137*VLOOKUP('Données projet'!$B$9,Paramètres!$A$1:$I$89,3,0)*0.475*44/12</f>
        <v>4.6507508459986258E-7</v>
      </c>
      <c r="AC137" s="22">
        <f t="shared" si="111"/>
        <v>29.324527762821685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1.5961632016114892E-13</v>
      </c>
      <c r="AK137" s="13">
        <f t="shared" si="143"/>
        <v>2.2708641912150958E-12</v>
      </c>
      <c r="AL137" s="20">
        <f t="shared" si="112"/>
        <v>4.2330868906469593E-12</v>
      </c>
      <c r="AM137" s="59">
        <f t="shared" si="113"/>
        <v>293.33333333333752</v>
      </c>
      <c r="AN137" s="59">
        <f ca="1">AVERAGE(OFFSET($AM$3,0,0,'Données projet'!$E$10+1,1))-AVERAGE(OFFSET($H$3,0,0,'Données projet'!$E$10+1,1))</f>
        <v>293.15557501692803</v>
      </c>
      <c r="AO137" s="59">
        <f t="shared" si="144"/>
        <v>237.1930412773068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79.979884022206164</v>
      </c>
      <c r="AV137" s="21">
        <f>EXP(-LN(2)/25)*AV136+(1-EXP(-LN(2)/25))/(LN(2)/25)*Calculateur!AQ137*Calculateur!AS137*VLOOKUP('Données projet'!$B$10,Paramètres!$A$1:$I$89,3,0)*0.475*44/12</f>
        <v>20.941709512230528</v>
      </c>
      <c r="AW137" s="21">
        <f>EXP(-LN(2)/2)*AW136+(1-EXP(-LN(2)/2))/(LN(2)/2)*AQ137*AT137*VLOOKUP('Données projet'!$B$10,Paramètres!$A$1:$I$89,3,0)*0.475*44/12</f>
        <v>5.4358659476400877E-3</v>
      </c>
      <c r="AX137" s="21">
        <f t="shared" si="114"/>
        <v>100.92702940038434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7.7849999999999966</v>
      </c>
      <c r="BD137" s="12">
        <f>IF('Données projet'!$A$88&gt;35,BD136+BC137-BL136,IF(A137&lt;'Données projet'!$A$88,$BA$205^A137,IF(A137='Données projet'!$A$88,'Données projet'!$B$88,BD136+BC137-BL136)))</f>
        <v>404.6750000000003</v>
      </c>
      <c r="BE137" s="13">
        <f>BD137*VLOOKUP('Données projet'!$B$11,Paramètres!$A$1:$I$89,3,0)*VLOOKUP('Données projet'!$B$11,Paramètres!$A$1:$I$89,5,0)</f>
        <v>366.14994000000024</v>
      </c>
      <c r="BF137" s="13">
        <f t="shared" si="145"/>
        <v>84.879170832991178</v>
      </c>
      <c r="BG137" s="20">
        <f t="shared" si="115"/>
        <v>785.54236803412675</v>
      </c>
      <c r="BH137" s="59">
        <f t="shared" si="116"/>
        <v>1078.8757013674601</v>
      </c>
      <c r="BI137" s="59">
        <f ca="1">AVERAGE(OFFSET($BH$3,0,0,'Données projet'!$E$11+1,1))-AVERAGE(OFFSET($H$3,0,0,'Données projet'!$E$11+1,1))</f>
        <v>490.06222615476065</v>
      </c>
      <c r="BJ137" s="59">
        <f t="shared" si="146"/>
        <v>310.43914804089906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34.934239326491799</v>
      </c>
      <c r="BQ137" s="21">
        <f>EXP(-LN(2)/25)*BQ136+(1-EXP(-LN(2)/25))/(LN(2)/25)*Calculateur!BL137*Calculateur!BN137*VLOOKUP('Données projet'!$B$11,Paramètres!$A$1:$I$89,3,0)*0.475*44/12</f>
        <v>16.881363429145573</v>
      </c>
      <c r="BR137" s="21">
        <f>EXP(-LN(2)/2)*BR136+(1-EXP(-LN(2)/2))/(LN(2)/2)*BL137*BO137*VLOOKUP('Données projet'!$B$11,Paramètres!$A$1:$I$89,3,0)*0.475*44/12</f>
        <v>1.0722166520917951E-4</v>
      </c>
      <c r="BS137" s="22">
        <f t="shared" si="117"/>
        <v>51.815709977302582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353.37479213497227</v>
      </c>
      <c r="T138" s="59">
        <f t="shared" si="142"/>
        <v>345.4750813433123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17.490675596164799</v>
      </c>
      <c r="AA138" s="21">
        <f>EXP(-LN(2)/25)*AA137+(1-EXP(-LN(2)/25))/(LN(2)/25)*Calculateur!V138*Calculateur!X138*VLOOKUP('Données projet'!$B$9,Paramètres!$A$1:$I$89,3,0)*0.475*44/12</f>
        <v>11.169979181338395</v>
      </c>
      <c r="AB138" s="21">
        <f>EXP(-LN(2)/2)*AB137+(1-EXP(-LN(2)/2))/(LN(2)/2)*V138*Y138*VLOOKUP('Données projet'!$B$9,Paramètres!$A$1:$I$89,3,0)*0.475*44/12</f>
        <v>3.2885774608147014E-7</v>
      </c>
      <c r="AC138" s="22">
        <f t="shared" si="111"/>
        <v>28.660655106360938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1.5961632016114892E-13</v>
      </c>
      <c r="AK138" s="13">
        <f t="shared" si="143"/>
        <v>2.2708641912150958E-12</v>
      </c>
      <c r="AL138" s="20">
        <f t="shared" si="112"/>
        <v>4.2330868906469593E-12</v>
      </c>
      <c r="AM138" s="59">
        <f t="shared" si="113"/>
        <v>293.33333333333752</v>
      </c>
      <c r="AN138" s="59">
        <f ca="1">AVERAGE(OFFSET($AM$3,0,0,'Données projet'!$E$10+1,1))-AVERAGE(OFFSET($H$3,0,0,'Données projet'!$E$10+1,1))</f>
        <v>293.15557501692803</v>
      </c>
      <c r="AO138" s="59">
        <f t="shared" si="144"/>
        <v>237.1930412773068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78.411527279443035</v>
      </c>
      <c r="AV138" s="21">
        <f>EXP(-LN(2)/25)*AV137+(1-EXP(-LN(2)/25))/(LN(2)/25)*Calculateur!AQ138*Calculateur!AS138*VLOOKUP('Données projet'!$B$10,Paramètres!$A$1:$I$89,3,0)*0.475*44/12</f>
        <v>20.369057364341945</v>
      </c>
      <c r="AW138" s="21">
        <f>EXP(-LN(2)/2)*AW137+(1-EXP(-LN(2)/2))/(LN(2)/2)*AQ138*AT138*VLOOKUP('Données projet'!$B$10,Paramètres!$A$1:$I$89,3,0)*0.475*44/12</f>
        <v>3.8437376731973445E-3</v>
      </c>
      <c r="AX138" s="21">
        <f t="shared" si="114"/>
        <v>98.78442838145817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7.7849999999999966</v>
      </c>
      <c r="BD138" s="12">
        <f>IF('Données projet'!$A$88&gt;35,BD137+BC138-BL137,IF(A138&lt;'Données projet'!$A$88,$BA$205^A138,IF(A138='Données projet'!$A$88,'Données projet'!$B$88,BD137+BC138-BL137)))</f>
        <v>412.46000000000026</v>
      </c>
      <c r="BE138" s="13">
        <f>BD138*VLOOKUP('Données projet'!$B$11,Paramètres!$A$1:$I$89,3,0)*VLOOKUP('Données projet'!$B$11,Paramètres!$A$1:$I$89,5,0)</f>
        <v>373.19380800000022</v>
      </c>
      <c r="BF138" s="13">
        <f t="shared" si="145"/>
        <v>86.320376644349466</v>
      </c>
      <c r="BG138" s="20">
        <f t="shared" si="115"/>
        <v>800.32053825557568</v>
      </c>
      <c r="BH138" s="59">
        <f t="shared" si="116"/>
        <v>1093.6538715889089</v>
      </c>
      <c r="BI138" s="59">
        <f ca="1">AVERAGE(OFFSET($BH$3,0,0,'Données projet'!$E$11+1,1))-AVERAGE(OFFSET($H$3,0,0,'Données projet'!$E$11+1,1))</f>
        <v>490.06222615476065</v>
      </c>
      <c r="BJ138" s="59">
        <f t="shared" si="146"/>
        <v>310.43914804089906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34.249200201081315</v>
      </c>
      <c r="BQ138" s="21">
        <f>EXP(-LN(2)/25)*BQ137+(1-EXP(-LN(2)/25))/(LN(2)/25)*Calculateur!BL138*Calculateur!BN138*VLOOKUP('Données projet'!$B$11,Paramètres!$A$1:$I$89,3,0)*0.475*44/12</f>
        <v>16.419741658423266</v>
      </c>
      <c r="BR138" s="21">
        <f>EXP(-LN(2)/2)*BR137+(1-EXP(-LN(2)/2))/(LN(2)/2)*BL138*BO138*VLOOKUP('Données projet'!$B$11,Paramètres!$A$1:$I$89,3,0)*0.475*44/12</f>
        <v>7.5817166559524551E-5</v>
      </c>
      <c r="BS138" s="22">
        <f t="shared" si="117"/>
        <v>50.669017676671146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353.37479213497227</v>
      </c>
      <c r="T139" s="59">
        <f t="shared" si="142"/>
        <v>345.4750813433123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17.147694115982716</v>
      </c>
      <c r="AA139" s="21">
        <f>EXP(-LN(2)/25)*AA138+(1-EXP(-LN(2)/25))/(LN(2)/25)*Calculateur!V139*Calculateur!X139*VLOOKUP('Données projet'!$B$9,Paramètres!$A$1:$I$89,3,0)*0.475*44/12</f>
        <v>10.864535513221021</v>
      </c>
      <c r="AB139" s="21">
        <f>EXP(-LN(2)/2)*AB138+(1-EXP(-LN(2)/2))/(LN(2)/2)*V139*Y139*VLOOKUP('Données projet'!$B$9,Paramètres!$A$1:$I$89,3,0)*0.475*44/12</f>
        <v>2.3253754229993132E-7</v>
      </c>
      <c r="AC139" s="22">
        <f t="shared" si="111"/>
        <v>28.012229861741279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1.5961632016114892E-13</v>
      </c>
      <c r="AK139" s="13">
        <f t="shared" si="143"/>
        <v>2.2708641912150958E-12</v>
      </c>
      <c r="AL139" s="20">
        <f t="shared" si="112"/>
        <v>4.2330868906469593E-12</v>
      </c>
      <c r="AM139" s="59">
        <f t="shared" si="113"/>
        <v>293.33333333333752</v>
      </c>
      <c r="AN139" s="59">
        <f ca="1">AVERAGE(OFFSET($AM$3,0,0,'Données projet'!$E$10+1,1))-AVERAGE(OFFSET($H$3,0,0,'Données projet'!$E$10+1,1))</f>
        <v>293.15557501692803</v>
      </c>
      <c r="AO139" s="59">
        <f t="shared" si="144"/>
        <v>237.1930412773068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76.873925055802346</v>
      </c>
      <c r="AV139" s="21">
        <f>EXP(-LN(2)/25)*AV138+(1-EXP(-LN(2)/25))/(LN(2)/25)*Calculateur!AQ139*Calculateur!AS139*VLOOKUP('Données projet'!$B$10,Paramètres!$A$1:$I$89,3,0)*0.475*44/12</f>
        <v>19.812064419551842</v>
      </c>
      <c r="AW139" s="21">
        <f>EXP(-LN(2)/2)*AW138+(1-EXP(-LN(2)/2))/(LN(2)/2)*AQ139*AT139*VLOOKUP('Données projet'!$B$10,Paramètres!$A$1:$I$89,3,0)*0.475*44/12</f>
        <v>2.7179329738200443E-3</v>
      </c>
      <c r="AX139" s="21">
        <f t="shared" si="114"/>
        <v>96.688707408328014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7.7849999999999966</v>
      </c>
      <c r="BD139" s="12">
        <f>IF('Données projet'!$A$88&gt;35,BD138+BC139-BL138,IF(A139&lt;'Données projet'!$A$88,$BA$205^A139,IF(A139='Données projet'!$A$88,'Données projet'!$B$88,BD138+BC139-BL138)))</f>
        <v>420.24500000000023</v>
      </c>
      <c r="BE139" s="13">
        <f>BD139*VLOOKUP('Données projet'!$B$11,Paramètres!$A$1:$I$89,3,0)*VLOOKUP('Données projet'!$B$11,Paramètres!$A$1:$I$89,5,0)</f>
        <v>380.23767600000019</v>
      </c>
      <c r="BF139" s="13">
        <f t="shared" si="145"/>
        <v>87.758419405833862</v>
      </c>
      <c r="BG139" s="20">
        <f t="shared" si="115"/>
        <v>815.0931994984943</v>
      </c>
      <c r="BH139" s="59">
        <f t="shared" si="116"/>
        <v>1108.4265328318277</v>
      </c>
      <c r="BI139" s="59">
        <f ca="1">AVERAGE(OFFSET($BH$3,0,0,'Données projet'!$E$11+1,1))-AVERAGE(OFFSET($H$3,0,0,'Données projet'!$E$11+1,1))</f>
        <v>490.06222615476065</v>
      </c>
      <c r="BJ139" s="59">
        <f t="shared" si="146"/>
        <v>310.43914804089906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33.57759427508752</v>
      </c>
      <c r="BQ139" s="21">
        <f>EXP(-LN(2)/25)*BQ138+(1-EXP(-LN(2)/25))/(LN(2)/25)*Calculateur!BL139*Calculateur!BN139*VLOOKUP('Données projet'!$B$11,Paramètres!$A$1:$I$89,3,0)*0.475*44/12</f>
        <v>15.970742959296997</v>
      </c>
      <c r="BR139" s="21">
        <f>EXP(-LN(2)/2)*BR138+(1-EXP(-LN(2)/2))/(LN(2)/2)*BL139*BO139*VLOOKUP('Données projet'!$B$11,Paramètres!$A$1:$I$89,3,0)*0.475*44/12</f>
        <v>5.3610832604589755E-5</v>
      </c>
      <c r="BS139" s="22">
        <f t="shared" si="117"/>
        <v>49.548390845217121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353.37479213497227</v>
      </c>
      <c r="T140" s="59">
        <f t="shared" si="142"/>
        <v>345.4750813433123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16.81143829342896</v>
      </c>
      <c r="AA140" s="21">
        <f>EXP(-LN(2)/25)*AA139+(1-EXP(-LN(2)/25))/(LN(2)/25)*Calculateur!V140*Calculateur!X140*VLOOKUP('Données projet'!$B$9,Paramètres!$A$1:$I$89,3,0)*0.475*44/12</f>
        <v>10.567444218270902</v>
      </c>
      <c r="AB140" s="21">
        <f>EXP(-LN(2)/2)*AB139+(1-EXP(-LN(2)/2))/(LN(2)/2)*V140*Y140*VLOOKUP('Données projet'!$B$9,Paramètres!$A$1:$I$89,3,0)*0.475*44/12</f>
        <v>1.6442887304073507E-7</v>
      </c>
      <c r="AC140" s="22">
        <f t="shared" si="111"/>
        <v>27.378882676128736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1.5961632016114892E-13</v>
      </c>
      <c r="AK140" s="13">
        <f t="shared" si="143"/>
        <v>2.2708641912150958E-12</v>
      </c>
      <c r="AL140" s="20">
        <f t="shared" si="112"/>
        <v>4.2330868906469593E-12</v>
      </c>
      <c r="AM140" s="59">
        <f t="shared" si="113"/>
        <v>293.33333333333752</v>
      </c>
      <c r="AN140" s="59">
        <f ca="1">AVERAGE(OFFSET($AM$3,0,0,'Données projet'!$E$10+1,1))-AVERAGE(OFFSET($H$3,0,0,'Données projet'!$E$10+1,1))</f>
        <v>293.15557501692803</v>
      </c>
      <c r="AO140" s="59">
        <f t="shared" si="144"/>
        <v>237.1930412773068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75.366474273922492</v>
      </c>
      <c r="AV140" s="21">
        <f>EXP(-LN(2)/25)*AV139+(1-EXP(-LN(2)/25))/(LN(2)/25)*Calculateur!AQ140*Calculateur!AS140*VLOOKUP('Données projet'!$B$10,Paramètres!$A$1:$I$89,3,0)*0.475*44/12</f>
        <v>19.270302476128009</v>
      </c>
      <c r="AW140" s="21">
        <f>EXP(-LN(2)/2)*AW139+(1-EXP(-LN(2)/2))/(LN(2)/2)*AQ140*AT140*VLOOKUP('Données projet'!$B$10,Paramètres!$A$1:$I$89,3,0)*0.475*44/12</f>
        <v>1.9218688365986727E-3</v>
      </c>
      <c r="AX140" s="21">
        <f t="shared" si="114"/>
        <v>94.638698618887105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428.03</v>
      </c>
      <c r="BB140" s="12">
        <f>VLOOKUP(A140,'Données projet'!$A$87:$I$107,9,0)</f>
        <v>7.7849999999999966</v>
      </c>
      <c r="BC140" s="12">
        <f t="array" ref="BC140">INDEX(BB:BB,MIN(IF(ISNUMBER(BB140:BB336),ROW(BB140:BB336),"")))</f>
        <v>7.7849999999999966</v>
      </c>
      <c r="BD140" s="12">
        <f>IF('Données projet'!$A$88&gt;35,BD139+BC140-BL139,IF(A140&lt;'Données projet'!$A$88,$BA$205^A140,IF(A140='Données projet'!$A$88,'Données projet'!$B$88,BD139+BC140-BL139)))</f>
        <v>428.0300000000002</v>
      </c>
      <c r="BE140" s="13">
        <f>BD140*VLOOKUP('Données projet'!$B$11,Paramètres!$A$1:$I$89,3,0)*VLOOKUP('Données projet'!$B$11,Paramètres!$A$1:$I$89,5,0)</f>
        <v>387.28154400000017</v>
      </c>
      <c r="BF140" s="13">
        <f t="shared" si="145"/>
        <v>89.193364470196371</v>
      </c>
      <c r="BG140" s="20">
        <f t="shared" si="115"/>
        <v>829.86046558559235</v>
      </c>
      <c r="BH140" s="59">
        <f t="shared" si="116"/>
        <v>1123.1937989189257</v>
      </c>
      <c r="BI140" s="59">
        <f ca="1">AVERAGE(OFFSET($BH$3,0,0,'Données projet'!$E$11+1,1))-AVERAGE(OFFSET($H$3,0,0,'Données projet'!$E$11+1,1))</f>
        <v>490.06222615476065</v>
      </c>
      <c r="BJ140" s="59">
        <f t="shared" si="146"/>
        <v>310.43914804089906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74.669999999999959</v>
      </c>
      <c r="BM140" s="16">
        <f>IF(ISNA(VLOOKUP(A140,'Données projet'!$A$87:$I$107,5,0)),0%,VLOOKUP(A140,'Données projet'!$A$87:$I$107,5,0)*VLOOKUP('Données projet'!$B$11,Paramètres!$A$1:$I$89,7,0))</f>
        <v>0.215</v>
      </c>
      <c r="BN140" s="16">
        <f>IF(ISNA(VLOOKUP(A140,'Données projet'!$A$87:$I$107,6,0)),0%,VLOOKUP(A140,'Données projet'!$A$87:$I$107,6,0)*VLOOKUP('Données projet'!$B$11,Paramètres!$A$1:$I$89,7,0))</f>
        <v>8.6000000000000007E-2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48.976894131933548</v>
      </c>
      <c r="BQ140" s="21">
        <f>EXP(-LN(2)/25)*BQ139+(1-EXP(-LN(2)/25))/(LN(2)/25)*Calculateur!BL140*Calculateur!BN140*VLOOKUP('Données projet'!$B$11,Paramètres!$A$1:$I$89,3,0)*0.475*44/12</f>
        <v>21.931826383274185</v>
      </c>
      <c r="BR140" s="21">
        <f>EXP(-LN(2)/2)*BR139+(1-EXP(-LN(2)/2))/(LN(2)/2)*BL140*BO140*VLOOKUP('Données projet'!$B$11,Paramètres!$A$1:$I$89,3,0)*0.475*44/12</f>
        <v>3.7908583279762275E-5</v>
      </c>
      <c r="BS140" s="22">
        <f t="shared" si="117"/>
        <v>70.908758423791014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353.37479213497227</v>
      </c>
      <c r="T141" s="59">
        <f t="shared" si="142"/>
        <v>345.4750813433123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16.481776242459681</v>
      </c>
      <c r="AA141" s="21">
        <f>EXP(-LN(2)/25)*AA140+(1-EXP(-LN(2)/25))/(LN(2)/25)*Calculateur!V141*Calculateur!X141*VLOOKUP('Données projet'!$B$9,Paramètres!$A$1:$I$89,3,0)*0.475*44/12</f>
        <v>10.278476900404545</v>
      </c>
      <c r="AB141" s="21">
        <f>EXP(-LN(2)/2)*AB140+(1-EXP(-LN(2)/2))/(LN(2)/2)*V141*Y141*VLOOKUP('Données projet'!$B$9,Paramètres!$A$1:$I$89,3,0)*0.475*44/12</f>
        <v>1.1626877114996566E-7</v>
      </c>
      <c r="AC141" s="22">
        <f t="shared" si="111"/>
        <v>26.760253259132998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1.5961632016114892E-13</v>
      </c>
      <c r="AK141" s="13">
        <f t="shared" si="143"/>
        <v>2.2708641912150958E-12</v>
      </c>
      <c r="AL141" s="20">
        <f t="shared" si="112"/>
        <v>4.2330868906469593E-12</v>
      </c>
      <c r="AM141" s="59">
        <f t="shared" si="113"/>
        <v>293.33333333333752</v>
      </c>
      <c r="AN141" s="59">
        <f ca="1">AVERAGE(OFFSET($AM$3,0,0,'Données projet'!$E$10+1,1))-AVERAGE(OFFSET($H$3,0,0,'Données projet'!$E$10+1,1))</f>
        <v>293.15557501692803</v>
      </c>
      <c r="AO141" s="59">
        <f t="shared" si="144"/>
        <v>237.1930412773068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73.888583682421114</v>
      </c>
      <c r="AV141" s="21">
        <f>EXP(-LN(2)/25)*AV140+(1-EXP(-LN(2)/25))/(LN(2)/25)*Calculateur!AQ141*Calculateur!AS141*VLOOKUP('Données projet'!$B$10,Paramètres!$A$1:$I$89,3,0)*0.475*44/12</f>
        <v>18.743355041537125</v>
      </c>
      <c r="AW141" s="21">
        <f>EXP(-LN(2)/2)*AW140+(1-EXP(-LN(2)/2))/(LN(2)/2)*AQ141*AT141*VLOOKUP('Données projet'!$B$10,Paramètres!$A$1:$I$89,3,0)*0.475*44/12</f>
        <v>1.3589664869100224E-3</v>
      </c>
      <c r="AX141" s="21">
        <f t="shared" si="114"/>
        <v>92.633297690445147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7.5999999999999988</v>
      </c>
      <c r="BD141" s="12">
        <f>IF('Données projet'!$A$88&gt;35,BD140+BC141-BL140,IF(A141&lt;'Données projet'!$A$88,$BA$205^A141,IF(A141='Données projet'!$A$88,'Données projet'!$B$88,BD140+BC141-BL140)))</f>
        <v>360.96000000000026</v>
      </c>
      <c r="BE141" s="13">
        <f>BD141*VLOOKUP('Données projet'!$B$11,Paramètres!$A$1:$I$89,3,0)*VLOOKUP('Données projet'!$B$11,Paramètres!$A$1:$I$89,5,0)</f>
        <v>326.59660800000023</v>
      </c>
      <c r="BF141" s="13">
        <f t="shared" si="145"/>
        <v>76.724272012237279</v>
      </c>
      <c r="BG141" s="20">
        <f t="shared" si="115"/>
        <v>702.45053268798029</v>
      </c>
      <c r="BH141" s="59">
        <f t="shared" si="116"/>
        <v>995.78386602131354</v>
      </c>
      <c r="BI141" s="59">
        <f ca="1">AVERAGE(OFFSET($BH$3,0,0,'Données projet'!$E$11+1,1))-AVERAGE(OFFSET($H$3,0,0,'Données projet'!$E$11+1,1))</f>
        <v>490.06222615476065</v>
      </c>
      <c r="BJ141" s="59">
        <f t="shared" si="146"/>
        <v>310.43914804089906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48.016487110962039</v>
      </c>
      <c r="BQ141" s="21">
        <f>EXP(-LN(2)/25)*BQ140+(1-EXP(-LN(2)/25))/(LN(2)/25)*Calculateur!BL141*Calculateur!BN141*VLOOKUP('Données projet'!$B$11,Paramètres!$A$1:$I$89,3,0)*0.475*44/12</f>
        <v>21.332099437478927</v>
      </c>
      <c r="BR141" s="21">
        <f>EXP(-LN(2)/2)*BR140+(1-EXP(-LN(2)/2))/(LN(2)/2)*BL141*BO141*VLOOKUP('Données projet'!$B$11,Paramètres!$A$1:$I$89,3,0)*0.475*44/12</f>
        <v>2.6805416302294878E-5</v>
      </c>
      <c r="BS141" s="22">
        <f t="shared" si="117"/>
        <v>69.34861335385726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353.37479213497227</v>
      </c>
      <c r="T142" s="59">
        <f t="shared" si="142"/>
        <v>345.4750813433123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16.158578663235915</v>
      </c>
      <c r="AA142" s="21">
        <f>EXP(-LN(2)/25)*AA141+(1-EXP(-LN(2)/25))/(LN(2)/25)*Calculateur!V142*Calculateur!X142*VLOOKUP('Données projet'!$B$9,Paramètres!$A$1:$I$89,3,0)*0.475*44/12</f>
        <v>9.9974114090413746</v>
      </c>
      <c r="AB142" s="21">
        <f>EXP(-LN(2)/2)*AB141+(1-EXP(-LN(2)/2))/(LN(2)/2)*V142*Y142*VLOOKUP('Données projet'!$B$9,Paramètres!$A$1:$I$89,3,0)*0.475*44/12</f>
        <v>8.2214436520367535E-8</v>
      </c>
      <c r="AC142" s="22">
        <f t="shared" si="111"/>
        <v>26.155990154491729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1.5961632016114892E-13</v>
      </c>
      <c r="AK142" s="13">
        <f t="shared" si="143"/>
        <v>2.2708641912150958E-12</v>
      </c>
      <c r="AL142" s="20">
        <f t="shared" si="112"/>
        <v>4.2330868906469593E-12</v>
      </c>
      <c r="AM142" s="59">
        <f t="shared" si="113"/>
        <v>293.33333333333752</v>
      </c>
      <c r="AN142" s="59">
        <f ca="1">AVERAGE(OFFSET($AM$3,0,0,'Données projet'!$E$10+1,1))-AVERAGE(OFFSET($H$3,0,0,'Données projet'!$E$10+1,1))</f>
        <v>293.15557501692803</v>
      </c>
      <c r="AO142" s="59">
        <f t="shared" si="144"/>
        <v>237.1930412773068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72.439673623994821</v>
      </c>
      <c r="AV142" s="21">
        <f>EXP(-LN(2)/25)*AV141+(1-EXP(-LN(2)/25))/(LN(2)/25)*Calculateur!AQ142*Calculateur!AS142*VLOOKUP('Données projet'!$B$10,Paramètres!$A$1:$I$89,3,0)*0.475*44/12</f>
        <v>18.23081701225609</v>
      </c>
      <c r="AW142" s="21">
        <f>EXP(-LN(2)/2)*AW141+(1-EXP(-LN(2)/2))/(LN(2)/2)*AQ142*AT142*VLOOKUP('Données projet'!$B$10,Paramètres!$A$1:$I$89,3,0)*0.475*44/12</f>
        <v>9.6093441829933645E-4</v>
      </c>
      <c r="AX142" s="21">
        <f t="shared" si="114"/>
        <v>90.67145157066922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7.5999999999999988</v>
      </c>
      <c r="BD142" s="12">
        <f>IF('Données projet'!$A$88&gt;35,BD141+BC142-BL141,IF(A142&lt;'Données projet'!$A$88,$BA$205^A142,IF(A142='Données projet'!$A$88,'Données projet'!$B$88,BD141+BC142-BL141)))</f>
        <v>368.56000000000029</v>
      </c>
      <c r="BE142" s="13">
        <f>BD142*VLOOKUP('Données projet'!$B$11,Paramètres!$A$1:$I$89,3,0)*VLOOKUP('Données projet'!$B$11,Paramètres!$A$1:$I$89,5,0)</f>
        <v>333.47308800000025</v>
      </c>
      <c r="BF142" s="13">
        <f t="shared" si="145"/>
        <v>78.149927586670955</v>
      </c>
      <c r="BG142" s="20">
        <f t="shared" si="115"/>
        <v>716.91008548011894</v>
      </c>
      <c r="BH142" s="59">
        <f t="shared" si="116"/>
        <v>1010.2434188134523</v>
      </c>
      <c r="BI142" s="59">
        <f ca="1">AVERAGE(OFFSET($BH$3,0,0,'Données projet'!$E$11+1,1))-AVERAGE(OFFSET($H$3,0,0,'Données projet'!$E$11+1,1))</f>
        <v>490.06222615476065</v>
      </c>
      <c r="BJ142" s="59">
        <f t="shared" si="146"/>
        <v>310.43914804089906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47.074913085881342</v>
      </c>
      <c r="BQ142" s="21">
        <f>EXP(-LN(2)/25)*BQ141+(1-EXP(-LN(2)/25))/(LN(2)/25)*Calculateur!BL142*Calculateur!BN142*VLOOKUP('Données projet'!$B$11,Paramètres!$A$1:$I$89,3,0)*0.475*44/12</f>
        <v>20.74877205655471</v>
      </c>
      <c r="BR142" s="21">
        <f>EXP(-LN(2)/2)*BR141+(1-EXP(-LN(2)/2))/(LN(2)/2)*BL142*BO142*VLOOKUP('Données projet'!$B$11,Paramètres!$A$1:$I$89,3,0)*0.475*44/12</f>
        <v>1.8954291639881138E-5</v>
      </c>
      <c r="BS142" s="22">
        <f t="shared" si="117"/>
        <v>67.823704096727681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353.37479213497227</v>
      </c>
      <c r="T143" s="59">
        <f t="shared" si="142"/>
        <v>345.4750813433123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15.841718791409667</v>
      </c>
      <c r="AA143" s="21">
        <f>EXP(-LN(2)/25)*AA142+(1-EXP(-LN(2)/25))/(LN(2)/25)*Calculateur!V143*Calculateur!X143*VLOOKUP('Données projet'!$B$9,Paramètres!$A$1:$I$89,3,0)*0.475*44/12</f>
        <v>9.7240316683201211</v>
      </c>
      <c r="AB143" s="21">
        <f>EXP(-LN(2)/2)*AB142+(1-EXP(-LN(2)/2))/(LN(2)/2)*V143*Y143*VLOOKUP('Données projet'!$B$9,Paramètres!$A$1:$I$89,3,0)*0.475*44/12</f>
        <v>5.8134385574982829E-8</v>
      </c>
      <c r="AC143" s="22">
        <f t="shared" si="111"/>
        <v>25.565750517864174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1.5961632016114892E-13</v>
      </c>
      <c r="AK143" s="13">
        <f t="shared" si="143"/>
        <v>2.2708641912150958E-12</v>
      </c>
      <c r="AL143" s="20">
        <f t="shared" si="112"/>
        <v>4.2330868906469593E-12</v>
      </c>
      <c r="AM143" s="59">
        <f t="shared" si="113"/>
        <v>293.33333333333752</v>
      </c>
      <c r="AN143" s="59">
        <f ca="1">AVERAGE(OFFSET($AM$3,0,0,'Données projet'!$E$10+1,1))-AVERAGE(OFFSET($H$3,0,0,'Données projet'!$E$10+1,1))</f>
        <v>293.15557501692803</v>
      </c>
      <c r="AO143" s="59">
        <f t="shared" si="144"/>
        <v>237.1930412773068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71.019175808066407</v>
      </c>
      <c r="AV143" s="21">
        <f>EXP(-LN(2)/25)*AV142+(1-EXP(-LN(2)/25))/(LN(2)/25)*Calculateur!AQ143*Calculateur!AS143*VLOOKUP('Données projet'!$B$10,Paramètres!$A$1:$I$89,3,0)*0.475*44/12</f>
        <v>17.732294362338948</v>
      </c>
      <c r="AW143" s="21">
        <f>EXP(-LN(2)/2)*AW142+(1-EXP(-LN(2)/2))/(LN(2)/2)*AQ143*AT143*VLOOKUP('Données projet'!$B$10,Paramètres!$A$1:$I$89,3,0)*0.475*44/12</f>
        <v>6.7948324345501129E-4</v>
      </c>
      <c r="AX143" s="21">
        <f t="shared" si="114"/>
        <v>88.752149653648814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7.5999999999999988</v>
      </c>
      <c r="BD143" s="12">
        <f>IF('Données projet'!$A$88&gt;35,BD142+BC143-BL142,IF(A143&lt;'Données projet'!$A$88,$BA$205^A143,IF(A143='Données projet'!$A$88,'Données projet'!$B$88,BD142+BC143-BL142)))</f>
        <v>376.16000000000031</v>
      </c>
      <c r="BE143" s="13">
        <f>BD143*VLOOKUP('Données projet'!$B$11,Paramètres!$A$1:$I$89,3,0)*VLOOKUP('Données projet'!$B$11,Paramètres!$A$1:$I$89,5,0)</f>
        <v>340.34956800000026</v>
      </c>
      <c r="BF143" s="13">
        <f t="shared" si="145"/>
        <v>79.572165063820393</v>
      </c>
      <c r="BG143" s="20">
        <f t="shared" si="115"/>
        <v>731.36368508615408</v>
      </c>
      <c r="BH143" s="59">
        <f t="shared" si="116"/>
        <v>1024.6970184194874</v>
      </c>
      <c r="BI143" s="59">
        <f ca="1">AVERAGE(OFFSET($BH$3,0,0,'Données projet'!$E$11+1,1))-AVERAGE(OFFSET($H$3,0,0,'Données projet'!$E$11+1,1))</f>
        <v>490.06222615476065</v>
      </c>
      <c r="BJ143" s="59">
        <f t="shared" si="146"/>
        <v>310.43914804089906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46.151802753129033</v>
      </c>
      <c r="BQ143" s="21">
        <f>EXP(-LN(2)/25)*BQ142+(1-EXP(-LN(2)/25))/(LN(2)/25)*Calculateur!BL143*Calculateur!BN143*VLOOKUP('Données projet'!$B$11,Paramètres!$A$1:$I$89,3,0)*0.475*44/12</f>
        <v>20.181395793537721</v>
      </c>
      <c r="BR143" s="21">
        <f>EXP(-LN(2)/2)*BR142+(1-EXP(-LN(2)/2))/(LN(2)/2)*BL143*BO143*VLOOKUP('Données projet'!$B$11,Paramètres!$A$1:$I$89,3,0)*0.475*44/12</f>
        <v>1.3402708151147439E-5</v>
      </c>
      <c r="BS143" s="22">
        <f t="shared" si="117"/>
        <v>66.333211949374899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353.37479213497227</v>
      </c>
      <c r="T144" s="59">
        <f t="shared" si="142"/>
        <v>345.4750813433123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15.531072348404495</v>
      </c>
      <c r="AA144" s="21">
        <f>EXP(-LN(2)/25)*AA143+(1-EXP(-LN(2)/25))/(LN(2)/25)*Calculateur!V144*Calculateur!X144*VLOOKUP('Données projet'!$B$9,Paramètres!$A$1:$I$89,3,0)*0.475*44/12</f>
        <v>9.4581275109853067</v>
      </c>
      <c r="AB144" s="21">
        <f>EXP(-LN(2)/2)*AB143+(1-EXP(-LN(2)/2))/(LN(2)/2)*V144*Y144*VLOOKUP('Données projet'!$B$9,Paramètres!$A$1:$I$89,3,0)*0.475*44/12</f>
        <v>4.1107218260183768E-8</v>
      </c>
      <c r="AC144" s="22">
        <f t="shared" si="111"/>
        <v>24.989199900497017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1.5961632016114892E-13</v>
      </c>
      <c r="AK144" s="13">
        <f t="shared" si="143"/>
        <v>2.2708641912150958E-12</v>
      </c>
      <c r="AL144" s="20">
        <f t="shared" si="112"/>
        <v>4.2330868906469593E-12</v>
      </c>
      <c r="AM144" s="59">
        <f t="shared" si="113"/>
        <v>293.33333333333752</v>
      </c>
      <c r="AN144" s="59">
        <f ca="1">AVERAGE(OFFSET($AM$3,0,0,'Données projet'!$E$10+1,1))-AVERAGE(OFFSET($H$3,0,0,'Données projet'!$E$10+1,1))</f>
        <v>293.15557501692803</v>
      </c>
      <c r="AO144" s="59">
        <f t="shared" si="144"/>
        <v>237.1930412773068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69.626533087890223</v>
      </c>
      <c r="AV144" s="21">
        <f>EXP(-LN(2)/25)*AV143+(1-EXP(-LN(2)/25))/(LN(2)/25)*Calculateur!AQ144*Calculateur!AS144*VLOOKUP('Données projet'!$B$10,Paramètres!$A$1:$I$89,3,0)*0.475*44/12</f>
        <v>17.247403840499956</v>
      </c>
      <c r="AW144" s="21">
        <f>EXP(-LN(2)/2)*AW143+(1-EXP(-LN(2)/2))/(LN(2)/2)*AQ144*AT144*VLOOKUP('Données projet'!$B$10,Paramètres!$A$1:$I$89,3,0)*0.475*44/12</f>
        <v>4.8046720914966828E-4</v>
      </c>
      <c r="AX144" s="21">
        <f t="shared" si="114"/>
        <v>86.874417395599323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7.5999999999999988</v>
      </c>
      <c r="BD144" s="12">
        <f>IF('Données projet'!$A$88&gt;35,BD143+BC144-BL143,IF(A144&lt;'Données projet'!$A$88,$BA$205^A144,IF(A144='Données projet'!$A$88,'Données projet'!$B$88,BD143+BC144-BL143)))</f>
        <v>383.76000000000033</v>
      </c>
      <c r="BE144" s="13">
        <f>BD144*VLOOKUP('Données projet'!$B$11,Paramètres!$A$1:$I$89,3,0)*VLOOKUP('Données projet'!$B$11,Paramètres!$A$1:$I$89,5,0)</f>
        <v>347.22604800000028</v>
      </c>
      <c r="BF144" s="13">
        <f t="shared" si="145"/>
        <v>80.991061462049885</v>
      </c>
      <c r="BG144" s="20">
        <f t="shared" si="115"/>
        <v>745.81146564640403</v>
      </c>
      <c r="BH144" s="59">
        <f t="shared" si="116"/>
        <v>1039.1447989797373</v>
      </c>
      <c r="BI144" s="59">
        <f ca="1">AVERAGE(OFFSET($BH$3,0,0,'Données projet'!$E$11+1,1))-AVERAGE(OFFSET($H$3,0,0,'Données projet'!$E$11+1,1))</f>
        <v>490.06222615476065</v>
      </c>
      <c r="BJ144" s="59">
        <f t="shared" si="146"/>
        <v>310.43914804089906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45.24679405096029</v>
      </c>
      <c r="BQ144" s="21">
        <f>EXP(-LN(2)/25)*BQ143+(1-EXP(-LN(2)/25))/(LN(2)/25)*Calculateur!BL144*Calculateur!BN144*VLOOKUP('Données projet'!$B$11,Paramètres!$A$1:$I$89,3,0)*0.475*44/12</f>
        <v>19.629534464269952</v>
      </c>
      <c r="BR144" s="21">
        <f>EXP(-LN(2)/2)*BR143+(1-EXP(-LN(2)/2))/(LN(2)/2)*BL144*BO144*VLOOKUP('Données projet'!$B$11,Paramètres!$A$1:$I$89,3,0)*0.475*44/12</f>
        <v>9.4771458199405688E-6</v>
      </c>
      <c r="BS144" s="22">
        <f t="shared" si="117"/>
        <v>64.876337992376065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353.37479213497227</v>
      </c>
      <c r="T145" s="59">
        <f t="shared" si="142"/>
        <v>345.4750813433123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15.226517492671032</v>
      </c>
      <c r="AA145" s="21">
        <f>EXP(-LN(2)/25)*AA144+(1-EXP(-LN(2)/25))/(LN(2)/25)*Calculateur!V145*Calculateur!X145*VLOOKUP('Données projet'!$B$9,Paramètres!$A$1:$I$89,3,0)*0.475*44/12</f>
        <v>9.1994945168161042</v>
      </c>
      <c r="AB145" s="21">
        <f>EXP(-LN(2)/2)*AB144+(1-EXP(-LN(2)/2))/(LN(2)/2)*V145*Y145*VLOOKUP('Données projet'!$B$9,Paramètres!$A$1:$I$89,3,0)*0.475*44/12</f>
        <v>2.9067192787491415E-8</v>
      </c>
      <c r="AC145" s="22">
        <f t="shared" si="111"/>
        <v>24.42601203855433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1.5961632016114892E-13</v>
      </c>
      <c r="AK145" s="13">
        <f t="shared" si="143"/>
        <v>2.2708641912150958E-12</v>
      </c>
      <c r="AL145" s="20">
        <f t="shared" si="112"/>
        <v>4.2330868906469593E-12</v>
      </c>
      <c r="AM145" s="59">
        <f t="shared" si="113"/>
        <v>293.33333333333752</v>
      </c>
      <c r="AN145" s="59">
        <f ca="1">AVERAGE(OFFSET($AM$3,0,0,'Données projet'!$E$10+1,1))-AVERAGE(OFFSET($H$3,0,0,'Données projet'!$E$10+1,1))</f>
        <v>293.15557501692803</v>
      </c>
      <c r="AO145" s="59">
        <f t="shared" si="144"/>
        <v>237.1930412773068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68.261199242028511</v>
      </c>
      <c r="AV145" s="21">
        <f>EXP(-LN(2)/25)*AV144+(1-EXP(-LN(2)/25))/(LN(2)/25)*Calculateur!AQ145*Calculateur!AS145*VLOOKUP('Données projet'!$B$10,Paramètres!$A$1:$I$89,3,0)*0.475*44/12</f>
        <v>16.775772675479935</v>
      </c>
      <c r="AW145" s="21">
        <f>EXP(-LN(2)/2)*AW144+(1-EXP(-LN(2)/2))/(LN(2)/2)*AQ145*AT145*VLOOKUP('Données projet'!$B$10,Paramètres!$A$1:$I$89,3,0)*0.475*44/12</f>
        <v>3.397416217275057E-4</v>
      </c>
      <c r="AX145" s="21">
        <f t="shared" si="114"/>
        <v>85.037311659130182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7.5999999999999988</v>
      </c>
      <c r="BD145" s="12">
        <f>IF('Données projet'!$A$88&gt;35,BD144+BC145-BL144,IF(A145&lt;'Données projet'!$A$88,$BA$205^A145,IF(A145='Données projet'!$A$88,'Données projet'!$B$88,BD144+BC145-BL144)))</f>
        <v>391.36000000000035</v>
      </c>
      <c r="BE145" s="13">
        <f>BD145*VLOOKUP('Données projet'!$B$11,Paramètres!$A$1:$I$89,3,0)*VLOOKUP('Données projet'!$B$11,Paramètres!$A$1:$I$89,5,0)</f>
        <v>354.10252800000029</v>
      </c>
      <c r="BF145" s="13">
        <f t="shared" si="145"/>
        <v>82.406690574717359</v>
      </c>
      <c r="BG145" s="20">
        <f t="shared" si="115"/>
        <v>760.25355568429995</v>
      </c>
      <c r="BH145" s="59">
        <f t="shared" si="116"/>
        <v>1053.5868890176332</v>
      </c>
      <c r="BI145" s="59">
        <f ca="1">AVERAGE(OFFSET($BH$3,0,0,'Données projet'!$E$11+1,1))-AVERAGE(OFFSET($H$3,0,0,'Données projet'!$E$11+1,1))</f>
        <v>490.06222615476065</v>
      </c>
      <c r="BJ145" s="59">
        <f t="shared" si="146"/>
        <v>310.43914804089906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44.359532017440273</v>
      </c>
      <c r="BQ145" s="21">
        <f>EXP(-LN(2)/25)*BQ144+(1-EXP(-LN(2)/25))/(LN(2)/25)*Calculateur!BL145*Calculateur!BN145*VLOOKUP('Données projet'!$B$11,Paramètres!$A$1:$I$89,3,0)*0.475*44/12</f>
        <v>19.092763812072135</v>
      </c>
      <c r="BR145" s="21">
        <f>EXP(-LN(2)/2)*BR144+(1-EXP(-LN(2)/2))/(LN(2)/2)*BL145*BO145*VLOOKUP('Données projet'!$B$11,Paramètres!$A$1:$I$89,3,0)*0.475*44/12</f>
        <v>6.7013540755737194E-6</v>
      </c>
      <c r="BS145" s="22">
        <f t="shared" si="117"/>
        <v>63.452302530866483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353.37479213497227</v>
      </c>
      <c r="T146" s="59">
        <f t="shared" si="142"/>
        <v>345.4750813433123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14.927934771898384</v>
      </c>
      <c r="AA146" s="21">
        <f>EXP(-LN(2)/25)*AA145+(1-EXP(-LN(2)/25))/(LN(2)/25)*Calculateur!V146*Calculateur!X146*VLOOKUP('Données projet'!$B$9,Paramètres!$A$1:$I$89,3,0)*0.475*44/12</f>
        <v>8.9479338554733765</v>
      </c>
      <c r="AB146" s="21">
        <f>EXP(-LN(2)/2)*AB145+(1-EXP(-LN(2)/2))/(LN(2)/2)*V146*Y146*VLOOKUP('Données projet'!$B$9,Paramètres!$A$1:$I$89,3,0)*0.475*44/12</f>
        <v>2.0553609130091884E-8</v>
      </c>
      <c r="AC146" s="22">
        <f t="shared" si="111"/>
        <v>23.875868647925369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1.5961632016114892E-13</v>
      </c>
      <c r="AK146" s="13">
        <f t="shared" si="143"/>
        <v>2.2708641912150958E-12</v>
      </c>
      <c r="AL146" s="20">
        <f t="shared" si="112"/>
        <v>4.2330868906469593E-12</v>
      </c>
      <c r="AM146" s="59">
        <f t="shared" si="113"/>
        <v>293.33333333333752</v>
      </c>
      <c r="AN146" s="59">
        <f ca="1">AVERAGE(OFFSET($AM$3,0,0,'Données projet'!$E$10+1,1))-AVERAGE(OFFSET($H$3,0,0,'Données projet'!$E$10+1,1))</f>
        <v>293.15557501692803</v>
      </c>
      <c r="AO146" s="59">
        <f t="shared" si="144"/>
        <v>237.1930412773068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66.922638760112733</v>
      </c>
      <c r="AV146" s="21">
        <f>EXP(-LN(2)/25)*AV145+(1-EXP(-LN(2)/25))/(LN(2)/25)*Calculateur!AQ146*Calculateur!AS146*VLOOKUP('Données projet'!$B$10,Paramètres!$A$1:$I$89,3,0)*0.475*44/12</f>
        <v>16.317038289469394</v>
      </c>
      <c r="AW146" s="21">
        <f>EXP(-LN(2)/2)*AW145+(1-EXP(-LN(2)/2))/(LN(2)/2)*AQ146*AT146*VLOOKUP('Données projet'!$B$10,Paramètres!$A$1:$I$89,3,0)*0.475*44/12</f>
        <v>2.4023360457483419E-4</v>
      </c>
      <c r="AX146" s="21">
        <f t="shared" si="114"/>
        <v>83.239917283186699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7.5999999999999988</v>
      </c>
      <c r="BD146" s="12">
        <f>IF('Données projet'!$A$88&gt;35,BD145+BC146-BL145,IF(A146&lt;'Données projet'!$A$88,$BA$205^A146,IF(A146='Données projet'!$A$88,'Données projet'!$B$88,BD145+BC146-BL145)))</f>
        <v>398.96000000000038</v>
      </c>
      <c r="BE146" s="13">
        <f>BD146*VLOOKUP('Données projet'!$B$11,Paramètres!$A$1:$I$89,3,0)*VLOOKUP('Données projet'!$B$11,Paramètres!$A$1:$I$89,5,0)</f>
        <v>360.97900800000036</v>
      </c>
      <c r="BF146" s="13">
        <f t="shared" si="145"/>
        <v>83.819123165176237</v>
      </c>
      <c r="BG146" s="20">
        <f t="shared" si="115"/>
        <v>774.69007844601583</v>
      </c>
      <c r="BH146" s="59">
        <f t="shared" si="116"/>
        <v>1068.0234117793491</v>
      </c>
      <c r="BI146" s="59">
        <f ca="1">AVERAGE(OFFSET($BH$3,0,0,'Données projet'!$E$11+1,1))-AVERAGE(OFFSET($H$3,0,0,'Données projet'!$E$11+1,1))</f>
        <v>490.06222615476065</v>
      </c>
      <c r="BJ146" s="59">
        <f t="shared" si="146"/>
        <v>310.43914804089906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43.48966865122118</v>
      </c>
      <c r="BQ146" s="21">
        <f>EXP(-LN(2)/25)*BQ145+(1-EXP(-LN(2)/25))/(LN(2)/25)*Calculateur!BL146*Calculateur!BN146*VLOOKUP('Données projet'!$B$11,Paramètres!$A$1:$I$89,3,0)*0.475*44/12</f>
        <v>18.57067118158621</v>
      </c>
      <c r="BR146" s="21">
        <f>EXP(-LN(2)/2)*BR145+(1-EXP(-LN(2)/2))/(LN(2)/2)*BL146*BO146*VLOOKUP('Données projet'!$B$11,Paramètres!$A$1:$I$89,3,0)*0.475*44/12</f>
        <v>4.7385729099702844E-6</v>
      </c>
      <c r="BS146" s="22">
        <f t="shared" si="117"/>
        <v>62.060344571380298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353.37479213497227</v>
      </c>
      <c r="T147" s="59">
        <f t="shared" si="142"/>
        <v>345.4750813433123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14.63520707616261</v>
      </c>
      <c r="AA147" s="21">
        <f>EXP(-LN(2)/25)*AA146+(1-EXP(-LN(2)/25))/(LN(2)/25)*Calculateur!V147*Calculateur!X147*VLOOKUP('Données projet'!$B$9,Paramètres!$A$1:$I$89,3,0)*0.475*44/12</f>
        <v>8.7032521336440656</v>
      </c>
      <c r="AB147" s="21">
        <f>EXP(-LN(2)/2)*AB146+(1-EXP(-LN(2)/2))/(LN(2)/2)*V147*Y147*VLOOKUP('Données projet'!$B$9,Paramètres!$A$1:$I$89,3,0)*0.475*44/12</f>
        <v>1.4533596393745707E-8</v>
      </c>
      <c r="AC147" s="22">
        <f t="shared" si="111"/>
        <v>23.338459224340273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1.5961632016114892E-13</v>
      </c>
      <c r="AK147" s="13">
        <f t="shared" si="143"/>
        <v>2.2708641912150958E-12</v>
      </c>
      <c r="AL147" s="20">
        <f t="shared" si="112"/>
        <v>4.2330868906469593E-12</v>
      </c>
      <c r="AM147" s="59">
        <f t="shared" si="113"/>
        <v>293.33333333333752</v>
      </c>
      <c r="AN147" s="59">
        <f ca="1">AVERAGE(OFFSET($AM$3,0,0,'Données projet'!$E$10+1,1))-AVERAGE(OFFSET($H$3,0,0,'Données projet'!$E$10+1,1))</f>
        <v>293.15557501692803</v>
      </c>
      <c r="AO147" s="59">
        <f t="shared" si="144"/>
        <v>237.1930412773068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65.61032663280605</v>
      </c>
      <c r="AV147" s="21">
        <f>EXP(-LN(2)/25)*AV146+(1-EXP(-LN(2)/25))/(LN(2)/25)*Calculateur!AQ147*Calculateur!AS147*VLOOKUP('Données projet'!$B$10,Paramètres!$A$1:$I$89,3,0)*0.475*44/12</f>
        <v>15.870848019368104</v>
      </c>
      <c r="AW147" s="21">
        <f>EXP(-LN(2)/2)*AW146+(1-EXP(-LN(2)/2))/(LN(2)/2)*AQ147*AT147*VLOOKUP('Données projet'!$B$10,Paramètres!$A$1:$I$89,3,0)*0.475*44/12</f>
        <v>1.6987081086375288E-4</v>
      </c>
      <c r="AX147" s="21">
        <f t="shared" si="114"/>
        <v>81.481344522985026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7.5999999999999988</v>
      </c>
      <c r="BD147" s="12">
        <f>IF('Données projet'!$A$88&gt;35,BD146+BC147-BL146,IF(A147&lt;'Données projet'!$A$88,$BA$205^A147,IF(A147='Données projet'!$A$88,'Données projet'!$B$88,BD146+BC147-BL146)))</f>
        <v>406.5600000000004</v>
      </c>
      <c r="BE147" s="13">
        <f>BD147*VLOOKUP('Données projet'!$B$11,Paramètres!$A$1:$I$89,3,0)*VLOOKUP('Données projet'!$B$11,Paramètres!$A$1:$I$89,5,0)</f>
        <v>367.85548800000038</v>
      </c>
      <c r="BF147" s="13">
        <f t="shared" si="145"/>
        <v>85.228427146498575</v>
      </c>
      <c r="BG147" s="20">
        <f t="shared" si="115"/>
        <v>789.12115221348574</v>
      </c>
      <c r="BH147" s="59">
        <f t="shared" si="116"/>
        <v>1082.4544855468191</v>
      </c>
      <c r="BI147" s="59">
        <f ca="1">AVERAGE(OFFSET($BH$3,0,0,'Données projet'!$E$11+1,1))-AVERAGE(OFFSET($H$3,0,0,'Données projet'!$E$11+1,1))</f>
        <v>490.06222615476065</v>
      </c>
      <c r="BJ147" s="59">
        <f t="shared" si="146"/>
        <v>310.43914804089906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42.63686277504938</v>
      </c>
      <c r="BQ147" s="21">
        <f>EXP(-LN(2)/25)*BQ146+(1-EXP(-LN(2)/25))/(LN(2)/25)*Calculateur!BL147*Calculateur!BN147*VLOOKUP('Données projet'!$B$11,Paramètres!$A$1:$I$89,3,0)*0.475*44/12</f>
        <v>18.062855201536582</v>
      </c>
      <c r="BR147" s="21">
        <f>EXP(-LN(2)/2)*BR146+(1-EXP(-LN(2)/2))/(LN(2)/2)*BL147*BO147*VLOOKUP('Données projet'!$B$11,Paramètres!$A$1:$I$89,3,0)*0.475*44/12</f>
        <v>3.3506770377868597E-6</v>
      </c>
      <c r="BS147" s="22">
        <f t="shared" si="117"/>
        <v>60.699721327262999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353.37479213497227</v>
      </c>
      <c r="T148" s="59">
        <f t="shared" si="142"/>
        <v>345.4750813433123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14.348219591993949</v>
      </c>
      <c r="AA148" s="21">
        <f>EXP(-LN(2)/25)*AA147+(1-EXP(-LN(2)/25))/(LN(2)/25)*Calculateur!V148*Calculateur!X148*VLOOKUP('Données projet'!$B$9,Paramètres!$A$1:$I$89,3,0)*0.475*44/12</f>
        <v>8.4652612463654311</v>
      </c>
      <c r="AB148" s="21">
        <f>EXP(-LN(2)/2)*AB147+(1-EXP(-LN(2)/2))/(LN(2)/2)*V148*Y148*VLOOKUP('Données projet'!$B$9,Paramètres!$A$1:$I$89,3,0)*0.475*44/12</f>
        <v>1.0276804565045942E-8</v>
      </c>
      <c r="AC148" s="22">
        <f t="shared" si="111"/>
        <v>22.813480848636186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1.5961632016114892E-13</v>
      </c>
      <c r="AK148" s="13">
        <f t="shared" si="143"/>
        <v>2.2708641912150958E-12</v>
      </c>
      <c r="AL148" s="20">
        <f t="shared" si="112"/>
        <v>4.2330868906469593E-12</v>
      </c>
      <c r="AM148" s="59">
        <f t="shared" si="113"/>
        <v>293.33333333333752</v>
      </c>
      <c r="AN148" s="59">
        <f ca="1">AVERAGE(OFFSET($AM$3,0,0,'Données projet'!$E$10+1,1))-AVERAGE(OFFSET($H$3,0,0,'Données projet'!$E$10+1,1))</f>
        <v>293.15557501692803</v>
      </c>
      <c r="AO148" s="59">
        <f t="shared" si="144"/>
        <v>237.1930412773068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64.32374814588448</v>
      </c>
      <c r="AV148" s="21">
        <f>EXP(-LN(2)/25)*AV147+(1-EXP(-LN(2)/25))/(LN(2)/25)*Calculateur!AQ148*Calculateur!AS148*VLOOKUP('Données projet'!$B$10,Paramètres!$A$1:$I$89,3,0)*0.475*44/12</f>
        <v>15.43685884566686</v>
      </c>
      <c r="AW148" s="21">
        <f>EXP(-LN(2)/2)*AW147+(1-EXP(-LN(2)/2))/(LN(2)/2)*AQ148*AT148*VLOOKUP('Données projet'!$B$10,Paramètres!$A$1:$I$89,3,0)*0.475*44/12</f>
        <v>1.2011680228741711E-4</v>
      </c>
      <c r="AX148" s="21">
        <f t="shared" si="114"/>
        <v>79.760727108353635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7.5999999999999988</v>
      </c>
      <c r="BD148" s="12">
        <f>IF('Données projet'!$A$88&gt;35,BD147+BC148-BL147,IF(A148&lt;'Données projet'!$A$88,$BA$205^A148,IF(A148='Données projet'!$A$88,'Données projet'!$B$88,BD147+BC148-BL147)))</f>
        <v>414.16000000000042</v>
      </c>
      <c r="BE148" s="13">
        <f>BD148*VLOOKUP('Données projet'!$B$11,Paramètres!$A$1:$I$89,3,0)*VLOOKUP('Données projet'!$B$11,Paramètres!$A$1:$I$89,5,0)</f>
        <v>374.73196800000034</v>
      </c>
      <c r="BF148" s="13">
        <f t="shared" si="145"/>
        <v>86.634667747380036</v>
      </c>
      <c r="BG148" s="20">
        <f t="shared" si="115"/>
        <v>803.54689059335408</v>
      </c>
      <c r="BH148" s="59">
        <f t="shared" si="116"/>
        <v>1096.8802239266874</v>
      </c>
      <c r="BI148" s="59">
        <f ca="1">AVERAGE(OFFSET($BH$3,0,0,'Données projet'!$E$11+1,1))-AVERAGE(OFFSET($H$3,0,0,'Données projet'!$E$11+1,1))</f>
        <v>490.06222615476065</v>
      </c>
      <c r="BJ148" s="59">
        <f t="shared" si="146"/>
        <v>310.43914804089906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41.800779901949085</v>
      </c>
      <c r="BQ148" s="21">
        <f>EXP(-LN(2)/25)*BQ147+(1-EXP(-LN(2)/25))/(LN(2)/25)*Calculateur!BL148*Calculateur!BN148*VLOOKUP('Données projet'!$B$11,Paramètres!$A$1:$I$89,3,0)*0.475*44/12</f>
        <v>17.568925476166292</v>
      </c>
      <c r="BR148" s="21">
        <f>EXP(-LN(2)/2)*BR147+(1-EXP(-LN(2)/2))/(LN(2)/2)*BL148*BO148*VLOOKUP('Données projet'!$B$11,Paramètres!$A$1:$I$89,3,0)*0.475*44/12</f>
        <v>2.3692864549851422E-6</v>
      </c>
      <c r="BS148" s="22">
        <f t="shared" si="117"/>
        <v>59.369707747401833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353.37479213497227</v>
      </c>
      <c r="T149" s="59">
        <f t="shared" si="142"/>
        <v>345.4750813433123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14.066859757344755</v>
      </c>
      <c r="AA149" s="21">
        <f>EXP(-LN(2)/25)*AA148+(1-EXP(-LN(2)/25))/(LN(2)/25)*Calculateur!V149*Calculateur!X149*VLOOKUP('Données projet'!$B$9,Paramètres!$A$1:$I$89,3,0)*0.475*44/12</f>
        <v>8.2337782324148279</v>
      </c>
      <c r="AB149" s="21">
        <f>EXP(-LN(2)/2)*AB148+(1-EXP(-LN(2)/2))/(LN(2)/2)*V149*Y149*VLOOKUP('Données projet'!$B$9,Paramètres!$A$1:$I$89,3,0)*0.475*44/12</f>
        <v>7.2667981968728536E-9</v>
      </c>
      <c r="AC149" s="22">
        <f t="shared" si="111"/>
        <v>22.300637997026381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1.5961632016114892E-13</v>
      </c>
      <c r="AK149" s="13">
        <f t="shared" si="143"/>
        <v>2.2708641912150958E-12</v>
      </c>
      <c r="AL149" s="20">
        <f t="shared" si="112"/>
        <v>4.2330868906469593E-12</v>
      </c>
      <c r="AM149" s="59">
        <f t="shared" si="113"/>
        <v>293.33333333333752</v>
      </c>
      <c r="AN149" s="59">
        <f ca="1">AVERAGE(OFFSET($AM$3,0,0,'Données projet'!$E$10+1,1))-AVERAGE(OFFSET($H$3,0,0,'Données projet'!$E$10+1,1))</f>
        <v>293.15557501692803</v>
      </c>
      <c r="AO149" s="59">
        <f t="shared" si="144"/>
        <v>237.1930412773068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63.062398678356054</v>
      </c>
      <c r="AV149" s="21">
        <f>EXP(-LN(2)/25)*AV148+(1-EXP(-LN(2)/25))/(LN(2)/25)*Calculateur!AQ149*Calculateur!AS149*VLOOKUP('Données projet'!$B$10,Paramètres!$A$1:$I$89,3,0)*0.475*44/12</f>
        <v>15.014737128742974</v>
      </c>
      <c r="AW149" s="21">
        <f>EXP(-LN(2)/2)*AW148+(1-EXP(-LN(2)/2))/(LN(2)/2)*AQ149*AT149*VLOOKUP('Données projet'!$B$10,Paramètres!$A$1:$I$89,3,0)*0.475*44/12</f>
        <v>8.4935405431876452E-5</v>
      </c>
      <c r="AX149" s="21">
        <f t="shared" si="114"/>
        <v>78.077220742504451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7.5999999999999988</v>
      </c>
      <c r="BD149" s="12">
        <f>IF('Données projet'!$A$88&gt;35,BD148+BC149-BL148,IF(A149&lt;'Données projet'!$A$88,$BA$205^A149,IF(A149='Données projet'!$A$88,'Données projet'!$B$88,BD148+BC149-BL148)))</f>
        <v>421.76000000000045</v>
      </c>
      <c r="BE149" s="13">
        <f>BD149*VLOOKUP('Données projet'!$B$11,Paramètres!$A$1:$I$89,3,0)*VLOOKUP('Données projet'!$B$11,Paramètres!$A$1:$I$89,5,0)</f>
        <v>381.60844800000035</v>
      </c>
      <c r="BF149" s="13">
        <f t="shared" si="145"/>
        <v>88.037907665522127</v>
      </c>
      <c r="BG149" s="20">
        <f t="shared" si="115"/>
        <v>817.96740278411835</v>
      </c>
      <c r="BH149" s="59">
        <f t="shared" si="116"/>
        <v>1111.3007361174516</v>
      </c>
      <c r="BI149" s="59">
        <f ca="1">AVERAGE(OFFSET($BH$3,0,0,'Données projet'!$E$11+1,1))-AVERAGE(OFFSET($H$3,0,0,'Données projet'!$E$11+1,1))</f>
        <v>490.06222615476065</v>
      </c>
      <c r="BJ149" s="59">
        <f t="shared" si="146"/>
        <v>310.43914804089906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40.98109210403009</v>
      </c>
      <c r="BQ149" s="21">
        <f>EXP(-LN(2)/25)*BQ148+(1-EXP(-LN(2)/25))/(LN(2)/25)*Calculateur!BL149*Calculateur!BN149*VLOOKUP('Données projet'!$B$11,Paramètres!$A$1:$I$89,3,0)*0.475*44/12</f>
        <v>17.088502285110888</v>
      </c>
      <c r="BR149" s="21">
        <f>EXP(-LN(2)/2)*BR148+(1-EXP(-LN(2)/2))/(LN(2)/2)*BL149*BO149*VLOOKUP('Données projet'!$B$11,Paramètres!$A$1:$I$89,3,0)*0.475*44/12</f>
        <v>1.6753385188934299E-6</v>
      </c>
      <c r="BS149" s="22">
        <f t="shared" si="117"/>
        <v>58.069596064479491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353.37479213497227</v>
      </c>
      <c r="T150" s="59">
        <f t="shared" si="142"/>
        <v>345.4750813433123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13.791017217440478</v>
      </c>
      <c r="AA150" s="21">
        <f>EXP(-LN(2)/25)*AA149+(1-EXP(-LN(2)/25))/(LN(2)/25)*Calculateur!V150*Calculateur!X150*VLOOKUP('Données projet'!$B$9,Paramètres!$A$1:$I$89,3,0)*0.475*44/12</f>
        <v>8.0086251336538652</v>
      </c>
      <c r="AB150" s="21">
        <f>EXP(-LN(2)/2)*AB149+(1-EXP(-LN(2)/2))/(LN(2)/2)*V150*Y150*VLOOKUP('Données projet'!$B$9,Paramètres!$A$1:$I$89,3,0)*0.475*44/12</f>
        <v>5.138402282522971E-9</v>
      </c>
      <c r="AC150" s="22">
        <f t="shared" si="111"/>
        <v>21.799642356232745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1.5961632016114892E-13</v>
      </c>
      <c r="AK150" s="13">
        <f t="shared" si="143"/>
        <v>2.2708641912150958E-12</v>
      </c>
      <c r="AL150" s="20">
        <f t="shared" si="112"/>
        <v>4.2330868906469593E-12</v>
      </c>
      <c r="AM150" s="59">
        <f t="shared" si="113"/>
        <v>293.33333333333752</v>
      </c>
      <c r="AN150" s="59">
        <f ca="1">AVERAGE(OFFSET($AM$3,0,0,'Données projet'!$E$10+1,1))-AVERAGE(OFFSET($H$3,0,0,'Données projet'!$E$10+1,1))</f>
        <v>293.15557501692803</v>
      </c>
      <c r="AO150" s="59">
        <f t="shared" si="144"/>
        <v>237.1930412773068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61.825783504538656</v>
      </c>
      <c r="AV150" s="21">
        <f>EXP(-LN(2)/25)*AV149+(1-EXP(-LN(2)/25))/(LN(2)/25)*Calculateur!AQ150*Calculateur!AS150*VLOOKUP('Données projet'!$B$10,Paramètres!$A$1:$I$89,3,0)*0.475*44/12</f>
        <v>14.604158352366788</v>
      </c>
      <c r="AW150" s="21">
        <f>EXP(-LN(2)/2)*AW149+(1-EXP(-LN(2)/2))/(LN(2)/2)*AQ150*AT150*VLOOKUP('Données projet'!$B$10,Paramètres!$A$1:$I$89,3,0)*0.475*44/12</f>
        <v>6.0058401143708569E-5</v>
      </c>
      <c r="AX150" s="21">
        <f t="shared" si="114"/>
        <v>76.43000191530659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7.5999999999999988</v>
      </c>
      <c r="BD150" s="12">
        <f>IF('Données projet'!$A$88&gt;35,BD149+BC150-BL149,IF(A150&lt;'Données projet'!$A$88,$BA$205^A150,IF(A150='Données projet'!$A$88,'Données projet'!$B$88,BD149+BC150-BL149)))</f>
        <v>429.36000000000047</v>
      </c>
      <c r="BE150" s="13">
        <f>BD150*VLOOKUP('Données projet'!$B$11,Paramètres!$A$1:$I$89,3,0)*VLOOKUP('Données projet'!$B$11,Paramètres!$A$1:$I$89,5,0)</f>
        <v>388.48492800000042</v>
      </c>
      <c r="BF150" s="13">
        <f t="shared" si="145"/>
        <v>89.438207209646222</v>
      </c>
      <c r="BG150" s="20">
        <f t="shared" si="115"/>
        <v>832.38279382346775</v>
      </c>
      <c r="BH150" s="59">
        <f t="shared" si="116"/>
        <v>1125.7161271568011</v>
      </c>
      <c r="BI150" s="59">
        <f ca="1">AVERAGE(OFFSET($BH$3,0,0,'Données projet'!$E$11+1,1))-AVERAGE(OFFSET($H$3,0,0,'Données projet'!$E$11+1,1))</f>
        <v>490.06222615476065</v>
      </c>
      <c r="BJ150" s="59">
        <f t="shared" si="146"/>
        <v>310.43914804089906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40.177477883868093</v>
      </c>
      <c r="BQ150" s="21">
        <f>EXP(-LN(2)/25)*BQ149+(1-EXP(-LN(2)/25))/(LN(2)/25)*Calculateur!BL150*Calculateur!BN150*VLOOKUP('Données projet'!$B$11,Paramètres!$A$1:$I$89,3,0)*0.475*44/12</f>
        <v>16.62121629147925</v>
      </c>
      <c r="BR150" s="21">
        <f>EXP(-LN(2)/2)*BR149+(1-EXP(-LN(2)/2))/(LN(2)/2)*BL150*BO150*VLOOKUP('Données projet'!$B$11,Paramètres!$A$1:$I$89,3,0)*0.475*44/12</f>
        <v>1.1846432274925711E-6</v>
      </c>
      <c r="BS150" s="22">
        <f t="shared" si="117"/>
        <v>56.798695359990568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353.37479213497227</v>
      </c>
      <c r="T151" s="59">
        <f t="shared" si="142"/>
        <v>345.4750813433123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13.520583781496388</v>
      </c>
      <c r="AA151" s="21">
        <f>EXP(-LN(2)/25)*AA150+(1-EXP(-LN(2)/25))/(LN(2)/25)*Calculateur!V151*Calculateur!X151*VLOOKUP('Données projet'!$B$9,Paramètres!$A$1:$I$89,3,0)*0.475*44/12</f>
        <v>7.7896288582188085</v>
      </c>
      <c r="AB151" s="21">
        <f>EXP(-LN(2)/2)*AB150+(1-EXP(-LN(2)/2))/(LN(2)/2)*V151*Y151*VLOOKUP('Données projet'!$B$9,Paramètres!$A$1:$I$89,3,0)*0.475*44/12</f>
        <v>3.6333990984364268E-9</v>
      </c>
      <c r="AC151" s="22">
        <f t="shared" si="111"/>
        <v>21.310212643348596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1.5961632016114892E-13</v>
      </c>
      <c r="AK151" s="13">
        <f t="shared" si="143"/>
        <v>2.2708641912150958E-12</v>
      </c>
      <c r="AL151" s="20">
        <f t="shared" si="112"/>
        <v>4.2330868906469593E-12</v>
      </c>
      <c r="AM151" s="59">
        <f t="shared" si="113"/>
        <v>293.33333333333752</v>
      </c>
      <c r="AN151" s="59">
        <f ca="1">AVERAGE(OFFSET($AM$3,0,0,'Données projet'!$E$10+1,1))-AVERAGE(OFFSET($H$3,0,0,'Données projet'!$E$10+1,1))</f>
        <v>293.15557501692803</v>
      </c>
      <c r="AO151" s="59">
        <f t="shared" si="144"/>
        <v>237.1930412773068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60.613417600019034</v>
      </c>
      <c r="AV151" s="21">
        <f>EXP(-LN(2)/25)*AV150+(1-EXP(-LN(2)/25))/(LN(2)/25)*Calculateur!AQ151*Calculateur!AS151*VLOOKUP('Données projet'!$B$10,Paramètres!$A$1:$I$89,3,0)*0.475*44/12</f>
        <v>14.204806874222008</v>
      </c>
      <c r="AW151" s="21">
        <f>EXP(-LN(2)/2)*AW150+(1-EXP(-LN(2)/2))/(LN(2)/2)*AQ151*AT151*VLOOKUP('Données projet'!$B$10,Paramètres!$A$1:$I$89,3,0)*0.475*44/12</f>
        <v>4.2467702715938233E-5</v>
      </c>
      <c r="AX151" s="21">
        <f t="shared" si="114"/>
        <v>74.818266941943762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7.5999999999999988</v>
      </c>
      <c r="BD151" s="12">
        <f>IF('Données projet'!$A$88&gt;35,BD150+BC151-BL150,IF(A151&lt;'Données projet'!$A$88,$BA$205^A151,IF(A151='Données projet'!$A$88,'Données projet'!$B$88,BD150+BC151-BL150)))</f>
        <v>436.96000000000049</v>
      </c>
      <c r="BE151" s="13">
        <f>BD151*VLOOKUP('Données projet'!$B$11,Paramètres!$A$1:$I$89,3,0)*VLOOKUP('Données projet'!$B$11,Paramètres!$A$1:$I$89,5,0)</f>
        <v>395.36140800000044</v>
      </c>
      <c r="BF151" s="13">
        <f t="shared" si="145"/>
        <v>90.835624431167318</v>
      </c>
      <c r="BG151" s="20">
        <f t="shared" si="115"/>
        <v>846.79316481761714</v>
      </c>
      <c r="BH151" s="59">
        <f t="shared" si="116"/>
        <v>1140.1264981509505</v>
      </c>
      <c r="BI151" s="59">
        <f ca="1">AVERAGE(OFFSET($BH$3,0,0,'Données projet'!$E$11+1,1))-AVERAGE(OFFSET($H$3,0,0,'Données projet'!$E$11+1,1))</f>
        <v>490.06222615476065</v>
      </c>
      <c r="BJ151" s="59">
        <f t="shared" si="146"/>
        <v>310.43914804089906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39.389622048407197</v>
      </c>
      <c r="BQ151" s="21">
        <f>EXP(-LN(2)/25)*BQ150+(1-EXP(-LN(2)/25))/(LN(2)/25)*Calculateur!BL151*Calculateur!BN151*VLOOKUP('Données projet'!$B$11,Paramètres!$A$1:$I$89,3,0)*0.475*44/12</f>
        <v>16.166708257916973</v>
      </c>
      <c r="BR151" s="21">
        <f>EXP(-LN(2)/2)*BR150+(1-EXP(-LN(2)/2))/(LN(2)/2)*BL151*BO151*VLOOKUP('Données projet'!$B$11,Paramètres!$A$1:$I$89,3,0)*0.475*44/12</f>
        <v>8.3766925944671493E-7</v>
      </c>
      <c r="BS151" s="22">
        <f t="shared" si="117"/>
        <v>55.556331143993432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353.37479213497227</v>
      </c>
      <c r="T152" s="59">
        <f t="shared" si="142"/>
        <v>345.4750813433123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13.255453380283052</v>
      </c>
      <c r="AA152" s="21">
        <f>EXP(-LN(2)/25)*AA151+(1-EXP(-LN(2)/25))/(LN(2)/25)*Calculateur!V152*Calculateur!X152*VLOOKUP('Données projet'!$B$9,Paramètres!$A$1:$I$89,3,0)*0.475*44/12</f>
        <v>7.5766210474520372</v>
      </c>
      <c r="AB152" s="21">
        <f>EXP(-LN(2)/2)*AB151+(1-EXP(-LN(2)/2))/(LN(2)/2)*V152*Y152*VLOOKUP('Données projet'!$B$9,Paramètres!$A$1:$I$89,3,0)*0.475*44/12</f>
        <v>2.5692011412614855E-9</v>
      </c>
      <c r="AC152" s="22">
        <f t="shared" si="111"/>
        <v>20.832074430304292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1.5961632016114892E-13</v>
      </c>
      <c r="AK152" s="13">
        <f t="shared" si="143"/>
        <v>2.2708641912150958E-12</v>
      </c>
      <c r="AL152" s="20">
        <f t="shared" si="112"/>
        <v>4.2330868906469593E-12</v>
      </c>
      <c r="AM152" s="59">
        <f t="shared" si="113"/>
        <v>293.33333333333752</v>
      </c>
      <c r="AN152" s="59">
        <f ca="1">AVERAGE(OFFSET($AM$3,0,0,'Données projet'!$E$10+1,1))-AVERAGE(OFFSET($H$3,0,0,'Données projet'!$E$10+1,1))</f>
        <v>293.15557501692803</v>
      </c>
      <c r="AO152" s="59">
        <f t="shared" si="144"/>
        <v>237.1930412773068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59.424825451416858</v>
      </c>
      <c r="AV152" s="21">
        <f>EXP(-LN(2)/25)*AV151+(1-EXP(-LN(2)/25))/(LN(2)/25)*Calculateur!AQ152*Calculateur!AS152*VLOOKUP('Données projet'!$B$10,Paramètres!$A$1:$I$89,3,0)*0.475*44/12</f>
        <v>13.816375683248079</v>
      </c>
      <c r="AW152" s="21">
        <f>EXP(-LN(2)/2)*AW151+(1-EXP(-LN(2)/2))/(LN(2)/2)*AQ152*AT152*VLOOKUP('Données projet'!$B$10,Paramètres!$A$1:$I$89,3,0)*0.475*44/12</f>
        <v>3.0029200571854288E-5</v>
      </c>
      <c r="AX152" s="21">
        <f t="shared" si="114"/>
        <v>73.241231163865507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444.56</v>
      </c>
      <c r="BB152" s="12">
        <f>VLOOKUP(A152,'Données projet'!$A$87:$I$107,9,0)</f>
        <v>7.5999999999999988</v>
      </c>
      <c r="BC152" s="12">
        <f t="array" ref="BC152">INDEX(BB:BB,MIN(IF(ISNUMBER(BB152:BB348),ROW(BB152:BB348),"")))</f>
        <v>7.5999999999999988</v>
      </c>
      <c r="BD152" s="12">
        <f>IF('Données projet'!$A$88&gt;35,BD151+BC152-BL151,IF(A152&lt;'Données projet'!$A$88,$BA$205^A152,IF(A152='Données projet'!$A$88,'Données projet'!$B$88,BD151+BC152-BL151)))</f>
        <v>444.56000000000051</v>
      </c>
      <c r="BE152" s="13">
        <f>BD152*VLOOKUP('Données projet'!$B$11,Paramètres!$A$1:$I$89,3,0)*VLOOKUP('Données projet'!$B$11,Paramètres!$A$1:$I$89,5,0)</f>
        <v>402.23788800000051</v>
      </c>
      <c r="BF152" s="13">
        <f t="shared" si="145"/>
        <v>92.230215246448978</v>
      </c>
      <c r="BG152" s="20">
        <f t="shared" si="115"/>
        <v>861.1986131542327</v>
      </c>
      <c r="BH152" s="59">
        <f t="shared" si="116"/>
        <v>1154.5319464875661</v>
      </c>
      <c r="BI152" s="59">
        <f ca="1">AVERAGE(OFFSET($BH$3,0,0,'Données projet'!$E$11+1,1))-AVERAGE(OFFSET($H$3,0,0,'Données projet'!$E$11+1,1))</f>
        <v>490.06222615476065</v>
      </c>
      <c r="BJ152" s="59">
        <f t="shared" si="146"/>
        <v>310.43914804089906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176.67000000000002</v>
      </c>
      <c r="BM152" s="16">
        <f>IF(ISNA(VLOOKUP(A152,'Données projet'!$A$87:$I$107,5,0)),0%,VLOOKUP(A152,'Données projet'!$A$87:$I$107,5,0)*VLOOKUP('Données projet'!$B$11,Paramètres!$A$1:$I$89,7,0))</f>
        <v>0.19350000000000001</v>
      </c>
      <c r="BN152" s="16">
        <f>IF(ISNA(VLOOKUP(A152,'Données projet'!$A$87:$I$107,6,0)),0%,VLOOKUP(A152,'Données projet'!$A$87:$I$107,6,0)*VLOOKUP('Données projet'!$B$11,Paramètres!$A$1:$I$89,7,0))</f>
        <v>2.1500000000000002E-2</v>
      </c>
      <c r="BO152" s="16">
        <f>IF(ISNA(VLOOKUP(A152,'Données projet'!$A$87:$I$107,7,0)),0%,VLOOKUP(A152,'Données projet'!$A$87:$I$107,7,0))</f>
        <v>0.05</v>
      </c>
      <c r="BP152" s="21">
        <f>EXP(-LN(2)/35)*BP151+(1-EXP(-LN(2)/35))/(LN(2)/35)*BL152*BM152*VLOOKUP('Données projet'!$B$11,Paramètres!$A$1:$I$89,3,0)*0.475*44/12</f>
        <v>72.810709588964016</v>
      </c>
      <c r="BQ152" s="21">
        <f>EXP(-LN(2)/25)*BQ151+(1-EXP(-LN(2)/25))/(LN(2)/25)*Calculateur!BL152*Calculateur!BN152*VLOOKUP('Données projet'!$B$11,Paramètres!$A$1:$I$89,3,0)*0.475*44/12</f>
        <v>19.508946680322214</v>
      </c>
      <c r="BR152" s="21">
        <f>EXP(-LN(2)/2)*BR151+(1-EXP(-LN(2)/2))/(LN(2)/2)*BL152*BO152*VLOOKUP('Données projet'!$B$11,Paramètres!$A$1:$I$89,3,0)*0.475*44/12</f>
        <v>7.5411873884724425</v>
      </c>
      <c r="BS152" s="22">
        <f t="shared" si="117"/>
        <v>99.860843657758664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353.37479213497227</v>
      </c>
      <c r="T153" s="59">
        <f t="shared" si="142"/>
        <v>345.4750813433123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12.995522024523934</v>
      </c>
      <c r="AA153" s="21">
        <f>EXP(-LN(2)/25)*AA152+(1-EXP(-LN(2)/25))/(LN(2)/25)*Calculateur!V153*Calculateur!X153*VLOOKUP('Données projet'!$B$9,Paramètres!$A$1:$I$89,3,0)*0.475*44/12</f>
        <v>7.369437946472277</v>
      </c>
      <c r="AB153" s="21">
        <f>EXP(-LN(2)/2)*AB152+(1-EXP(-LN(2)/2))/(LN(2)/2)*V153*Y153*VLOOKUP('Données projet'!$B$9,Paramètres!$A$1:$I$89,3,0)*0.475*44/12</f>
        <v>1.8166995492182134E-9</v>
      </c>
      <c r="AC153" s="22">
        <f t="shared" si="111"/>
        <v>20.364959972812908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1.5961632016114892E-13</v>
      </c>
      <c r="AK153" s="13">
        <f t="shared" si="143"/>
        <v>2.2708641912150958E-12</v>
      </c>
      <c r="AL153" s="20">
        <f t="shared" si="112"/>
        <v>4.2330868906469593E-12</v>
      </c>
      <c r="AM153" s="59">
        <f t="shared" si="113"/>
        <v>293.33333333333752</v>
      </c>
      <c r="AN153" s="59">
        <f ca="1">AVERAGE(OFFSET($AM$3,0,0,'Données projet'!$E$10+1,1))-AVERAGE(OFFSET($H$3,0,0,'Données projet'!$E$10+1,1))</f>
        <v>293.15557501692803</v>
      </c>
      <c r="AO153" s="59">
        <f t="shared" si="144"/>
        <v>237.1930412773068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58.259540869879146</v>
      </c>
      <c r="AV153" s="21">
        <f>EXP(-LN(2)/25)*AV152+(1-EXP(-LN(2)/25))/(LN(2)/25)*Calculateur!AQ153*Calculateur!AS153*VLOOKUP('Données projet'!$B$10,Paramètres!$A$1:$I$89,3,0)*0.475*44/12</f>
        <v>13.438566163618042</v>
      </c>
      <c r="AW153" s="21">
        <f>EXP(-LN(2)/2)*AW152+(1-EXP(-LN(2)/2))/(LN(2)/2)*AQ153*AT153*VLOOKUP('Données projet'!$B$10,Paramètres!$A$1:$I$89,3,0)*0.475*44/12</f>
        <v>2.123385135796912E-5</v>
      </c>
      <c r="AX153" s="21">
        <f t="shared" si="114"/>
        <v>71.698128267348551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4.6025000000000063</v>
      </c>
      <c r="BD153" s="12">
        <f>IF('Données projet'!$A$88&gt;35,BD152+BC153-BL152,IF(A153&lt;'Données projet'!$A$88,$BA$205^A153,IF(A153='Données projet'!$A$88,'Données projet'!$B$88,BD152+BC153-BL152)))</f>
        <v>272.49250000000052</v>
      </c>
      <c r="BE153" s="13">
        <f>BD153*VLOOKUP('Données projet'!$B$11,Paramètres!$A$1:$I$89,3,0)*VLOOKUP('Données projet'!$B$11,Paramètres!$A$1:$I$89,5,0)</f>
        <v>246.55121400000044</v>
      </c>
      <c r="BF153" s="13">
        <f t="shared" si="145"/>
        <v>59.846839241174408</v>
      </c>
      <c r="BG153" s="20">
        <f t="shared" si="115"/>
        <v>533.64327606171275</v>
      </c>
      <c r="BH153" s="59">
        <f t="shared" si="116"/>
        <v>826.97660939504613</v>
      </c>
      <c r="BI153" s="59">
        <f ca="1">AVERAGE(OFFSET($BH$3,0,0,'Données projet'!$E$11+1,1))-AVERAGE(OFFSET($H$3,0,0,'Données projet'!$E$11+1,1))</f>
        <v>490.06222615476065</v>
      </c>
      <c r="BJ153" s="59">
        <f t="shared" si="146"/>
        <v>310.43914804089906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71.382935984072148</v>
      </c>
      <c r="BQ153" s="21">
        <f>EXP(-LN(2)/25)*BQ152+(1-EXP(-LN(2)/25))/(LN(2)/25)*Calculateur!BL153*Calculateur!BN153*VLOOKUP('Données projet'!$B$11,Paramètres!$A$1:$I$89,3,0)*0.475*44/12</f>
        <v>18.975473507417885</v>
      </c>
      <c r="BR153" s="21">
        <f>EXP(-LN(2)/2)*BR152+(1-EXP(-LN(2)/2))/(LN(2)/2)*BL153*BO153*VLOOKUP('Données projet'!$B$11,Paramètres!$A$1:$I$89,3,0)*0.475*44/12</f>
        <v>5.332424740587336</v>
      </c>
      <c r="BS153" s="22">
        <f t="shared" si="117"/>
        <v>95.690834232077378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353.37479213497227</v>
      </c>
      <c r="T154" s="59">
        <f t="shared" si="142"/>
        <v>345.4750813433123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12.740687764108779</v>
      </c>
      <c r="AA154" s="21">
        <f>EXP(-LN(2)/25)*AA153+(1-EXP(-LN(2)/25))/(LN(2)/25)*Calculateur!V154*Calculateur!X154*VLOOKUP('Données projet'!$B$9,Paramètres!$A$1:$I$89,3,0)*0.475*44/12</f>
        <v>7.1679202782840941</v>
      </c>
      <c r="AB154" s="21">
        <f>EXP(-LN(2)/2)*AB153+(1-EXP(-LN(2)/2))/(LN(2)/2)*V154*Y154*VLOOKUP('Données projet'!$B$9,Paramètres!$A$1:$I$89,3,0)*0.475*44/12</f>
        <v>1.2846005706307427E-9</v>
      </c>
      <c r="AC154" s="22">
        <f t="shared" ref="AC154:AC203" si="163">SUM(Z154:AB154)</f>
        <v>19.908608043677475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1.5961632016114892E-13</v>
      </c>
      <c r="AK154" s="13">
        <f t="shared" ref="AK154:AK203" si="164">EXP(-1.0587+0.8836*LN(AJ154)+0.284)</f>
        <v>2.2708641912150958E-12</v>
      </c>
      <c r="AL154" s="20">
        <f t="shared" ref="AL154:AL203" si="165">(AJ154+AK154)*0.475*44/12</f>
        <v>4.2330868906469593E-12</v>
      </c>
      <c r="AM154" s="59">
        <f t="shared" si="113"/>
        <v>293.33333333333752</v>
      </c>
      <c r="AN154" s="59">
        <f ca="1">AVERAGE(OFFSET($AM$3,0,0,'Données projet'!$E$10+1,1))-AVERAGE(OFFSET($H$3,0,0,'Données projet'!$E$10+1,1))</f>
        <v>293.15557501692803</v>
      </c>
      <c r="AO154" s="59">
        <f t="shared" si="144"/>
        <v>237.1930412773068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57.117106808231974</v>
      </c>
      <c r="AV154" s="21">
        <f>EXP(-LN(2)/25)*AV153+(1-EXP(-LN(2)/25))/(LN(2)/25)*Calculateur!AQ154*Calculateur!AS154*VLOOKUP('Données projet'!$B$10,Paramètres!$A$1:$I$89,3,0)*0.475*44/12</f>
        <v>13.071087865170426</v>
      </c>
      <c r="AW154" s="21">
        <f>EXP(-LN(2)/2)*AW153+(1-EXP(-LN(2)/2))/(LN(2)/2)*AQ154*AT154*VLOOKUP('Données projet'!$B$10,Paramètres!$A$1:$I$89,3,0)*0.475*44/12</f>
        <v>1.5014600285927146E-5</v>
      </c>
      <c r="AX154" s="21">
        <f t="shared" ref="AX154:AX203" si="166">SUM(AU154:AW154)</f>
        <v>70.188209688002672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4.6025000000000063</v>
      </c>
      <c r="BD154" s="12">
        <f>IF('Données projet'!$A$88&gt;35,BD153+BC154-BL153,IF(A154&lt;'Données projet'!$A$88,$BA$205^A154,IF(A154='Données projet'!$A$88,'Données projet'!$B$88,BD153+BC154-BL153)))</f>
        <v>277.09500000000054</v>
      </c>
      <c r="BE154" s="13">
        <f>BD154*VLOOKUP('Données projet'!$B$11,Paramètres!$A$1:$I$89,3,0)*VLOOKUP('Données projet'!$B$11,Paramètres!$A$1:$I$89,5,0)</f>
        <v>250.71555600000048</v>
      </c>
      <c r="BF154" s="13">
        <f t="shared" ref="BF154:BF203" si="167">EXP(-1.0587+0.8836*LN(BE154)+0.284)</f>
        <v>60.739140902774786</v>
      </c>
      <c r="BG154" s="20">
        <f t="shared" ref="BG154:BG203" si="168">(BE154+BF154)*0.475*44/12</f>
        <v>542.45026377233353</v>
      </c>
      <c r="BH154" s="59">
        <f t="shared" si="116"/>
        <v>835.78359710566679</v>
      </c>
      <c r="BI154" s="59">
        <f ca="1">AVERAGE(OFFSET($BH$3,0,0,'Données projet'!$E$11+1,1))-AVERAGE(OFFSET($H$3,0,0,'Données projet'!$E$11+1,1))</f>
        <v>490.06222615476065</v>
      </c>
      <c r="BJ154" s="59">
        <f t="shared" si="146"/>
        <v>310.43914804089906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69.983160148716294</v>
      </c>
      <c r="BQ154" s="21">
        <f>EXP(-LN(2)/25)*BQ153+(1-EXP(-LN(2)/25))/(LN(2)/25)*Calculateur!BL154*Calculateur!BN154*VLOOKUP('Données projet'!$B$11,Paramètres!$A$1:$I$89,3,0)*0.475*44/12</f>
        <v>18.456588186480761</v>
      </c>
      <c r="BR154" s="21">
        <f>EXP(-LN(2)/2)*BR153+(1-EXP(-LN(2)/2))/(LN(2)/2)*BL154*BO154*VLOOKUP('Données projet'!$B$11,Paramètres!$A$1:$I$89,3,0)*0.475*44/12</f>
        <v>3.7705936942362221</v>
      </c>
      <c r="BS154" s="22">
        <f t="shared" ref="BS154:BS203" si="169">SUM(BP154:BR154)</f>
        <v>92.210342029433278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353.37479213497227</v>
      </c>
      <c r="T155" s="59">
        <f t="shared" si="142"/>
        <v>345.4750813433123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12.490850648106814</v>
      </c>
      <c r="AA155" s="21">
        <f>EXP(-LN(2)/25)*AA154+(1-EXP(-LN(2)/25))/(LN(2)/25)*Calculateur!V155*Calculateur!X155*VLOOKUP('Données projet'!$B$9,Paramètres!$A$1:$I$89,3,0)*0.475*44/12</f>
        <v>6.9719131213298704</v>
      </c>
      <c r="AB155" s="21">
        <f>EXP(-LN(2)/2)*AB154+(1-EXP(-LN(2)/2))/(LN(2)/2)*V155*Y155*VLOOKUP('Données projet'!$B$9,Paramètres!$A$1:$I$89,3,0)*0.475*44/12</f>
        <v>9.083497746091067E-10</v>
      </c>
      <c r="AC155" s="22">
        <f t="shared" si="163"/>
        <v>19.462763770345035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1.5961632016114892E-13</v>
      </c>
      <c r="AK155" s="13">
        <f t="shared" si="164"/>
        <v>2.2708641912150958E-12</v>
      </c>
      <c r="AL155" s="20">
        <f t="shared" si="165"/>
        <v>4.2330868906469593E-12</v>
      </c>
      <c r="AM155" s="59">
        <f t="shared" si="113"/>
        <v>293.33333333333752</v>
      </c>
      <c r="AN155" s="59">
        <f ca="1">AVERAGE(OFFSET($AM$3,0,0,'Données projet'!$E$10+1,1))-AVERAGE(OFFSET($H$3,0,0,'Données projet'!$E$10+1,1))</f>
        <v>293.15557501692803</v>
      </c>
      <c r="AO155" s="59">
        <f t="shared" si="144"/>
        <v>237.1930412773068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55.997075181717733</v>
      </c>
      <c r="AV155" s="21">
        <f>EXP(-LN(2)/25)*AV154+(1-EXP(-LN(2)/25))/(LN(2)/25)*Calculateur!AQ155*Calculateur!AS155*VLOOKUP('Données projet'!$B$10,Paramètres!$A$1:$I$89,3,0)*0.475*44/12</f>
        <v>12.713658280118704</v>
      </c>
      <c r="AW155" s="21">
        <f>EXP(-LN(2)/2)*AW154+(1-EXP(-LN(2)/2))/(LN(2)/2)*AQ155*AT155*VLOOKUP('Données projet'!$B$10,Paramètres!$A$1:$I$89,3,0)*0.475*44/12</f>
        <v>1.0616925678984562E-5</v>
      </c>
      <c r="AX155" s="21">
        <f t="shared" si="166"/>
        <v>68.710744078762119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4.6025000000000063</v>
      </c>
      <c r="BD155" s="12">
        <f>IF('Données projet'!$A$88&gt;35,BD154+BC155-BL154,IF(A155&lt;'Données projet'!$A$88,$BA$205^A155,IF(A155='Données projet'!$A$88,'Données projet'!$B$88,BD154+BC155-BL154)))</f>
        <v>281.69750000000056</v>
      </c>
      <c r="BE155" s="13">
        <f>BD155*VLOOKUP('Données projet'!$B$11,Paramètres!$A$1:$I$89,3,0)*VLOOKUP('Données projet'!$B$11,Paramètres!$A$1:$I$89,5,0)</f>
        <v>254.87989800000048</v>
      </c>
      <c r="BF155" s="13">
        <f t="shared" si="167"/>
        <v>61.629718985583246</v>
      </c>
      <c r="BG155" s="20">
        <f t="shared" si="168"/>
        <v>551.25424958322492</v>
      </c>
      <c r="BH155" s="59">
        <f t="shared" si="116"/>
        <v>844.58758291655818</v>
      </c>
      <c r="BI155" s="59">
        <f ca="1">AVERAGE(OFFSET($BH$3,0,0,'Données projet'!$E$11+1,1))-AVERAGE(OFFSET($H$3,0,0,'Données projet'!$E$11+1,1))</f>
        <v>490.06222615476065</v>
      </c>
      <c r="BJ155" s="59">
        <f t="shared" si="146"/>
        <v>310.43914804089906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68.610833063712818</v>
      </c>
      <c r="BQ155" s="21">
        <f>EXP(-LN(2)/25)*BQ154+(1-EXP(-LN(2)/25))/(LN(2)/25)*Calculateur!BL155*Calculateur!BN155*VLOOKUP('Données projet'!$B$11,Paramètres!$A$1:$I$89,3,0)*0.475*44/12</f>
        <v>17.951891811931656</v>
      </c>
      <c r="BR155" s="21">
        <f>EXP(-LN(2)/2)*BR154+(1-EXP(-LN(2)/2))/(LN(2)/2)*BL155*BO155*VLOOKUP('Données projet'!$B$11,Paramètres!$A$1:$I$89,3,0)*0.475*44/12</f>
        <v>2.6662123702936684</v>
      </c>
      <c r="BS155" s="22">
        <f t="shared" si="169"/>
        <v>89.228937245938141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353.37479213497227</v>
      </c>
      <c r="T156" s="59">
        <f t="shared" si="142"/>
        <v>345.4750813433123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12.245912685564054</v>
      </c>
      <c r="AA156" s="21">
        <f>EXP(-LN(2)/25)*AA155+(1-EXP(-LN(2)/25))/(LN(2)/25)*Calculateur!V156*Calculateur!X156*VLOOKUP('Données projet'!$B$9,Paramètres!$A$1:$I$89,3,0)*0.475*44/12</f>
        <v>6.7812657903901288</v>
      </c>
      <c r="AB156" s="21">
        <f>EXP(-LN(2)/2)*AB155+(1-EXP(-LN(2)/2))/(LN(2)/2)*V156*Y156*VLOOKUP('Données projet'!$B$9,Paramètres!$A$1:$I$89,3,0)*0.475*44/12</f>
        <v>6.4230028531537137E-10</v>
      </c>
      <c r="AC156" s="22">
        <f t="shared" si="163"/>
        <v>19.027178476596482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1.5961632016114892E-13</v>
      </c>
      <c r="AK156" s="13">
        <f t="shared" si="164"/>
        <v>2.2708641912150958E-12</v>
      </c>
      <c r="AL156" s="20">
        <f t="shared" si="165"/>
        <v>4.2330868906469593E-12</v>
      </c>
      <c r="AM156" s="59">
        <f t="shared" si="113"/>
        <v>293.33333333333752</v>
      </c>
      <c r="AN156" s="59">
        <f ca="1">AVERAGE(OFFSET($AM$3,0,0,'Données projet'!$E$10+1,1))-AVERAGE(OFFSET($H$3,0,0,'Données projet'!$E$10+1,1))</f>
        <v>293.15557501692803</v>
      </c>
      <c r="AO156" s="59">
        <f t="shared" si="144"/>
        <v>237.1930412773068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54.899006692247596</v>
      </c>
      <c r="AV156" s="21">
        <f>EXP(-LN(2)/25)*AV155+(1-EXP(-LN(2)/25))/(LN(2)/25)*Calculateur!AQ156*Calculateur!AS156*VLOOKUP('Données projet'!$B$10,Paramètres!$A$1:$I$89,3,0)*0.475*44/12</f>
        <v>12.366002625866626</v>
      </c>
      <c r="AW156" s="21">
        <f>EXP(-LN(2)/2)*AW155+(1-EXP(-LN(2)/2))/(LN(2)/2)*AQ156*AT156*VLOOKUP('Données projet'!$B$10,Paramètres!$A$1:$I$89,3,0)*0.475*44/12</f>
        <v>7.5073001429635745E-6</v>
      </c>
      <c r="AX156" s="21">
        <f t="shared" si="166"/>
        <v>67.265016825414364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286.3</v>
      </c>
      <c r="BB156" s="12">
        <f>VLOOKUP(A156,'Données projet'!$A$87:$I$107,9,0)</f>
        <v>4.6025000000000063</v>
      </c>
      <c r="BC156" s="12">
        <f t="array" ref="BC156">INDEX(BB:BB,MIN(IF(ISNUMBER(BB156:BB352),ROW(BB156:BB352),"")))</f>
        <v>4.6025000000000063</v>
      </c>
      <c r="BD156" s="12">
        <f>IF('Données projet'!$A$88&gt;35,BD155+BC156-BL155,IF(A156&lt;'Données projet'!$A$88,$BA$205^A156,IF(A156='Données projet'!$A$88,'Données projet'!$B$88,BD155+BC156-BL155)))</f>
        <v>286.30000000000058</v>
      </c>
      <c r="BE156" s="13">
        <f>BD156*VLOOKUP('Données projet'!$B$11,Paramètres!$A$1:$I$89,3,0)*VLOOKUP('Données projet'!$B$11,Paramètres!$A$1:$I$89,5,0)</f>
        <v>259.04424000000051</v>
      </c>
      <c r="BF156" s="13">
        <f t="shared" si="167"/>
        <v>62.518604901036426</v>
      </c>
      <c r="BG156" s="20">
        <f t="shared" si="168"/>
        <v>560.0552882026393</v>
      </c>
      <c r="BH156" s="59">
        <f t="shared" si="116"/>
        <v>853.38862153597256</v>
      </c>
      <c r="BI156" s="59">
        <f ca="1">AVERAGE(OFFSET($BH$3,0,0,'Données projet'!$E$11+1,1))-AVERAGE(OFFSET($H$3,0,0,'Données projet'!$E$11+1,1))</f>
        <v>490.06222615476065</v>
      </c>
      <c r="BJ156" s="59">
        <f t="shared" si="146"/>
        <v>310.43914804089906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102.89000000000001</v>
      </c>
      <c r="BM156" s="16">
        <f>IF(ISNA(VLOOKUP(A156,'Données projet'!$A$87:$I$107,5,0)),0%,VLOOKUP(A156,'Données projet'!$A$87:$I$107,5,0)*VLOOKUP('Données projet'!$B$11,Paramètres!$A$1:$I$89,7,0))</f>
        <v>0.19350000000000001</v>
      </c>
      <c r="BN156" s="16">
        <f>IF(ISNA(VLOOKUP(A156,'Données projet'!$A$87:$I$107,6,0)),0%,VLOOKUP(A156,'Données projet'!$A$87:$I$107,6,0)*VLOOKUP('Données projet'!$B$11,Paramètres!$A$1:$I$89,7,0))</f>
        <v>2.1500000000000002E-2</v>
      </c>
      <c r="BO156" s="16">
        <f>IF(ISNA(VLOOKUP(A156,'Données projet'!$A$87:$I$107,7,0)),0%,VLOOKUP(A156,'Données projet'!$A$87:$I$107,7,0))</f>
        <v>0.05</v>
      </c>
      <c r="BP156" s="21">
        <f>EXP(-LN(2)/35)*BP155+(1-EXP(-LN(2)/35))/(LN(2)/35)*BL156*BM156*VLOOKUP('Données projet'!$B$11,Paramètres!$A$1:$I$89,3,0)*0.475*44/12</f>
        <v>87.179202619655996</v>
      </c>
      <c r="BQ156" s="21">
        <f>EXP(-LN(2)/25)*BQ155+(1-EXP(-LN(2)/25))/(LN(2)/25)*Calculateur!BL156*Calculateur!BN156*VLOOKUP('Données projet'!$B$11,Paramètres!$A$1:$I$89,3,0)*0.475*44/12</f>
        <v>19.664927272957744</v>
      </c>
      <c r="BR156" s="21">
        <f>EXP(-LN(2)/2)*BR155+(1-EXP(-LN(2)/2))/(LN(2)/2)*BL156*BO156*VLOOKUP('Données projet'!$B$11,Paramètres!$A$1:$I$89,3,0)*0.475*44/12</f>
        <v>6.2771727143052889</v>
      </c>
      <c r="BS156" s="22">
        <f t="shared" si="169"/>
        <v>113.12130260691903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353.37479213497227</v>
      </c>
      <c r="T157" s="59">
        <f t="shared" si="142"/>
        <v>345.4750813433123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12.005777807069352</v>
      </c>
      <c r="AA157" s="21">
        <f>EXP(-LN(2)/25)*AA156+(1-EXP(-LN(2)/25))/(LN(2)/25)*Calculateur!V157*Calculateur!X157*VLOOKUP('Données projet'!$B$9,Paramètres!$A$1:$I$89,3,0)*0.475*44/12</f>
        <v>6.5958317207406418</v>
      </c>
      <c r="AB157" s="21">
        <f>EXP(-LN(2)/2)*AB156+(1-EXP(-LN(2)/2))/(LN(2)/2)*V157*Y157*VLOOKUP('Données projet'!$B$9,Paramètres!$A$1:$I$89,3,0)*0.475*44/12</f>
        <v>4.5417488730455335E-10</v>
      </c>
      <c r="AC157" s="22">
        <f t="shared" si="163"/>
        <v>18.60160952826417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1.5961632016114892E-13</v>
      </c>
      <c r="AK157" s="13">
        <f t="shared" si="164"/>
        <v>2.2708641912150958E-12</v>
      </c>
      <c r="AL157" s="20">
        <f t="shared" si="165"/>
        <v>4.2330868906469593E-12</v>
      </c>
      <c r="AM157" s="59">
        <f t="shared" si="113"/>
        <v>293.33333333333752</v>
      </c>
      <c r="AN157" s="59">
        <f ca="1">AVERAGE(OFFSET($AM$3,0,0,'Données projet'!$E$10+1,1))-AVERAGE(OFFSET($H$3,0,0,'Données projet'!$E$10+1,1))</f>
        <v>293.15557501692803</v>
      </c>
      <c r="AO157" s="59">
        <f t="shared" si="144"/>
        <v>237.1930412773068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53.822470656100329</v>
      </c>
      <c r="AV157" s="21">
        <f>EXP(-LN(2)/25)*AV156+(1-EXP(-LN(2)/25))/(LN(2)/25)*Calculateur!AQ157*Calculateur!AS157*VLOOKUP('Données projet'!$B$10,Paramètres!$A$1:$I$89,3,0)*0.475*44/12</f>
        <v>12.027853633762488</v>
      </c>
      <c r="AW157" s="21">
        <f>EXP(-LN(2)/2)*AW156+(1-EXP(-LN(2)/2))/(LN(2)/2)*AQ157*AT157*VLOOKUP('Données projet'!$B$10,Paramètres!$A$1:$I$89,3,0)*0.475*44/12</f>
        <v>5.3084628394922816E-6</v>
      </c>
      <c r="AX157" s="21">
        <f t="shared" si="166"/>
        <v>65.850329598325658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2.7775000000000034</v>
      </c>
      <c r="BD157" s="12">
        <f>IF('Données projet'!$A$88&gt;35,BD156+BC157-BL156,IF(A157&lt;'Données projet'!$A$88,$BA$205^A157,IF(A157='Données projet'!$A$88,'Données projet'!$B$88,BD156+BC157-BL156)))</f>
        <v>186.18750000000054</v>
      </c>
      <c r="BE157" s="13">
        <f>BD157*VLOOKUP('Données projet'!$B$11,Paramètres!$A$1:$I$89,3,0)*VLOOKUP('Données projet'!$B$11,Paramètres!$A$1:$I$89,5,0)</f>
        <v>168.4624500000005</v>
      </c>
      <c r="BF157" s="13">
        <f t="shared" si="167"/>
        <v>42.745481653995263</v>
      </c>
      <c r="BG157" s="20">
        <f t="shared" si="168"/>
        <v>367.85381429737589</v>
      </c>
      <c r="BH157" s="59">
        <f t="shared" si="116"/>
        <v>661.18714763070921</v>
      </c>
      <c r="BI157" s="59">
        <f ca="1">AVERAGE(OFFSET($BH$3,0,0,'Données projet'!$E$11+1,1))-AVERAGE(OFFSET($H$3,0,0,'Données projet'!$E$11+1,1))</f>
        <v>490.06222615476065</v>
      </c>
      <c r="BJ157" s="59">
        <f t="shared" si="146"/>
        <v>310.43914804089906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85.469671630347634</v>
      </c>
      <c r="BQ157" s="21">
        <f>EXP(-LN(2)/25)*BQ156+(1-EXP(-LN(2)/25))/(LN(2)/25)*Calculateur!BL157*Calculateur!BN157*VLOOKUP('Données projet'!$B$11,Paramètres!$A$1:$I$89,3,0)*0.475*44/12</f>
        <v>19.127188802545135</v>
      </c>
      <c r="BR157" s="21">
        <f>EXP(-LN(2)/2)*BR156+(1-EXP(-LN(2)/2))/(LN(2)/2)*BL157*BO157*VLOOKUP('Données projet'!$B$11,Paramètres!$A$1:$I$89,3,0)*0.475*44/12</f>
        <v>4.438631392964437</v>
      </c>
      <c r="BS157" s="22">
        <f t="shared" si="169"/>
        <v>109.03549182585721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353.37479213497227</v>
      </c>
      <c r="T158" s="59">
        <f t="shared" si="142"/>
        <v>345.4750813433123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11.770351827074117</v>
      </c>
      <c r="AA158" s="21">
        <f>EXP(-LN(2)/25)*AA157+(1-EXP(-LN(2)/25))/(LN(2)/25)*Calculateur!V158*Calculateur!X158*VLOOKUP('Données projet'!$B$9,Paramètres!$A$1:$I$89,3,0)*0.475*44/12</f>
        <v>6.415468355477274</v>
      </c>
      <c r="AB158" s="21">
        <f>EXP(-LN(2)/2)*AB157+(1-EXP(-LN(2)/2))/(LN(2)/2)*V158*Y158*VLOOKUP('Données projet'!$B$9,Paramètres!$A$1:$I$89,3,0)*0.475*44/12</f>
        <v>3.2115014265768568E-10</v>
      </c>
      <c r="AC158" s="22">
        <f t="shared" si="163"/>
        <v>18.185820182872543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1.5961632016114892E-13</v>
      </c>
      <c r="AK158" s="13">
        <f t="shared" si="164"/>
        <v>2.2708641912150958E-12</v>
      </c>
      <c r="AL158" s="20">
        <f t="shared" si="165"/>
        <v>4.2330868906469593E-12</v>
      </c>
      <c r="AM158" s="59">
        <f t="shared" si="113"/>
        <v>293.33333333333752</v>
      </c>
      <c r="AN158" s="59">
        <f ca="1">AVERAGE(OFFSET($AM$3,0,0,'Données projet'!$E$10+1,1))-AVERAGE(OFFSET($H$3,0,0,'Données projet'!$E$10+1,1))</f>
        <v>293.15557501692803</v>
      </c>
      <c r="AO158" s="59">
        <f t="shared" si="144"/>
        <v>237.1930412773068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52.767044834999759</v>
      </c>
      <c r="AV158" s="21">
        <f>EXP(-LN(2)/25)*AV157+(1-EXP(-LN(2)/25))/(LN(2)/25)*Calculateur!AQ158*Calculateur!AS158*VLOOKUP('Données projet'!$B$10,Paramètres!$A$1:$I$89,3,0)*0.475*44/12</f>
        <v>11.69895134362992</v>
      </c>
      <c r="AW158" s="21">
        <f>EXP(-LN(2)/2)*AW157+(1-EXP(-LN(2)/2))/(LN(2)/2)*AQ158*AT158*VLOOKUP('Données projet'!$B$10,Paramètres!$A$1:$I$89,3,0)*0.475*44/12</f>
        <v>3.7536500714817877E-6</v>
      </c>
      <c r="AX158" s="21">
        <f t="shared" si="166"/>
        <v>64.465999932279757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2.7775000000000034</v>
      </c>
      <c r="BD158" s="12">
        <f>IF('Données projet'!$A$88&gt;35,BD157+BC158-BL157,IF(A158&lt;'Données projet'!$A$88,$BA$205^A158,IF(A158='Données projet'!$A$88,'Données projet'!$B$88,BD157+BC158-BL157)))</f>
        <v>188.96500000000054</v>
      </c>
      <c r="BE158" s="13">
        <f>BD158*VLOOKUP('Données projet'!$B$11,Paramètres!$A$1:$I$89,3,0)*VLOOKUP('Données projet'!$B$11,Paramètres!$A$1:$I$89,5,0)</f>
        <v>170.9755320000005</v>
      </c>
      <c r="BF158" s="13">
        <f t="shared" si="167"/>
        <v>43.308437487586524</v>
      </c>
      <c r="BG158" s="20">
        <f t="shared" si="168"/>
        <v>373.21124685754739</v>
      </c>
      <c r="BH158" s="59">
        <f t="shared" si="116"/>
        <v>666.54458019088065</v>
      </c>
      <c r="BI158" s="59">
        <f ca="1">AVERAGE(OFFSET($BH$3,0,0,'Données projet'!$E$11+1,1))-AVERAGE(OFFSET($H$3,0,0,'Données projet'!$E$11+1,1))</f>
        <v>490.06222615476065</v>
      </c>
      <c r="BJ158" s="59">
        <f t="shared" si="146"/>
        <v>310.43914804089906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83.793663501028661</v>
      </c>
      <c r="BQ158" s="21">
        <f>EXP(-LN(2)/25)*BQ157+(1-EXP(-LN(2)/25))/(LN(2)/25)*Calculateur!BL158*Calculateur!BN158*VLOOKUP('Données projet'!$B$11,Paramètres!$A$1:$I$89,3,0)*0.475*44/12</f>
        <v>18.604154818884396</v>
      </c>
      <c r="BR158" s="21">
        <f>EXP(-LN(2)/2)*BR157+(1-EXP(-LN(2)/2))/(LN(2)/2)*BL158*BO158*VLOOKUP('Données projet'!$B$11,Paramètres!$A$1:$I$89,3,0)*0.475*44/12</f>
        <v>3.1385863571526449</v>
      </c>
      <c r="BS158" s="22">
        <f t="shared" si="169"/>
        <v>105.5364046770657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353.37479213497227</v>
      </c>
      <c r="T159" s="59">
        <f t="shared" si="142"/>
        <v>345.4750813433123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11.53954240695092</v>
      </c>
      <c r="AA159" s="21">
        <f>EXP(-LN(2)/25)*AA158+(1-EXP(-LN(2)/25))/(LN(2)/25)*Calculateur!V159*Calculateur!X159*VLOOKUP('Données projet'!$B$9,Paramètres!$A$1:$I$89,3,0)*0.475*44/12</f>
        <v>6.2400370359219295</v>
      </c>
      <c r="AB159" s="21">
        <f>EXP(-LN(2)/2)*AB158+(1-EXP(-LN(2)/2))/(LN(2)/2)*V159*Y159*VLOOKUP('Données projet'!$B$9,Paramètres!$A$1:$I$89,3,0)*0.475*44/12</f>
        <v>2.2708744365227668E-10</v>
      </c>
      <c r="AC159" s="22">
        <f t="shared" si="163"/>
        <v>17.779579443099937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1.5961632016114892E-13</v>
      </c>
      <c r="AK159" s="13">
        <f t="shared" si="164"/>
        <v>2.2708641912150958E-12</v>
      </c>
      <c r="AL159" s="20">
        <f t="shared" si="165"/>
        <v>4.2330868906469593E-12</v>
      </c>
      <c r="AM159" s="59">
        <f t="shared" si="113"/>
        <v>293.33333333333752</v>
      </c>
      <c r="AN159" s="59">
        <f ca="1">AVERAGE(OFFSET($AM$3,0,0,'Données projet'!$E$10+1,1))-AVERAGE(OFFSET($H$3,0,0,'Données projet'!$E$10+1,1))</f>
        <v>293.15557501692803</v>
      </c>
      <c r="AO159" s="59">
        <f t="shared" si="144"/>
        <v>237.1930412773068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51.732315270504785</v>
      </c>
      <c r="AV159" s="21">
        <f>EXP(-LN(2)/25)*AV158+(1-EXP(-LN(2)/25))/(LN(2)/25)*Calculateur!AQ159*Calculateur!AS159*VLOOKUP('Données projet'!$B$10,Paramètres!$A$1:$I$89,3,0)*0.475*44/12</f>
        <v>11.379042903917247</v>
      </c>
      <c r="AW159" s="21">
        <f>EXP(-LN(2)/2)*AW158+(1-EXP(-LN(2)/2))/(LN(2)/2)*AQ159*AT159*VLOOKUP('Données projet'!$B$10,Paramètres!$A$1:$I$89,3,0)*0.475*44/12</f>
        <v>2.6542314197461412E-6</v>
      </c>
      <c r="AX159" s="21">
        <f t="shared" si="166"/>
        <v>63.111360828653453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2.7775000000000034</v>
      </c>
      <c r="BD159" s="12">
        <f>IF('Données projet'!$A$88&gt;35,BD158+BC159-BL158,IF(A159&lt;'Données projet'!$A$88,$BA$205^A159,IF(A159='Données projet'!$A$88,'Données projet'!$B$88,BD158+BC159-BL158)))</f>
        <v>191.74250000000055</v>
      </c>
      <c r="BE159" s="13">
        <f>BD159*VLOOKUP('Données projet'!$B$11,Paramètres!$A$1:$I$89,3,0)*VLOOKUP('Données projet'!$B$11,Paramètres!$A$1:$I$89,5,0)</f>
        <v>173.4886140000005</v>
      </c>
      <c r="BF159" s="13">
        <f t="shared" si="167"/>
        <v>43.870430944544125</v>
      </c>
      <c r="BG159" s="20">
        <f t="shared" si="168"/>
        <v>378.56700327841526</v>
      </c>
      <c r="BH159" s="59">
        <f t="shared" si="116"/>
        <v>671.90033661174857</v>
      </c>
      <c r="BI159" s="59">
        <f ca="1">AVERAGE(OFFSET($BH$3,0,0,'Données projet'!$E$11+1,1))-AVERAGE(OFFSET($H$3,0,0,'Données projet'!$E$11+1,1))</f>
        <v>490.06222615476065</v>
      </c>
      <c r="BJ159" s="59">
        <f t="shared" si="146"/>
        <v>310.43914804089906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82.150520868861619</v>
      </c>
      <c r="BQ159" s="21">
        <f>EXP(-LN(2)/25)*BQ158+(1-EXP(-LN(2)/25))/(LN(2)/25)*Calculateur!BL159*Calculateur!BN159*VLOOKUP('Données projet'!$B$11,Paramètres!$A$1:$I$89,3,0)*0.475*44/12</f>
        <v>18.09542322701202</v>
      </c>
      <c r="BR159" s="21">
        <f>EXP(-LN(2)/2)*BR158+(1-EXP(-LN(2)/2))/(LN(2)/2)*BL159*BO159*VLOOKUP('Données projet'!$B$11,Paramètres!$A$1:$I$89,3,0)*0.475*44/12</f>
        <v>2.2193156964822189</v>
      </c>
      <c r="BS159" s="22">
        <f t="shared" si="169"/>
        <v>102.46525979235585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353.37479213497227</v>
      </c>
      <c r="T160" s="59">
        <f t="shared" si="142"/>
        <v>345.4750813433123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11.313259018776494</v>
      </c>
      <c r="AA160" s="21">
        <f>EXP(-LN(2)/25)*AA159+(1-EXP(-LN(2)/25))/(LN(2)/25)*Calculateur!V160*Calculateur!X160*VLOOKUP('Données projet'!$B$9,Paramètres!$A$1:$I$89,3,0)*0.475*44/12</f>
        <v>6.069402895025358</v>
      </c>
      <c r="AB160" s="21">
        <f>EXP(-LN(2)/2)*AB159+(1-EXP(-LN(2)/2))/(LN(2)/2)*V160*Y160*VLOOKUP('Données projet'!$B$9,Paramètres!$A$1:$I$89,3,0)*0.475*44/12</f>
        <v>1.6057507132884284E-10</v>
      </c>
      <c r="AC160" s="22">
        <f t="shared" si="163"/>
        <v>17.382661913962426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1.5961632016114892E-13</v>
      </c>
      <c r="AK160" s="13">
        <f t="shared" si="164"/>
        <v>2.2708641912150958E-12</v>
      </c>
      <c r="AL160" s="20">
        <f t="shared" si="165"/>
        <v>4.2330868906469593E-12</v>
      </c>
      <c r="AM160" s="59">
        <f t="shared" si="113"/>
        <v>293.33333333333752</v>
      </c>
      <c r="AN160" s="59">
        <f ca="1">AVERAGE(OFFSET($AM$3,0,0,'Données projet'!$E$10+1,1))-AVERAGE(OFFSET($H$3,0,0,'Données projet'!$E$10+1,1))</f>
        <v>293.15557501692803</v>
      </c>
      <c r="AO160" s="59">
        <f t="shared" si="144"/>
        <v>237.1930412773068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50.717876121646839</v>
      </c>
      <c r="AV160" s="21">
        <f>EXP(-LN(2)/25)*AV159+(1-EXP(-LN(2)/25))/(LN(2)/25)*Calculateur!AQ160*Calculateur!AS160*VLOOKUP('Données projet'!$B$10,Paramètres!$A$1:$I$89,3,0)*0.475*44/12</f>
        <v>11.06788237731177</v>
      </c>
      <c r="AW160" s="21">
        <f>EXP(-LN(2)/2)*AW159+(1-EXP(-LN(2)/2))/(LN(2)/2)*AQ160*AT160*VLOOKUP('Données projet'!$B$10,Paramètres!$A$1:$I$89,3,0)*0.475*44/12</f>
        <v>1.8768250357408943E-6</v>
      </c>
      <c r="AX160" s="21">
        <f t="shared" si="166"/>
        <v>61.785760375783646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194.52</v>
      </c>
      <c r="BB160" s="12">
        <f>VLOOKUP(A160,'Données projet'!$A$87:$I$107,9,0)</f>
        <v>2.7775000000000034</v>
      </c>
      <c r="BC160" s="12">
        <f t="array" ref="BC160">INDEX(BB:BB,MIN(IF(ISNUMBER(BB160:BB356),ROW(BB160:BB356),"")))</f>
        <v>2.7775000000000034</v>
      </c>
      <c r="BD160" s="12">
        <f>IF('Données projet'!$A$88&gt;35,BD159+BC160-BL159,IF(A160&lt;'Données projet'!$A$88,$BA$205^A160,IF(A160='Données projet'!$A$88,'Données projet'!$B$88,BD159+BC160-BL159)))</f>
        <v>194.52000000000055</v>
      </c>
      <c r="BE160" s="13">
        <f>BD160*VLOOKUP('Données projet'!$B$11,Paramètres!$A$1:$I$89,3,0)*VLOOKUP('Données projet'!$B$11,Paramètres!$A$1:$I$89,5,0)</f>
        <v>176.00169600000049</v>
      </c>
      <c r="BF160" s="13">
        <f t="shared" si="167"/>
        <v>44.431477576109785</v>
      </c>
      <c r="BG160" s="20">
        <f t="shared" si="168"/>
        <v>383.92111064505872</v>
      </c>
      <c r="BH160" s="59">
        <f t="shared" si="116"/>
        <v>677.25444397839203</v>
      </c>
      <c r="BI160" s="59">
        <f ca="1">AVERAGE(OFFSET($BH$3,0,0,'Données projet'!$E$11+1,1))-AVERAGE(OFFSET($H$3,0,0,'Données projet'!$E$11+1,1))</f>
        <v>490.06222615476065</v>
      </c>
      <c r="BJ160" s="59">
        <f t="shared" si="146"/>
        <v>310.43914804089906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67.13000000000001</v>
      </c>
      <c r="BM160" s="16">
        <f>IF(ISNA(VLOOKUP(A160,'Données projet'!$A$87:$I$107,5,0)),0%,VLOOKUP(A160,'Données projet'!$A$87:$I$107,5,0)*VLOOKUP('Données projet'!$B$11,Paramètres!$A$1:$I$89,7,0))</f>
        <v>0.19350000000000001</v>
      </c>
      <c r="BN160" s="16">
        <f>IF(ISNA(VLOOKUP(A160,'Données projet'!$A$87:$I$107,6,0)),0%,VLOOKUP(A160,'Données projet'!$A$87:$I$107,6,0)*VLOOKUP('Données projet'!$B$11,Paramètres!$A$1:$I$89,7,0))</f>
        <v>2.1500000000000002E-2</v>
      </c>
      <c r="BO160" s="16">
        <f>IF(ISNA(VLOOKUP(A160,'Données projet'!$A$87:$I$107,7,0)),0%,VLOOKUP(A160,'Données projet'!$A$87:$I$107,7,0))</f>
        <v>0.05</v>
      </c>
      <c r="BP160" s="21">
        <f>EXP(-LN(2)/35)*BP159+(1-EXP(-LN(2)/35))/(LN(2)/35)*BL160*BM160*VLOOKUP('Données projet'!$B$11,Paramètres!$A$1:$I$89,3,0)*0.475*44/12</f>
        <v>93.53223667850591</v>
      </c>
      <c r="BQ160" s="21">
        <f>EXP(-LN(2)/25)*BQ159+(1-EXP(-LN(2)/25))/(LN(2)/25)*Calculateur!BL160*Calculateur!BN160*VLOOKUP('Données projet'!$B$11,Paramètres!$A$1:$I$89,3,0)*0.475*44/12</f>
        <v>19.038545199818962</v>
      </c>
      <c r="BR160" s="21">
        <f>EXP(-LN(2)/2)*BR159+(1-EXP(-LN(2)/2))/(LN(2)/2)*BL160*BO160*VLOOKUP('Données projet'!$B$11,Paramètres!$A$1:$I$89,3,0)*0.475*44/12</f>
        <v>4.4347478093886004</v>
      </c>
      <c r="BS160" s="22">
        <f t="shared" si="169"/>
        <v>117.00552968771348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353.37479213497227</v>
      </c>
      <c r="T161" s="59">
        <f t="shared" si="142"/>
        <v>345.4750813433123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11.09141290982493</v>
      </c>
      <c r="AA161" s="21">
        <f>EXP(-LN(2)/25)*AA160+(1-EXP(-LN(2)/25))/(LN(2)/25)*Calculateur!V161*Calculateur!X161*VLOOKUP('Données projet'!$B$9,Paramètres!$A$1:$I$89,3,0)*0.475*44/12</f>
        <v>5.9034347536848628</v>
      </c>
      <c r="AB161" s="21">
        <f>EXP(-LN(2)/2)*AB160+(1-EXP(-LN(2)/2))/(LN(2)/2)*V161*Y161*VLOOKUP('Données projet'!$B$9,Paramètres!$A$1:$I$89,3,0)*0.475*44/12</f>
        <v>1.1354372182613834E-10</v>
      </c>
      <c r="AC161" s="22">
        <f t="shared" si="163"/>
        <v>16.994847663623339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1.5961632016114892E-13</v>
      </c>
      <c r="AK161" s="13">
        <f t="shared" si="164"/>
        <v>2.2708641912150958E-12</v>
      </c>
      <c r="AL161" s="20">
        <f t="shared" si="165"/>
        <v>4.2330868906469593E-12</v>
      </c>
      <c r="AM161" s="59">
        <f t="shared" si="113"/>
        <v>293.33333333333752</v>
      </c>
      <c r="AN161" s="59">
        <f ca="1">AVERAGE(OFFSET($AM$3,0,0,'Données projet'!$E$10+1,1))-AVERAGE(OFFSET($H$3,0,0,'Données projet'!$E$10+1,1))</f>
        <v>293.15557501692803</v>
      </c>
      <c r="AO161" s="59">
        <f t="shared" si="144"/>
        <v>237.1930412773068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49.723329505751217</v>
      </c>
      <c r="AV161" s="21">
        <f>EXP(-LN(2)/25)*AV160+(1-EXP(-LN(2)/25))/(LN(2)/25)*Calculateur!AQ161*Calculateur!AS161*VLOOKUP('Données projet'!$B$10,Paramètres!$A$1:$I$89,3,0)*0.475*44/12</f>
        <v>10.765230551669541</v>
      </c>
      <c r="AW161" s="21">
        <f>EXP(-LN(2)/2)*AW160+(1-EXP(-LN(2)/2))/(LN(2)/2)*AQ161*AT161*VLOOKUP('Données projet'!$B$10,Paramètres!$A$1:$I$89,3,0)*0.475*44/12</f>
        <v>1.3271157098730708E-6</v>
      </c>
      <c r="AX161" s="21">
        <f t="shared" si="166"/>
        <v>60.488561384536467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1.7174999999999976</v>
      </c>
      <c r="BD161" s="12">
        <f>IF('Données projet'!$A$88&gt;35,BD160+BC161-BL160,IF(A161&lt;'Données projet'!$A$88,$BA$205^A161,IF(A161='Données projet'!$A$88,'Données projet'!$B$88,BD160+BC161-BL160)))</f>
        <v>129.10750000000053</v>
      </c>
      <c r="BE161" s="13">
        <f>BD161*VLOOKUP('Données projet'!$B$11,Paramètres!$A$1:$I$89,3,0)*VLOOKUP('Données projet'!$B$11,Paramètres!$A$1:$I$89,5,0)</f>
        <v>116.81646600000047</v>
      </c>
      <c r="BF161" s="13">
        <f t="shared" si="167"/>
        <v>30.931334347171287</v>
      </c>
      <c r="BG161" s="20">
        <f t="shared" si="168"/>
        <v>257.32741893799079</v>
      </c>
      <c r="BH161" s="59">
        <f t="shared" si="116"/>
        <v>550.6607522713241</v>
      </c>
      <c r="BI161" s="59">
        <f ca="1">AVERAGE(OFFSET($BH$3,0,0,'Données projet'!$E$11+1,1))-AVERAGE(OFFSET($H$3,0,0,'Données projet'!$E$11+1,1))</f>
        <v>490.06222615476065</v>
      </c>
      <c r="BJ161" s="59">
        <f t="shared" si="146"/>
        <v>310.43914804089906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91.698126566271654</v>
      </c>
      <c r="BQ161" s="21">
        <f>EXP(-LN(2)/25)*BQ160+(1-EXP(-LN(2)/25))/(LN(2)/25)*Calculateur!BL161*Calculateur!BN161*VLOOKUP('Données projet'!$B$11,Paramètres!$A$1:$I$89,3,0)*0.475*44/12</f>
        <v>18.517935180136334</v>
      </c>
      <c r="BR161" s="21">
        <f>EXP(-LN(2)/2)*BR160+(1-EXP(-LN(2)/2))/(LN(2)/2)*BL161*BO161*VLOOKUP('Données projet'!$B$11,Paramètres!$A$1:$I$89,3,0)*0.475*44/12</f>
        <v>3.1358402488708661</v>
      </c>
      <c r="BS161" s="22">
        <f t="shared" si="169"/>
        <v>113.35190199527885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353.37479213497227</v>
      </c>
      <c r="T162" s="59">
        <f t="shared" si="142"/>
        <v>345.4750813433123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10.873917067757141</v>
      </c>
      <c r="AA162" s="21">
        <f>EXP(-LN(2)/25)*AA161+(1-EXP(-LN(2)/25))/(LN(2)/25)*Calculateur!V162*Calculateur!X162*VLOOKUP('Données projet'!$B$9,Paramètres!$A$1:$I$89,3,0)*0.475*44/12</f>
        <v>5.742005019897209</v>
      </c>
      <c r="AB162" s="21">
        <f>EXP(-LN(2)/2)*AB161+(1-EXP(-LN(2)/2))/(LN(2)/2)*V162*Y162*VLOOKUP('Données projet'!$B$9,Paramètres!$A$1:$I$89,3,0)*0.475*44/12</f>
        <v>8.0287535664421421E-11</v>
      </c>
      <c r="AC162" s="22">
        <f t="shared" si="163"/>
        <v>16.615922087734639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1.5961632016114892E-13</v>
      </c>
      <c r="AK162" s="13">
        <f t="shared" si="164"/>
        <v>2.2708641912150958E-12</v>
      </c>
      <c r="AL162" s="20">
        <f t="shared" si="165"/>
        <v>4.2330868906469593E-12</v>
      </c>
      <c r="AM162" s="59">
        <f t="shared" si="113"/>
        <v>293.33333333333752</v>
      </c>
      <c r="AN162" s="59">
        <f ca="1">AVERAGE(OFFSET($AM$3,0,0,'Données projet'!$E$10+1,1))-AVERAGE(OFFSET($H$3,0,0,'Données projet'!$E$10+1,1))</f>
        <v>293.15557501692803</v>
      </c>
      <c r="AO162" s="59">
        <f t="shared" si="144"/>
        <v>237.1930412773068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48.748285342379766</v>
      </c>
      <c r="AV162" s="21">
        <f>EXP(-LN(2)/25)*AV161+(1-EXP(-LN(2)/25))/(LN(2)/25)*Calculateur!AQ162*Calculateur!AS162*VLOOKUP('Données projet'!$B$10,Paramètres!$A$1:$I$89,3,0)*0.475*44/12</f>
        <v>10.470854756115267</v>
      </c>
      <c r="AW162" s="21">
        <f>EXP(-LN(2)/2)*AW161+(1-EXP(-LN(2)/2))/(LN(2)/2)*AQ162*AT162*VLOOKUP('Données projet'!$B$10,Paramètres!$A$1:$I$89,3,0)*0.475*44/12</f>
        <v>9.3841251787044724E-7</v>
      </c>
      <c r="AX162" s="21">
        <f t="shared" si="166"/>
        <v>59.219141036907551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1.7174999999999976</v>
      </c>
      <c r="BD162" s="12">
        <f>IF('Données projet'!$A$88&gt;35,BD161+BC162-BL161,IF(A162&lt;'Données projet'!$A$88,$BA$205^A162,IF(A162='Données projet'!$A$88,'Données projet'!$B$88,BD161+BC162-BL161)))</f>
        <v>130.82500000000053</v>
      </c>
      <c r="BE162" s="13">
        <f>BD162*VLOOKUP('Données projet'!$B$11,Paramètres!$A$1:$I$89,3,0)*VLOOKUP('Données projet'!$B$11,Paramètres!$A$1:$I$89,5,0)</f>
        <v>118.37046000000048</v>
      </c>
      <c r="BF162" s="13">
        <f t="shared" si="167"/>
        <v>31.29463394593726</v>
      </c>
      <c r="BG162" s="20">
        <f t="shared" si="168"/>
        <v>260.6667052891749</v>
      </c>
      <c r="BH162" s="59">
        <f t="shared" si="116"/>
        <v>554.00003862250821</v>
      </c>
      <c r="BI162" s="59">
        <f ca="1">AVERAGE(OFFSET($BH$3,0,0,'Données projet'!$E$11+1,1))-AVERAGE(OFFSET($H$3,0,0,'Données projet'!$E$11+1,1))</f>
        <v>490.06222615476065</v>
      </c>
      <c r="BJ162" s="59">
        <f t="shared" si="146"/>
        <v>310.43914804089906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89.899982234641612</v>
      </c>
      <c r="BQ162" s="21">
        <f>EXP(-LN(2)/25)*BQ161+(1-EXP(-LN(2)/25))/(LN(2)/25)*Calculateur!BL162*Calculateur!BN162*VLOOKUP('Données projet'!$B$11,Paramètres!$A$1:$I$89,3,0)*0.475*44/12</f>
        <v>18.011561268819619</v>
      </c>
      <c r="BR162" s="21">
        <f>EXP(-LN(2)/2)*BR161+(1-EXP(-LN(2)/2))/(LN(2)/2)*BL162*BO162*VLOOKUP('Données projet'!$B$11,Paramètres!$A$1:$I$89,3,0)*0.475*44/12</f>
        <v>2.2173739046943002</v>
      </c>
      <c r="BS162" s="22">
        <f t="shared" si="169"/>
        <v>110.12891740815553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353.37479213497227</v>
      </c>
      <c r="T163" s="59">
        <f t="shared" si="142"/>
        <v>345.4750813433123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10.660686186492937</v>
      </c>
      <c r="AA163" s="21">
        <f>EXP(-LN(2)/25)*AA162+(1-EXP(-LN(2)/25))/(LN(2)/25)*Calculateur!V163*Calculateur!X163*VLOOKUP('Données projet'!$B$9,Paramètres!$A$1:$I$89,3,0)*0.475*44/12</f>
        <v>5.5849895906691991</v>
      </c>
      <c r="AB163" s="21">
        <f>EXP(-LN(2)/2)*AB162+(1-EXP(-LN(2)/2))/(LN(2)/2)*V163*Y163*VLOOKUP('Données projet'!$B$9,Paramètres!$A$1:$I$89,3,0)*0.475*44/12</f>
        <v>5.6771860913069169E-11</v>
      </c>
      <c r="AC163" s="22">
        <f t="shared" si="163"/>
        <v>16.245675777218906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1.5961632016114892E-13</v>
      </c>
      <c r="AK163" s="13">
        <f t="shared" si="164"/>
        <v>2.2708641912150958E-12</v>
      </c>
      <c r="AL163" s="20">
        <f t="shared" si="165"/>
        <v>4.2330868906469593E-12</v>
      </c>
      <c r="AM163" s="59">
        <f t="shared" si="113"/>
        <v>293.33333333333752</v>
      </c>
      <c r="AN163" s="59">
        <f ca="1">AVERAGE(OFFSET($AM$3,0,0,'Données projet'!$E$10+1,1))-AVERAGE(OFFSET($H$3,0,0,'Données projet'!$E$10+1,1))</f>
        <v>293.15557501692803</v>
      </c>
      <c r="AO163" s="59">
        <f t="shared" si="144"/>
        <v>237.1930412773068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47.792361200333815</v>
      </c>
      <c r="AV163" s="21">
        <f>EXP(-LN(2)/25)*AV162+(1-EXP(-LN(2)/25))/(LN(2)/25)*Calculateur!AQ163*Calculateur!AS163*VLOOKUP('Données projet'!$B$10,Paramètres!$A$1:$I$89,3,0)*0.475*44/12</f>
        <v>10.184528682170976</v>
      </c>
      <c r="AW163" s="21">
        <f>EXP(-LN(2)/2)*AW162+(1-EXP(-LN(2)/2))/(LN(2)/2)*AQ163*AT163*VLOOKUP('Données projet'!$B$10,Paramètres!$A$1:$I$89,3,0)*0.475*44/12</f>
        <v>6.6355785493653552E-7</v>
      </c>
      <c r="AX163" s="21">
        <f t="shared" si="166"/>
        <v>57.976890546062648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1.7174999999999976</v>
      </c>
      <c r="BD163" s="12">
        <f>IF('Données projet'!$A$88&gt;35,BD162+BC163-BL162,IF(A163&lt;'Données projet'!$A$88,$BA$205^A163,IF(A163='Données projet'!$A$88,'Données projet'!$B$88,BD162+BC163-BL162)))</f>
        <v>132.54250000000053</v>
      </c>
      <c r="BE163" s="13">
        <f>BD163*VLOOKUP('Données projet'!$B$11,Paramètres!$A$1:$I$89,3,0)*VLOOKUP('Données projet'!$B$11,Paramètres!$A$1:$I$89,5,0)</f>
        <v>119.92445400000048</v>
      </c>
      <c r="BF163" s="13">
        <f t="shared" si="167"/>
        <v>31.657378784489545</v>
      </c>
      <c r="BG163" s="20">
        <f t="shared" si="168"/>
        <v>264.00502543298677</v>
      </c>
      <c r="BH163" s="59">
        <f t="shared" si="116"/>
        <v>557.33835876632008</v>
      </c>
      <c r="BI163" s="59">
        <f ca="1">AVERAGE(OFFSET($BH$3,0,0,'Données projet'!$E$11+1,1))-AVERAGE(OFFSET($H$3,0,0,'Données projet'!$E$11+1,1))</f>
        <v>490.06222615476065</v>
      </c>
      <c r="BJ163" s="59">
        <f t="shared" si="146"/>
        <v>310.43914804089906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88.137098416595094</v>
      </c>
      <c r="BQ163" s="21">
        <f>EXP(-LN(2)/25)*BQ162+(1-EXP(-LN(2)/25))/(LN(2)/25)*Calculateur!BL163*Calculateur!BN163*VLOOKUP('Données projet'!$B$11,Paramètres!$A$1:$I$89,3,0)*0.475*44/12</f>
        <v>17.519034178736906</v>
      </c>
      <c r="BR163" s="21">
        <f>EXP(-LN(2)/2)*BR162+(1-EXP(-LN(2)/2))/(LN(2)/2)*BL163*BO163*VLOOKUP('Données projet'!$B$11,Paramètres!$A$1:$I$89,3,0)*0.475*44/12</f>
        <v>1.567920124435433</v>
      </c>
      <c r="BS163" s="22">
        <f t="shared" si="169"/>
        <v>107.22405271976743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353.37479213497227</v>
      </c>
      <c r="T164" s="59">
        <f t="shared" si="142"/>
        <v>345.4750813433123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10.451636632752328</v>
      </c>
      <c r="AA164" s="21">
        <f>EXP(-LN(2)/25)*AA163+(1-EXP(-LN(2)/25))/(LN(2)/25)*Calculateur!V164*Calculateur!X164*VLOOKUP('Données projet'!$B$9,Paramètres!$A$1:$I$89,3,0)*0.475*44/12</f>
        <v>5.4322677566105115</v>
      </c>
      <c r="AB164" s="21">
        <f>EXP(-LN(2)/2)*AB163+(1-EXP(-LN(2)/2))/(LN(2)/2)*V164*Y164*VLOOKUP('Données projet'!$B$9,Paramètres!$A$1:$I$89,3,0)*0.475*44/12</f>
        <v>4.0143767832210711E-11</v>
      </c>
      <c r="AC164" s="22">
        <f t="shared" si="163"/>
        <v>15.883904389402984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1.5961632016114892E-13</v>
      </c>
      <c r="AK164" s="13">
        <f t="shared" si="164"/>
        <v>2.2708641912150958E-12</v>
      </c>
      <c r="AL164" s="20">
        <f t="shared" si="165"/>
        <v>4.2330868906469593E-12</v>
      </c>
      <c r="AM164" s="59">
        <f t="shared" si="113"/>
        <v>293.33333333333752</v>
      </c>
      <c r="AN164" s="59">
        <f ca="1">AVERAGE(OFFSET($AM$3,0,0,'Données projet'!$E$10+1,1))-AVERAGE(OFFSET($H$3,0,0,'Données projet'!$E$10+1,1))</f>
        <v>293.15557501692803</v>
      </c>
      <c r="AO164" s="59">
        <f t="shared" si="144"/>
        <v>237.1930412773068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46.855182147657231</v>
      </c>
      <c r="AV164" s="21">
        <f>EXP(-LN(2)/25)*AV163+(1-EXP(-LN(2)/25))/(LN(2)/25)*Calculateur!AQ164*Calculateur!AS164*VLOOKUP('Données projet'!$B$10,Paramètres!$A$1:$I$89,3,0)*0.475*44/12</f>
        <v>9.9060322097759244</v>
      </c>
      <c r="AW164" s="21">
        <f>EXP(-LN(2)/2)*AW163+(1-EXP(-LN(2)/2))/(LN(2)/2)*AQ164*AT164*VLOOKUP('Données projet'!$B$10,Paramètres!$A$1:$I$89,3,0)*0.475*44/12</f>
        <v>4.6920625893522372E-7</v>
      </c>
      <c r="AX164" s="21">
        <f t="shared" si="166"/>
        <v>56.76121482663941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134.26</v>
      </c>
      <c r="BB164" s="12">
        <f>VLOOKUP(A164,'Données projet'!$A$87:$I$107,9,0)</f>
        <v>1.7174999999999976</v>
      </c>
      <c r="BC164" s="12">
        <f t="array" ref="BC164">INDEX(BB:BB,MIN(IF(ISNUMBER(BB164:BB360),ROW(BB164:BB360),"")))</f>
        <v>1.7174999999999976</v>
      </c>
      <c r="BD164" s="12">
        <f>IF('Données projet'!$A$88&gt;35,BD163+BC164-BL163,IF(A164&lt;'Données projet'!$A$88,$BA$205^A164,IF(A164='Données projet'!$A$88,'Données projet'!$B$88,BD163+BC164-BL163)))</f>
        <v>134.26000000000053</v>
      </c>
      <c r="BE164" s="13">
        <f>BD164*VLOOKUP('Données projet'!$B$11,Paramètres!$A$1:$I$89,3,0)*VLOOKUP('Données projet'!$B$11,Paramètres!$A$1:$I$89,5,0)</f>
        <v>121.47844800000047</v>
      </c>
      <c r="BF164" s="13">
        <f t="shared" si="167"/>
        <v>32.019576882630901</v>
      </c>
      <c r="BG164" s="20">
        <f t="shared" si="168"/>
        <v>267.34239333724963</v>
      </c>
      <c r="BH164" s="59">
        <f t="shared" si="116"/>
        <v>560.67572667058289</v>
      </c>
      <c r="BI164" s="59">
        <f ca="1">AVERAGE(OFFSET($BH$3,0,0,'Données projet'!$E$11+1,1))-AVERAGE(OFFSET($H$3,0,0,'Données projet'!$E$11+1,1))</f>
        <v>490.06222615476065</v>
      </c>
      <c r="BJ164" s="59">
        <f t="shared" si="146"/>
        <v>310.43914804089906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134.26</v>
      </c>
      <c r="BM164" s="16">
        <f>IF(ISNA(VLOOKUP(A164,'Données projet'!$A$87:$I$107,5,0)),0%,VLOOKUP(A164,'Données projet'!$A$87:$I$107,5,0)*VLOOKUP('Données projet'!$B$11,Paramètres!$A$1:$I$89,7,0))</f>
        <v>0.19350000000000001</v>
      </c>
      <c r="BN164" s="16">
        <f>IF(ISNA(VLOOKUP(A164,'Données projet'!$A$87:$I$107,6,0)),0%,VLOOKUP(A164,'Données projet'!$A$87:$I$107,6,0)*VLOOKUP('Données projet'!$B$11,Paramètres!$A$1:$I$89,7,0))</f>
        <v>2.1500000000000002E-2</v>
      </c>
      <c r="BO164" s="16">
        <f>IF(ISNA(VLOOKUP(A164,'Données projet'!$A$87:$I$107,7,0)),0%,VLOOKUP(A164,'Données projet'!$A$87:$I$107,7,0))</f>
        <v>0.05</v>
      </c>
      <c r="BP164" s="21">
        <f>EXP(-LN(2)/35)*BP163+(1-EXP(-LN(2)/35))/(LN(2)/35)*BL164*BM164*VLOOKUP('Données projet'!$B$11,Paramètres!$A$1:$I$89,3,0)*0.475*44/12</f>
        <v>112.39405850899264</v>
      </c>
      <c r="BQ164" s="21">
        <f>EXP(-LN(2)/25)*BQ163+(1-EXP(-LN(2)/25))/(LN(2)/25)*Calculateur!BL164*Calculateur!BN164*VLOOKUP('Données projet'!$B$11,Paramètres!$A$1:$I$89,3,0)*0.475*44/12</f>
        <v>19.915859812926445</v>
      </c>
      <c r="BR164" s="21">
        <f>EXP(-LN(2)/2)*BR163+(1-EXP(-LN(2)/2))/(LN(2)/2)*BL164*BO164*VLOOKUP('Données projet'!$B$11,Paramètres!$A$1:$I$89,3,0)*0.475*44/12</f>
        <v>6.8395962139717037</v>
      </c>
      <c r="BS164" s="22">
        <f t="shared" si="169"/>
        <v>139.1495145358908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353.37479213497227</v>
      </c>
      <c r="T165" s="59">
        <f t="shared" si="142"/>
        <v>345.4750813433123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10.246686413252934</v>
      </c>
      <c r="AA165" s="21">
        <f>EXP(-LN(2)/25)*AA164+(1-EXP(-LN(2)/25))/(LN(2)/25)*Calculateur!V165*Calculateur!X165*VLOOKUP('Données projet'!$B$9,Paramètres!$A$1:$I$89,3,0)*0.475*44/12</f>
        <v>5.2837221091354518</v>
      </c>
      <c r="AB165" s="21">
        <f>EXP(-LN(2)/2)*AB164+(1-EXP(-LN(2)/2))/(LN(2)/2)*V165*Y165*VLOOKUP('Données projet'!$B$9,Paramètres!$A$1:$I$89,3,0)*0.475*44/12</f>
        <v>2.8385930456534585E-11</v>
      </c>
      <c r="AC165" s="22">
        <f t="shared" si="163"/>
        <v>15.530408522416772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1.5961632016114892E-13</v>
      </c>
      <c r="AK165" s="13">
        <f t="shared" si="164"/>
        <v>2.2708641912150958E-12</v>
      </c>
      <c r="AL165" s="20">
        <f t="shared" si="165"/>
        <v>4.2330868906469593E-12</v>
      </c>
      <c r="AM165" s="59">
        <f t="shared" si="113"/>
        <v>293.33333333333752</v>
      </c>
      <c r="AN165" s="59">
        <f ca="1">AVERAGE(OFFSET($AM$3,0,0,'Données projet'!$E$10+1,1))-AVERAGE(OFFSET($H$3,0,0,'Données projet'!$E$10+1,1))</f>
        <v>293.15557501692803</v>
      </c>
      <c r="AO165" s="59">
        <f t="shared" si="144"/>
        <v>237.1930412773068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45.936380604580854</v>
      </c>
      <c r="AV165" s="21">
        <f>EXP(-LN(2)/25)*AV164+(1-EXP(-LN(2)/25))/(LN(2)/25)*Calculateur!AQ165*Calculateur!AS165*VLOOKUP('Données projet'!$B$10,Paramètres!$A$1:$I$89,3,0)*0.475*44/12</f>
        <v>9.6351512380640081</v>
      </c>
      <c r="AW165" s="21">
        <f>EXP(-LN(2)/2)*AW164+(1-EXP(-LN(2)/2))/(LN(2)/2)*AQ165*AT165*VLOOKUP('Données projet'!$B$10,Paramètres!$A$1:$I$89,3,0)*0.475*44/12</f>
        <v>3.3177892746826781E-7</v>
      </c>
      <c r="AX165" s="21">
        <f t="shared" si="166"/>
        <v>55.571532174423787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5.4001247917767614E-13</v>
      </c>
      <c r="BE165" s="13">
        <f>BD165*VLOOKUP('Données projet'!$B$11,Paramètres!$A$1:$I$89,3,0)*VLOOKUP('Données projet'!$B$11,Paramètres!$A$1:$I$89,5,0)</f>
        <v>4.8860329115996133E-13</v>
      </c>
      <c r="BF165" s="13">
        <f t="shared" si="167"/>
        <v>6.1025862939685007E-12</v>
      </c>
      <c r="BG165" s="20">
        <f t="shared" si="168"/>
        <v>1.1479655194098737E-11</v>
      </c>
      <c r="BH165" s="59">
        <f t="shared" si="116"/>
        <v>293.3333333333448</v>
      </c>
      <c r="BI165" s="59">
        <f ca="1">AVERAGE(OFFSET($BH$3,0,0,'Données projet'!$E$11+1,1))-AVERAGE(OFFSET($H$3,0,0,'Données projet'!$E$11+1,1))</f>
        <v>490.06222615476065</v>
      </c>
      <c r="BJ165" s="59">
        <f t="shared" si="146"/>
        <v>310.43914804089906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110.19007957523789</v>
      </c>
      <c r="BQ165" s="21">
        <f>EXP(-LN(2)/25)*BQ164+(1-EXP(-LN(2)/25))/(LN(2)/25)*Calculateur!BL165*Calculateur!BN165*VLOOKUP('Données projet'!$B$11,Paramètres!$A$1:$I$89,3,0)*0.475*44/12</f>
        <v>19.371259579012424</v>
      </c>
      <c r="BR165" s="21">
        <f>EXP(-LN(2)/2)*BR164+(1-EXP(-LN(2)/2))/(LN(2)/2)*BL165*BO165*VLOOKUP('Données projet'!$B$11,Paramètres!$A$1:$I$89,3,0)*0.475*44/12</f>
        <v>4.8363248634772287</v>
      </c>
      <c r="BS165" s="22">
        <f t="shared" si="169"/>
        <v>134.39766401772752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353.37479213497227</v>
      </c>
      <c r="T166" s="59">
        <f t="shared" si="142"/>
        <v>345.4750813433123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10.045755142550634</v>
      </c>
      <c r="AA166" s="21">
        <f>EXP(-LN(2)/25)*AA165+(1-EXP(-LN(2)/25))/(LN(2)/25)*Calculateur!V166*Calculateur!X166*VLOOKUP('Données projet'!$B$9,Paramètres!$A$1:$I$89,3,0)*0.475*44/12</f>
        <v>5.1392384502022734</v>
      </c>
      <c r="AB166" s="21">
        <f>EXP(-LN(2)/2)*AB165+(1-EXP(-LN(2)/2))/(LN(2)/2)*V166*Y166*VLOOKUP('Données projet'!$B$9,Paramètres!$A$1:$I$89,3,0)*0.475*44/12</f>
        <v>2.0071883916105355E-11</v>
      </c>
      <c r="AC166" s="22">
        <f t="shared" si="163"/>
        <v>15.184993592772978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1.5961632016114892E-13</v>
      </c>
      <c r="AK166" s="13">
        <f t="shared" si="164"/>
        <v>2.2708641912150958E-12</v>
      </c>
      <c r="AL166" s="20">
        <f t="shared" si="165"/>
        <v>4.2330868906469593E-12</v>
      </c>
      <c r="AM166" s="59">
        <f t="shared" si="113"/>
        <v>293.33333333333752</v>
      </c>
      <c r="AN166" s="59">
        <f ca="1">AVERAGE(OFFSET($AM$3,0,0,'Données projet'!$E$10+1,1))-AVERAGE(OFFSET($H$3,0,0,'Données projet'!$E$10+1,1))</f>
        <v>293.15557501692803</v>
      </c>
      <c r="AO166" s="59">
        <f t="shared" si="144"/>
        <v>237.1930412773068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45.0355961993506</v>
      </c>
      <c r="AV166" s="21">
        <f>EXP(-LN(2)/25)*AV165+(1-EXP(-LN(2)/25))/(LN(2)/25)*Calculateur!AQ166*Calculateur!AS166*VLOOKUP('Données projet'!$B$10,Paramètres!$A$1:$I$89,3,0)*0.475*44/12</f>
        <v>9.3716775207685661</v>
      </c>
      <c r="AW166" s="21">
        <f>EXP(-LN(2)/2)*AW165+(1-EXP(-LN(2)/2))/(LN(2)/2)*AQ166*AT166*VLOOKUP('Données projet'!$B$10,Paramètres!$A$1:$I$89,3,0)*0.475*44/12</f>
        <v>2.3460312946761189E-7</v>
      </c>
      <c r="AX166" s="21">
        <f t="shared" si="166"/>
        <v>54.407273954722292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5.4001247917767614E-13</v>
      </c>
      <c r="BE166" s="13">
        <f>BD166*VLOOKUP('Données projet'!$B$11,Paramètres!$A$1:$I$89,3,0)*VLOOKUP('Données projet'!$B$11,Paramètres!$A$1:$I$89,5,0)</f>
        <v>4.8860329115996133E-13</v>
      </c>
      <c r="BF166" s="13">
        <f t="shared" si="167"/>
        <v>6.1025862939685007E-12</v>
      </c>
      <c r="BG166" s="20">
        <f t="shared" si="168"/>
        <v>1.1479655194098737E-11</v>
      </c>
      <c r="BH166" s="59">
        <f t="shared" si="116"/>
        <v>293.3333333333448</v>
      </c>
      <c r="BI166" s="59">
        <f ca="1">AVERAGE(OFFSET($BH$3,0,0,'Données projet'!$E$11+1,1))-AVERAGE(OFFSET($H$3,0,0,'Données projet'!$E$11+1,1))</f>
        <v>490.06222615476065</v>
      </c>
      <c r="BJ166" s="59">
        <f t="shared" si="146"/>
        <v>310.43914804089906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108.02931932407965</v>
      </c>
      <c r="BQ166" s="21">
        <f>EXP(-LN(2)/25)*BQ165+(1-EXP(-LN(2)/25))/(LN(2)/25)*Calculateur!BL166*Calculateur!BN166*VLOOKUP('Données projet'!$B$11,Paramètres!$A$1:$I$89,3,0)*0.475*44/12</f>
        <v>18.84155146713406</v>
      </c>
      <c r="BR166" s="21">
        <f>EXP(-LN(2)/2)*BR165+(1-EXP(-LN(2)/2))/(LN(2)/2)*BL166*BO166*VLOOKUP('Données projet'!$B$11,Paramètres!$A$1:$I$89,3,0)*0.475*44/12</f>
        <v>3.4197981069858523</v>
      </c>
      <c r="BS166" s="22">
        <f t="shared" si="169"/>
        <v>130.29066889819958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353.37479213497227</v>
      </c>
      <c r="T167" s="59">
        <f t="shared" si="142"/>
        <v>345.4750813433123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9.8487640115108324</v>
      </c>
      <c r="AA167" s="21">
        <f>EXP(-LN(2)/25)*AA166+(1-EXP(-LN(2)/25))/(LN(2)/25)*Calculateur!V167*Calculateur!X167*VLOOKUP('Données projet'!$B$9,Paramètres!$A$1:$I$89,3,0)*0.475*44/12</f>
        <v>4.9987057045206882</v>
      </c>
      <c r="AB167" s="21">
        <f>EXP(-LN(2)/2)*AB166+(1-EXP(-LN(2)/2))/(LN(2)/2)*V167*Y167*VLOOKUP('Données projet'!$B$9,Paramètres!$A$1:$I$89,3,0)*0.475*44/12</f>
        <v>1.4192965228267292E-11</v>
      </c>
      <c r="AC167" s="22">
        <f t="shared" si="163"/>
        <v>14.847469716045714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1.5961632016114892E-13</v>
      </c>
      <c r="AK167" s="13">
        <f t="shared" si="164"/>
        <v>2.2708641912150958E-12</v>
      </c>
      <c r="AL167" s="20">
        <f t="shared" si="165"/>
        <v>4.2330868906469593E-12</v>
      </c>
      <c r="AM167" s="59">
        <f t="shared" si="113"/>
        <v>293.33333333333752</v>
      </c>
      <c r="AN167" s="59">
        <f ca="1">AVERAGE(OFFSET($AM$3,0,0,'Données projet'!$E$10+1,1))-AVERAGE(OFFSET($H$3,0,0,'Données projet'!$E$10+1,1))</f>
        <v>293.15557501692803</v>
      </c>
      <c r="AO167" s="59">
        <f t="shared" si="144"/>
        <v>237.1930412773068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44.152475626882676</v>
      </c>
      <c r="AV167" s="21">
        <f>EXP(-LN(2)/25)*AV166+(1-EXP(-LN(2)/25))/(LN(2)/25)*Calculateur!AQ167*Calculateur!AS167*VLOOKUP('Données projet'!$B$10,Paramètres!$A$1:$I$89,3,0)*0.475*44/12</f>
        <v>9.1154085061280483</v>
      </c>
      <c r="AW167" s="21">
        <f>EXP(-LN(2)/2)*AW166+(1-EXP(-LN(2)/2))/(LN(2)/2)*AQ167*AT167*VLOOKUP('Données projet'!$B$10,Paramètres!$A$1:$I$89,3,0)*0.475*44/12</f>
        <v>1.6588946373413393E-7</v>
      </c>
      <c r="AX167" s="21">
        <f t="shared" si="166"/>
        <v>53.267884298900185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5.4001247917767614E-13</v>
      </c>
      <c r="BE167" s="13">
        <f>BD167*VLOOKUP('Données projet'!$B$11,Paramètres!$A$1:$I$89,3,0)*VLOOKUP('Données projet'!$B$11,Paramètres!$A$1:$I$89,5,0)</f>
        <v>4.8860329115996133E-13</v>
      </c>
      <c r="BF167" s="13">
        <f t="shared" si="167"/>
        <v>6.1025862939685007E-12</v>
      </c>
      <c r="BG167" s="20">
        <f t="shared" si="168"/>
        <v>1.1479655194098737E-11</v>
      </c>
      <c r="BH167" s="59">
        <f t="shared" si="116"/>
        <v>293.3333333333448</v>
      </c>
      <c r="BI167" s="59">
        <f ca="1">AVERAGE(OFFSET($BH$3,0,0,'Données projet'!$E$11+1,1))-AVERAGE(OFFSET($H$3,0,0,'Données projet'!$E$11+1,1))</f>
        <v>490.06222615476065</v>
      </c>
      <c r="BJ167" s="59">
        <f t="shared" si="146"/>
        <v>310.43914804089906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105.91093026351301</v>
      </c>
      <c r="BQ167" s="21">
        <f>EXP(-LN(2)/25)*BQ166+(1-EXP(-LN(2)/25))/(LN(2)/25)*Calculateur!BL167*Calculateur!BN167*VLOOKUP('Données projet'!$B$11,Paramètres!$A$1:$I$89,3,0)*0.475*44/12</f>
        <v>18.32632825143115</v>
      </c>
      <c r="BR167" s="21">
        <f>EXP(-LN(2)/2)*BR166+(1-EXP(-LN(2)/2))/(LN(2)/2)*BL167*BO167*VLOOKUP('Données projet'!$B$11,Paramètres!$A$1:$I$89,3,0)*0.475*44/12</f>
        <v>2.4181624317386148</v>
      </c>
      <c r="BS167" s="22">
        <f t="shared" si="169"/>
        <v>126.65542094668277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353.37479213497227</v>
      </c>
      <c r="T168" s="59">
        <f t="shared" si="142"/>
        <v>345.4750813433123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9.6556357563979951</v>
      </c>
      <c r="AA168" s="21">
        <f>EXP(-LN(2)/25)*AA167+(1-EXP(-LN(2)/25))/(LN(2)/25)*Calculateur!V168*Calculateur!X168*VLOOKUP('Données projet'!$B$9,Paramètres!$A$1:$I$89,3,0)*0.475*44/12</f>
        <v>4.8620158341600614</v>
      </c>
      <c r="AB168" s="21">
        <f>EXP(-LN(2)/2)*AB167+(1-EXP(-LN(2)/2))/(LN(2)/2)*V168*Y168*VLOOKUP('Données projet'!$B$9,Paramètres!$A$1:$I$89,3,0)*0.475*44/12</f>
        <v>1.0035941958052678E-11</v>
      </c>
      <c r="AC168" s="22">
        <f t="shared" si="163"/>
        <v>14.517651590568093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1.5961632016114892E-13</v>
      </c>
      <c r="AK168" s="13">
        <f t="shared" si="164"/>
        <v>2.2708641912150958E-12</v>
      </c>
      <c r="AL168" s="20">
        <f t="shared" si="165"/>
        <v>4.2330868906469593E-12</v>
      </c>
      <c r="AM168" s="59">
        <f t="shared" si="113"/>
        <v>293.33333333333752</v>
      </c>
      <c r="AN168" s="59">
        <f ca="1">AVERAGE(OFFSET($AM$3,0,0,'Données projet'!$E$10+1,1))-AVERAGE(OFFSET($H$3,0,0,'Données projet'!$E$10+1,1))</f>
        <v>293.15557501692803</v>
      </c>
      <c r="AO168" s="59">
        <f t="shared" si="144"/>
        <v>237.1930412773068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43.286672510190485</v>
      </c>
      <c r="AV168" s="21">
        <f>EXP(-LN(2)/25)*AV167+(1-EXP(-LN(2)/25))/(LN(2)/25)*Calculateur!AQ168*Calculateur!AS168*VLOOKUP('Données projet'!$B$10,Paramètres!$A$1:$I$89,3,0)*0.475*44/12</f>
        <v>8.8661471811694774</v>
      </c>
      <c r="AW168" s="21">
        <f>EXP(-LN(2)/2)*AW167+(1-EXP(-LN(2)/2))/(LN(2)/2)*AQ168*AT168*VLOOKUP('Données projet'!$B$10,Paramètres!$A$1:$I$89,3,0)*0.475*44/12</f>
        <v>1.1730156473380596E-7</v>
      </c>
      <c r="AX168" s="21">
        <f t="shared" si="166"/>
        <v>52.152819808661533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5.4001247917767614E-13</v>
      </c>
      <c r="BE168" s="13">
        <f>BD168*VLOOKUP('Données projet'!$B$11,Paramètres!$A$1:$I$89,3,0)*VLOOKUP('Données projet'!$B$11,Paramètres!$A$1:$I$89,5,0)</f>
        <v>4.8860329115996133E-13</v>
      </c>
      <c r="BF168" s="13">
        <f t="shared" si="167"/>
        <v>6.1025862939685007E-12</v>
      </c>
      <c r="BG168" s="20">
        <f t="shared" si="168"/>
        <v>1.1479655194098737E-11</v>
      </c>
      <c r="BH168" s="59">
        <f t="shared" si="116"/>
        <v>293.3333333333448</v>
      </c>
      <c r="BI168" s="59">
        <f ca="1">AVERAGE(OFFSET($BH$3,0,0,'Données projet'!$E$11+1,1))-AVERAGE(OFFSET($H$3,0,0,'Données projet'!$E$11+1,1))</f>
        <v>490.06222615476065</v>
      </c>
      <c r="BJ168" s="59">
        <f t="shared" si="146"/>
        <v>310.43914804089906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103.83408152033434</v>
      </c>
      <c r="BQ168" s="21">
        <f>EXP(-LN(2)/25)*BQ167+(1-EXP(-LN(2)/25))/(LN(2)/25)*Calculateur!BL168*Calculateur!BN168*VLOOKUP('Données projet'!$B$11,Paramètres!$A$1:$I$89,3,0)*0.475*44/12</f>
        <v>17.825193841656048</v>
      </c>
      <c r="BR168" s="21">
        <f>EXP(-LN(2)/2)*BR167+(1-EXP(-LN(2)/2))/(LN(2)/2)*BL168*BO168*VLOOKUP('Données projet'!$B$11,Paramètres!$A$1:$I$89,3,0)*0.475*44/12</f>
        <v>1.7098990534929264</v>
      </c>
      <c r="BS168" s="22">
        <f t="shared" si="169"/>
        <v>123.36917441548331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353.37479213497227</v>
      </c>
      <c r="T169" s="59">
        <f t="shared" si="142"/>
        <v>345.4750813433123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9.4662946285713154</v>
      </c>
      <c r="AA169" s="21">
        <f>EXP(-LN(2)/25)*AA168+(1-EXP(-LN(2)/25))/(LN(2)/25)*Calculateur!V169*Calculateur!X169*VLOOKUP('Données projet'!$B$9,Paramètres!$A$1:$I$89,3,0)*0.475*44/12</f>
        <v>4.7290637554926542</v>
      </c>
      <c r="AB169" s="21">
        <f>EXP(-LN(2)/2)*AB168+(1-EXP(-LN(2)/2))/(LN(2)/2)*V169*Y169*VLOOKUP('Données projet'!$B$9,Paramètres!$A$1:$I$89,3,0)*0.475*44/12</f>
        <v>7.0964826141336461E-12</v>
      </c>
      <c r="AC169" s="22">
        <f t="shared" si="163"/>
        <v>14.195358384071065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1.5961632016114892E-13</v>
      </c>
      <c r="AK169" s="13">
        <f t="shared" si="164"/>
        <v>2.2708641912150958E-12</v>
      </c>
      <c r="AL169" s="20">
        <f t="shared" si="165"/>
        <v>4.2330868906469593E-12</v>
      </c>
      <c r="AM169" s="59">
        <f t="shared" si="113"/>
        <v>293.33333333333752</v>
      </c>
      <c r="AN169" s="59">
        <f ca="1">AVERAGE(OFFSET($AM$3,0,0,'Données projet'!$E$10+1,1))-AVERAGE(OFFSET($H$3,0,0,'Données projet'!$E$10+1,1))</f>
        <v>293.15557501692803</v>
      </c>
      <c r="AO169" s="59">
        <f t="shared" si="144"/>
        <v>237.1930412773068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42.437847264528877</v>
      </c>
      <c r="AV169" s="21">
        <f>EXP(-LN(2)/25)*AV168+(1-EXP(-LN(2)/25))/(LN(2)/25)*Calculateur!AQ169*Calculateur!AS169*VLOOKUP('Données projet'!$B$10,Paramètres!$A$1:$I$89,3,0)*0.475*44/12</f>
        <v>8.6237019202499816</v>
      </c>
      <c r="AW169" s="21">
        <f>EXP(-LN(2)/2)*AW168+(1-EXP(-LN(2)/2))/(LN(2)/2)*AQ169*AT169*VLOOKUP('Données projet'!$B$10,Paramètres!$A$1:$I$89,3,0)*0.475*44/12</f>
        <v>8.294473186706698E-8</v>
      </c>
      <c r="AX169" s="21">
        <f t="shared" si="166"/>
        <v>51.061549267723585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5.4001247917767614E-13</v>
      </c>
      <c r="BE169" s="13">
        <f>BD169*VLOOKUP('Données projet'!$B$11,Paramètres!$A$1:$I$89,3,0)*VLOOKUP('Données projet'!$B$11,Paramètres!$A$1:$I$89,5,0)</f>
        <v>4.8860329115996133E-13</v>
      </c>
      <c r="BF169" s="13">
        <f t="shared" si="167"/>
        <v>6.1025862939685007E-12</v>
      </c>
      <c r="BG169" s="20">
        <f t="shared" si="168"/>
        <v>1.1479655194098737E-11</v>
      </c>
      <c r="BH169" s="59">
        <f t="shared" si="116"/>
        <v>293.3333333333448</v>
      </c>
      <c r="BI169" s="59">
        <f ca="1">AVERAGE(OFFSET($BH$3,0,0,'Données projet'!$E$11+1,1))-AVERAGE(OFFSET($H$3,0,0,'Données projet'!$E$11+1,1))</f>
        <v>490.06222615476065</v>
      </c>
      <c r="BJ169" s="59">
        <f t="shared" si="146"/>
        <v>310.43914804089906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101.79795851425673</v>
      </c>
      <c r="BQ169" s="21">
        <f>EXP(-LN(2)/25)*BQ168+(1-EXP(-LN(2)/25))/(LN(2)/25)*Calculateur!BL169*Calculateur!BN169*VLOOKUP('Données projet'!$B$11,Paramètres!$A$1:$I$89,3,0)*0.475*44/12</f>
        <v>17.337762978669758</v>
      </c>
      <c r="BR169" s="21">
        <f>EXP(-LN(2)/2)*BR168+(1-EXP(-LN(2)/2))/(LN(2)/2)*BL169*BO169*VLOOKUP('Données projet'!$B$11,Paramètres!$A$1:$I$89,3,0)*0.475*44/12</f>
        <v>1.2090812158693074</v>
      </c>
      <c r="BS169" s="22">
        <f t="shared" si="169"/>
        <v>120.3448027087958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353.37479213497227</v>
      </c>
      <c r="T170" s="59">
        <f t="shared" si="142"/>
        <v>345.4750813433123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9.2806663647746337</v>
      </c>
      <c r="AA170" s="21">
        <f>EXP(-LN(2)/25)*AA169+(1-EXP(-LN(2)/25))/(LN(2)/25)*Calculateur!V170*Calculateur!X170*VLOOKUP('Données projet'!$B$9,Paramètres!$A$1:$I$89,3,0)*0.475*44/12</f>
        <v>4.599747258408053</v>
      </c>
      <c r="AB170" s="21">
        <f>EXP(-LN(2)/2)*AB169+(1-EXP(-LN(2)/2))/(LN(2)/2)*V170*Y170*VLOOKUP('Données projet'!$B$9,Paramètres!$A$1:$I$89,3,0)*0.475*44/12</f>
        <v>5.0179709790263388E-12</v>
      </c>
      <c r="AC170" s="22">
        <f t="shared" si="163"/>
        <v>13.880413623187705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1.5961632016114892E-13</v>
      </c>
      <c r="AK170" s="13">
        <f t="shared" si="164"/>
        <v>2.2708641912150958E-12</v>
      </c>
      <c r="AL170" s="20">
        <f t="shared" si="165"/>
        <v>4.2330868906469593E-12</v>
      </c>
      <c r="AM170" s="59">
        <f t="shared" si="113"/>
        <v>293.33333333333752</v>
      </c>
      <c r="AN170" s="59">
        <f ca="1">AVERAGE(OFFSET($AM$3,0,0,'Données projet'!$E$10+1,1))-AVERAGE(OFFSET($H$3,0,0,'Données projet'!$E$10+1,1))</f>
        <v>293.15557501692803</v>
      </c>
      <c r="AO170" s="59">
        <f t="shared" si="144"/>
        <v>237.1930412773068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41.605666964202413</v>
      </c>
      <c r="AV170" s="21">
        <f>EXP(-LN(2)/25)*AV169+(1-EXP(-LN(2)/25))/(LN(2)/25)*Calculateur!AQ170*Calculateur!AS170*VLOOKUP('Données projet'!$B$10,Paramètres!$A$1:$I$89,3,0)*0.475*44/12</f>
        <v>8.3878863377399711</v>
      </c>
      <c r="AW170" s="21">
        <f>EXP(-LN(2)/2)*AW169+(1-EXP(-LN(2)/2))/(LN(2)/2)*AQ170*AT170*VLOOKUP('Données projet'!$B$10,Paramètres!$A$1:$I$89,3,0)*0.475*44/12</f>
        <v>5.8650782366902992E-8</v>
      </c>
      <c r="AX170" s="21">
        <f t="shared" si="166"/>
        <v>49.993553360593168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5.4001247917767614E-13</v>
      </c>
      <c r="BE170" s="13">
        <f>BD170*VLOOKUP('Données projet'!$B$11,Paramètres!$A$1:$I$89,3,0)*VLOOKUP('Données projet'!$B$11,Paramètres!$A$1:$I$89,5,0)</f>
        <v>4.8860329115996133E-13</v>
      </c>
      <c r="BF170" s="13">
        <f t="shared" si="167"/>
        <v>6.1025862939685007E-12</v>
      </c>
      <c r="BG170" s="20">
        <f t="shared" si="168"/>
        <v>1.1479655194098737E-11</v>
      </c>
      <c r="BH170" s="59">
        <f t="shared" si="116"/>
        <v>293.3333333333448</v>
      </c>
      <c r="BI170" s="59">
        <f ca="1">AVERAGE(OFFSET($BH$3,0,0,'Données projet'!$E$11+1,1))-AVERAGE(OFFSET($H$3,0,0,'Données projet'!$E$11+1,1))</f>
        <v>490.06222615476065</v>
      </c>
      <c r="BJ170" s="59">
        <f t="shared" si="146"/>
        <v>310.43914804089906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99.801762638415909</v>
      </c>
      <c r="BQ170" s="21">
        <f>EXP(-LN(2)/25)*BQ169+(1-EXP(-LN(2)/25))/(LN(2)/25)*Calculateur!BL170*Calculateur!BN170*VLOOKUP('Données projet'!$B$11,Paramètres!$A$1:$I$89,3,0)*0.475*44/12</f>
        <v>16.863660938264704</v>
      </c>
      <c r="BR170" s="21">
        <f>EXP(-LN(2)/2)*BR169+(1-EXP(-LN(2)/2))/(LN(2)/2)*BL170*BO170*VLOOKUP('Données projet'!$B$11,Paramètres!$A$1:$I$89,3,0)*0.475*44/12</f>
        <v>0.85494952674646318</v>
      </c>
      <c r="BS170" s="22">
        <f t="shared" si="169"/>
        <v>117.52037310342708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353.37479213497227</v>
      </c>
      <c r="T171" s="59">
        <f t="shared" si="142"/>
        <v>345.4750813433123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9.0986781580089424</v>
      </c>
      <c r="AA171" s="21">
        <f>EXP(-LN(2)/25)*AA170+(1-EXP(-LN(2)/25))/(LN(2)/25)*Calculateur!V171*Calculateur!X171*VLOOKUP('Données projet'!$B$9,Paramètres!$A$1:$I$89,3,0)*0.475*44/12</f>
        <v>4.4739669277366891</v>
      </c>
      <c r="AB171" s="21">
        <f>EXP(-LN(2)/2)*AB170+(1-EXP(-LN(2)/2))/(LN(2)/2)*V171*Y171*VLOOKUP('Données projet'!$B$9,Paramètres!$A$1:$I$89,3,0)*0.475*44/12</f>
        <v>3.5482413070668231E-12</v>
      </c>
      <c r="AC171" s="22">
        <f t="shared" si="163"/>
        <v>13.572645085749178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1.5961632016114892E-13</v>
      </c>
      <c r="AK171" s="13">
        <f t="shared" si="164"/>
        <v>2.2708641912150958E-12</v>
      </c>
      <c r="AL171" s="20">
        <f t="shared" si="165"/>
        <v>4.2330868906469593E-12</v>
      </c>
      <c r="AM171" s="59">
        <f t="shared" si="113"/>
        <v>293.33333333333752</v>
      </c>
      <c r="AN171" s="59">
        <f ca="1">AVERAGE(OFFSET($AM$3,0,0,'Données projet'!$E$10+1,1))-AVERAGE(OFFSET($H$3,0,0,'Données projet'!$E$10+1,1))</f>
        <v>293.15557501692803</v>
      </c>
      <c r="AO171" s="59">
        <f t="shared" si="144"/>
        <v>237.1930412773068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40.789805211985488</v>
      </c>
      <c r="AV171" s="21">
        <f>EXP(-LN(2)/25)*AV170+(1-EXP(-LN(2)/25))/(LN(2)/25)*Calculateur!AQ171*Calculateur!AS171*VLOOKUP('Données projet'!$B$10,Paramètres!$A$1:$I$89,3,0)*0.475*44/12</f>
        <v>8.158519144734699</v>
      </c>
      <c r="AW171" s="21">
        <f>EXP(-LN(2)/2)*AW170+(1-EXP(-LN(2)/2))/(LN(2)/2)*AQ171*AT171*VLOOKUP('Données projet'!$B$10,Paramètres!$A$1:$I$89,3,0)*0.475*44/12</f>
        <v>4.1472365933533497E-8</v>
      </c>
      <c r="AX171" s="21">
        <f t="shared" si="166"/>
        <v>48.948324398192554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5.4001247917767614E-13</v>
      </c>
      <c r="BE171" s="13">
        <f>BD171*VLOOKUP('Données projet'!$B$11,Paramètres!$A$1:$I$89,3,0)*VLOOKUP('Données projet'!$B$11,Paramètres!$A$1:$I$89,5,0)</f>
        <v>4.8860329115996133E-13</v>
      </c>
      <c r="BF171" s="13">
        <f t="shared" si="167"/>
        <v>6.1025862939685007E-12</v>
      </c>
      <c r="BG171" s="20">
        <f t="shared" si="168"/>
        <v>1.1479655194098737E-11</v>
      </c>
      <c r="BH171" s="59">
        <f t="shared" si="116"/>
        <v>293.3333333333448</v>
      </c>
      <c r="BI171" s="59">
        <f ca="1">AVERAGE(OFFSET($BH$3,0,0,'Données projet'!$E$11+1,1))-AVERAGE(OFFSET($H$3,0,0,'Données projet'!$E$11+1,1))</f>
        <v>490.06222615476065</v>
      </c>
      <c r="BJ171" s="59">
        <f t="shared" si="146"/>
        <v>310.43914804089906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97.844710946141063</v>
      </c>
      <c r="BQ171" s="21">
        <f>EXP(-LN(2)/25)*BQ170+(1-EXP(-LN(2)/25))/(LN(2)/25)*Calculateur!BL171*Calculateur!BN171*VLOOKUP('Données projet'!$B$11,Paramètres!$A$1:$I$89,3,0)*0.475*44/12</f>
        <v>16.40252324308647</v>
      </c>
      <c r="BR171" s="21">
        <f>EXP(-LN(2)/2)*BR170+(1-EXP(-LN(2)/2))/(LN(2)/2)*BL171*BO171*VLOOKUP('Données projet'!$B$11,Paramètres!$A$1:$I$89,3,0)*0.475*44/12</f>
        <v>0.6045406079346537</v>
      </c>
      <c r="BS171" s="22">
        <f t="shared" si="169"/>
        <v>114.85177479716218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353.37479213497227</v>
      </c>
      <c r="T172" s="59">
        <f t="shared" si="142"/>
        <v>345.4750813433123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8.9202586289760806</v>
      </c>
      <c r="AA172" s="21">
        <f>EXP(-LN(2)/25)*AA171+(1-EXP(-LN(2)/25))/(LN(2)/25)*Calculateur!V172*Calculateur!X172*VLOOKUP('Données projet'!$B$9,Paramètres!$A$1:$I$89,3,0)*0.475*44/12</f>
        <v>4.3516260668220337</v>
      </c>
      <c r="AB172" s="21">
        <f>EXP(-LN(2)/2)*AB171+(1-EXP(-LN(2)/2))/(LN(2)/2)*V172*Y172*VLOOKUP('Données projet'!$B$9,Paramètres!$A$1:$I$89,3,0)*0.475*44/12</f>
        <v>2.5089854895131694E-12</v>
      </c>
      <c r="AC172" s="22">
        <f t="shared" si="163"/>
        <v>13.271884695800622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1.5961632016114892E-13</v>
      </c>
      <c r="AK172" s="13">
        <f t="shared" si="164"/>
        <v>2.2708641912150958E-12</v>
      </c>
      <c r="AL172" s="20">
        <f t="shared" si="165"/>
        <v>4.2330868906469593E-12</v>
      </c>
      <c r="AM172" s="59">
        <f t="shared" si="113"/>
        <v>293.33333333333752</v>
      </c>
      <c r="AN172" s="59">
        <f ca="1">AVERAGE(OFFSET($AM$3,0,0,'Données projet'!$E$10+1,1))-AVERAGE(OFFSET($H$3,0,0,'Données projet'!$E$10+1,1))</f>
        <v>293.15557501692803</v>
      </c>
      <c r="AO172" s="59">
        <f t="shared" si="144"/>
        <v>237.1930412773068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39.989942011103004</v>
      </c>
      <c r="AV172" s="21">
        <f>EXP(-LN(2)/25)*AV171+(1-EXP(-LN(2)/25))/(LN(2)/25)*Calculateur!AQ172*Calculateur!AS172*VLOOKUP('Données projet'!$B$10,Paramètres!$A$1:$I$89,3,0)*0.475*44/12</f>
        <v>7.9354240096840529</v>
      </c>
      <c r="AW172" s="21">
        <f>EXP(-LN(2)/2)*AW171+(1-EXP(-LN(2)/2))/(LN(2)/2)*AQ172*AT172*VLOOKUP('Données projet'!$B$10,Paramètres!$A$1:$I$89,3,0)*0.475*44/12</f>
        <v>2.9325391183451499E-8</v>
      </c>
      <c r="AX172" s="21">
        <f t="shared" si="166"/>
        <v>47.925366050112451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5.4001247917767614E-13</v>
      </c>
      <c r="BE172" s="13">
        <f>BD172*VLOOKUP('Données projet'!$B$11,Paramètres!$A$1:$I$89,3,0)*VLOOKUP('Données projet'!$B$11,Paramètres!$A$1:$I$89,5,0)</f>
        <v>4.8860329115996133E-13</v>
      </c>
      <c r="BF172" s="13">
        <f t="shared" si="167"/>
        <v>6.1025862939685007E-12</v>
      </c>
      <c r="BG172" s="20">
        <f t="shared" si="168"/>
        <v>1.1479655194098737E-11</v>
      </c>
      <c r="BH172" s="59">
        <f t="shared" si="116"/>
        <v>293.3333333333448</v>
      </c>
      <c r="BI172" s="59">
        <f ca="1">AVERAGE(OFFSET($BH$3,0,0,'Données projet'!$E$11+1,1))-AVERAGE(OFFSET($H$3,0,0,'Données projet'!$E$11+1,1))</f>
        <v>490.06222615476065</v>
      </c>
      <c r="BJ172" s="59">
        <f t="shared" si="146"/>
        <v>310.43914804089906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95.926035843868064</v>
      </c>
      <c r="BQ172" s="21">
        <f>EXP(-LN(2)/25)*BQ171+(1-EXP(-LN(2)/25))/(LN(2)/25)*Calculateur!BL172*Calculateur!BN172*VLOOKUP('Données projet'!$B$11,Paramètres!$A$1:$I$89,3,0)*0.475*44/12</f>
        <v>15.953995382433062</v>
      </c>
      <c r="BR172" s="21">
        <f>EXP(-LN(2)/2)*BR171+(1-EXP(-LN(2)/2))/(LN(2)/2)*BL172*BO172*VLOOKUP('Données projet'!$B$11,Paramètres!$A$1:$I$89,3,0)*0.475*44/12</f>
        <v>0.42747476337323159</v>
      </c>
      <c r="BS172" s="22">
        <f t="shared" si="169"/>
        <v>112.30750598967435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353.37479213497227</v>
      </c>
      <c r="T173" s="59">
        <f t="shared" si="142"/>
        <v>345.4750813433123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8.745337798082387</v>
      </c>
      <c r="AA173" s="21">
        <f>EXP(-LN(2)/25)*AA172+(1-EXP(-LN(2)/25))/(LN(2)/25)*Calculateur!V173*Calculateur!X173*VLOOKUP('Données projet'!$B$9,Paramètres!$A$1:$I$89,3,0)*0.475*44/12</f>
        <v>4.2326306231827164</v>
      </c>
      <c r="AB173" s="21">
        <f>EXP(-LN(2)/2)*AB172+(1-EXP(-LN(2)/2))/(LN(2)/2)*V173*Y173*VLOOKUP('Données projet'!$B$9,Paramètres!$A$1:$I$89,3,0)*0.475*44/12</f>
        <v>1.7741206535334115E-12</v>
      </c>
      <c r="AC173" s="22">
        <f t="shared" si="163"/>
        <v>12.977968421266878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1.5961632016114892E-13</v>
      </c>
      <c r="AK173" s="13">
        <f t="shared" si="164"/>
        <v>2.2708641912150958E-12</v>
      </c>
      <c r="AL173" s="20">
        <f t="shared" si="165"/>
        <v>4.2330868906469593E-12</v>
      </c>
      <c r="AM173" s="59">
        <f t="shared" si="113"/>
        <v>293.33333333333752</v>
      </c>
      <c r="AN173" s="59">
        <f ca="1">AVERAGE(OFFSET($AM$3,0,0,'Données projet'!$E$10+1,1))-AVERAGE(OFFSET($H$3,0,0,'Données projet'!$E$10+1,1))</f>
        <v>293.15557501692803</v>
      </c>
      <c r="AO173" s="59">
        <f t="shared" si="144"/>
        <v>237.1930412773068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39.205763639721447</v>
      </c>
      <c r="AV173" s="21">
        <f>EXP(-LN(2)/25)*AV172+(1-EXP(-LN(2)/25))/(LN(2)/25)*Calculateur!AQ173*Calculateur!AS173*VLOOKUP('Données projet'!$B$10,Paramètres!$A$1:$I$89,3,0)*0.475*44/12</f>
        <v>7.7184294228334309</v>
      </c>
      <c r="AW173" s="21">
        <f>EXP(-LN(2)/2)*AW172+(1-EXP(-LN(2)/2))/(LN(2)/2)*AQ173*AT173*VLOOKUP('Données projet'!$B$10,Paramètres!$A$1:$I$89,3,0)*0.475*44/12</f>
        <v>2.0736182966766752E-8</v>
      </c>
      <c r="AX173" s="21">
        <f t="shared" si="166"/>
        <v>46.924193083291058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5.4001247917767614E-13</v>
      </c>
      <c r="BE173" s="13">
        <f>BD173*VLOOKUP('Données projet'!$B$11,Paramètres!$A$1:$I$89,3,0)*VLOOKUP('Données projet'!$B$11,Paramètres!$A$1:$I$89,5,0)</f>
        <v>4.8860329115996133E-13</v>
      </c>
      <c r="BF173" s="13">
        <f t="shared" si="167"/>
        <v>6.1025862939685007E-12</v>
      </c>
      <c r="BG173" s="20">
        <f t="shared" si="168"/>
        <v>1.1479655194098737E-11</v>
      </c>
      <c r="BH173" s="59">
        <f t="shared" si="116"/>
        <v>293.3333333333448</v>
      </c>
      <c r="BI173" s="59">
        <f ca="1">AVERAGE(OFFSET($BH$3,0,0,'Données projet'!$E$11+1,1))-AVERAGE(OFFSET($H$3,0,0,'Données projet'!$E$11+1,1))</f>
        <v>490.06222615476065</v>
      </c>
      <c r="BJ173" s="59">
        <f t="shared" si="146"/>
        <v>310.43914804089906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94.04498479007438</v>
      </c>
      <c r="BQ173" s="21">
        <f>EXP(-LN(2)/25)*BQ172+(1-EXP(-LN(2)/25))/(LN(2)/25)*Calculateur!BL173*Calculateur!BN173*VLOOKUP('Données projet'!$B$11,Paramètres!$A$1:$I$89,3,0)*0.475*44/12</f>
        <v>15.517732539716276</v>
      </c>
      <c r="BR173" s="21">
        <f>EXP(-LN(2)/2)*BR172+(1-EXP(-LN(2)/2))/(LN(2)/2)*BL173*BO173*VLOOKUP('Données projet'!$B$11,Paramètres!$A$1:$I$89,3,0)*0.475*44/12</f>
        <v>0.30227030396732685</v>
      </c>
      <c r="BS173" s="22">
        <f t="shared" si="169"/>
        <v>109.86498763375799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353.37479213497227</v>
      </c>
      <c r="T174" s="59">
        <f t="shared" si="142"/>
        <v>345.4750813433123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8.5738470579913475</v>
      </c>
      <c r="AA174" s="21">
        <f>EXP(-LN(2)/25)*AA173+(1-EXP(-LN(2)/25))/(LN(2)/25)*Calculateur!V174*Calculateur!X174*VLOOKUP('Données projet'!$B$9,Paramètres!$A$1:$I$89,3,0)*0.475*44/12</f>
        <v>4.1168891162074148</v>
      </c>
      <c r="AB174" s="21">
        <f>EXP(-LN(2)/2)*AB173+(1-EXP(-LN(2)/2))/(LN(2)/2)*V174*Y174*VLOOKUP('Données projet'!$B$9,Paramètres!$A$1:$I$89,3,0)*0.475*44/12</f>
        <v>1.2544927447565847E-12</v>
      </c>
      <c r="AC174" s="22">
        <f t="shared" si="163"/>
        <v>12.690736174200016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1.5961632016114892E-13</v>
      </c>
      <c r="AK174" s="13">
        <f t="shared" si="164"/>
        <v>2.2708641912150958E-12</v>
      </c>
      <c r="AL174" s="20">
        <f t="shared" si="165"/>
        <v>4.2330868906469593E-12</v>
      </c>
      <c r="AM174" s="59">
        <f t="shared" si="113"/>
        <v>293.33333333333752</v>
      </c>
      <c r="AN174" s="59">
        <f ca="1">AVERAGE(OFFSET($AM$3,0,0,'Données projet'!$E$10+1,1))-AVERAGE(OFFSET($H$3,0,0,'Données projet'!$E$10+1,1))</f>
        <v>293.15557501692803</v>
      </c>
      <c r="AO174" s="59">
        <f t="shared" si="144"/>
        <v>237.1930412773068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38.436962527901102</v>
      </c>
      <c r="AV174" s="21">
        <f>EXP(-LN(2)/25)*AV173+(1-EXP(-LN(2)/25))/(LN(2)/25)*Calculateur!AQ174*Calculateur!AS174*VLOOKUP('Données projet'!$B$10,Paramètres!$A$1:$I$89,3,0)*0.475*44/12</f>
        <v>7.5073685643714878</v>
      </c>
      <c r="AW174" s="21">
        <f>EXP(-LN(2)/2)*AW173+(1-EXP(-LN(2)/2))/(LN(2)/2)*AQ174*AT174*VLOOKUP('Données projet'!$B$10,Paramètres!$A$1:$I$89,3,0)*0.475*44/12</f>
        <v>1.4662695591725753E-8</v>
      </c>
      <c r="AX174" s="21">
        <f t="shared" si="166"/>
        <v>45.944331106935287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5.4001247917767614E-13</v>
      </c>
      <c r="BE174" s="13">
        <f>BD174*VLOOKUP('Données projet'!$B$11,Paramètres!$A$1:$I$89,3,0)*VLOOKUP('Données projet'!$B$11,Paramètres!$A$1:$I$89,5,0)</f>
        <v>4.8860329115996133E-13</v>
      </c>
      <c r="BF174" s="13">
        <f t="shared" si="167"/>
        <v>6.1025862939685007E-12</v>
      </c>
      <c r="BG174" s="20">
        <f t="shared" si="168"/>
        <v>1.1479655194098737E-11</v>
      </c>
      <c r="BH174" s="59">
        <f t="shared" si="116"/>
        <v>293.3333333333448</v>
      </c>
      <c r="BI174" s="59">
        <f ca="1">AVERAGE(OFFSET($BH$3,0,0,'Données projet'!$E$11+1,1))-AVERAGE(OFFSET($H$3,0,0,'Données projet'!$E$11+1,1))</f>
        <v>490.06222615476065</v>
      </c>
      <c r="BJ174" s="59">
        <f t="shared" si="146"/>
        <v>310.43914804089906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92.200820000117744</v>
      </c>
      <c r="BQ174" s="21">
        <f>EXP(-LN(2)/25)*BQ173+(1-EXP(-LN(2)/25))/(LN(2)/25)*Calculateur!BL174*Calculateur!BN174*VLOOKUP('Données projet'!$B$11,Paramètres!$A$1:$I$89,3,0)*0.475*44/12</f>
        <v>15.093399327375646</v>
      </c>
      <c r="BR174" s="21">
        <f>EXP(-LN(2)/2)*BR173+(1-EXP(-LN(2)/2))/(LN(2)/2)*BL174*BO174*VLOOKUP('Données projet'!$B$11,Paramètres!$A$1:$I$89,3,0)*0.475*44/12</f>
        <v>0.2137373816866158</v>
      </c>
      <c r="BS174" s="22">
        <f t="shared" si="169"/>
        <v>107.50795670918001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353.37479213497227</v>
      </c>
      <c r="T175" s="59">
        <f t="shared" si="142"/>
        <v>345.4750813433123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8.4057191467144694</v>
      </c>
      <c r="AA175" s="21">
        <f>EXP(-LN(2)/25)*AA174+(1-EXP(-LN(2)/25))/(LN(2)/25)*Calculateur!V175*Calculateur!X175*VLOOKUP('Données projet'!$B$9,Paramètres!$A$1:$I$89,3,0)*0.475*44/12</f>
        <v>4.0043125668269335</v>
      </c>
      <c r="AB175" s="21">
        <f>EXP(-LN(2)/2)*AB174+(1-EXP(-LN(2)/2))/(LN(2)/2)*V175*Y175*VLOOKUP('Données projet'!$B$9,Paramètres!$A$1:$I$89,3,0)*0.475*44/12</f>
        <v>8.8706032676670577E-13</v>
      </c>
      <c r="AC175" s="22">
        <f t="shared" si="163"/>
        <v>12.41003171354229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1.5961632016114892E-13</v>
      </c>
      <c r="AK175" s="13">
        <f t="shared" si="164"/>
        <v>2.2708641912150958E-12</v>
      </c>
      <c r="AL175" s="20">
        <f t="shared" si="165"/>
        <v>4.2330868906469593E-12</v>
      </c>
      <c r="AM175" s="59">
        <f t="shared" si="113"/>
        <v>293.33333333333752</v>
      </c>
      <c r="AN175" s="59">
        <f ca="1">AVERAGE(OFFSET($AM$3,0,0,'Données projet'!$E$10+1,1))-AVERAGE(OFFSET($H$3,0,0,'Données projet'!$E$10+1,1))</f>
        <v>293.15557501692803</v>
      </c>
      <c r="AO175" s="59">
        <f t="shared" si="144"/>
        <v>237.1930412773068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37.683237136961175</v>
      </c>
      <c r="AV175" s="21">
        <f>EXP(-LN(2)/25)*AV174+(1-EXP(-LN(2)/25))/(LN(2)/25)*Calculateur!AQ175*Calculateur!AS175*VLOOKUP('Données projet'!$B$10,Paramètres!$A$1:$I$89,3,0)*0.475*44/12</f>
        <v>7.302079176183395</v>
      </c>
      <c r="AW175" s="21">
        <f>EXP(-LN(2)/2)*AW174+(1-EXP(-LN(2)/2))/(LN(2)/2)*AQ175*AT175*VLOOKUP('Données projet'!$B$10,Paramètres!$A$1:$I$89,3,0)*0.475*44/12</f>
        <v>1.0368091483383377E-8</v>
      </c>
      <c r="AX175" s="21">
        <f t="shared" si="166"/>
        <v>44.985316323512663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5.4001247917767614E-13</v>
      </c>
      <c r="BE175" s="13">
        <f>BD175*VLOOKUP('Données projet'!$B$11,Paramètres!$A$1:$I$89,3,0)*VLOOKUP('Données projet'!$B$11,Paramètres!$A$1:$I$89,5,0)</f>
        <v>4.8860329115996133E-13</v>
      </c>
      <c r="BF175" s="13">
        <f t="shared" si="167"/>
        <v>6.1025862939685007E-12</v>
      </c>
      <c r="BG175" s="20">
        <f t="shared" si="168"/>
        <v>1.1479655194098737E-11</v>
      </c>
      <c r="BH175" s="59">
        <f t="shared" si="116"/>
        <v>293.3333333333448</v>
      </c>
      <c r="BI175" s="59">
        <f ca="1">AVERAGE(OFFSET($BH$3,0,0,'Données projet'!$E$11+1,1))-AVERAGE(OFFSET($H$3,0,0,'Données projet'!$E$11+1,1))</f>
        <v>490.06222615476065</v>
      </c>
      <c r="BJ175" s="59">
        <f t="shared" si="146"/>
        <v>310.43914804089906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90.392818156862702</v>
      </c>
      <c r="BQ175" s="21">
        <f>EXP(-LN(2)/25)*BQ174+(1-EXP(-LN(2)/25))/(LN(2)/25)*Calculateur!BL175*Calculateur!BN175*VLOOKUP('Données projet'!$B$11,Paramètres!$A$1:$I$89,3,0)*0.475*44/12</f>
        <v>14.680669529041186</v>
      </c>
      <c r="BR175" s="21">
        <f>EXP(-LN(2)/2)*BR174+(1-EXP(-LN(2)/2))/(LN(2)/2)*BL175*BO175*VLOOKUP('Données projet'!$B$11,Paramètres!$A$1:$I$89,3,0)*0.475*44/12</f>
        <v>0.15113515198366342</v>
      </c>
      <c r="BS175" s="22">
        <f t="shared" si="169"/>
        <v>105.22462283788755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353.37479213497227</v>
      </c>
      <c r="T176" s="59">
        <f t="shared" si="142"/>
        <v>345.4750813433123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8.2408881212298315</v>
      </c>
      <c r="AA176" s="21">
        <f>EXP(-LN(2)/25)*AA175+(1-EXP(-LN(2)/25))/(LN(2)/25)*Calculateur!V176*Calculateur!X176*VLOOKUP('Données projet'!$B$9,Paramètres!$A$1:$I$89,3,0)*0.475*44/12</f>
        <v>3.8948144291094051</v>
      </c>
      <c r="AB176" s="21">
        <f>EXP(-LN(2)/2)*AB175+(1-EXP(-LN(2)/2))/(LN(2)/2)*V176*Y176*VLOOKUP('Données projet'!$B$9,Paramètres!$A$1:$I$89,3,0)*0.475*44/12</f>
        <v>6.2724637237829235E-13</v>
      </c>
      <c r="AC176" s="22">
        <f t="shared" si="163"/>
        <v>12.135702550339863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1.5961632016114892E-13</v>
      </c>
      <c r="AK176" s="13">
        <f t="shared" si="164"/>
        <v>2.2708641912150958E-12</v>
      </c>
      <c r="AL176" s="20">
        <f t="shared" si="165"/>
        <v>4.2330868906469593E-12</v>
      </c>
      <c r="AM176" s="59">
        <f t="shared" si="113"/>
        <v>293.33333333333752</v>
      </c>
      <c r="AN176" s="59">
        <f ca="1">AVERAGE(OFFSET($AM$3,0,0,'Données projet'!$E$10+1,1))-AVERAGE(OFFSET($H$3,0,0,'Données projet'!$E$10+1,1))</f>
        <v>293.15557501692803</v>
      </c>
      <c r="AO176" s="59">
        <f t="shared" si="144"/>
        <v>237.1930412773068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36.944291841210486</v>
      </c>
      <c r="AV176" s="21">
        <f>EXP(-LN(2)/25)*AV175+(1-EXP(-LN(2)/25))/(LN(2)/25)*Calculateur!AQ176*Calculateur!AS176*VLOOKUP('Données projet'!$B$10,Paramètres!$A$1:$I$89,3,0)*0.475*44/12</f>
        <v>7.102403437111005</v>
      </c>
      <c r="AW176" s="21">
        <f>EXP(-LN(2)/2)*AW175+(1-EXP(-LN(2)/2))/(LN(2)/2)*AQ176*AT176*VLOOKUP('Données projet'!$B$10,Paramètres!$A$1:$I$89,3,0)*0.475*44/12</f>
        <v>7.3313477958628773E-9</v>
      </c>
      <c r="AX176" s="21">
        <f t="shared" si="166"/>
        <v>44.046695285652838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5.4001247917767614E-13</v>
      </c>
      <c r="BE176" s="13">
        <f>BD176*VLOOKUP('Données projet'!$B$11,Paramètres!$A$1:$I$89,3,0)*VLOOKUP('Données projet'!$B$11,Paramètres!$A$1:$I$89,5,0)</f>
        <v>4.8860329115996133E-13</v>
      </c>
      <c r="BF176" s="13">
        <f t="shared" si="167"/>
        <v>6.1025862939685007E-12</v>
      </c>
      <c r="BG176" s="20">
        <f t="shared" si="168"/>
        <v>1.1479655194098737E-11</v>
      </c>
      <c r="BH176" s="59">
        <f t="shared" si="116"/>
        <v>293.3333333333448</v>
      </c>
      <c r="BI176" s="59">
        <f ca="1">AVERAGE(OFFSET($BH$3,0,0,'Données projet'!$E$11+1,1))-AVERAGE(OFFSET($H$3,0,0,'Données projet'!$E$11+1,1))</f>
        <v>490.06222615476065</v>
      </c>
      <c r="BJ176" s="59">
        <f t="shared" si="146"/>
        <v>310.43914804089906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88.620270126981652</v>
      </c>
      <c r="BQ176" s="21">
        <f>EXP(-LN(2)/25)*BQ175+(1-EXP(-LN(2)/25))/(LN(2)/25)*Calculateur!BL176*Calculateur!BN176*VLOOKUP('Données projet'!$B$11,Paramètres!$A$1:$I$89,3,0)*0.475*44/12</f>
        <v>14.279225848746698</v>
      </c>
      <c r="BR176" s="21">
        <f>EXP(-LN(2)/2)*BR175+(1-EXP(-LN(2)/2))/(LN(2)/2)*BL176*BO176*VLOOKUP('Données projet'!$B$11,Paramètres!$A$1:$I$89,3,0)*0.475*44/12</f>
        <v>0.1068686908433079</v>
      </c>
      <c r="BS176" s="22">
        <f t="shared" si="169"/>
        <v>103.00636466657166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353.37479213497227</v>
      </c>
      <c r="T177" s="59">
        <f t="shared" si="142"/>
        <v>345.4750813433123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8.0792893316179484</v>
      </c>
      <c r="AA177" s="21">
        <f>EXP(-LN(2)/25)*AA176+(1-EXP(-LN(2)/25))/(LN(2)/25)*Calculateur!V177*Calculateur!X177*VLOOKUP('Données projet'!$B$9,Paramètres!$A$1:$I$89,3,0)*0.475*44/12</f>
        <v>3.7883105237260195</v>
      </c>
      <c r="AB177" s="21">
        <f>EXP(-LN(2)/2)*AB176+(1-EXP(-LN(2)/2))/(LN(2)/2)*V177*Y177*VLOOKUP('Données projet'!$B$9,Paramètres!$A$1:$I$89,3,0)*0.475*44/12</f>
        <v>4.4353016338335288E-13</v>
      </c>
      <c r="AC177" s="22">
        <f t="shared" si="163"/>
        <v>11.867599855344412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1.5961632016114892E-13</v>
      </c>
      <c r="AK177" s="13">
        <f t="shared" si="164"/>
        <v>2.2708641912150958E-12</v>
      </c>
      <c r="AL177" s="20">
        <f t="shared" si="165"/>
        <v>4.2330868906469593E-12</v>
      </c>
      <c r="AM177" s="59">
        <f t="shared" si="113"/>
        <v>293.33333333333752</v>
      </c>
      <c r="AN177" s="59">
        <f ca="1">AVERAGE(OFFSET($AM$3,0,0,'Données projet'!$E$10+1,1))-AVERAGE(OFFSET($H$3,0,0,'Données projet'!$E$10+1,1))</f>
        <v>293.15557501692803</v>
      </c>
      <c r="AO177" s="59">
        <f t="shared" si="144"/>
        <v>237.1930412773068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36.219836811997347</v>
      </c>
      <c r="AV177" s="21">
        <f>EXP(-LN(2)/25)*AV176+(1-EXP(-LN(2)/25))/(LN(2)/25)*Calculateur!AQ177*Calculateur!AS177*VLOOKUP('Données projet'!$B$10,Paramètres!$A$1:$I$89,3,0)*0.475*44/12</f>
        <v>6.9081878416240405</v>
      </c>
      <c r="AW177" s="21">
        <f>EXP(-LN(2)/2)*AW176+(1-EXP(-LN(2)/2))/(LN(2)/2)*AQ177*AT177*VLOOKUP('Données projet'!$B$10,Paramètres!$A$1:$I$89,3,0)*0.475*44/12</f>
        <v>5.1840457416916896E-9</v>
      </c>
      <c r="AX177" s="21">
        <f t="shared" si="166"/>
        <v>43.128024658805437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5.4001247917767614E-13</v>
      </c>
      <c r="BE177" s="13">
        <f>BD177*VLOOKUP('Données projet'!$B$11,Paramètres!$A$1:$I$89,3,0)*VLOOKUP('Données projet'!$B$11,Paramètres!$A$1:$I$89,5,0)</f>
        <v>4.8860329115996133E-13</v>
      </c>
      <c r="BF177" s="13">
        <f t="shared" si="167"/>
        <v>6.1025862939685007E-12</v>
      </c>
      <c r="BG177" s="20">
        <f t="shared" si="168"/>
        <v>1.1479655194098737E-11</v>
      </c>
      <c r="BH177" s="59">
        <f t="shared" si="116"/>
        <v>293.3333333333448</v>
      </c>
      <c r="BI177" s="59">
        <f ca="1">AVERAGE(OFFSET($BH$3,0,0,'Données projet'!$E$11+1,1))-AVERAGE(OFFSET($H$3,0,0,'Données projet'!$E$11+1,1))</f>
        <v>490.06222615476065</v>
      </c>
      <c r="BJ177" s="59">
        <f t="shared" si="146"/>
        <v>310.43914804089906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86.882480682819022</v>
      </c>
      <c r="BQ177" s="21">
        <f>EXP(-LN(2)/25)*BQ176+(1-EXP(-LN(2)/25))/(LN(2)/25)*Calculateur!BL177*Calculateur!BN177*VLOOKUP('Données projet'!$B$11,Paramètres!$A$1:$I$89,3,0)*0.475*44/12</f>
        <v>13.888759667000867</v>
      </c>
      <c r="BR177" s="21">
        <f>EXP(-LN(2)/2)*BR176+(1-EXP(-LN(2)/2))/(LN(2)/2)*BL177*BO177*VLOOKUP('Données projet'!$B$11,Paramètres!$A$1:$I$89,3,0)*0.475*44/12</f>
        <v>7.5567575991831712E-2</v>
      </c>
      <c r="BS177" s="22">
        <f t="shared" si="169"/>
        <v>100.84680792581172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353.37479213497227</v>
      </c>
      <c r="T178" s="59">
        <f t="shared" si="142"/>
        <v>345.4750813433123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7.9208593957048246</v>
      </c>
      <c r="AA178" s="21">
        <f>EXP(-LN(2)/25)*AA177+(1-EXP(-LN(2)/25))/(LN(2)/25)*Calculateur!V178*Calculateur!X178*VLOOKUP('Données projet'!$B$9,Paramètres!$A$1:$I$89,3,0)*0.475*44/12</f>
        <v>3.6847189732361394</v>
      </c>
      <c r="AB178" s="21">
        <f>EXP(-LN(2)/2)*AB177+(1-EXP(-LN(2)/2))/(LN(2)/2)*V178*Y178*VLOOKUP('Données projet'!$B$9,Paramètres!$A$1:$I$89,3,0)*0.475*44/12</f>
        <v>3.1362318618914618E-13</v>
      </c>
      <c r="AC178" s="22">
        <f t="shared" si="163"/>
        <v>11.605578368941279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1.5961632016114892E-13</v>
      </c>
      <c r="AK178" s="13">
        <f t="shared" si="164"/>
        <v>2.2708641912150958E-12</v>
      </c>
      <c r="AL178" s="20">
        <f t="shared" si="165"/>
        <v>4.2330868906469593E-12</v>
      </c>
      <c r="AM178" s="59">
        <f t="shared" si="113"/>
        <v>293.33333333333752</v>
      </c>
      <c r="AN178" s="59">
        <f ca="1">AVERAGE(OFFSET($AM$3,0,0,'Données projet'!$E$10+1,1))-AVERAGE(OFFSET($H$3,0,0,'Données projet'!$E$10+1,1))</f>
        <v>293.15557501692803</v>
      </c>
      <c r="AO178" s="59">
        <f t="shared" si="144"/>
        <v>237.1930412773068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35.50958790403314</v>
      </c>
      <c r="AV178" s="21">
        <f>EXP(-LN(2)/25)*AV177+(1-EXP(-LN(2)/25))/(LN(2)/25)*Calculateur!AQ178*Calculateur!AS178*VLOOKUP('Données projet'!$B$10,Paramètres!$A$1:$I$89,3,0)*0.475*44/12</f>
        <v>6.7192830818090217</v>
      </c>
      <c r="AW178" s="21">
        <f>EXP(-LN(2)/2)*AW177+(1-EXP(-LN(2)/2))/(LN(2)/2)*AQ178*AT178*VLOOKUP('Données projet'!$B$10,Paramètres!$A$1:$I$89,3,0)*0.475*44/12</f>
        <v>3.6656738979314391E-9</v>
      </c>
      <c r="AX178" s="21">
        <f t="shared" si="166"/>
        <v>42.22887098950784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5.4001247917767614E-13</v>
      </c>
      <c r="BE178" s="13">
        <f>BD178*VLOOKUP('Données projet'!$B$11,Paramètres!$A$1:$I$89,3,0)*VLOOKUP('Données projet'!$B$11,Paramètres!$A$1:$I$89,5,0)</f>
        <v>4.8860329115996133E-13</v>
      </c>
      <c r="BF178" s="13">
        <f t="shared" si="167"/>
        <v>6.1025862939685007E-12</v>
      </c>
      <c r="BG178" s="20">
        <f t="shared" si="168"/>
        <v>1.1479655194098737E-11</v>
      </c>
      <c r="BH178" s="59">
        <f t="shared" si="116"/>
        <v>293.3333333333448</v>
      </c>
      <c r="BI178" s="59">
        <f ca="1">AVERAGE(OFFSET($BH$3,0,0,'Données projet'!$E$11+1,1))-AVERAGE(OFFSET($H$3,0,0,'Données projet'!$E$11+1,1))</f>
        <v>490.06222615476065</v>
      </c>
      <c r="BJ178" s="59">
        <f t="shared" si="146"/>
        <v>310.43914804089906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85.178768229709519</v>
      </c>
      <c r="BQ178" s="21">
        <f>EXP(-LN(2)/25)*BQ177+(1-EXP(-LN(2)/25))/(LN(2)/25)*Calculateur!BL178*Calculateur!BN178*VLOOKUP('Données projet'!$B$11,Paramètres!$A$1:$I$89,3,0)*0.475*44/12</f>
        <v>13.508970803528602</v>
      </c>
      <c r="BR178" s="21">
        <f>EXP(-LN(2)/2)*BR177+(1-EXP(-LN(2)/2))/(LN(2)/2)*BL178*BO178*VLOOKUP('Données projet'!$B$11,Paramètres!$A$1:$I$89,3,0)*0.475*44/12</f>
        <v>5.3434345421653949E-2</v>
      </c>
      <c r="BS178" s="22">
        <f t="shared" si="169"/>
        <v>98.741173378659767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353.37479213497227</v>
      </c>
      <c r="T179" s="59">
        <f t="shared" si="142"/>
        <v>345.4750813433123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7.7655361742022384</v>
      </c>
      <c r="AA179" s="21">
        <f>EXP(-LN(2)/25)*AA178+(1-EXP(-LN(2)/25))/(LN(2)/25)*Calculateur!V179*Calculateur!X179*VLOOKUP('Données projet'!$B$9,Paramètres!$A$1:$I$89,3,0)*0.475*44/12</f>
        <v>3.5839601391420479</v>
      </c>
      <c r="AB179" s="21">
        <f>EXP(-LN(2)/2)*AB178+(1-EXP(-LN(2)/2))/(LN(2)/2)*V179*Y179*VLOOKUP('Données projet'!$B$9,Paramètres!$A$1:$I$89,3,0)*0.475*44/12</f>
        <v>2.2176508169167644E-13</v>
      </c>
      <c r="AC179" s="22">
        <f t="shared" si="163"/>
        <v>11.349496313344508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1.5961632016114892E-13</v>
      </c>
      <c r="AK179" s="13">
        <f t="shared" si="164"/>
        <v>2.2708641912150958E-12</v>
      </c>
      <c r="AL179" s="20">
        <f t="shared" si="165"/>
        <v>4.2330868906469593E-12</v>
      </c>
      <c r="AM179" s="59">
        <f t="shared" si="113"/>
        <v>293.33333333333752</v>
      </c>
      <c r="AN179" s="59">
        <f ca="1">AVERAGE(OFFSET($AM$3,0,0,'Données projet'!$E$10+1,1))-AVERAGE(OFFSET($H$3,0,0,'Données projet'!$E$10+1,1))</f>
        <v>293.15557501692803</v>
      </c>
      <c r="AO179" s="59">
        <f t="shared" si="144"/>
        <v>237.1930412773068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34.813266543945055</v>
      </c>
      <c r="AV179" s="21">
        <f>EXP(-LN(2)/25)*AV178+(1-EXP(-LN(2)/25))/(LN(2)/25)*Calculateur!AQ179*Calculateur!AS179*VLOOKUP('Données projet'!$B$10,Paramètres!$A$1:$I$89,3,0)*0.475*44/12</f>
        <v>6.535543932585214</v>
      </c>
      <c r="AW179" s="21">
        <f>EXP(-LN(2)/2)*AW178+(1-EXP(-LN(2)/2))/(LN(2)/2)*AQ179*AT179*VLOOKUP('Données projet'!$B$10,Paramètres!$A$1:$I$89,3,0)*0.475*44/12</f>
        <v>2.5920228708458452E-9</v>
      </c>
      <c r="AX179" s="21">
        <f t="shared" si="166"/>
        <v>41.348810479122292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5.4001247917767614E-13</v>
      </c>
      <c r="BE179" s="13">
        <f>BD179*VLOOKUP('Données projet'!$B$11,Paramètres!$A$1:$I$89,3,0)*VLOOKUP('Données projet'!$B$11,Paramètres!$A$1:$I$89,5,0)</f>
        <v>4.8860329115996133E-13</v>
      </c>
      <c r="BF179" s="13">
        <f t="shared" si="167"/>
        <v>6.1025862939685007E-12</v>
      </c>
      <c r="BG179" s="20">
        <f t="shared" si="168"/>
        <v>1.1479655194098737E-11</v>
      </c>
      <c r="BH179" s="59">
        <f t="shared" si="116"/>
        <v>293.3333333333448</v>
      </c>
      <c r="BI179" s="59">
        <f ca="1">AVERAGE(OFFSET($BH$3,0,0,'Données projet'!$E$11+1,1))-AVERAGE(OFFSET($H$3,0,0,'Données projet'!$E$11+1,1))</f>
        <v>490.06222615476065</v>
      </c>
      <c r="BJ179" s="59">
        <f t="shared" si="146"/>
        <v>310.43914804089906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83.508464538643508</v>
      </c>
      <c r="BQ179" s="21">
        <f>EXP(-LN(2)/25)*BQ178+(1-EXP(-LN(2)/25))/(LN(2)/25)*Calculateur!BL179*Calculateur!BN179*VLOOKUP('Données projet'!$B$11,Paramètres!$A$1:$I$89,3,0)*0.475*44/12</f>
        <v>13.139567286500213</v>
      </c>
      <c r="BR179" s="21">
        <f>EXP(-LN(2)/2)*BR178+(1-EXP(-LN(2)/2))/(LN(2)/2)*BL179*BO179*VLOOKUP('Données projet'!$B$11,Paramètres!$A$1:$I$89,3,0)*0.475*44/12</f>
        <v>3.7783787995915856E-2</v>
      </c>
      <c r="BS179" s="22">
        <f t="shared" si="169"/>
        <v>96.685815613139638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353.37479213497227</v>
      </c>
      <c r="T180" s="59">
        <f t="shared" si="142"/>
        <v>345.4750813433123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7.6132587463355073</v>
      </c>
      <c r="AA180" s="21">
        <f>EXP(-LN(2)/25)*AA179+(1-EXP(-LN(2)/25))/(LN(2)/25)*Calculateur!V180*Calculateur!X180*VLOOKUP('Données projet'!$B$9,Paramètres!$A$1:$I$89,3,0)*0.475*44/12</f>
        <v>3.4859565606649361</v>
      </c>
      <c r="AB180" s="21">
        <f>EXP(-LN(2)/2)*AB179+(1-EXP(-LN(2)/2))/(LN(2)/2)*V180*Y180*VLOOKUP('Données projet'!$B$9,Paramètres!$A$1:$I$89,3,0)*0.475*44/12</f>
        <v>1.5681159309457309E-13</v>
      </c>
      <c r="AC180" s="22">
        <f t="shared" si="163"/>
        <v>11.0992153070006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1.5961632016114892E-13</v>
      </c>
      <c r="AK180" s="13">
        <f t="shared" si="164"/>
        <v>2.2708641912150958E-12</v>
      </c>
      <c r="AL180" s="20">
        <f t="shared" si="165"/>
        <v>4.2330868906469593E-12</v>
      </c>
      <c r="AM180" s="59">
        <f t="shared" si="113"/>
        <v>293.33333333333752</v>
      </c>
      <c r="AN180" s="59">
        <f ca="1">AVERAGE(OFFSET($AM$3,0,0,'Données projet'!$E$10+1,1))-AVERAGE(OFFSET($H$3,0,0,'Données projet'!$E$10+1,1))</f>
        <v>293.15557501692803</v>
      </c>
      <c r="AO180" s="59">
        <f t="shared" si="144"/>
        <v>237.1930412773068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34.130599621014198</v>
      </c>
      <c r="AV180" s="21">
        <f>EXP(-LN(2)/25)*AV179+(1-EXP(-LN(2)/25))/(LN(2)/25)*Calculateur!AQ180*Calculateur!AS180*VLOOKUP('Données projet'!$B$10,Paramètres!$A$1:$I$89,3,0)*0.475*44/12</f>
        <v>6.3568291400593528</v>
      </c>
      <c r="AW180" s="21">
        <f>EXP(-LN(2)/2)*AW179+(1-EXP(-LN(2)/2))/(LN(2)/2)*AQ180*AT180*VLOOKUP('Données projet'!$B$10,Paramètres!$A$1:$I$89,3,0)*0.475*44/12</f>
        <v>1.8328369489657199E-9</v>
      </c>
      <c r="AX180" s="21">
        <f t="shared" si="166"/>
        <v>40.48742876290639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5.4001247917767614E-13</v>
      </c>
      <c r="BE180" s="13">
        <f>BD180*VLOOKUP('Données projet'!$B$11,Paramètres!$A$1:$I$89,3,0)*VLOOKUP('Données projet'!$B$11,Paramètres!$A$1:$I$89,5,0)</f>
        <v>4.8860329115996133E-13</v>
      </c>
      <c r="BF180" s="13">
        <f t="shared" si="167"/>
        <v>6.1025862939685007E-12</v>
      </c>
      <c r="BG180" s="20">
        <f t="shared" si="168"/>
        <v>1.1479655194098737E-11</v>
      </c>
      <c r="BH180" s="59">
        <f t="shared" si="116"/>
        <v>293.3333333333448</v>
      </c>
      <c r="BI180" s="59">
        <f ca="1">AVERAGE(OFFSET($BH$3,0,0,'Données projet'!$E$11+1,1))-AVERAGE(OFFSET($H$3,0,0,'Données projet'!$E$11+1,1))</f>
        <v>490.06222615476065</v>
      </c>
      <c r="BJ180" s="59">
        <f t="shared" si="146"/>
        <v>310.43914804089906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81.870914484174648</v>
      </c>
      <c r="BQ180" s="21">
        <f>EXP(-LN(2)/25)*BQ179+(1-EXP(-LN(2)/25))/(LN(2)/25)*Calculateur!BL180*Calculateur!BN180*VLOOKUP('Données projet'!$B$11,Paramètres!$A$1:$I$89,3,0)*0.475*44/12</f>
        <v>12.780265128071052</v>
      </c>
      <c r="BR180" s="21">
        <f>EXP(-LN(2)/2)*BR179+(1-EXP(-LN(2)/2))/(LN(2)/2)*BL180*BO180*VLOOKUP('Données projet'!$B$11,Paramètres!$A$1:$I$89,3,0)*0.475*44/12</f>
        <v>2.6717172710826975E-2</v>
      </c>
      <c r="BS180" s="22">
        <f t="shared" si="169"/>
        <v>94.67789678495653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353.37479213497227</v>
      </c>
      <c r="T181" s="59">
        <f t="shared" si="142"/>
        <v>345.4750813433123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7.4639673859491831</v>
      </c>
      <c r="AA181" s="21">
        <f>EXP(-LN(2)/25)*AA180+(1-EXP(-LN(2)/25))/(LN(2)/25)*Calculateur!V181*Calculateur!X181*VLOOKUP('Données projet'!$B$9,Paramètres!$A$1:$I$89,3,0)*0.475*44/12</f>
        <v>3.3906328951950653</v>
      </c>
      <c r="AB181" s="21">
        <f>EXP(-LN(2)/2)*AB180+(1-EXP(-LN(2)/2))/(LN(2)/2)*V181*Y181*VLOOKUP('Données projet'!$B$9,Paramètres!$A$1:$I$89,3,0)*0.475*44/12</f>
        <v>1.1088254084583822E-13</v>
      </c>
      <c r="AC181" s="22">
        <f t="shared" si="163"/>
        <v>10.854600281144359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1.5961632016114892E-13</v>
      </c>
      <c r="AK181" s="13">
        <f t="shared" si="164"/>
        <v>2.2708641912150958E-12</v>
      </c>
      <c r="AL181" s="20">
        <f t="shared" si="165"/>
        <v>4.2330868906469593E-12</v>
      </c>
      <c r="AM181" s="59">
        <f t="shared" si="113"/>
        <v>293.33333333333752</v>
      </c>
      <c r="AN181" s="59">
        <f ca="1">AVERAGE(OFFSET($AM$3,0,0,'Données projet'!$E$10+1,1))-AVERAGE(OFFSET($H$3,0,0,'Données projet'!$E$10+1,1))</f>
        <v>293.15557501692803</v>
      </c>
      <c r="AO181" s="59">
        <f t="shared" si="144"/>
        <v>237.1930412773068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33.46131938005631</v>
      </c>
      <c r="AV181" s="21">
        <f>EXP(-LN(2)/25)*AV180+(1-EXP(-LN(2)/25))/(LN(2)/25)*Calculateur!AQ181*Calculateur!AS181*VLOOKUP('Données projet'!$B$10,Paramètres!$A$1:$I$89,3,0)*0.475*44/12</f>
        <v>6.1830013129333139</v>
      </c>
      <c r="AW181" s="21">
        <f>EXP(-LN(2)/2)*AW180+(1-EXP(-LN(2)/2))/(LN(2)/2)*AQ181*AT181*VLOOKUP('Données projet'!$B$10,Paramètres!$A$1:$I$89,3,0)*0.475*44/12</f>
        <v>1.2960114354229228E-9</v>
      </c>
      <c r="AX181" s="21">
        <f t="shared" si="166"/>
        <v>39.644320694285632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5.4001247917767614E-13</v>
      </c>
      <c r="BE181" s="13">
        <f>BD181*VLOOKUP('Données projet'!$B$11,Paramètres!$A$1:$I$89,3,0)*VLOOKUP('Données projet'!$B$11,Paramètres!$A$1:$I$89,5,0)</f>
        <v>4.8860329115996133E-13</v>
      </c>
      <c r="BF181" s="13">
        <f t="shared" si="167"/>
        <v>6.1025862939685007E-12</v>
      </c>
      <c r="BG181" s="20">
        <f t="shared" si="168"/>
        <v>1.1479655194098737E-11</v>
      </c>
      <c r="BH181" s="59">
        <f t="shared" si="116"/>
        <v>293.3333333333448</v>
      </c>
      <c r="BI181" s="59">
        <f ca="1">AVERAGE(OFFSET($BH$3,0,0,'Données projet'!$E$11+1,1))-AVERAGE(OFFSET($H$3,0,0,'Données projet'!$E$11+1,1))</f>
        <v>490.06222615476065</v>
      </c>
      <c r="BJ181" s="59">
        <f t="shared" si="146"/>
        <v>310.43914804089906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80.265475787467011</v>
      </c>
      <c r="BQ181" s="21">
        <f>EXP(-LN(2)/25)*BQ180+(1-EXP(-LN(2)/25))/(LN(2)/25)*Calculateur!BL181*Calculateur!BN181*VLOOKUP('Données projet'!$B$11,Paramètres!$A$1:$I$89,3,0)*0.475*44/12</f>
        <v>12.430788106059016</v>
      </c>
      <c r="BR181" s="21">
        <f>EXP(-LN(2)/2)*BR180+(1-EXP(-LN(2)/2))/(LN(2)/2)*BL181*BO181*VLOOKUP('Données projet'!$B$11,Paramètres!$A$1:$I$89,3,0)*0.475*44/12</f>
        <v>1.8891893997957928E-2</v>
      </c>
      <c r="BS181" s="22">
        <f t="shared" si="169"/>
        <v>92.715155787523983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353.37479213497227</v>
      </c>
      <c r="T182" s="59">
        <f t="shared" si="142"/>
        <v>345.4750813433123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7.317603538081296</v>
      </c>
      <c r="AA182" s="21">
        <f>EXP(-LN(2)/25)*AA181+(1-EXP(-LN(2)/25))/(LN(2)/25)*Calculateur!V182*Calculateur!X182*VLOOKUP('Données projet'!$B$9,Paramètres!$A$1:$I$89,3,0)*0.475*44/12</f>
        <v>3.2979158603703218</v>
      </c>
      <c r="AB182" s="21">
        <f>EXP(-LN(2)/2)*AB181+(1-EXP(-LN(2)/2))/(LN(2)/2)*V182*Y182*VLOOKUP('Données projet'!$B$9,Paramètres!$A$1:$I$89,3,0)*0.475*44/12</f>
        <v>7.8405796547286544E-14</v>
      </c>
      <c r="AC182" s="22">
        <f t="shared" si="163"/>
        <v>10.615519398451696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1.5961632016114892E-13</v>
      </c>
      <c r="AK182" s="13">
        <f t="shared" si="164"/>
        <v>2.2708641912150958E-12</v>
      </c>
      <c r="AL182" s="20">
        <f t="shared" si="165"/>
        <v>4.2330868906469593E-12</v>
      </c>
      <c r="AM182" s="59">
        <f t="shared" si="113"/>
        <v>293.33333333333752</v>
      </c>
      <c r="AN182" s="59">
        <f ca="1">AVERAGE(OFFSET($AM$3,0,0,'Données projet'!$E$10+1,1))-AVERAGE(OFFSET($H$3,0,0,'Données projet'!$E$10+1,1))</f>
        <v>293.15557501692803</v>
      </c>
      <c r="AO182" s="59">
        <f t="shared" si="144"/>
        <v>237.1930412773068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32.805163316402968</v>
      </c>
      <c r="AV182" s="21">
        <f>EXP(-LN(2)/25)*AV181+(1-EXP(-LN(2)/25))/(LN(2)/25)*Calculateur!AQ182*Calculateur!AS182*VLOOKUP('Données projet'!$B$10,Paramètres!$A$1:$I$89,3,0)*0.475*44/12</f>
        <v>6.013926816881245</v>
      </c>
      <c r="AW182" s="21">
        <f>EXP(-LN(2)/2)*AW181+(1-EXP(-LN(2)/2))/(LN(2)/2)*AQ182*AT182*VLOOKUP('Données projet'!$B$10,Paramètres!$A$1:$I$89,3,0)*0.475*44/12</f>
        <v>9.1641847448286008E-10</v>
      </c>
      <c r="AX182" s="21">
        <f t="shared" si="166"/>
        <v>38.819090134200628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5.4001247917767614E-13</v>
      </c>
      <c r="BE182" s="13">
        <f>BD182*VLOOKUP('Données projet'!$B$11,Paramètres!$A$1:$I$89,3,0)*VLOOKUP('Données projet'!$B$11,Paramètres!$A$1:$I$89,5,0)</f>
        <v>4.8860329115996133E-13</v>
      </c>
      <c r="BF182" s="13">
        <f t="shared" si="167"/>
        <v>6.1025862939685007E-12</v>
      </c>
      <c r="BG182" s="20">
        <f t="shared" si="168"/>
        <v>1.1479655194098737E-11</v>
      </c>
      <c r="BH182" s="59">
        <f t="shared" si="116"/>
        <v>293.3333333333448</v>
      </c>
      <c r="BI182" s="59">
        <f ca="1">AVERAGE(OFFSET($BH$3,0,0,'Données projet'!$E$11+1,1))-AVERAGE(OFFSET($H$3,0,0,'Données projet'!$E$11+1,1))</f>
        <v>490.06222615476065</v>
      </c>
      <c r="BJ182" s="59">
        <f t="shared" si="146"/>
        <v>310.43914804089906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78.691518764380902</v>
      </c>
      <c r="BQ182" s="21">
        <f>EXP(-LN(2)/25)*BQ181+(1-EXP(-LN(2)/25))/(LN(2)/25)*Calculateur!BL182*Calculateur!BN182*VLOOKUP('Données projet'!$B$11,Paramètres!$A$1:$I$89,3,0)*0.475*44/12</f>
        <v>12.090867551592096</v>
      </c>
      <c r="BR182" s="21">
        <f>EXP(-LN(2)/2)*BR181+(1-EXP(-LN(2)/2))/(LN(2)/2)*BL182*BO182*VLOOKUP('Données projet'!$B$11,Paramètres!$A$1:$I$89,3,0)*0.475*44/12</f>
        <v>1.3358586355413487E-2</v>
      </c>
      <c r="BS182" s="22">
        <f t="shared" si="169"/>
        <v>90.795744902328408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353.37479213497227</v>
      </c>
      <c r="T183" s="59">
        <f t="shared" si="142"/>
        <v>345.4750813433123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7.1741097959969657</v>
      </c>
      <c r="AA183" s="21">
        <f>EXP(-LN(2)/25)*AA182+(1-EXP(-LN(2)/25))/(LN(2)/25)*Calculateur!V183*Calculateur!X183*VLOOKUP('Données projet'!$B$9,Paramètres!$A$1:$I$89,3,0)*0.475*44/12</f>
        <v>3.2077341777386379</v>
      </c>
      <c r="AB183" s="21">
        <f>EXP(-LN(2)/2)*AB182+(1-EXP(-LN(2)/2))/(LN(2)/2)*V183*Y183*VLOOKUP('Données projet'!$B$9,Paramètres!$A$1:$I$89,3,0)*0.475*44/12</f>
        <v>5.544127042291911E-14</v>
      </c>
      <c r="AC183" s="22">
        <f t="shared" si="163"/>
        <v>10.381843973735659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1.5961632016114892E-13</v>
      </c>
      <c r="AK183" s="13">
        <f t="shared" si="164"/>
        <v>2.2708641912150958E-12</v>
      </c>
      <c r="AL183" s="20">
        <f t="shared" si="165"/>
        <v>4.2330868906469593E-12</v>
      </c>
      <c r="AM183" s="59">
        <f t="shared" si="113"/>
        <v>293.33333333333752</v>
      </c>
      <c r="AN183" s="59">
        <f ca="1">AVERAGE(OFFSET($AM$3,0,0,'Données projet'!$E$10+1,1))-AVERAGE(OFFSET($H$3,0,0,'Données projet'!$E$10+1,1))</f>
        <v>293.15557501692803</v>
      </c>
      <c r="AO183" s="59">
        <f t="shared" si="144"/>
        <v>237.1930412773068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32.16187407294219</v>
      </c>
      <c r="AV183" s="21">
        <f>EXP(-LN(2)/25)*AV182+(1-EXP(-LN(2)/25))/(LN(2)/25)*Calculateur!AQ183*Calculateur!AS183*VLOOKUP('Données projet'!$B$10,Paramètres!$A$1:$I$89,3,0)*0.475*44/12</f>
        <v>5.849475671814961</v>
      </c>
      <c r="AW183" s="21">
        <f>EXP(-LN(2)/2)*AW182+(1-EXP(-LN(2)/2))/(LN(2)/2)*AQ183*AT183*VLOOKUP('Données projet'!$B$10,Paramètres!$A$1:$I$89,3,0)*0.475*44/12</f>
        <v>6.480057177114615E-10</v>
      </c>
      <c r="AX183" s="21">
        <f t="shared" si="166"/>
        <v>38.011349745405163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5.4001247917767614E-13</v>
      </c>
      <c r="BE183" s="13">
        <f>BD183*VLOOKUP('Données projet'!$B$11,Paramètres!$A$1:$I$89,3,0)*VLOOKUP('Données projet'!$B$11,Paramètres!$A$1:$I$89,5,0)</f>
        <v>4.8860329115996133E-13</v>
      </c>
      <c r="BF183" s="13">
        <f t="shared" si="167"/>
        <v>6.1025862939685007E-12</v>
      </c>
      <c r="BG183" s="20">
        <f t="shared" si="168"/>
        <v>1.1479655194098737E-11</v>
      </c>
      <c r="BH183" s="59">
        <f t="shared" si="116"/>
        <v>293.3333333333448</v>
      </c>
      <c r="BI183" s="59">
        <f ca="1">AVERAGE(OFFSET($BH$3,0,0,'Données projet'!$E$11+1,1))-AVERAGE(OFFSET($H$3,0,0,'Données projet'!$E$11+1,1))</f>
        <v>490.06222615476065</v>
      </c>
      <c r="BJ183" s="59">
        <f t="shared" si="146"/>
        <v>310.43914804089906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77.148426078498517</v>
      </c>
      <c r="BQ183" s="21">
        <f>EXP(-LN(2)/25)*BQ182+(1-EXP(-LN(2)/25))/(LN(2)/25)*Calculateur!BL183*Calculateur!BN183*VLOOKUP('Données projet'!$B$11,Paramètres!$A$1:$I$89,3,0)*0.475*44/12</f>
        <v>11.760242142562719</v>
      </c>
      <c r="BR183" s="21">
        <f>EXP(-LN(2)/2)*BR182+(1-EXP(-LN(2)/2))/(LN(2)/2)*BL183*BO183*VLOOKUP('Données projet'!$B$11,Paramètres!$A$1:$I$89,3,0)*0.475*44/12</f>
        <v>9.445946998978964E-3</v>
      </c>
      <c r="BS183" s="22">
        <f t="shared" si="169"/>
        <v>88.918114168060214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353.37479213497227</v>
      </c>
      <c r="T184" s="59">
        <f t="shared" si="142"/>
        <v>345.4750813433123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7.0334298786723686</v>
      </c>
      <c r="AA184" s="21">
        <f>EXP(-LN(2)/25)*AA183+(1-EXP(-LN(2)/25))/(LN(2)/25)*Calculateur!V184*Calculateur!X184*VLOOKUP('Données projet'!$B$9,Paramètres!$A$1:$I$89,3,0)*0.475*44/12</f>
        <v>3.1200185179609656</v>
      </c>
      <c r="AB184" s="21">
        <f>EXP(-LN(2)/2)*AB183+(1-EXP(-LN(2)/2))/(LN(2)/2)*V184*Y184*VLOOKUP('Données projet'!$B$9,Paramètres!$A$1:$I$89,3,0)*0.475*44/12</f>
        <v>3.9202898273643272E-14</v>
      </c>
      <c r="AC184" s="22">
        <f t="shared" si="163"/>
        <v>10.153448396633372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1.5961632016114892E-13</v>
      </c>
      <c r="AK184" s="13">
        <f t="shared" si="164"/>
        <v>2.2708641912150958E-12</v>
      </c>
      <c r="AL184" s="20">
        <f t="shared" si="165"/>
        <v>4.2330868906469593E-12</v>
      </c>
      <c r="AM184" s="59">
        <f t="shared" si="113"/>
        <v>293.33333333333752</v>
      </c>
      <c r="AN184" s="59">
        <f ca="1">AVERAGE(OFFSET($AM$3,0,0,'Données projet'!$E$10+1,1))-AVERAGE(OFFSET($H$3,0,0,'Données projet'!$E$10+1,1))</f>
        <v>293.15557501692803</v>
      </c>
      <c r="AO184" s="59">
        <f t="shared" si="144"/>
        <v>237.1930412773068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31.531199339177981</v>
      </c>
      <c r="AV184" s="21">
        <f>EXP(-LN(2)/25)*AV183+(1-EXP(-LN(2)/25))/(LN(2)/25)*Calculateur!AQ184*Calculateur!AS184*VLOOKUP('Données projet'!$B$10,Paramètres!$A$1:$I$89,3,0)*0.475*44/12</f>
        <v>5.6895214519586244</v>
      </c>
      <c r="AW184" s="21">
        <f>EXP(-LN(2)/2)*AW183+(1-EXP(-LN(2)/2))/(LN(2)/2)*AQ184*AT184*VLOOKUP('Données projet'!$B$10,Paramètres!$A$1:$I$89,3,0)*0.475*44/12</f>
        <v>4.5820923724143014E-10</v>
      </c>
      <c r="AX184" s="21">
        <f t="shared" si="166"/>
        <v>37.220720791594815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5.4001247917767614E-13</v>
      </c>
      <c r="BE184" s="13">
        <f>BD184*VLOOKUP('Données projet'!$B$11,Paramètres!$A$1:$I$89,3,0)*VLOOKUP('Données projet'!$B$11,Paramètres!$A$1:$I$89,5,0)</f>
        <v>4.8860329115996133E-13</v>
      </c>
      <c r="BF184" s="13">
        <f t="shared" si="167"/>
        <v>6.1025862939685007E-12</v>
      </c>
      <c r="BG184" s="20">
        <f t="shared" si="168"/>
        <v>1.1479655194098737E-11</v>
      </c>
      <c r="BH184" s="59">
        <f t="shared" si="116"/>
        <v>293.3333333333448</v>
      </c>
      <c r="BI184" s="59">
        <f ca="1">AVERAGE(OFFSET($BH$3,0,0,'Données projet'!$E$11+1,1))-AVERAGE(OFFSET($H$3,0,0,'Données projet'!$E$11+1,1))</f>
        <v>490.06222615476065</v>
      </c>
      <c r="BJ184" s="59">
        <f t="shared" si="146"/>
        <v>310.43914804089906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75.635592498992679</v>
      </c>
      <c r="BQ184" s="21">
        <f>EXP(-LN(2)/25)*BQ183+(1-EXP(-LN(2)/25))/(LN(2)/25)*Calculateur!BL184*Calculateur!BN184*VLOOKUP('Données projet'!$B$11,Paramètres!$A$1:$I$89,3,0)*0.475*44/12</f>
        <v>11.438657702730085</v>
      </c>
      <c r="BR184" s="21">
        <f>EXP(-LN(2)/2)*BR183+(1-EXP(-LN(2)/2))/(LN(2)/2)*BL184*BO184*VLOOKUP('Données projet'!$B$11,Paramètres!$A$1:$I$89,3,0)*0.475*44/12</f>
        <v>6.6792931777067436E-3</v>
      </c>
      <c r="BS184" s="22">
        <f t="shared" si="169"/>
        <v>87.080929494900474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353.37479213497227</v>
      </c>
      <c r="T185" s="59">
        <f t="shared" si="142"/>
        <v>345.4750813433123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6.8955086087202302</v>
      </c>
      <c r="AA185" s="21">
        <f>EXP(-LN(2)/25)*AA184+(1-EXP(-LN(2)/25))/(LN(2)/25)*Calculateur!V185*Calculateur!X185*VLOOKUP('Données projet'!$B$9,Paramètres!$A$1:$I$89,3,0)*0.475*44/12</f>
        <v>3.0347014475126799</v>
      </c>
      <c r="AB185" s="21">
        <f>EXP(-LN(2)/2)*AB184+(1-EXP(-LN(2)/2))/(LN(2)/2)*V185*Y185*VLOOKUP('Données projet'!$B$9,Paramètres!$A$1:$I$89,3,0)*0.475*44/12</f>
        <v>2.7720635211459555E-14</v>
      </c>
      <c r="AC185" s="22">
        <f t="shared" si="163"/>
        <v>9.930210056232939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1.5961632016114892E-13</v>
      </c>
      <c r="AK185" s="13">
        <f t="shared" si="164"/>
        <v>2.2708641912150958E-12</v>
      </c>
      <c r="AL185" s="20">
        <f t="shared" si="165"/>
        <v>4.2330868906469593E-12</v>
      </c>
      <c r="AM185" s="59">
        <f t="shared" si="113"/>
        <v>293.33333333333752</v>
      </c>
      <c r="AN185" s="59">
        <f ca="1">AVERAGE(OFFSET($AM$3,0,0,'Données projet'!$E$10+1,1))-AVERAGE(OFFSET($H$3,0,0,'Données projet'!$E$10+1,1))</f>
        <v>293.15557501692803</v>
      </c>
      <c r="AO185" s="59">
        <f t="shared" si="144"/>
        <v>237.1930412773068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30.912891752269282</v>
      </c>
      <c r="AV185" s="21">
        <f>EXP(-LN(2)/25)*AV184+(1-EXP(-LN(2)/25))/(LN(2)/25)*Calculateur!AQ185*Calculateur!AS185*VLOOKUP('Données projet'!$B$10,Paramètres!$A$1:$I$89,3,0)*0.475*44/12</f>
        <v>5.533941188655886</v>
      </c>
      <c r="AW185" s="21">
        <f>EXP(-LN(2)/2)*AW184+(1-EXP(-LN(2)/2))/(LN(2)/2)*AQ185*AT185*VLOOKUP('Données projet'!$B$10,Paramètres!$A$1:$I$89,3,0)*0.475*44/12</f>
        <v>3.240028588557308E-10</v>
      </c>
      <c r="AX185" s="21">
        <f t="shared" si="166"/>
        <v>36.44683294124917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5.4001247917767614E-13</v>
      </c>
      <c r="BE185" s="13">
        <f>BD185*VLOOKUP('Données projet'!$B$11,Paramètres!$A$1:$I$89,3,0)*VLOOKUP('Données projet'!$B$11,Paramètres!$A$1:$I$89,5,0)</f>
        <v>4.8860329115996133E-13</v>
      </c>
      <c r="BF185" s="13">
        <f t="shared" si="167"/>
        <v>6.1025862939685007E-12</v>
      </c>
      <c r="BG185" s="20">
        <f t="shared" si="168"/>
        <v>1.1479655194098737E-11</v>
      </c>
      <c r="BH185" s="59">
        <f t="shared" si="116"/>
        <v>293.3333333333448</v>
      </c>
      <c r="BI185" s="59">
        <f ca="1">AVERAGE(OFFSET($BH$3,0,0,'Données projet'!$E$11+1,1))-AVERAGE(OFFSET($H$3,0,0,'Données projet'!$E$11+1,1))</f>
        <v>490.06222615476065</v>
      </c>
      <c r="BJ185" s="59">
        <f t="shared" si="146"/>
        <v>310.43914804089906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74.152424663243593</v>
      </c>
      <c r="BQ185" s="21">
        <f>EXP(-LN(2)/25)*BQ184+(1-EXP(-LN(2)/25))/(LN(2)/25)*Calculateur!BL185*Calculateur!BN185*VLOOKUP('Données projet'!$B$11,Paramètres!$A$1:$I$89,3,0)*0.475*44/12</f>
        <v>11.125867006316065</v>
      </c>
      <c r="BR185" s="21">
        <f>EXP(-LN(2)/2)*BR184+(1-EXP(-LN(2)/2))/(LN(2)/2)*BL185*BO185*VLOOKUP('Données projet'!$B$11,Paramètres!$A$1:$I$89,3,0)*0.475*44/12</f>
        <v>4.722973499489482E-3</v>
      </c>
      <c r="BS185" s="22">
        <f t="shared" si="169"/>
        <v>85.283014643059147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353.37479213497227</v>
      </c>
      <c r="T186" s="59">
        <f t="shared" si="142"/>
        <v>345.4750813433123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6.760291890748185</v>
      </c>
      <c r="AA186" s="21">
        <f>EXP(-LN(2)/25)*AA185+(1-EXP(-LN(2)/25))/(LN(2)/25)*Calculateur!V186*Calculateur!X186*VLOOKUP('Données projet'!$B$9,Paramètres!$A$1:$I$89,3,0)*0.475*44/12</f>
        <v>2.9517173768424323</v>
      </c>
      <c r="AB186" s="21">
        <f>EXP(-LN(2)/2)*AB185+(1-EXP(-LN(2)/2))/(LN(2)/2)*V186*Y186*VLOOKUP('Données projet'!$B$9,Paramètres!$A$1:$I$89,3,0)*0.475*44/12</f>
        <v>1.9601449136821636E-14</v>
      </c>
      <c r="AC186" s="22">
        <f t="shared" si="163"/>
        <v>9.712009267590636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1.5961632016114892E-13</v>
      </c>
      <c r="AK186" s="13">
        <f t="shared" si="164"/>
        <v>2.2708641912150958E-12</v>
      </c>
      <c r="AL186" s="20">
        <f t="shared" si="165"/>
        <v>4.2330868906469593E-12</v>
      </c>
      <c r="AM186" s="59">
        <f t="shared" si="113"/>
        <v>293.33333333333752</v>
      </c>
      <c r="AN186" s="59">
        <f ca="1">AVERAGE(OFFSET($AM$3,0,0,'Données projet'!$E$10+1,1))-AVERAGE(OFFSET($H$3,0,0,'Données projet'!$E$10+1,1))</f>
        <v>293.15557501692803</v>
      </c>
      <c r="AO186" s="59">
        <f t="shared" si="144"/>
        <v>237.1930412773068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30.306708800009474</v>
      </c>
      <c r="AV186" s="21">
        <f>EXP(-LN(2)/25)*AV185+(1-EXP(-LN(2)/25))/(LN(2)/25)*Calculateur!AQ186*Calculateur!AS186*VLOOKUP('Données projet'!$B$10,Paramètres!$A$1:$I$89,3,0)*0.475*44/12</f>
        <v>5.3826152758347714</v>
      </c>
      <c r="AW186" s="21">
        <f>EXP(-LN(2)/2)*AW185+(1-EXP(-LN(2)/2))/(LN(2)/2)*AQ186*AT186*VLOOKUP('Données projet'!$B$10,Paramètres!$A$1:$I$89,3,0)*0.475*44/12</f>
        <v>2.291046186207151E-10</v>
      </c>
      <c r="AX186" s="21">
        <f t="shared" si="166"/>
        <v>35.689324076073355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5.4001247917767614E-13</v>
      </c>
      <c r="BE186" s="13">
        <f>BD186*VLOOKUP('Données projet'!$B$11,Paramètres!$A$1:$I$89,3,0)*VLOOKUP('Données projet'!$B$11,Paramètres!$A$1:$I$89,5,0)</f>
        <v>4.8860329115996133E-13</v>
      </c>
      <c r="BF186" s="13">
        <f t="shared" si="167"/>
        <v>6.1025862939685007E-12</v>
      </c>
      <c r="BG186" s="20">
        <f t="shared" si="168"/>
        <v>1.1479655194098737E-11</v>
      </c>
      <c r="BH186" s="59">
        <f t="shared" si="116"/>
        <v>293.3333333333448</v>
      </c>
      <c r="BI186" s="59">
        <f ca="1">AVERAGE(OFFSET($BH$3,0,0,'Données projet'!$E$11+1,1))-AVERAGE(OFFSET($H$3,0,0,'Données projet'!$E$11+1,1))</f>
        <v>490.06222615476065</v>
      </c>
      <c r="BJ186" s="59">
        <f t="shared" si="146"/>
        <v>310.43914804089906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72.69834084411049</v>
      </c>
      <c r="BQ186" s="21">
        <f>EXP(-LN(2)/25)*BQ185+(1-EXP(-LN(2)/25))/(LN(2)/25)*Calculateur!BL186*Calculateur!BN186*VLOOKUP('Données projet'!$B$11,Paramètres!$A$1:$I$89,3,0)*0.475*44/12</f>
        <v>10.821629587944436</v>
      </c>
      <c r="BR186" s="21">
        <f>EXP(-LN(2)/2)*BR185+(1-EXP(-LN(2)/2))/(LN(2)/2)*BL186*BO186*VLOOKUP('Données projet'!$B$11,Paramètres!$A$1:$I$89,3,0)*0.475*44/12</f>
        <v>3.3396465888533718E-3</v>
      </c>
      <c r="BS186" s="22">
        <f t="shared" si="169"/>
        <v>83.523310078643775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353.37479213497227</v>
      </c>
      <c r="T187" s="59">
        <f t="shared" si="142"/>
        <v>345.4750813433123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6.6277266901415173</v>
      </c>
      <c r="AA187" s="21">
        <f>EXP(-LN(2)/25)*AA186+(1-EXP(-LN(2)/25))/(LN(2)/25)*Calculateur!V187*Calculateur!X187*VLOOKUP('Données projet'!$B$9,Paramètres!$A$1:$I$89,3,0)*0.475*44/12</f>
        <v>2.8710025099486054</v>
      </c>
      <c r="AB187" s="21">
        <f>EXP(-LN(2)/2)*AB186+(1-EXP(-LN(2)/2))/(LN(2)/2)*V187*Y187*VLOOKUP('Données projet'!$B$9,Paramètres!$A$1:$I$89,3,0)*0.475*44/12</f>
        <v>1.3860317605729778E-14</v>
      </c>
      <c r="AC187" s="22">
        <f t="shared" si="163"/>
        <v>9.4987292000901373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1.5961632016114892E-13</v>
      </c>
      <c r="AK187" s="13">
        <f t="shared" si="164"/>
        <v>2.2708641912150958E-12</v>
      </c>
      <c r="AL187" s="20">
        <f t="shared" si="165"/>
        <v>4.2330868906469593E-12</v>
      </c>
      <c r="AM187" s="59">
        <f t="shared" si="113"/>
        <v>293.33333333333752</v>
      </c>
      <c r="AN187" s="59">
        <f ca="1">AVERAGE(OFFSET($AM$3,0,0,'Données projet'!$E$10+1,1))-AVERAGE(OFFSET($H$3,0,0,'Données projet'!$E$10+1,1))</f>
        <v>293.15557501692803</v>
      </c>
      <c r="AO187" s="59">
        <f t="shared" si="144"/>
        <v>237.1930412773068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29.712412725708386</v>
      </c>
      <c r="AV187" s="21">
        <f>EXP(-LN(2)/25)*AV186+(1-EXP(-LN(2)/25))/(LN(2)/25)*Calculateur!AQ187*Calculateur!AS187*VLOOKUP('Données projet'!$B$10,Paramètres!$A$1:$I$89,3,0)*0.475*44/12</f>
        <v>5.2354273780576346</v>
      </c>
      <c r="AW187" s="21">
        <f>EXP(-LN(2)/2)*AW186+(1-EXP(-LN(2)/2))/(LN(2)/2)*AQ187*AT187*VLOOKUP('Données projet'!$B$10,Paramètres!$A$1:$I$89,3,0)*0.475*44/12</f>
        <v>1.6200142942786543E-10</v>
      </c>
      <c r="AX187" s="21">
        <f t="shared" si="166"/>
        <v>34.947840103928023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5.4001247917767614E-13</v>
      </c>
      <c r="BE187" s="13">
        <f>BD187*VLOOKUP('Données projet'!$B$11,Paramètres!$A$1:$I$89,3,0)*VLOOKUP('Données projet'!$B$11,Paramètres!$A$1:$I$89,5,0)</f>
        <v>4.8860329115996133E-13</v>
      </c>
      <c r="BF187" s="13">
        <f t="shared" si="167"/>
        <v>6.1025862939685007E-12</v>
      </c>
      <c r="BG187" s="20">
        <f t="shared" si="168"/>
        <v>1.1479655194098737E-11</v>
      </c>
      <c r="BH187" s="59">
        <f t="shared" si="116"/>
        <v>293.3333333333448</v>
      </c>
      <c r="BI187" s="59">
        <f ca="1">AVERAGE(OFFSET($BH$3,0,0,'Données projet'!$E$11+1,1))-AVERAGE(OFFSET($H$3,0,0,'Données projet'!$E$11+1,1))</f>
        <v>490.06222615476065</v>
      </c>
      <c r="BJ187" s="59">
        <f t="shared" si="146"/>
        <v>310.43914804089906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71.272770721767031</v>
      </c>
      <c r="BQ187" s="21">
        <f>EXP(-LN(2)/25)*BQ186+(1-EXP(-LN(2)/25))/(LN(2)/25)*Calculateur!BL187*Calculateur!BN187*VLOOKUP('Données projet'!$B$11,Paramètres!$A$1:$I$89,3,0)*0.475*44/12</f>
        <v>10.525711557777328</v>
      </c>
      <c r="BR187" s="21">
        <f>EXP(-LN(2)/2)*BR186+(1-EXP(-LN(2)/2))/(LN(2)/2)*BL187*BO187*VLOOKUP('Données projet'!$B$11,Paramètres!$A$1:$I$89,3,0)*0.475*44/12</f>
        <v>2.361486749744741E-3</v>
      </c>
      <c r="BS187" s="22">
        <f t="shared" si="169"/>
        <v>81.800843766294108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353.37479213497227</v>
      </c>
      <c r="T188" s="59">
        <f t="shared" si="142"/>
        <v>345.4750813433123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6.4977610122619582</v>
      </c>
      <c r="AA188" s="21">
        <f>EXP(-LN(2)/25)*AA187+(1-EXP(-LN(2)/25))/(LN(2)/25)*Calculateur!V188*Calculateur!X188*VLOOKUP('Données projet'!$B$9,Paramètres!$A$1:$I$89,3,0)*0.475*44/12</f>
        <v>2.7924947953346004</v>
      </c>
      <c r="AB188" s="21">
        <f>EXP(-LN(2)/2)*AB187+(1-EXP(-LN(2)/2))/(LN(2)/2)*V188*Y188*VLOOKUP('Données projet'!$B$9,Paramètres!$A$1:$I$89,3,0)*0.475*44/12</f>
        <v>9.800724568410818E-15</v>
      </c>
      <c r="AC188" s="22">
        <f t="shared" si="163"/>
        <v>9.2902558075965693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1.5961632016114892E-13</v>
      </c>
      <c r="AK188" s="13">
        <f t="shared" si="164"/>
        <v>2.2708641912150958E-12</v>
      </c>
      <c r="AL188" s="20">
        <f t="shared" si="165"/>
        <v>4.2330868906469593E-12</v>
      </c>
      <c r="AM188" s="59">
        <f t="shared" si="113"/>
        <v>293.33333333333752</v>
      </c>
      <c r="AN188" s="59">
        <f ca="1">AVERAGE(OFFSET($AM$3,0,0,'Données projet'!$E$10+1,1))-AVERAGE(OFFSET($H$3,0,0,'Données projet'!$E$10+1,1))</f>
        <v>293.15557501692803</v>
      </c>
      <c r="AO188" s="59">
        <f t="shared" si="144"/>
        <v>237.1930412773068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29.12977043493953</v>
      </c>
      <c r="AV188" s="21">
        <f>EXP(-LN(2)/25)*AV187+(1-EXP(-LN(2)/25))/(LN(2)/25)*Calculateur!AQ188*Calculateur!AS188*VLOOKUP('Données projet'!$B$10,Paramètres!$A$1:$I$89,3,0)*0.475*44/12</f>
        <v>5.0922643410854889</v>
      </c>
      <c r="AW188" s="21">
        <f>EXP(-LN(2)/2)*AW187+(1-EXP(-LN(2)/2))/(LN(2)/2)*AQ188*AT188*VLOOKUP('Données projet'!$B$10,Paramètres!$A$1:$I$89,3,0)*0.475*44/12</f>
        <v>1.1455230931035757E-10</v>
      </c>
      <c r="AX188" s="21">
        <f t="shared" si="166"/>
        <v>34.222034776139573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5.4001247917767614E-13</v>
      </c>
      <c r="BE188" s="13">
        <f>BD188*VLOOKUP('Données projet'!$B$11,Paramètres!$A$1:$I$89,3,0)*VLOOKUP('Données projet'!$B$11,Paramètres!$A$1:$I$89,5,0)</f>
        <v>4.8860329115996133E-13</v>
      </c>
      <c r="BF188" s="13">
        <f t="shared" si="167"/>
        <v>6.1025862939685007E-12</v>
      </c>
      <c r="BG188" s="20">
        <f t="shared" si="168"/>
        <v>1.1479655194098737E-11</v>
      </c>
      <c r="BH188" s="59">
        <f t="shared" si="116"/>
        <v>293.3333333333448</v>
      </c>
      <c r="BI188" s="59">
        <f ca="1">AVERAGE(OFFSET($BH$3,0,0,'Données projet'!$E$11+1,1))-AVERAGE(OFFSET($H$3,0,0,'Données projet'!$E$11+1,1))</f>
        <v>490.06222615476065</v>
      </c>
      <c r="BJ188" s="59">
        <f t="shared" si="146"/>
        <v>310.43914804089906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69.875155160010806</v>
      </c>
      <c r="BQ188" s="21">
        <f>EXP(-LN(2)/25)*BQ187+(1-EXP(-LN(2)/25))/(LN(2)/25)*Calculateur!BL188*Calculateur!BN188*VLOOKUP('Données projet'!$B$11,Paramètres!$A$1:$I$89,3,0)*0.475*44/12</f>
        <v>10.237885421706792</v>
      </c>
      <c r="BR188" s="21">
        <f>EXP(-LN(2)/2)*BR187+(1-EXP(-LN(2)/2))/(LN(2)/2)*BL188*BO188*VLOOKUP('Données projet'!$B$11,Paramètres!$A$1:$I$89,3,0)*0.475*44/12</f>
        <v>1.6698232944266859E-3</v>
      </c>
      <c r="BS188" s="22">
        <f t="shared" si="169"/>
        <v>80.114710405012019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353.37479213497227</v>
      </c>
      <c r="T189" s="59">
        <f t="shared" si="142"/>
        <v>345.4750813433123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6.3703438820543807</v>
      </c>
      <c r="AA189" s="21">
        <f>EXP(-LN(2)/25)*AA188+(1-EXP(-LN(2)/25))/(LN(2)/25)*Calculateur!V189*Calculateur!X189*VLOOKUP('Données projet'!$B$9,Paramètres!$A$1:$I$89,3,0)*0.475*44/12</f>
        <v>2.7161338783052567</v>
      </c>
      <c r="AB189" s="21">
        <f>EXP(-LN(2)/2)*AB188+(1-EXP(-LN(2)/2))/(LN(2)/2)*V189*Y189*VLOOKUP('Données projet'!$B$9,Paramètres!$A$1:$I$89,3,0)*0.475*44/12</f>
        <v>6.9301588028648888E-15</v>
      </c>
      <c r="AC189" s="22">
        <f t="shared" si="163"/>
        <v>9.0864777603596441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1.5961632016114892E-13</v>
      </c>
      <c r="AK189" s="13">
        <f t="shared" si="164"/>
        <v>2.2708641912150958E-12</v>
      </c>
      <c r="AL189" s="20">
        <f t="shared" si="165"/>
        <v>4.2330868906469593E-12</v>
      </c>
      <c r="AM189" s="59">
        <f t="shared" si="113"/>
        <v>293.33333333333752</v>
      </c>
      <c r="AN189" s="59">
        <f ca="1">AVERAGE(OFFSET($AM$3,0,0,'Données projet'!$E$10+1,1))-AVERAGE(OFFSET($H$3,0,0,'Données projet'!$E$10+1,1))</f>
        <v>293.15557501692803</v>
      </c>
      <c r="AO189" s="59">
        <f t="shared" si="144"/>
        <v>237.1930412773068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28.558553404115944</v>
      </c>
      <c r="AV189" s="21">
        <f>EXP(-LN(2)/25)*AV188+(1-EXP(-LN(2)/25))/(LN(2)/25)*Calculateur!AQ189*Calculateur!AS189*VLOOKUP('Données projet'!$B$10,Paramètres!$A$1:$I$89,3,0)*0.475*44/12</f>
        <v>4.9530161048879631</v>
      </c>
      <c r="AW189" s="21">
        <f>EXP(-LN(2)/2)*AW188+(1-EXP(-LN(2)/2))/(LN(2)/2)*AQ189*AT189*VLOOKUP('Données projet'!$B$10,Paramètres!$A$1:$I$89,3,0)*0.475*44/12</f>
        <v>8.1000714713932727E-11</v>
      </c>
      <c r="AX189" s="21">
        <f t="shared" si="166"/>
        <v>33.511569509084907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5.4001247917767614E-13</v>
      </c>
      <c r="BE189" s="13">
        <f>BD189*VLOOKUP('Données projet'!$B$11,Paramètres!$A$1:$I$89,3,0)*VLOOKUP('Données projet'!$B$11,Paramètres!$A$1:$I$89,5,0)</f>
        <v>4.8860329115996133E-13</v>
      </c>
      <c r="BF189" s="13">
        <f t="shared" si="167"/>
        <v>6.1025862939685007E-12</v>
      </c>
      <c r="BG189" s="20">
        <f t="shared" si="168"/>
        <v>1.1479655194098737E-11</v>
      </c>
      <c r="BH189" s="59">
        <f t="shared" si="116"/>
        <v>293.3333333333448</v>
      </c>
      <c r="BI189" s="59">
        <f ca="1">AVERAGE(OFFSET($BH$3,0,0,'Données projet'!$E$11+1,1))-AVERAGE(OFFSET($H$3,0,0,'Données projet'!$E$11+1,1))</f>
        <v>490.06222615476065</v>
      </c>
      <c r="BJ189" s="59">
        <f t="shared" si="146"/>
        <v>310.43914804089906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68.504945986959299</v>
      </c>
      <c r="BQ189" s="21">
        <f>EXP(-LN(2)/25)*BQ188+(1-EXP(-LN(2)/25))/(LN(2)/25)*Calculateur!BL189*Calculateur!BN189*VLOOKUP('Données projet'!$B$11,Paramètres!$A$1:$I$89,3,0)*0.475*44/12</f>
        <v>9.9579299064632245</v>
      </c>
      <c r="BR189" s="21">
        <f>EXP(-LN(2)/2)*BR188+(1-EXP(-LN(2)/2))/(LN(2)/2)*BL189*BO189*VLOOKUP('Données projet'!$B$11,Paramètres!$A$1:$I$89,3,0)*0.475*44/12</f>
        <v>1.1807433748723705E-3</v>
      </c>
      <c r="BS189" s="22">
        <f t="shared" si="169"/>
        <v>78.464056636797395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353.37479213497227</v>
      </c>
      <c r="T190" s="59">
        <f t="shared" si="142"/>
        <v>345.4750813433123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6.2454253240533983</v>
      </c>
      <c r="AA190" s="21">
        <f>EXP(-LN(2)/25)*AA189+(1-EXP(-LN(2)/25))/(LN(2)/25)*Calculateur!V190*Calculateur!X190*VLOOKUP('Données projet'!$B$9,Paramètres!$A$1:$I$89,3,0)*0.475*44/12</f>
        <v>2.6418610545677264</v>
      </c>
      <c r="AB190" s="21">
        <f>EXP(-LN(2)/2)*AB189+(1-EXP(-LN(2)/2))/(LN(2)/2)*V190*Y190*VLOOKUP('Données projet'!$B$9,Paramètres!$A$1:$I$89,3,0)*0.475*44/12</f>
        <v>4.900362284205409E-15</v>
      </c>
      <c r="AC190" s="22">
        <f t="shared" si="163"/>
        <v>8.8872863786211305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1.5961632016114892E-13</v>
      </c>
      <c r="AK190" s="13">
        <f t="shared" si="164"/>
        <v>2.2708641912150958E-12</v>
      </c>
      <c r="AL190" s="20">
        <f t="shared" si="165"/>
        <v>4.2330868906469593E-12</v>
      </c>
      <c r="AM190" s="59">
        <f t="shared" si="113"/>
        <v>293.33333333333752</v>
      </c>
      <c r="AN190" s="59">
        <f ca="1">AVERAGE(OFFSET($AM$3,0,0,'Données projet'!$E$10+1,1))-AVERAGE(OFFSET($H$3,0,0,'Données projet'!$E$10+1,1))</f>
        <v>293.15557501692803</v>
      </c>
      <c r="AO190" s="59">
        <f t="shared" si="144"/>
        <v>237.1930412773068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27.998537590858824</v>
      </c>
      <c r="AV190" s="21">
        <f>EXP(-LN(2)/25)*AV189+(1-EXP(-LN(2)/25))/(LN(2)/25)*Calculateur!AQ190*Calculateur!AS190*VLOOKUP('Données projet'!$B$10,Paramètres!$A$1:$I$89,3,0)*0.475*44/12</f>
        <v>4.8175756190320049</v>
      </c>
      <c r="AW190" s="21">
        <f>EXP(-LN(2)/2)*AW189+(1-EXP(-LN(2)/2))/(LN(2)/2)*AQ190*AT190*VLOOKUP('Données projet'!$B$10,Paramètres!$A$1:$I$89,3,0)*0.475*44/12</f>
        <v>5.7276154655178794E-11</v>
      </c>
      <c r="AX190" s="21">
        <f t="shared" si="166"/>
        <v>32.816113209948107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5.4001247917767614E-13</v>
      </c>
      <c r="BE190" s="13">
        <f>BD190*VLOOKUP('Données projet'!$B$11,Paramètres!$A$1:$I$89,3,0)*VLOOKUP('Données projet'!$B$11,Paramètres!$A$1:$I$89,5,0)</f>
        <v>4.8860329115996133E-13</v>
      </c>
      <c r="BF190" s="13">
        <f t="shared" si="167"/>
        <v>6.1025862939685007E-12</v>
      </c>
      <c r="BG190" s="20">
        <f t="shared" si="168"/>
        <v>1.1479655194098737E-11</v>
      </c>
      <c r="BH190" s="59">
        <f t="shared" si="116"/>
        <v>293.3333333333448</v>
      </c>
      <c r="BI190" s="59">
        <f ca="1">AVERAGE(OFFSET($BH$3,0,0,'Données projet'!$E$11+1,1))-AVERAGE(OFFSET($H$3,0,0,'Données projet'!$E$11+1,1))</f>
        <v>490.06222615476065</v>
      </c>
      <c r="BJ190" s="59">
        <f t="shared" si="146"/>
        <v>310.43914804089906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67.161605780046258</v>
      </c>
      <c r="BQ190" s="21">
        <f>EXP(-LN(2)/25)*BQ189+(1-EXP(-LN(2)/25))/(LN(2)/25)*Calculateur!BL190*Calculateur!BN190*VLOOKUP('Données projet'!$B$11,Paramètres!$A$1:$I$89,3,0)*0.475*44/12</f>
        <v>9.6856297895062138</v>
      </c>
      <c r="BR190" s="21">
        <f>EXP(-LN(2)/2)*BR189+(1-EXP(-LN(2)/2))/(LN(2)/2)*BL190*BO190*VLOOKUP('Données projet'!$B$11,Paramètres!$A$1:$I$89,3,0)*0.475*44/12</f>
        <v>8.3491164721334295E-4</v>
      </c>
      <c r="BS190" s="22">
        <f t="shared" si="169"/>
        <v>76.848070481199684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353.37479213497227</v>
      </c>
      <c r="T191" s="59">
        <f t="shared" si="142"/>
        <v>345.4750813433123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6.1229563427820182</v>
      </c>
      <c r="AA191" s="21">
        <f>EXP(-LN(2)/25)*AA190+(1-EXP(-LN(2)/25))/(LN(2)/25)*Calculateur!V191*Calculateur!X191*VLOOKUP('Données projet'!$B$9,Paramètres!$A$1:$I$89,3,0)*0.475*44/12</f>
        <v>2.5696192251011372</v>
      </c>
      <c r="AB191" s="21">
        <f>EXP(-LN(2)/2)*AB190+(1-EXP(-LN(2)/2))/(LN(2)/2)*V191*Y191*VLOOKUP('Données projet'!$B$9,Paramètres!$A$1:$I$89,3,0)*0.475*44/12</f>
        <v>3.4650794014324444E-15</v>
      </c>
      <c r="AC191" s="22">
        <f t="shared" si="163"/>
        <v>8.6925755678831589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1.5961632016114892E-13</v>
      </c>
      <c r="AK191" s="13">
        <f t="shared" si="164"/>
        <v>2.2708641912150958E-12</v>
      </c>
      <c r="AL191" s="20">
        <f t="shared" si="165"/>
        <v>4.2330868906469593E-12</v>
      </c>
      <c r="AM191" s="59">
        <f t="shared" si="113"/>
        <v>293.33333333333752</v>
      </c>
      <c r="AN191" s="59">
        <f ca="1">AVERAGE(OFFSET($AM$3,0,0,'Données projet'!$E$10+1,1))-AVERAGE(OFFSET($H$3,0,0,'Données projet'!$E$10+1,1))</f>
        <v>293.15557501692803</v>
      </c>
      <c r="AO191" s="59">
        <f t="shared" si="144"/>
        <v>237.1930412773068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27.449503346123759</v>
      </c>
      <c r="AV191" s="21">
        <f>EXP(-LN(2)/25)*AV190+(1-EXP(-LN(2)/25))/(LN(2)/25)*Calculateur!AQ191*Calculateur!AS191*VLOOKUP('Données projet'!$B$10,Paramètres!$A$1:$I$89,3,0)*0.475*44/12</f>
        <v>4.6858387603842839</v>
      </c>
      <c r="AW191" s="21">
        <f>EXP(-LN(2)/2)*AW190+(1-EXP(-LN(2)/2))/(LN(2)/2)*AQ191*AT191*VLOOKUP('Données projet'!$B$10,Paramètres!$A$1:$I$89,3,0)*0.475*44/12</f>
        <v>4.050035735696637E-11</v>
      </c>
      <c r="AX191" s="21">
        <f t="shared" si="166"/>
        <v>32.135342106548542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5.4001247917767614E-13</v>
      </c>
      <c r="BE191" s="13">
        <f>BD191*VLOOKUP('Données projet'!$B$11,Paramètres!$A$1:$I$89,3,0)*VLOOKUP('Données projet'!$B$11,Paramètres!$A$1:$I$89,5,0)</f>
        <v>4.8860329115996133E-13</v>
      </c>
      <c r="BF191" s="13">
        <f t="shared" si="167"/>
        <v>6.1025862939685007E-12</v>
      </c>
      <c r="BG191" s="20">
        <f t="shared" si="168"/>
        <v>1.1479655194098737E-11</v>
      </c>
      <c r="BH191" s="59">
        <f t="shared" si="116"/>
        <v>293.3333333333448</v>
      </c>
      <c r="BI191" s="59">
        <f ca="1">AVERAGE(OFFSET($BH$3,0,0,'Données projet'!$E$11+1,1))-AVERAGE(OFFSET($H$3,0,0,'Données projet'!$E$11+1,1))</f>
        <v>490.06222615476065</v>
      </c>
      <c r="BJ191" s="59">
        <f t="shared" si="146"/>
        <v>310.43914804089906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65.844607655234171</v>
      </c>
      <c r="BQ191" s="21">
        <f>EXP(-LN(2)/25)*BQ190+(1-EXP(-LN(2)/25))/(LN(2)/25)*Calculateur!BL191*Calculateur!BN191*VLOOKUP('Données projet'!$B$11,Paramètres!$A$1:$I$89,3,0)*0.475*44/12</f>
        <v>9.4207757335670319</v>
      </c>
      <c r="BR191" s="21">
        <f>EXP(-LN(2)/2)*BR190+(1-EXP(-LN(2)/2))/(LN(2)/2)*BL191*BO191*VLOOKUP('Données projet'!$B$11,Paramètres!$A$1:$I$89,3,0)*0.475*44/12</f>
        <v>5.9037168743618525E-4</v>
      </c>
      <c r="BS191" s="22">
        <f t="shared" si="169"/>
        <v>75.265973760488635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353.37479213497227</v>
      </c>
      <c r="T192" s="59">
        <f t="shared" si="142"/>
        <v>345.4750813433123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6.0028889035346671</v>
      </c>
      <c r="AA192" s="21">
        <f>EXP(-LN(2)/25)*AA191+(1-EXP(-LN(2)/25))/(LN(2)/25)*Calculateur!V192*Calculateur!X192*VLOOKUP('Données projet'!$B$9,Paramètres!$A$1:$I$89,3,0)*0.475*44/12</f>
        <v>2.4993528522603445</v>
      </c>
      <c r="AB192" s="21">
        <f>EXP(-LN(2)/2)*AB191+(1-EXP(-LN(2)/2))/(LN(2)/2)*V192*Y192*VLOOKUP('Données projet'!$B$9,Paramètres!$A$1:$I$89,3,0)*0.475*44/12</f>
        <v>2.4501811421027045E-15</v>
      </c>
      <c r="AC192" s="22">
        <f t="shared" si="163"/>
        <v>8.5022417557950138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1.5961632016114892E-13</v>
      </c>
      <c r="AK192" s="13">
        <f t="shared" si="164"/>
        <v>2.2708641912150958E-12</v>
      </c>
      <c r="AL192" s="20">
        <f t="shared" si="165"/>
        <v>4.2330868906469593E-12</v>
      </c>
      <c r="AM192" s="59">
        <f t="shared" si="113"/>
        <v>293.33333333333752</v>
      </c>
      <c r="AN192" s="59">
        <f ca="1">AVERAGE(OFFSET($AM$3,0,0,'Données projet'!$E$10+1,1))-AVERAGE(OFFSET($H$3,0,0,'Données projet'!$E$10+1,1))</f>
        <v>293.15557501692803</v>
      </c>
      <c r="AO192" s="59">
        <f t="shared" si="144"/>
        <v>237.1930412773068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26.911235328050125</v>
      </c>
      <c r="AV192" s="21">
        <f>EXP(-LN(2)/25)*AV191+(1-EXP(-LN(2)/25))/(LN(2)/25)*Calculateur!AQ192*Calculateur!AS192*VLOOKUP('Données projet'!$B$10,Paramètres!$A$1:$I$89,3,0)*0.475*44/12</f>
        <v>4.557704253064025</v>
      </c>
      <c r="AW192" s="21">
        <f>EXP(-LN(2)/2)*AW191+(1-EXP(-LN(2)/2))/(LN(2)/2)*AQ192*AT192*VLOOKUP('Données projet'!$B$10,Paramètres!$A$1:$I$89,3,0)*0.475*44/12</f>
        <v>2.86380773275894E-11</v>
      </c>
      <c r="AX192" s="21">
        <f t="shared" si="166"/>
        <v>31.468939581142788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5.4001247917767614E-13</v>
      </c>
      <c r="BE192" s="13">
        <f>BD192*VLOOKUP('Données projet'!$B$11,Paramètres!$A$1:$I$89,3,0)*VLOOKUP('Données projet'!$B$11,Paramètres!$A$1:$I$89,5,0)</f>
        <v>4.8860329115996133E-13</v>
      </c>
      <c r="BF192" s="13">
        <f t="shared" si="167"/>
        <v>6.1025862939685007E-12</v>
      </c>
      <c r="BG192" s="20">
        <f t="shared" si="168"/>
        <v>1.1479655194098737E-11</v>
      </c>
      <c r="BH192" s="59">
        <f t="shared" si="116"/>
        <v>293.3333333333448</v>
      </c>
      <c r="BI192" s="59">
        <f ca="1">AVERAGE(OFFSET($BH$3,0,0,'Données projet'!$E$11+1,1))-AVERAGE(OFFSET($H$3,0,0,'Données projet'!$E$11+1,1))</f>
        <v>490.06222615476065</v>
      </c>
      <c r="BJ192" s="59">
        <f t="shared" si="146"/>
        <v>310.43914804089906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64.553435060360101</v>
      </c>
      <c r="BQ192" s="21">
        <f>EXP(-LN(2)/25)*BQ191+(1-EXP(-LN(2)/25))/(LN(2)/25)*Calculateur!BL192*Calculateur!BN192*VLOOKUP('Données projet'!$B$11,Paramètres!$A$1:$I$89,3,0)*0.475*44/12</f>
        <v>9.1631641257155767</v>
      </c>
      <c r="BR192" s="21">
        <f>EXP(-LN(2)/2)*BR191+(1-EXP(-LN(2)/2))/(LN(2)/2)*BL192*BO192*VLOOKUP('Données projet'!$B$11,Paramètres!$A$1:$I$89,3,0)*0.475*44/12</f>
        <v>4.1745582360667148E-4</v>
      </c>
      <c r="BS192" s="22">
        <f t="shared" si="169"/>
        <v>73.717016641899292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353.37479213497227</v>
      </c>
      <c r="T193" s="59">
        <f t="shared" si="142"/>
        <v>345.4750813433123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5.8851759135370498</v>
      </c>
      <c r="AA193" s="21">
        <f>EXP(-LN(2)/25)*AA192+(1-EXP(-LN(2)/25))/(LN(2)/25)*Calculateur!V193*Calculateur!X193*VLOOKUP('Données projet'!$B$9,Paramètres!$A$1:$I$89,3,0)*0.475*44/12</f>
        <v>2.4310079170800312</v>
      </c>
      <c r="AB193" s="21">
        <f>EXP(-LN(2)/2)*AB192+(1-EXP(-LN(2)/2))/(LN(2)/2)*V193*Y193*VLOOKUP('Données projet'!$B$9,Paramètres!$A$1:$I$89,3,0)*0.475*44/12</f>
        <v>1.7325397007162222E-15</v>
      </c>
      <c r="AC193" s="22">
        <f t="shared" si="163"/>
        <v>8.3161838306170832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1.5961632016114892E-13</v>
      </c>
      <c r="AK193" s="13">
        <f t="shared" si="164"/>
        <v>2.2708641912150958E-12</v>
      </c>
      <c r="AL193" s="20">
        <f t="shared" si="165"/>
        <v>4.2330868906469593E-12</v>
      </c>
      <c r="AM193" s="59">
        <f t="shared" si="113"/>
        <v>293.33333333333752</v>
      </c>
      <c r="AN193" s="59">
        <f ca="1">AVERAGE(OFFSET($AM$3,0,0,'Données projet'!$E$10+1,1))-AVERAGE(OFFSET($H$3,0,0,'Données projet'!$E$10+1,1))</f>
        <v>293.15557501692803</v>
      </c>
      <c r="AO193" s="59">
        <f t="shared" si="144"/>
        <v>237.1930412773068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26.38352241749984</v>
      </c>
      <c r="AV193" s="21">
        <f>EXP(-LN(2)/25)*AV192+(1-EXP(-LN(2)/25))/(LN(2)/25)*Calculateur!AQ193*Calculateur!AS193*VLOOKUP('Données projet'!$B$10,Paramètres!$A$1:$I$89,3,0)*0.475*44/12</f>
        <v>4.4330735905847396</v>
      </c>
      <c r="AW193" s="21">
        <f>EXP(-LN(2)/2)*AW192+(1-EXP(-LN(2)/2))/(LN(2)/2)*AQ193*AT193*VLOOKUP('Données projet'!$B$10,Paramètres!$A$1:$I$89,3,0)*0.475*44/12</f>
        <v>2.0250178678483188E-11</v>
      </c>
      <c r="AX193" s="21">
        <f t="shared" si="166"/>
        <v>30.816596008104831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5.4001247917767614E-13</v>
      </c>
      <c r="BE193" s="13">
        <f>BD193*VLOOKUP('Données projet'!$B$11,Paramètres!$A$1:$I$89,3,0)*VLOOKUP('Données projet'!$B$11,Paramètres!$A$1:$I$89,5,0)</f>
        <v>4.8860329115996133E-13</v>
      </c>
      <c r="BF193" s="13">
        <f t="shared" si="167"/>
        <v>6.1025862939685007E-12</v>
      </c>
      <c r="BG193" s="20">
        <f t="shared" si="168"/>
        <v>1.1479655194098737E-11</v>
      </c>
      <c r="BH193" s="59">
        <f t="shared" si="116"/>
        <v>293.3333333333448</v>
      </c>
      <c r="BI193" s="59">
        <f ca="1">AVERAGE(OFFSET($BH$3,0,0,'Données projet'!$E$11+1,1))-AVERAGE(OFFSET($H$3,0,0,'Données projet'!$E$11+1,1))</f>
        <v>490.06222615476065</v>
      </c>
      <c r="BJ193" s="59">
        <f t="shared" si="146"/>
        <v>310.43914804089906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63.287581572533995</v>
      </c>
      <c r="BQ193" s="21">
        <f>EXP(-LN(2)/25)*BQ192+(1-EXP(-LN(2)/25))/(LN(2)/25)*Calculateur!BL193*Calculateur!BN193*VLOOKUP('Données projet'!$B$11,Paramètres!$A$1:$I$89,3,0)*0.475*44/12</f>
        <v>8.912596920828026</v>
      </c>
      <c r="BR193" s="21">
        <f>EXP(-LN(2)/2)*BR192+(1-EXP(-LN(2)/2))/(LN(2)/2)*BL193*BO193*VLOOKUP('Données projet'!$B$11,Paramètres!$A$1:$I$89,3,0)*0.475*44/12</f>
        <v>2.9518584371809262E-4</v>
      </c>
      <c r="BS193" s="22">
        <f t="shared" si="169"/>
        <v>72.200473679205729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353.37479213497227</v>
      </c>
      <c r="T194" s="59">
        <f t="shared" si="142"/>
        <v>345.4750813433123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5.769771203475452</v>
      </c>
      <c r="AA194" s="21">
        <f>EXP(-LN(2)/25)*AA193+(1-EXP(-LN(2)/25))/(LN(2)/25)*Calculateur!V194*Calculateur!X194*VLOOKUP('Données projet'!$B$9,Paramètres!$A$1:$I$89,3,0)*0.475*44/12</f>
        <v>2.3645318777463276</v>
      </c>
      <c r="AB194" s="21">
        <f>EXP(-LN(2)/2)*AB193+(1-EXP(-LN(2)/2))/(LN(2)/2)*V194*Y194*VLOOKUP('Données projet'!$B$9,Paramètres!$A$1:$I$89,3,0)*0.475*44/12</f>
        <v>1.2250905710513523E-15</v>
      </c>
      <c r="AC194" s="22">
        <f t="shared" si="163"/>
        <v>8.1343030812217823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1.5961632016114892E-13</v>
      </c>
      <c r="AK194" s="13">
        <f t="shared" si="164"/>
        <v>2.2708641912150958E-12</v>
      </c>
      <c r="AL194" s="20">
        <f t="shared" si="165"/>
        <v>4.2330868906469593E-12</v>
      </c>
      <c r="AM194" s="59">
        <f t="shared" si="113"/>
        <v>293.33333333333752</v>
      </c>
      <c r="AN194" s="59">
        <f ca="1">AVERAGE(OFFSET($AM$3,0,0,'Données projet'!$E$10+1,1))-AVERAGE(OFFSET($H$3,0,0,'Données projet'!$E$10+1,1))</f>
        <v>293.15557501692803</v>
      </c>
      <c r="AO194" s="59">
        <f t="shared" si="144"/>
        <v>237.1930412773068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25.866157635252353</v>
      </c>
      <c r="AV194" s="21">
        <f>EXP(-LN(2)/25)*AV193+(1-EXP(-LN(2)/25))/(LN(2)/25)*Calculateur!AQ194*Calculateur!AS194*VLOOKUP('Données projet'!$B$10,Paramètres!$A$1:$I$89,3,0)*0.475*44/12</f>
        <v>4.3118509601249917</v>
      </c>
      <c r="AW194" s="21">
        <f>EXP(-LN(2)/2)*AW193+(1-EXP(-LN(2)/2))/(LN(2)/2)*AQ194*AT194*VLOOKUP('Données projet'!$B$10,Paramètres!$A$1:$I$89,3,0)*0.475*44/12</f>
        <v>1.4319038663794703E-11</v>
      </c>
      <c r="AX194" s="21">
        <f t="shared" si="166"/>
        <v>30.178008595391663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5.4001247917767614E-13</v>
      </c>
      <c r="BE194" s="13">
        <f>BD194*VLOOKUP('Données projet'!$B$11,Paramètres!$A$1:$I$89,3,0)*VLOOKUP('Données projet'!$B$11,Paramètres!$A$1:$I$89,5,0)</f>
        <v>4.8860329115996133E-13</v>
      </c>
      <c r="BF194" s="13">
        <f t="shared" si="167"/>
        <v>6.1025862939685007E-12</v>
      </c>
      <c r="BG194" s="20">
        <f t="shared" si="168"/>
        <v>1.1479655194098737E-11</v>
      </c>
      <c r="BH194" s="59">
        <f t="shared" si="116"/>
        <v>293.3333333333448</v>
      </c>
      <c r="BI194" s="59">
        <f ca="1">AVERAGE(OFFSET($BH$3,0,0,'Données projet'!$E$11+1,1))-AVERAGE(OFFSET($H$3,0,0,'Données projet'!$E$11+1,1))</f>
        <v>490.06222615476065</v>
      </c>
      <c r="BJ194" s="59">
        <f t="shared" si="146"/>
        <v>310.43914804089906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62.046550699509773</v>
      </c>
      <c r="BQ194" s="21">
        <f>EXP(-LN(2)/25)*BQ193+(1-EXP(-LN(2)/25))/(LN(2)/25)*Calculateur!BL194*Calculateur!BN194*VLOOKUP('Données projet'!$B$11,Paramètres!$A$1:$I$89,3,0)*0.475*44/12</f>
        <v>8.6688814893348809</v>
      </c>
      <c r="BR194" s="21">
        <f>EXP(-LN(2)/2)*BR193+(1-EXP(-LN(2)/2))/(LN(2)/2)*BL194*BO194*VLOOKUP('Données projet'!$B$11,Paramètres!$A$1:$I$89,3,0)*0.475*44/12</f>
        <v>2.0872791180333574E-4</v>
      </c>
      <c r="BS194" s="22">
        <f t="shared" si="169"/>
        <v>70.715640916756456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353.37479213497227</v>
      </c>
      <c r="T195" s="59">
        <f t="shared" si="142"/>
        <v>345.4750813433123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5.6566295093882388</v>
      </c>
      <c r="AA195" s="21">
        <f>EXP(-LN(2)/25)*AA194+(1-EXP(-LN(2)/25))/(LN(2)/25)*Calculateur!V195*Calculateur!X195*VLOOKUP('Données projet'!$B$9,Paramètres!$A$1:$I$89,3,0)*0.475*44/12</f>
        <v>2.2998736292040269</v>
      </c>
      <c r="AB195" s="21">
        <f>EXP(-LN(2)/2)*AB194+(1-EXP(-LN(2)/2))/(LN(2)/2)*V195*Y195*VLOOKUP('Données projet'!$B$9,Paramètres!$A$1:$I$89,3,0)*0.475*44/12</f>
        <v>8.662698503581111E-16</v>
      </c>
      <c r="AC195" s="22">
        <f t="shared" si="163"/>
        <v>7.9565031385922671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1.5961632016114892E-13</v>
      </c>
      <c r="AK195" s="13">
        <f t="shared" si="164"/>
        <v>2.2708641912150958E-12</v>
      </c>
      <c r="AL195" s="20">
        <f t="shared" si="165"/>
        <v>4.2330868906469593E-12</v>
      </c>
      <c r="AM195" s="59">
        <f t="shared" si="113"/>
        <v>293.33333333333752</v>
      </c>
      <c r="AN195" s="59">
        <f ca="1">AVERAGE(OFFSET($AM$3,0,0,'Données projet'!$E$10+1,1))-AVERAGE(OFFSET($H$3,0,0,'Données projet'!$E$10+1,1))</f>
        <v>293.15557501692803</v>
      </c>
      <c r="AO195" s="59">
        <f t="shared" si="144"/>
        <v>237.1930412773068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25.358938060823384</v>
      </c>
      <c r="AV195" s="21">
        <f>EXP(-LN(2)/25)*AV194+(1-EXP(-LN(2)/25))/(LN(2)/25)*Calculateur!AQ195*Calculateur!AS195*VLOOKUP('Données projet'!$B$10,Paramètres!$A$1:$I$89,3,0)*0.475*44/12</f>
        <v>4.1939431688699864</v>
      </c>
      <c r="AW195" s="21">
        <f>EXP(-LN(2)/2)*AW194+(1-EXP(-LN(2)/2))/(LN(2)/2)*AQ195*AT195*VLOOKUP('Données projet'!$B$10,Paramètres!$A$1:$I$89,3,0)*0.475*44/12</f>
        <v>1.0125089339241596E-11</v>
      </c>
      <c r="AX195" s="21">
        <f t="shared" si="166"/>
        <v>29.552881229703495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5.4001247917767614E-13</v>
      </c>
      <c r="BE195" s="13">
        <f>BD195*VLOOKUP('Données projet'!$B$11,Paramètres!$A$1:$I$89,3,0)*VLOOKUP('Données projet'!$B$11,Paramètres!$A$1:$I$89,5,0)</f>
        <v>4.8860329115996133E-13</v>
      </c>
      <c r="BF195" s="13">
        <f t="shared" si="167"/>
        <v>6.1025862939685007E-12</v>
      </c>
      <c r="BG195" s="20">
        <f t="shared" si="168"/>
        <v>1.1479655194098737E-11</v>
      </c>
      <c r="BH195" s="59">
        <f t="shared" si="116"/>
        <v>293.3333333333448</v>
      </c>
      <c r="BI195" s="59">
        <f ca="1">AVERAGE(OFFSET($BH$3,0,0,'Données projet'!$E$11+1,1))-AVERAGE(OFFSET($H$3,0,0,'Données projet'!$E$11+1,1))</f>
        <v>490.06222615476065</v>
      </c>
      <c r="BJ195" s="59">
        <f t="shared" si="146"/>
        <v>310.43914804089906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60.829855684951461</v>
      </c>
      <c r="BQ195" s="21">
        <f>EXP(-LN(2)/25)*BQ194+(1-EXP(-LN(2)/25))/(LN(2)/25)*Calculateur!BL195*Calculateur!BN195*VLOOKUP('Données projet'!$B$11,Paramètres!$A$1:$I$89,3,0)*0.475*44/12</f>
        <v>8.431830469132354</v>
      </c>
      <c r="BR195" s="21">
        <f>EXP(-LN(2)/2)*BR194+(1-EXP(-LN(2)/2))/(LN(2)/2)*BL195*BO195*VLOOKUP('Données projet'!$B$11,Paramètres!$A$1:$I$89,3,0)*0.475*44/12</f>
        <v>1.4759292185904631E-4</v>
      </c>
      <c r="BS195" s="22">
        <f t="shared" si="169"/>
        <v>69.261833747005682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353.37479213497227</v>
      </c>
      <c r="T196" s="59">
        <f t="shared" si="142"/>
        <v>345.4750813433123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5.5457064549124571</v>
      </c>
      <c r="AA196" s="21">
        <f>EXP(-LN(2)/25)*AA195+(1-EXP(-LN(2)/25))/(LN(2)/25)*Calculateur!V196*Calculateur!X196*VLOOKUP('Données projet'!$B$9,Paramètres!$A$1:$I$89,3,0)*0.475*44/12</f>
        <v>2.236983463868345</v>
      </c>
      <c r="AB196" s="21">
        <f>EXP(-LN(2)/2)*AB195+(1-EXP(-LN(2)/2))/(LN(2)/2)*V196*Y196*VLOOKUP('Données projet'!$B$9,Paramètres!$A$1:$I$89,3,0)*0.475*44/12</f>
        <v>6.1254528552567613E-16</v>
      </c>
      <c r="AC196" s="22">
        <f t="shared" si="163"/>
        <v>7.782689918780803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1.5961632016114892E-13</v>
      </c>
      <c r="AK196" s="13">
        <f t="shared" si="164"/>
        <v>2.2708641912150958E-12</v>
      </c>
      <c r="AL196" s="20">
        <f t="shared" si="165"/>
        <v>4.2330868906469593E-12</v>
      </c>
      <c r="AM196" s="59">
        <f t="shared" ref="AM196:AM203" si="193">AL196+(AD196+AE196)*44/12</f>
        <v>293.33333333333752</v>
      </c>
      <c r="AN196" s="59">
        <f ca="1">AVERAGE(OFFSET($AM$3,0,0,'Données projet'!$E$10+1,1))-AVERAGE(OFFSET($H$3,0,0,'Données projet'!$E$10+1,1))</f>
        <v>293.15557501692803</v>
      </c>
      <c r="AO196" s="59">
        <f t="shared" si="144"/>
        <v>237.1930412773068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24.861664752875573</v>
      </c>
      <c r="AV196" s="21">
        <f>EXP(-LN(2)/25)*AV195+(1-EXP(-LN(2)/25))/(LN(2)/25)*Calculateur!AQ196*Calculateur!AS196*VLOOKUP('Données projet'!$B$10,Paramètres!$A$1:$I$89,3,0)*0.475*44/12</f>
        <v>4.0792595723673504</v>
      </c>
      <c r="AW196" s="21">
        <f>EXP(-LN(2)/2)*AW195+(1-EXP(-LN(2)/2))/(LN(2)/2)*AQ196*AT196*VLOOKUP('Données projet'!$B$10,Paramètres!$A$1:$I$89,3,0)*0.475*44/12</f>
        <v>7.1595193318973524E-12</v>
      </c>
      <c r="AX196" s="21">
        <f t="shared" si="166"/>
        <v>28.940924325250084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5.4001247917767614E-13</v>
      </c>
      <c r="BE196" s="13">
        <f>BD196*VLOOKUP('Données projet'!$B$11,Paramètres!$A$1:$I$89,3,0)*VLOOKUP('Données projet'!$B$11,Paramètres!$A$1:$I$89,5,0)</f>
        <v>4.8860329115996133E-13</v>
      </c>
      <c r="BF196" s="13">
        <f t="shared" si="167"/>
        <v>6.1025862939685007E-12</v>
      </c>
      <c r="BG196" s="20">
        <f t="shared" si="168"/>
        <v>1.1479655194098737E-11</v>
      </c>
      <c r="BH196" s="59">
        <f t="shared" ref="BH196:BH203" si="194">BG196+(AY196+AZ196)*44/12</f>
        <v>293.3333333333448</v>
      </c>
      <c r="BI196" s="59">
        <f ca="1">AVERAGE(OFFSET($BH$3,0,0,'Données projet'!$E$11+1,1))-AVERAGE(OFFSET($H$3,0,0,'Données projet'!$E$11+1,1))</f>
        <v>490.06222615476065</v>
      </c>
      <c r="BJ196" s="59">
        <f t="shared" si="146"/>
        <v>310.43914804089906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59.637019317517961</v>
      </c>
      <c r="BQ196" s="21">
        <f>EXP(-LN(2)/25)*BQ195+(1-EXP(-LN(2)/25))/(LN(2)/25)*Calculateur!BL196*Calculateur!BN196*VLOOKUP('Données projet'!$B$11,Paramètres!$A$1:$I$89,3,0)*0.475*44/12</f>
        <v>8.201261621543237</v>
      </c>
      <c r="BR196" s="21">
        <f>EXP(-LN(2)/2)*BR195+(1-EXP(-LN(2)/2))/(LN(2)/2)*BL196*BO196*VLOOKUP('Données projet'!$B$11,Paramètres!$A$1:$I$89,3,0)*0.475*44/12</f>
        <v>1.0436395590166787E-4</v>
      </c>
      <c r="BS196" s="22">
        <f t="shared" si="169"/>
        <v>67.838385303017091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353.37479213497227</v>
      </c>
      <c r="T197" s="59">
        <f t="shared" ref="T197:T203" si="204">$T$3</f>
        <v>345.4750813433123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5.4369585338785624</v>
      </c>
      <c r="AA197" s="21">
        <f>EXP(-LN(2)/25)*AA196+(1-EXP(-LN(2)/25))/(LN(2)/25)*Calculateur!V197*Calculateur!X197*VLOOKUP('Données projet'!$B$9,Paramètres!$A$1:$I$89,3,0)*0.475*44/12</f>
        <v>2.1758130334110173</v>
      </c>
      <c r="AB197" s="21">
        <f>EXP(-LN(2)/2)*AB196+(1-EXP(-LN(2)/2))/(LN(2)/2)*V197*Y197*VLOOKUP('Données projet'!$B$9,Paramètres!$A$1:$I$89,3,0)*0.475*44/12</f>
        <v>4.3313492517905555E-16</v>
      </c>
      <c r="AC197" s="22">
        <f t="shared" si="163"/>
        <v>7.6127715672895793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1.5961632016114892E-13</v>
      </c>
      <c r="AK197" s="13">
        <f t="shared" si="164"/>
        <v>2.2708641912150958E-12</v>
      </c>
      <c r="AL197" s="20">
        <f t="shared" si="165"/>
        <v>4.2330868906469593E-12</v>
      </c>
      <c r="AM197" s="59">
        <f t="shared" si="193"/>
        <v>293.33333333333752</v>
      </c>
      <c r="AN197" s="59">
        <f ca="1">AVERAGE(OFFSET($AM$3,0,0,'Données projet'!$E$10+1,1))-AVERAGE(OFFSET($H$3,0,0,'Données projet'!$E$10+1,1))</f>
        <v>293.15557501692803</v>
      </c>
      <c r="AO197" s="59">
        <f t="shared" ref="AO197:AO203" si="205">$AO$3</f>
        <v>237.1930412773068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24.374142671189851</v>
      </c>
      <c r="AV197" s="21">
        <f>EXP(-LN(2)/25)*AV196+(1-EXP(-LN(2)/25))/(LN(2)/25)*Calculateur!AQ197*Calculateur!AS197*VLOOKUP('Données projet'!$B$10,Paramètres!$A$1:$I$89,3,0)*0.475*44/12</f>
        <v>3.9677120048420274</v>
      </c>
      <c r="AW197" s="21">
        <f>EXP(-LN(2)/2)*AW196+(1-EXP(-LN(2)/2))/(LN(2)/2)*AQ197*AT197*VLOOKUP('Données projet'!$B$10,Paramètres!$A$1:$I$89,3,0)*0.475*44/12</f>
        <v>5.0625446696207987E-12</v>
      </c>
      <c r="AX197" s="21">
        <f t="shared" si="166"/>
        <v>28.341854676036942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5.4001247917767614E-13</v>
      </c>
      <c r="BE197" s="13">
        <f>BD197*VLOOKUP('Données projet'!$B$11,Paramètres!$A$1:$I$89,3,0)*VLOOKUP('Données projet'!$B$11,Paramètres!$A$1:$I$89,5,0)</f>
        <v>4.8860329115996133E-13</v>
      </c>
      <c r="BF197" s="13">
        <f t="shared" si="167"/>
        <v>6.1025862939685007E-12</v>
      </c>
      <c r="BG197" s="20">
        <f t="shared" si="168"/>
        <v>1.1479655194098737E-11</v>
      </c>
      <c r="BH197" s="59">
        <f t="shared" si="194"/>
        <v>293.3333333333448</v>
      </c>
      <c r="BI197" s="59">
        <f ca="1">AVERAGE(OFFSET($BH$3,0,0,'Données projet'!$E$11+1,1))-AVERAGE(OFFSET($H$3,0,0,'Données projet'!$E$11+1,1))</f>
        <v>490.06222615476065</v>
      </c>
      <c r="BJ197" s="59">
        <f t="shared" ref="BJ197:BJ203" si="206">$BJ$3</f>
        <v>310.43914804089906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58.467573743691489</v>
      </c>
      <c r="BQ197" s="21">
        <f>EXP(-LN(2)/25)*BQ196+(1-EXP(-LN(2)/25))/(LN(2)/25)*Calculateur!BL197*Calculateur!BN197*VLOOKUP('Données projet'!$B$11,Paramètres!$A$1:$I$89,3,0)*0.475*44/12</f>
        <v>7.9769976912165328</v>
      </c>
      <c r="BR197" s="21">
        <f>EXP(-LN(2)/2)*BR196+(1-EXP(-LN(2)/2))/(LN(2)/2)*BL197*BO197*VLOOKUP('Données projet'!$B$11,Paramètres!$A$1:$I$89,3,0)*0.475*44/12</f>
        <v>7.3796460929523156E-5</v>
      </c>
      <c r="BS197" s="22">
        <f t="shared" si="169"/>
        <v>66.444645231368952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353.37479213497227</v>
      </c>
      <c r="T198" s="59">
        <f t="shared" si="204"/>
        <v>345.4750813433123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5.3303430932464604</v>
      </c>
      <c r="AA198" s="21">
        <f>EXP(-LN(2)/25)*AA197+(1-EXP(-LN(2)/25))/(LN(2)/25)*Calculateur!V198*Calculateur!X198*VLOOKUP('Données projet'!$B$9,Paramètres!$A$1:$I$89,3,0)*0.475*44/12</f>
        <v>2.1163153115913587</v>
      </c>
      <c r="AB198" s="21">
        <f>EXP(-LN(2)/2)*AB197+(1-EXP(-LN(2)/2))/(LN(2)/2)*V198*Y198*VLOOKUP('Données projet'!$B$9,Paramètres!$A$1:$I$89,3,0)*0.475*44/12</f>
        <v>3.0627264276283806E-16</v>
      </c>
      <c r="AC198" s="22">
        <f t="shared" si="163"/>
        <v>7.4466584048378195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1.5961632016114892E-13</v>
      </c>
      <c r="AK198" s="13">
        <f t="shared" si="164"/>
        <v>2.2708641912150958E-12</v>
      </c>
      <c r="AL198" s="20">
        <f t="shared" si="165"/>
        <v>4.2330868906469593E-12</v>
      </c>
      <c r="AM198" s="59">
        <f t="shared" si="193"/>
        <v>293.33333333333752</v>
      </c>
      <c r="AN198" s="59">
        <f ca="1">AVERAGE(OFFSET($AM$3,0,0,'Données projet'!$E$10+1,1))-AVERAGE(OFFSET($H$3,0,0,'Données projet'!$E$10+1,1))</f>
        <v>293.15557501692803</v>
      </c>
      <c r="AO198" s="59">
        <f t="shared" si="205"/>
        <v>237.1930412773068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23.896180600166876</v>
      </c>
      <c r="AV198" s="21">
        <f>EXP(-LN(2)/25)*AV197+(1-EXP(-LN(2)/25))/(LN(2)/25)*Calculateur!AQ198*Calculateur!AS198*VLOOKUP('Données projet'!$B$10,Paramètres!$A$1:$I$89,3,0)*0.475*44/12</f>
        <v>3.8592147114167159</v>
      </c>
      <c r="AW198" s="21">
        <f>EXP(-LN(2)/2)*AW197+(1-EXP(-LN(2)/2))/(LN(2)/2)*AQ198*AT198*VLOOKUP('Données projet'!$B$10,Paramètres!$A$1:$I$89,3,0)*0.475*44/12</f>
        <v>3.579759665948677E-12</v>
      </c>
      <c r="AX198" s="21">
        <f t="shared" si="166"/>
        <v>27.755395311587172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5.4001247917767614E-13</v>
      </c>
      <c r="BE198" s="13">
        <f>BD198*VLOOKUP('Données projet'!$B$11,Paramètres!$A$1:$I$89,3,0)*VLOOKUP('Données projet'!$B$11,Paramètres!$A$1:$I$89,5,0)</f>
        <v>4.8860329115996133E-13</v>
      </c>
      <c r="BF198" s="13">
        <f t="shared" si="167"/>
        <v>6.1025862939685007E-12</v>
      </c>
      <c r="BG198" s="20">
        <f t="shared" si="168"/>
        <v>1.1479655194098737E-11</v>
      </c>
      <c r="BH198" s="59">
        <f t="shared" si="194"/>
        <v>293.3333333333448</v>
      </c>
      <c r="BI198" s="59">
        <f ca="1">AVERAGE(OFFSET($BH$3,0,0,'Données projet'!$E$11+1,1))-AVERAGE(OFFSET($H$3,0,0,'Données projet'!$E$11+1,1))</f>
        <v>490.06222615476065</v>
      </c>
      <c r="BJ198" s="59">
        <f t="shared" si="206"/>
        <v>310.43914804089906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57.321060284276385</v>
      </c>
      <c r="BQ198" s="21">
        <f>EXP(-LN(2)/25)*BQ197+(1-EXP(-LN(2)/25))/(LN(2)/25)*Calculateur!BL198*Calculateur!BN198*VLOOKUP('Données projet'!$B$11,Paramètres!$A$1:$I$89,3,0)*0.475*44/12</f>
        <v>7.7588662698581397</v>
      </c>
      <c r="BR198" s="21">
        <f>EXP(-LN(2)/2)*BR197+(1-EXP(-LN(2)/2))/(LN(2)/2)*BL198*BO198*VLOOKUP('Données projet'!$B$11,Paramètres!$A$1:$I$89,3,0)*0.475*44/12</f>
        <v>5.2181977950833935E-5</v>
      </c>
      <c r="BS198" s="22">
        <f t="shared" si="169"/>
        <v>65.07997873611248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353.37479213497227</v>
      </c>
      <c r="T199" s="59">
        <f t="shared" si="204"/>
        <v>345.4750813433123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5.2258183163761558</v>
      </c>
      <c r="AA199" s="21">
        <f>EXP(-LN(2)/25)*AA198+(1-EXP(-LN(2)/25))/(LN(2)/25)*Calculateur!V199*Calculateur!X199*VLOOKUP('Données projet'!$B$9,Paramètres!$A$1:$I$89,3,0)*0.475*44/12</f>
        <v>2.0584445581037074</v>
      </c>
      <c r="AB199" s="21">
        <f>EXP(-LN(2)/2)*AB198+(1-EXP(-LN(2)/2))/(LN(2)/2)*V199*Y199*VLOOKUP('Données projet'!$B$9,Paramètres!$A$1:$I$89,3,0)*0.475*44/12</f>
        <v>2.1656746258952777E-16</v>
      </c>
      <c r="AC199" s="22">
        <f t="shared" si="163"/>
        <v>7.2842628744798628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1.5961632016114892E-13</v>
      </c>
      <c r="AK199" s="13">
        <f t="shared" si="164"/>
        <v>2.2708641912150958E-12</v>
      </c>
      <c r="AL199" s="20">
        <f t="shared" si="165"/>
        <v>4.2330868906469593E-12</v>
      </c>
      <c r="AM199" s="59">
        <f t="shared" si="193"/>
        <v>293.33333333333752</v>
      </c>
      <c r="AN199" s="59">
        <f ca="1">AVERAGE(OFFSET($AM$3,0,0,'Données projet'!$E$10+1,1))-AVERAGE(OFFSET($H$3,0,0,'Données projet'!$E$10+1,1))</f>
        <v>293.15557501692803</v>
      </c>
      <c r="AO199" s="59">
        <f t="shared" si="205"/>
        <v>237.1930412773068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23.427591073828584</v>
      </c>
      <c r="AV199" s="21">
        <f>EXP(-LN(2)/25)*AV198+(1-EXP(-LN(2)/25))/(LN(2)/25)*Calculateur!AQ199*Calculateur!AS199*VLOOKUP('Données projet'!$B$10,Paramètres!$A$1:$I$89,3,0)*0.475*44/12</f>
        <v>3.7536842821857443</v>
      </c>
      <c r="AW199" s="21">
        <f>EXP(-LN(2)/2)*AW198+(1-EXP(-LN(2)/2))/(LN(2)/2)*AQ199*AT199*VLOOKUP('Données projet'!$B$10,Paramètres!$A$1:$I$89,3,0)*0.475*44/12</f>
        <v>2.5312723348103997E-12</v>
      </c>
      <c r="AX199" s="21">
        <f t="shared" si="166"/>
        <v>27.181275356016858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5.4001247917767614E-13</v>
      </c>
      <c r="BE199" s="13">
        <f>BD199*VLOOKUP('Données projet'!$B$11,Paramètres!$A$1:$I$89,3,0)*VLOOKUP('Données projet'!$B$11,Paramètres!$A$1:$I$89,5,0)</f>
        <v>4.8860329115996133E-13</v>
      </c>
      <c r="BF199" s="13">
        <f t="shared" si="167"/>
        <v>6.1025862939685007E-12</v>
      </c>
      <c r="BG199" s="20">
        <f t="shared" si="168"/>
        <v>1.1479655194098737E-11</v>
      </c>
      <c r="BH199" s="59">
        <f t="shared" si="194"/>
        <v>293.3333333333448</v>
      </c>
      <c r="BI199" s="59">
        <f ca="1">AVERAGE(OFFSET($BH$3,0,0,'Données projet'!$E$11+1,1))-AVERAGE(OFFSET($H$3,0,0,'Données projet'!$E$11+1,1))</f>
        <v>490.06222615476065</v>
      </c>
      <c r="BJ199" s="59">
        <f t="shared" si="206"/>
        <v>310.43914804089906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56.19702925449625</v>
      </c>
      <c r="BQ199" s="21">
        <f>EXP(-LN(2)/25)*BQ198+(1-EXP(-LN(2)/25))/(LN(2)/25)*Calculateur!BL199*Calculateur!BN199*VLOOKUP('Données projet'!$B$11,Paramètres!$A$1:$I$89,3,0)*0.475*44/12</f>
        <v>7.546699663687825</v>
      </c>
      <c r="BR199" s="21">
        <f>EXP(-LN(2)/2)*BR198+(1-EXP(-LN(2)/2))/(LN(2)/2)*BL199*BO199*VLOOKUP('Données projet'!$B$11,Paramètres!$A$1:$I$89,3,0)*0.475*44/12</f>
        <v>3.6898230464761578E-5</v>
      </c>
      <c r="BS199" s="22">
        <f t="shared" si="169"/>
        <v>63.743765816414538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353.37479213497227</v>
      </c>
      <c r="T200" s="59">
        <f t="shared" si="204"/>
        <v>345.4750813433123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5.1233432066264593</v>
      </c>
      <c r="AA200" s="21">
        <f>EXP(-LN(2)/25)*AA199+(1-EXP(-LN(2)/25))/(LN(2)/25)*Calculateur!V200*Calculateur!X200*VLOOKUP('Données projet'!$B$9,Paramètres!$A$1:$I$89,3,0)*0.475*44/12</f>
        <v>2.0021562834134667</v>
      </c>
      <c r="AB200" s="21">
        <f>EXP(-LN(2)/2)*AB199+(1-EXP(-LN(2)/2))/(LN(2)/2)*V200*Y200*VLOOKUP('Données projet'!$B$9,Paramètres!$A$1:$I$89,3,0)*0.475*44/12</f>
        <v>1.5313632138141903E-16</v>
      </c>
      <c r="AC200" s="22">
        <f t="shared" si="163"/>
        <v>7.1254994900399264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1.5961632016114892E-13</v>
      </c>
      <c r="AK200" s="13">
        <f t="shared" si="164"/>
        <v>2.2708641912150958E-12</v>
      </c>
      <c r="AL200" s="20">
        <f t="shared" si="165"/>
        <v>4.2330868906469593E-12</v>
      </c>
      <c r="AM200" s="59">
        <f t="shared" si="193"/>
        <v>293.33333333333752</v>
      </c>
      <c r="AN200" s="59">
        <f ca="1">AVERAGE(OFFSET($AM$3,0,0,'Données projet'!$E$10+1,1))-AVERAGE(OFFSET($H$3,0,0,'Données projet'!$E$10+1,1))</f>
        <v>293.15557501692803</v>
      </c>
      <c r="AO200" s="59">
        <f t="shared" si="205"/>
        <v>237.1930412773068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22.968190302290399</v>
      </c>
      <c r="AV200" s="21">
        <f>EXP(-LN(2)/25)*AV199+(1-EXP(-LN(2)/25))/(LN(2)/25)*Calculateur!AQ200*Calculateur!AS200*VLOOKUP('Données projet'!$B$10,Paramètres!$A$1:$I$89,3,0)*0.475*44/12</f>
        <v>3.6510395880916979</v>
      </c>
      <c r="AW200" s="21">
        <f>EXP(-LN(2)/2)*AW199+(1-EXP(-LN(2)/2))/(LN(2)/2)*AQ200*AT200*VLOOKUP('Données projet'!$B$10,Paramètres!$A$1:$I$89,3,0)*0.475*44/12</f>
        <v>1.7898798329743387E-12</v>
      </c>
      <c r="AX200" s="21">
        <f t="shared" si="166"/>
        <v>26.619229890383888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5.4001247917767614E-13</v>
      </c>
      <c r="BE200" s="13">
        <f>BD200*VLOOKUP('Données projet'!$B$11,Paramètres!$A$1:$I$89,3,0)*VLOOKUP('Données projet'!$B$11,Paramètres!$A$1:$I$89,5,0)</f>
        <v>4.8860329115996133E-13</v>
      </c>
      <c r="BF200" s="13">
        <f t="shared" si="167"/>
        <v>6.1025862939685007E-12</v>
      </c>
      <c r="BG200" s="20">
        <f t="shared" si="168"/>
        <v>1.1479655194098737E-11</v>
      </c>
      <c r="BH200" s="59">
        <f t="shared" si="194"/>
        <v>293.3333333333448</v>
      </c>
      <c r="BI200" s="59">
        <f ca="1">AVERAGE(OFFSET($BH$3,0,0,'Données projet'!$E$11+1,1))-AVERAGE(OFFSET($H$3,0,0,'Données projet'!$E$11+1,1))</f>
        <v>490.06222615476065</v>
      </c>
      <c r="BJ200" s="59">
        <f t="shared" si="206"/>
        <v>310.43914804089906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55.095039787618873</v>
      </c>
      <c r="BQ200" s="21">
        <f>EXP(-LN(2)/25)*BQ199+(1-EXP(-LN(2)/25))/(LN(2)/25)*Calculateur!BL200*Calculateur!BN200*VLOOKUP('Données projet'!$B$11,Paramètres!$A$1:$I$89,3,0)*0.475*44/12</f>
        <v>7.3403347645205939</v>
      </c>
      <c r="BR200" s="21">
        <f>EXP(-LN(2)/2)*BR199+(1-EXP(-LN(2)/2))/(LN(2)/2)*BL200*BO200*VLOOKUP('Données projet'!$B$11,Paramètres!$A$1:$I$89,3,0)*0.475*44/12</f>
        <v>2.6090988975416967E-5</v>
      </c>
      <c r="BS200" s="22">
        <f t="shared" si="169"/>
        <v>62.435400643128439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353.37479213497227</v>
      </c>
      <c r="T201" s="59">
        <f t="shared" si="204"/>
        <v>345.4750813433123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5.0228775712753091</v>
      </c>
      <c r="AA201" s="21">
        <f>EXP(-LN(2)/25)*AA200+(1-EXP(-LN(2)/25))/(LN(2)/25)*Calculateur!V201*Calculateur!X201*VLOOKUP('Données projet'!$B$9,Paramètres!$A$1:$I$89,3,0)*0.475*44/12</f>
        <v>1.9474072145547026</v>
      </c>
      <c r="AB201" s="21">
        <f>EXP(-LN(2)/2)*AB200+(1-EXP(-LN(2)/2))/(LN(2)/2)*V201*Y201*VLOOKUP('Données projet'!$B$9,Paramètres!$A$1:$I$89,3,0)*0.475*44/12</f>
        <v>1.0828373129476389E-16</v>
      </c>
      <c r="AC201" s="22">
        <f t="shared" si="163"/>
        <v>6.9702847858300121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1.5961632016114892E-13</v>
      </c>
      <c r="AK201" s="13">
        <f t="shared" si="164"/>
        <v>2.2708641912150958E-12</v>
      </c>
      <c r="AL201" s="20">
        <f t="shared" si="165"/>
        <v>4.2330868906469593E-12</v>
      </c>
      <c r="AM201" s="59">
        <f t="shared" si="193"/>
        <v>293.33333333333752</v>
      </c>
      <c r="AN201" s="59">
        <f ca="1">AVERAGE(OFFSET($AM$3,0,0,'Données projet'!$E$10+1,1))-AVERAGE(OFFSET($H$3,0,0,'Données projet'!$E$10+1,1))</f>
        <v>293.15557501692803</v>
      </c>
      <c r="AO201" s="59">
        <f t="shared" si="205"/>
        <v>237.1930412773068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22.517798099675275</v>
      </c>
      <c r="AV201" s="21">
        <f>EXP(-LN(2)/25)*AV200+(1-EXP(-LN(2)/25))/(LN(2)/25)*Calculateur!AQ201*Calculateur!AS201*VLOOKUP('Données projet'!$B$10,Paramètres!$A$1:$I$89,3,0)*0.475*44/12</f>
        <v>3.5512017185555029</v>
      </c>
      <c r="AW201" s="21">
        <f>EXP(-LN(2)/2)*AW200+(1-EXP(-LN(2)/2))/(LN(2)/2)*AQ201*AT201*VLOOKUP('Données projet'!$B$10,Paramètres!$A$1:$I$89,3,0)*0.475*44/12</f>
        <v>1.2656361674052001E-12</v>
      </c>
      <c r="AX201" s="21">
        <f t="shared" si="166"/>
        <v>26.068999818232044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5.4001247917767614E-13</v>
      </c>
      <c r="BE201" s="13">
        <f>BD201*VLOOKUP('Données projet'!$B$11,Paramètres!$A$1:$I$89,3,0)*VLOOKUP('Données projet'!$B$11,Paramètres!$A$1:$I$89,5,0)</f>
        <v>4.8860329115996133E-13</v>
      </c>
      <c r="BF201" s="13">
        <f t="shared" si="167"/>
        <v>6.1025862939685007E-12</v>
      </c>
      <c r="BG201" s="20">
        <f t="shared" si="168"/>
        <v>1.1479655194098737E-11</v>
      </c>
      <c r="BH201" s="59">
        <f t="shared" si="194"/>
        <v>293.3333333333448</v>
      </c>
      <c r="BI201" s="59">
        <f ca="1">AVERAGE(OFFSET($BH$3,0,0,'Données projet'!$E$11+1,1))-AVERAGE(OFFSET($H$3,0,0,'Données projet'!$E$11+1,1))</f>
        <v>490.06222615476065</v>
      </c>
      <c r="BJ201" s="59">
        <f t="shared" si="206"/>
        <v>310.43914804089906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54.014659662039755</v>
      </c>
      <c r="BQ201" s="21">
        <f>EXP(-LN(2)/25)*BQ200+(1-EXP(-LN(2)/25))/(LN(2)/25)*Calculateur!BL201*Calculateur!BN201*VLOOKUP('Données projet'!$B$11,Paramètres!$A$1:$I$89,3,0)*0.475*44/12</f>
        <v>7.1396129243733499</v>
      </c>
      <c r="BR201" s="21">
        <f>EXP(-LN(2)/2)*BR200+(1-EXP(-LN(2)/2))/(LN(2)/2)*BL201*BO201*VLOOKUP('Données projet'!$B$11,Paramètres!$A$1:$I$89,3,0)*0.475*44/12</f>
        <v>1.8449115232380789E-5</v>
      </c>
      <c r="BS201" s="22">
        <f t="shared" si="169"/>
        <v>61.154291035528338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353.37479213497227</v>
      </c>
      <c r="T202" s="59">
        <f t="shared" si="204"/>
        <v>345.4750813433123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4.9243820057554082</v>
      </c>
      <c r="AA202" s="21">
        <f>EXP(-LN(2)/25)*AA201+(1-EXP(-LN(2)/25))/(LN(2)/25)*Calculateur!V202*Calculateur!X202*VLOOKUP('Données projet'!$B$9,Paramètres!$A$1:$I$89,3,0)*0.475*44/12</f>
        <v>1.8941552618630098</v>
      </c>
      <c r="AB202" s="21">
        <f>EXP(-LN(2)/2)*AB201+(1-EXP(-LN(2)/2))/(LN(2)/2)*V202*Y202*VLOOKUP('Données projet'!$B$9,Paramètres!$A$1:$I$89,3,0)*0.475*44/12</f>
        <v>7.6568160690709516E-17</v>
      </c>
      <c r="AC202" s="22">
        <f t="shared" si="163"/>
        <v>6.8185372676184182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1.5961632016114892E-13</v>
      </c>
      <c r="AK202" s="13">
        <f t="shared" si="164"/>
        <v>2.2708641912150958E-12</v>
      </c>
      <c r="AL202" s="20">
        <f t="shared" si="165"/>
        <v>4.2330868906469593E-12</v>
      </c>
      <c r="AM202" s="59">
        <f t="shared" si="193"/>
        <v>293.33333333333752</v>
      </c>
      <c r="AN202" s="59">
        <f ca="1">AVERAGE(OFFSET($AM$3,0,0,'Données projet'!$E$10+1,1))-AVERAGE(OFFSET($H$3,0,0,'Données projet'!$E$10+1,1))</f>
        <v>293.15557501692803</v>
      </c>
      <c r="AO202" s="59">
        <f t="shared" si="205"/>
        <v>237.1930412773068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22.076237813441313</v>
      </c>
      <c r="AV202" s="21">
        <f>EXP(-LN(2)/25)*AV201+(1-EXP(-LN(2)/25))/(LN(2)/25)*Calculateur!AQ202*Calculateur!AS202*VLOOKUP('Données projet'!$B$10,Paramètres!$A$1:$I$89,3,0)*0.475*44/12</f>
        <v>3.4540939208120207</v>
      </c>
      <c r="AW202" s="21">
        <f>EXP(-LN(2)/2)*AW201+(1-EXP(-LN(2)/2))/(LN(2)/2)*AQ202*AT202*VLOOKUP('Données projet'!$B$10,Paramètres!$A$1:$I$89,3,0)*0.475*44/12</f>
        <v>8.9493991648716946E-13</v>
      </c>
      <c r="AX202" s="21">
        <f t="shared" si="166"/>
        <v>25.530331734254229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5.4001247917767614E-13</v>
      </c>
      <c r="BE202" s="13">
        <f>BD202*VLOOKUP('Données projet'!$B$11,Paramètres!$A$1:$I$89,3,0)*VLOOKUP('Données projet'!$B$11,Paramètres!$A$1:$I$89,5,0)</f>
        <v>4.8860329115996133E-13</v>
      </c>
      <c r="BF202" s="13">
        <f t="shared" si="167"/>
        <v>6.1025862939685007E-12</v>
      </c>
      <c r="BG202" s="20">
        <f t="shared" si="168"/>
        <v>1.1479655194098737E-11</v>
      </c>
      <c r="BH202" s="59">
        <f t="shared" si="194"/>
        <v>293.3333333333448</v>
      </c>
      <c r="BI202" s="59">
        <f ca="1">AVERAGE(OFFSET($BH$3,0,0,'Données projet'!$E$11+1,1))-AVERAGE(OFFSET($H$3,0,0,'Données projet'!$E$11+1,1))</f>
        <v>490.06222615476065</v>
      </c>
      <c r="BJ202" s="59">
        <f t="shared" si="206"/>
        <v>310.43914804089906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52.955465131756434</v>
      </c>
      <c r="BQ202" s="21">
        <f>EXP(-LN(2)/25)*BQ201+(1-EXP(-LN(2)/25))/(LN(2)/25)*Calculateur!BL202*Calculateur!BN202*VLOOKUP('Données projet'!$B$11,Paramètres!$A$1:$I$89,3,0)*0.475*44/12</f>
        <v>6.9443798335004345</v>
      </c>
      <c r="BR202" s="21">
        <f>EXP(-LN(2)/2)*BR201+(1-EXP(-LN(2)/2))/(LN(2)/2)*BL202*BO202*VLOOKUP('Données projet'!$B$11,Paramètres!$A$1:$I$89,3,0)*0.475*44/12</f>
        <v>1.3045494487708484E-5</v>
      </c>
      <c r="BS202" s="22">
        <f t="shared" si="169"/>
        <v>59.899858010751359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353.37479213497227</v>
      </c>
      <c r="T203" s="59">
        <f t="shared" si="204"/>
        <v>345.4750813433123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4.8278178781989896</v>
      </c>
      <c r="AA203" s="21">
        <f>EXP(-LN(2)/25)*AA202+(1-EXP(-LN(2)/25))/(LN(2)/25)*Calculateur!V203*Calculateur!X203*VLOOKUP('Données projet'!$B$9,Paramètres!$A$1:$I$89,3,0)*0.475*44/12</f>
        <v>1.8423594866180697</v>
      </c>
      <c r="AB203" s="21">
        <f>EXP(-LN(2)/2)*AB202+(1-EXP(-LN(2)/2))/(LN(2)/2)*V203*Y203*VLOOKUP('Données projet'!$B$9,Paramètres!$A$1:$I$89,3,0)*0.475*44/12</f>
        <v>5.4141865647381944E-17</v>
      </c>
      <c r="AC203" s="22">
        <f t="shared" si="163"/>
        <v>6.670177364817059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1.5961632016114892E-13</v>
      </c>
      <c r="AK203" s="13">
        <f t="shared" si="164"/>
        <v>2.2708641912150958E-12</v>
      </c>
      <c r="AL203" s="20">
        <f t="shared" si="165"/>
        <v>4.2330868906469593E-12</v>
      </c>
      <c r="AM203" s="59">
        <f t="shared" si="193"/>
        <v>293.33333333333752</v>
      </c>
      <c r="AN203" s="59">
        <f ca="1">AVERAGE(OFFSET($AM$3,0,0,'Données projet'!$E$10+1,1))-AVERAGE(OFFSET($H$3,0,0,'Données projet'!$E$10+1,1))</f>
        <v>293.15557501692803</v>
      </c>
      <c r="AO203" s="59">
        <f t="shared" si="205"/>
        <v>237.1930412773068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21.643336255095221</v>
      </c>
      <c r="AV203" s="21">
        <f>EXP(-LN(2)/25)*AV202+(1-EXP(-LN(2)/25))/(LN(2)/25)*Calculateur!AQ203*Calculateur!AS203*VLOOKUP('Données projet'!$B$10,Paramètres!$A$1:$I$89,3,0)*0.475*44/12</f>
        <v>3.3596415409045113</v>
      </c>
      <c r="AW203" s="21">
        <f>EXP(-LN(2)/2)*AW202+(1-EXP(-LN(2)/2))/(LN(2)/2)*AQ203*AT203*VLOOKUP('Données projet'!$B$10,Paramètres!$A$1:$I$89,3,0)*0.475*44/12</f>
        <v>6.3281808370260014E-13</v>
      </c>
      <c r="AX203" s="21">
        <f t="shared" si="166"/>
        <v>25.002977796000366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5.4001247917767614E-13</v>
      </c>
      <c r="BE203" s="13">
        <f>BD203*VLOOKUP('Données projet'!$B$11,Paramètres!$A$1:$I$89,3,0)*VLOOKUP('Données projet'!$B$11,Paramètres!$A$1:$I$89,5,0)</f>
        <v>4.8860329115996133E-13</v>
      </c>
      <c r="BF203" s="13">
        <f t="shared" si="167"/>
        <v>6.1025862939685007E-12</v>
      </c>
      <c r="BG203" s="20">
        <f t="shared" si="168"/>
        <v>1.1479655194098737E-11</v>
      </c>
      <c r="BH203" s="59">
        <f t="shared" si="194"/>
        <v>293.3333333333448</v>
      </c>
      <c r="BI203" s="59">
        <f ca="1">AVERAGE(OFFSET($BH$3,0,0,'Données projet'!$E$11+1,1))-AVERAGE(OFFSET($H$3,0,0,'Données projet'!$E$11+1,1))</f>
        <v>490.06222615476065</v>
      </c>
      <c r="BJ203" s="59">
        <f t="shared" si="206"/>
        <v>310.43914804089906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51.917040760167097</v>
      </c>
      <c r="BQ203" s="21">
        <f>EXP(-LN(2)/25)*BQ202+(1-EXP(-LN(2)/25))/(LN(2)/25)*Calculateur!BL203*Calculateur!BN203*VLOOKUP('Données projet'!$B$11,Paramètres!$A$1:$I$89,3,0)*0.475*44/12</f>
        <v>6.7544854017643017</v>
      </c>
      <c r="BR203" s="21">
        <f>EXP(-LN(2)/2)*BR202+(1-EXP(-LN(2)/2))/(LN(2)/2)*BL203*BO203*VLOOKUP('Données projet'!$B$11,Paramètres!$A$1:$I$89,3,0)*0.475*44/12</f>
        <v>9.2245576161903945E-6</v>
      </c>
      <c r="BS203" s="22">
        <f t="shared" si="169"/>
        <v>58.671535386489012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1.3208724756526424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1.1203305107380264</v>
      </c>
      <c r="BA205" s="82">
        <f>EXP(LN('Données projet'!B88)/'Données projet'!A88)</f>
        <v>1.1281922301282807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L23" sqref="L23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Erable plane</v>
      </c>
      <c r="B6" s="146">
        <f>'Données projet'!D9</f>
        <v>7.0415759019741314E-2</v>
      </c>
      <c r="C6" s="147">
        <f ca="1">IF(OR('Données projet'!B9="",'Données projet'!C9="",'Données projet'!C9=0%),0,Calculateur!S3)</f>
        <v>353.37479213497227</v>
      </c>
      <c r="D6" s="147">
        <f>IF(OR('Données projet'!B9="",'Données projet'!C9="",'Données projet'!C9=0%),0,Calculateur!T3)</f>
        <v>345.4750813433123</v>
      </c>
      <c r="E6" s="147">
        <f ca="1">MIN(C6,D6)</f>
        <v>345.4750813433123</v>
      </c>
      <c r="F6" s="147">
        <f ca="1">E6*B6</f>
        <v>24.326890075196207</v>
      </c>
      <c r="G6" s="147">
        <f ca="1">F6*(100%-'Données projet'!$C$24)*(100%-'Données projet'!$C$25)*(100%-'Données projet'!$C$26)*(100%-'Données projet'!$C$27)</f>
        <v>21.894201067676587</v>
      </c>
      <c r="H6" s="148">
        <f>IF(OR('Données projet'!B9="",'Données projet'!C9="",'Données projet'!C9=0%),0,AVERAGE(Calculateur!$AC$3:$AC$33)*B6)</f>
        <v>0.42516983707885625</v>
      </c>
      <c r="I6" s="149">
        <f>H6*(100%-'Données projet'!$C$24)*(100%-'Données projet'!$C$25)*(100%-'Données projet'!$C$26)*(100%-'Données projet'!$C$27)</f>
        <v>0.38265285337097066</v>
      </c>
      <c r="J6" s="150">
        <f>IF(OR('Données projet'!B9="",'Données projet'!C9="",'Données projet'!C9=0%),0,SUM(Calculateur!$V$3:$V$33)*VLOOKUP('Données projet'!$B$9,Paramètres!$A$1:$I$89,9,0)*B6)</f>
        <v>2.4117397464261399</v>
      </c>
      <c r="K6" s="151">
        <f>J6*(100%-'Données projet'!$C$24)*(100%-'Données projet'!$C$25)*(100%-'Données projet'!$C$26)*(100%-'Données projet'!$C$27)</f>
        <v>2.1705657717835258</v>
      </c>
      <c r="L6" s="152">
        <f ca="1">G6+I6+K6</f>
        <v>24.447419692831083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Cèdre de l'Atlas</v>
      </c>
      <c r="B7" s="154">
        <f>'Données projet'!D10</f>
        <v>2.0735369979577944</v>
      </c>
      <c r="C7" s="147">
        <f ca="1">IF(OR('Données projet'!B10="",'Données projet'!C10="",'Données projet'!C10=0%),0,Calculateur!AN3)</f>
        <v>293.15557501692803</v>
      </c>
      <c r="D7" s="147">
        <f>IF(OR('Données projet'!B10="",'Données projet'!C10="",'Données projet'!C10=0%),0,Calculateur!AO3)</f>
        <v>237.1930412773068</v>
      </c>
      <c r="E7" s="147">
        <f t="shared" ref="E7:E15" ca="1" si="0">MIN(C7,D7)</f>
        <v>237.1930412773068</v>
      </c>
      <c r="F7" s="147">
        <f t="shared" ref="F7:F15" ca="1" si="1">E7*B7</f>
        <v>491.82854674662599</v>
      </c>
      <c r="G7" s="147">
        <f ca="1">F7*(100%-'Données projet'!$C$24)*(100%-'Données projet'!$C$25)*(100%-'Données projet'!$C$26)*(100%-'Données projet'!$C$27)</f>
        <v>442.64569207196342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442.64569207196342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sessile</v>
      </c>
      <c r="B8" s="154">
        <f>'Données projet'!D11</f>
        <v>0.28994724302246427</v>
      </c>
      <c r="C8" s="147">
        <f ca="1">IF(OR('Données projet'!B11="",'Données projet'!C11="",'Données projet'!C11=0%),0,Calculateur!BI3)</f>
        <v>490.06222615476065</v>
      </c>
      <c r="D8" s="147">
        <f>IF(OR('Données projet'!B11="",'Données projet'!C11="",'Données projet'!C11=0%),0,Calculateur!BJ3)</f>
        <v>310.43914804089906</v>
      </c>
      <c r="E8" s="147">
        <f t="shared" ca="1" si="0"/>
        <v>310.43914804089906</v>
      </c>
      <c r="F8" s="147">
        <f t="shared" ca="1" si="1"/>
        <v>90.010975100701316</v>
      </c>
      <c r="G8" s="147">
        <f ca="1">F8*(100%-'Données projet'!$C$24)*(100%-'Données projet'!$C$25)*(100%-'Données projet'!$C$26)*(100%-'Données projet'!$C$27)</f>
        <v>81.009877590631191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81.009877590631191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606.16641192252348</v>
      </c>
      <c r="G16" s="166">
        <f t="shared" ca="1" si="3"/>
        <v>545.54977073027123</v>
      </c>
      <c r="H16" s="167">
        <f t="shared" si="3"/>
        <v>0.42516983707885625</v>
      </c>
      <c r="I16" s="167">
        <f t="shared" si="3"/>
        <v>0.38265285337097066</v>
      </c>
      <c r="J16" s="168">
        <f t="shared" si="3"/>
        <v>2.4117397464261399</v>
      </c>
      <c r="K16" s="168">
        <f t="shared" si="3"/>
        <v>2.1705657717835258</v>
      </c>
      <c r="L16" s="169">
        <f t="shared" ca="1" si="3"/>
        <v>548.10298935542573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Erable plane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9" zoomScale="80" zoomScaleNormal="80" workbookViewId="0">
      <selection activeCell="E27" sqref="E27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Erable plane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1728.1744097706571</v>
      </c>
      <c r="U10" s="178">
        <f>'Données projet'!D9</f>
        <v>7.0415759019741314E-2</v>
      </c>
      <c r="V10" s="177">
        <f>U10*T10</f>
        <v>121.69071278249427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543.03055072320319</v>
      </c>
      <c r="U11" s="178">
        <f>'Données projet'!D10</f>
        <v>2.0735369979577944</v>
      </c>
      <c r="V11" s="177">
        <f t="shared" ref="V11" si="0">U11*T11</f>
        <v>1125.9939379459586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1106.4428348554077</v>
      </c>
      <c r="U12" s="178">
        <f>'Données projet'!D11</f>
        <v>0.28994724302246427</v>
      </c>
      <c r="V12" s="177">
        <f t="shared" ref="V12:V19" si="1">U12*T12</f>
        <v>320.81004952828522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Erable plane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v>3800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900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15</v>
      </c>
      <c r="B23" s="181">
        <f>'Données projet'!D36</f>
        <v>32</v>
      </c>
      <c r="C23" s="193">
        <v>13.75</v>
      </c>
      <c r="D23" s="182">
        <f>B23*C23</f>
        <v>440</v>
      </c>
      <c r="E23" s="193">
        <v>60</v>
      </c>
      <c r="F23" s="230"/>
      <c r="H23" s="190">
        <v>5</v>
      </c>
      <c r="I23" s="191">
        <v>650</v>
      </c>
      <c r="J23" s="257" cm="1">
        <f t="array" ref="J23">SUM(I20:I23*'Données projet'!C5)</f>
        <v>14603.4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-11943.803909120428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20</v>
      </c>
      <c r="B24" s="181">
        <f>'Données projet'!D37</f>
        <v>35</v>
      </c>
      <c r="C24" s="193">
        <v>13.75</v>
      </c>
      <c r="D24" s="182">
        <f t="shared" ref="D24:D42" si="2">B24*C24</f>
        <v>481.25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4393.7434415445759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25</v>
      </c>
      <c r="B25" s="181">
        <f>'Données projet'!D38</f>
        <v>35</v>
      </c>
      <c r="C25" s="193">
        <v>13.75</v>
      </c>
      <c r="D25" s="182">
        <f t="shared" si="2"/>
        <v>481.25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304">
        <f ca="1">T23-T24</f>
        <v>-16337.547350665005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30</v>
      </c>
      <c r="B26" s="181">
        <f>'Données projet'!D39</f>
        <v>35</v>
      </c>
      <c r="C26" s="193">
        <v>23.75</v>
      </c>
      <c r="D26" s="182">
        <f t="shared" si="2"/>
        <v>831.25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35</v>
      </c>
      <c r="B27" s="181">
        <f>'Données projet'!D40</f>
        <v>35</v>
      </c>
      <c r="C27" s="193">
        <v>23.75</v>
      </c>
      <c r="D27" s="182">
        <f t="shared" si="2"/>
        <v>831.25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40</v>
      </c>
      <c r="B28" s="181">
        <f>'Données projet'!D41</f>
        <v>35</v>
      </c>
      <c r="C28" s="193">
        <v>23.75</v>
      </c>
      <c r="D28" s="182">
        <f t="shared" si="2"/>
        <v>831.25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45</v>
      </c>
      <c r="B29" s="181">
        <f>'Données projet'!D42</f>
        <v>24</v>
      </c>
      <c r="C29" s="193">
        <v>23.75</v>
      </c>
      <c r="D29" s="182">
        <f t="shared" si="2"/>
        <v>570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50</v>
      </c>
      <c r="B30" s="181">
        <f>'Données projet'!D43</f>
        <v>19</v>
      </c>
      <c r="C30" s="193">
        <v>23.75</v>
      </c>
      <c r="D30" s="182">
        <f t="shared" si="2"/>
        <v>451.25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1805.2275942087088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55</v>
      </c>
      <c r="B31" s="181">
        <f>'Données projet'!D44</f>
        <v>16</v>
      </c>
      <c r="C31" s="193">
        <v>44.375</v>
      </c>
      <c r="D31" s="182">
        <f t="shared" si="2"/>
        <v>710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60</v>
      </c>
      <c r="B32" s="181">
        <f>'Données projet'!D45</f>
        <v>14</v>
      </c>
      <c r="C32" s="193">
        <v>44.375</v>
      </c>
      <c r="D32" s="182">
        <f t="shared" si="2"/>
        <v>621.25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65</v>
      </c>
      <c r="B33" s="181">
        <f>'Données projet'!D46</f>
        <v>13</v>
      </c>
      <c r="C33" s="193">
        <v>44.375</v>
      </c>
      <c r="D33" s="182">
        <f t="shared" si="2"/>
        <v>576.875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70</v>
      </c>
      <c r="B34" s="181">
        <f>'Données projet'!D47</f>
        <v>13</v>
      </c>
      <c r="C34" s="193">
        <v>44.375</v>
      </c>
      <c r="D34" s="182">
        <f t="shared" si="2"/>
        <v>576.875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75</v>
      </c>
      <c r="B35" s="181">
        <f>'Données projet'!D48</f>
        <v>12</v>
      </c>
      <c r="C35" s="193">
        <v>44.375</v>
      </c>
      <c r="D35" s="182">
        <f t="shared" si="2"/>
        <v>532.5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80</v>
      </c>
      <c r="B36" s="181">
        <f>'Données projet'!D49</f>
        <v>330</v>
      </c>
      <c r="C36" s="193">
        <v>44.375</v>
      </c>
      <c r="D36" s="182">
        <f t="shared" si="2"/>
        <v>14643.75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37.854110835614065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36.224029507764662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34.664143069631258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33.171428774766767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51</v>
      </c>
      <c r="B54" s="181">
        <f>'Données projet'!D62</f>
        <v>101.57999999999998</v>
      </c>
      <c r="C54" s="191">
        <v>17.774999999999999</v>
      </c>
      <c r="D54" s="179">
        <f>B54*C54</f>
        <v>1805.5844999999995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31.742994042839005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63</v>
      </c>
      <c r="B55" s="181">
        <f>'Données projet'!D63</f>
        <v>115.59000000000003</v>
      </c>
      <c r="C55" s="191">
        <v>30.374999999999996</v>
      </c>
      <c r="D55" s="179">
        <f t="shared" ref="D55:D73" si="4">B55*C55</f>
        <v>3511.0462500000008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30.376070854391404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75</v>
      </c>
      <c r="B56" s="181">
        <f>'Données projet'!D64</f>
        <v>93.759999999999991</v>
      </c>
      <c r="C56" s="191">
        <v>30.374999999999996</v>
      </c>
      <c r="D56" s="179">
        <f t="shared" si="4"/>
        <v>2847.9599999999996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29.068010386977416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87</v>
      </c>
      <c r="B57" s="181">
        <f>'Données projet'!D65</f>
        <v>92.519999999999982</v>
      </c>
      <c r="C57" s="191">
        <v>30.374999999999996</v>
      </c>
      <c r="D57" s="179">
        <f t="shared" si="4"/>
        <v>2810.2949999999992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27.816277882275045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99</v>
      </c>
      <c r="B58" s="181">
        <f>'Données projet'!D66</f>
        <v>222.86</v>
      </c>
      <c r="C58" s="191">
        <v>37.53</v>
      </c>
      <c r="D58" s="179">
        <f t="shared" si="4"/>
        <v>8363.9358000000011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26.618447734234497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109</v>
      </c>
      <c r="B59" s="181">
        <f>'Données projet'!D67</f>
        <v>290.11</v>
      </c>
      <c r="C59" s="191">
        <v>37.53</v>
      </c>
      <c r="D59" s="179">
        <f t="shared" si="4"/>
        <v>10887.828300000001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25.472198788741153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24.375309845685312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23.325655354722791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22.321201296385443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21.360001240560241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20.440192574698791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19.559992894448612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18.717696549711594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17.911671339436936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17.14035534874348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16.402253922242565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15.695936767696237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15.020035184398315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14.373239410907479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13.754296086992806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13.1620058248735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12.595220885046414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12.052842952197524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11.533821006887585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11.03714928888764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10.561865348217841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10.107048180112765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9.6718164402993008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9.2553267371285184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8.8567719972521726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8.4753799016767193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44</v>
      </c>
      <c r="B85" s="181">
        <f>'Données projet'!D88</f>
        <v>76.680000000000007</v>
      </c>
      <c r="C85" s="191">
        <v>15</v>
      </c>
      <c r="D85" s="179">
        <f>B85*C85</f>
        <v>1150.2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8.1104113891643266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51</v>
      </c>
      <c r="B86" s="181">
        <f>'Données projet'!D89</f>
        <v>48.769999999999982</v>
      </c>
      <c r="C86" s="191">
        <v>15</v>
      </c>
      <c r="D86" s="179">
        <f t="shared" ref="D86:D104" si="6">B86*C86</f>
        <v>731.54999999999973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7.7611592240806955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59</v>
      </c>
      <c r="B87" s="181">
        <f>'Données projet'!D90</f>
        <v>52.75</v>
      </c>
      <c r="C87" s="191">
        <v>59.875</v>
      </c>
      <c r="D87" s="179">
        <f t="shared" si="6"/>
        <v>3158.40625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7.4269466259145442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67</v>
      </c>
      <c r="B88" s="181">
        <f>'Données projet'!D91</f>
        <v>44.170000000000016</v>
      </c>
      <c r="C88" s="191">
        <v>59.875</v>
      </c>
      <c r="D88" s="179">
        <f t="shared" si="6"/>
        <v>2644.6787500000009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7.1071259578129595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75</v>
      </c>
      <c r="B89" s="181">
        <f>'Données projet'!D92</f>
        <v>43.289999999999992</v>
      </c>
      <c r="C89" s="191">
        <v>59.875</v>
      </c>
      <c r="D89" s="179">
        <f t="shared" si="6"/>
        <v>2591.9887499999995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6.8010774715913502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84</v>
      </c>
      <c r="B90" s="181">
        <f>'Données projet'!D93</f>
        <v>49.669999999999987</v>
      </c>
      <c r="C90" s="191">
        <v>59.875</v>
      </c>
      <c r="D90" s="179">
        <f t="shared" si="6"/>
        <v>2973.9912499999991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6.5082081067859825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93</v>
      </c>
      <c r="B91" s="181">
        <f>'Données projet'!D94</f>
        <v>42.910000000000025</v>
      </c>
      <c r="C91" s="191">
        <v>59.875</v>
      </c>
      <c r="D91" s="179">
        <f t="shared" si="6"/>
        <v>2569.2362500000013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6.2279503414219937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103</v>
      </c>
      <c r="B92" s="181">
        <f>'Données projet'!D95</f>
        <v>56.789999999999964</v>
      </c>
      <c r="C92" s="191">
        <v>59.875</v>
      </c>
      <c r="D92" s="179">
        <f t="shared" si="6"/>
        <v>3400.3012499999977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5.9597610922698507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113</v>
      </c>
      <c r="B93" s="181">
        <f>'Données projet'!D96</f>
        <v>45.660000000000025</v>
      </c>
      <c r="C93" s="191">
        <v>179.75</v>
      </c>
      <c r="D93" s="179">
        <f t="shared" si="6"/>
        <v>8207.3850000000039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5.7031206624591881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125</v>
      </c>
      <c r="B94" s="181">
        <f>'Données projet'!D97</f>
        <v>70</v>
      </c>
      <c r="C94" s="191">
        <v>179.75</v>
      </c>
      <c r="D94" s="179">
        <f t="shared" si="6"/>
        <v>12582.5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5.457531734410705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137</v>
      </c>
      <c r="B95" s="181">
        <f>'Données projet'!D98</f>
        <v>74.669999999999959</v>
      </c>
      <c r="C95" s="191">
        <v>179.75</v>
      </c>
      <c r="D95" s="179">
        <f t="shared" si="6"/>
        <v>13421.932499999994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5.2225184061346486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149</v>
      </c>
      <c r="B96" s="181">
        <f>'Données projet'!D99</f>
        <v>176.67000000000002</v>
      </c>
      <c r="C96" s="191">
        <v>234.375</v>
      </c>
      <c r="D96" s="179">
        <f t="shared" si="6"/>
        <v>41407.031250000007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4.9976252690283705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153</v>
      </c>
      <c r="B97" s="181">
        <f>'Données projet'!D100</f>
        <v>102.89000000000001</v>
      </c>
      <c r="C97" s="191">
        <v>234.375</v>
      </c>
      <c r="D97" s="179">
        <f t="shared" si="6"/>
        <v>24114.843750000004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4.7824165253860036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157</v>
      </c>
      <c r="B98" s="181">
        <f>'Données projet'!D101</f>
        <v>67.13000000000001</v>
      </c>
      <c r="C98" s="191">
        <v>234.375</v>
      </c>
      <c r="D98" s="179">
        <f t="shared" si="6"/>
        <v>15733.593750000002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4.5764751439100513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161</v>
      </c>
      <c r="B99" s="181">
        <f>'Données projet'!D102</f>
        <v>134.26</v>
      </c>
      <c r="C99" s="191">
        <v>234.375</v>
      </c>
      <c r="D99" s="179">
        <f t="shared" si="6"/>
        <v>31467.187499999996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4.379402051588567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4.1908153603718343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4.0103496271500809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3.837655145598164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3.6723972685149904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3.5142557593444885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3.362924171621521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3.2181092551402117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3.0795303876939828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2.9469190312861078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2.8200182117570418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2.6985820208201354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2.5823751395408001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2.4711723823356939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2.3647582606083204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/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/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/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BCBC147F-5D4E-4882-9CB5-AF5F04C4C1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2024-08-01T15:07:41Z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