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Bordères et Lamensans (40) Indivision Leroy\Dossier à déposer\"/>
    </mc:Choice>
  </mc:AlternateContent>
  <xr:revisionPtr revIDLastSave="0" documentId="13_ncr:1_{93A09EE8-9229-4C11-9944-B4979656F508}" xr6:coauthVersionLast="36" xr6:coauthVersionMax="36" xr10:uidLastSave="{00000000-0000-0000-0000-000000000000}"/>
  <bookViews>
    <workbookView xWindow="0" yWindow="0" windowWidth="23040" windowHeight="939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6" l="1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R4" i="2"/>
  <c r="BR4" i="2"/>
  <c r="EC4" i="2"/>
  <c r="BQ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DD33" i="2"/>
  <c r="ET33" i="2"/>
  <c r="EW33" i="2" s="1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HI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FS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G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HI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FS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B154" i="2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A155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EB156" i="2"/>
  <c r="FS156" i="2"/>
  <c r="HH156" i="2"/>
  <c r="A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HG161" i="2"/>
  <c r="AB161" i="2"/>
  <c r="EA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C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G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DI163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HI168" i="2"/>
  <c r="HH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H185" i="2"/>
  <c r="HG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B195" i="2"/>
  <c r="FQ195" i="2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 l="1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EW202" i="2" l="1"/>
  <c r="FZ6" i="2"/>
  <c r="FR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7" i="2" a="1"/>
  <c r="FY57" i="2" s="1"/>
  <c r="FY146" i="2" a="1"/>
  <c r="FY146" i="2" s="1"/>
  <c r="FY35" i="2" a="1"/>
  <c r="FY35" i="2" s="1"/>
  <c r="FY18" i="2" a="1"/>
  <c r="FY18" i="2" s="1"/>
  <c r="FY120" i="2" a="1"/>
  <c r="FY120" i="2" s="1"/>
  <c r="FY153" i="2" a="1"/>
  <c r="FY153" i="2" s="1"/>
  <c r="FY110" i="2" a="1"/>
  <c r="FY110" i="2" s="1"/>
  <c r="FY191" i="2" a="1"/>
  <c r="FY191" i="2" s="1"/>
  <c r="FY186" i="2" a="1"/>
  <c r="FY186" i="2" s="1"/>
  <c r="FY73" i="2" a="1"/>
  <c r="FY73" i="2" s="1"/>
  <c r="FY99" i="2" a="1"/>
  <c r="FY99" i="2" s="1"/>
  <c r="FY174" i="2" a="1"/>
  <c r="FY174" i="2" s="1"/>
  <c r="FY78" i="2" a="1"/>
  <c r="FY78" i="2" s="1"/>
  <c r="FY55" i="2" a="1"/>
  <c r="FY55" i="2" s="1"/>
  <c r="FY169" i="2" a="1"/>
  <c r="FY169" i="2" s="1"/>
  <c r="FY124" i="2" a="1"/>
  <c r="FY124" i="2" s="1"/>
  <c r="FY24" i="2" a="1"/>
  <c r="FY24" i="2" s="1"/>
  <c r="FY104" i="2" a="1"/>
  <c r="FY104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06" i="2" a="1"/>
  <c r="EI106" i="2" s="1"/>
  <c r="EI145" i="2" a="1"/>
  <c r="EI145" i="2" s="1"/>
  <c r="EI142" i="2" a="1"/>
  <c r="EI142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FY182" i="2" a="1"/>
  <c r="FY182" i="2" s="1"/>
  <c r="FY196" i="2" a="1"/>
  <c r="FY196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57" i="2" a="1"/>
  <c r="EI57" i="2" s="1"/>
  <c r="EI165" i="2" a="1"/>
  <c r="EI165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BC18" i="2" l="1" a="1"/>
  <c r="BC18" i="2" s="1"/>
  <c r="BC32" i="2" a="1"/>
  <c r="BC32" i="2" s="1"/>
  <c r="BC82" i="2" a="1"/>
  <c r="BC82" i="2" s="1"/>
  <c r="CS38" i="2" a="1"/>
  <c r="CS38" i="2" s="1"/>
  <c r="BC38" i="2" a="1"/>
  <c r="BC38" i="2" s="1"/>
  <c r="BC164" i="2" a="1"/>
  <c r="BC164" i="2" s="1"/>
  <c r="BC126" i="2" a="1"/>
  <c r="BC126" i="2" s="1"/>
  <c r="BC192" i="2" a="1"/>
  <c r="BC192" i="2" s="1"/>
  <c r="BC130" i="2" a="1"/>
  <c r="BC130" i="2" s="1"/>
  <c r="BC34" i="2" a="1"/>
  <c r="BC34" i="2" s="1"/>
  <c r="BX107" i="2" a="1"/>
  <c r="BX107" i="2" s="1"/>
  <c r="BC47" i="2" a="1"/>
  <c r="BC47" i="2" s="1"/>
  <c r="BC58" i="2" a="1"/>
  <c r="BC58" i="2" s="1"/>
  <c r="BC68" i="2" a="1"/>
  <c r="BC68" i="2" s="1"/>
  <c r="BC83" i="2" a="1"/>
  <c r="BC83" i="2" s="1"/>
  <c r="BC151" i="2" a="1"/>
  <c r="BC151" i="2" s="1"/>
  <c r="BC7" i="2" a="1"/>
  <c r="BC7" i="2" s="1"/>
  <c r="BC31" i="2" a="1"/>
  <c r="BC31" i="2" s="1"/>
  <c r="BC185" i="2" a="1"/>
  <c r="BC185" i="2" s="1"/>
  <c r="BC143" i="2" a="1"/>
  <c r="BC143" i="2" s="1"/>
  <c r="BC84" i="2" a="1"/>
  <c r="BC84" i="2" s="1"/>
  <c r="BC117" i="2" a="1"/>
  <c r="BC117" i="2" s="1"/>
  <c r="BC65" i="2" a="1"/>
  <c r="BC65" i="2" s="1"/>
  <c r="BC181" i="2" a="1"/>
  <c r="BC181" i="2" s="1"/>
  <c r="BC114" i="2" a="1"/>
  <c r="BC114" i="2" s="1"/>
  <c r="AH151" i="2" a="1"/>
  <c r="AH151" i="2" s="1"/>
  <c r="EI35" i="2" a="1"/>
  <c r="EI35" i="2" s="1"/>
  <c r="EI36" i="2" a="1"/>
  <c r="EI36" i="2" s="1"/>
  <c r="FY115" i="2" a="1"/>
  <c r="FY115" i="2" s="1"/>
  <c r="CS77" i="2" a="1"/>
  <c r="CS77" i="2" s="1"/>
  <c r="EI162" i="2" a="1"/>
  <c r="EI162" i="2" s="1"/>
  <c r="FY34" i="2" a="1"/>
  <c r="FY34" i="2" s="1"/>
  <c r="FY126" i="2" a="1"/>
  <c r="FY126" i="2" s="1"/>
  <c r="FY173" i="2" a="1"/>
  <c r="FY173" i="2" s="1"/>
  <c r="FY133" i="2" a="1"/>
  <c r="FY133" i="2" s="1"/>
  <c r="FY109" i="2" a="1"/>
  <c r="FY109" i="2" s="1"/>
  <c r="EI139" i="2" a="1"/>
  <c r="EI139" i="2" s="1"/>
  <c r="EI87" i="2" a="1"/>
  <c r="EI87" i="2" s="1"/>
  <c r="FY86" i="2" a="1"/>
  <c r="FY86" i="2" s="1"/>
  <c r="EI150" i="2" a="1"/>
  <c r="EI150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AH90" i="2" a="1"/>
  <c r="AH90" i="2" s="1"/>
  <c r="EI109" i="2" a="1"/>
  <c r="EI109" i="2" s="1"/>
  <c r="FY58" i="2" a="1"/>
  <c r="FY58" i="2" s="1"/>
  <c r="EI29" i="2" a="1"/>
  <c r="EI29" i="2" s="1"/>
  <c r="FY149" i="2" a="1"/>
  <c r="FY149" i="2" s="1"/>
  <c r="FY28" i="2" a="1"/>
  <c r="FY28" i="2" s="1"/>
  <c r="FY143" i="2" a="1"/>
  <c r="FY143" i="2" s="1"/>
  <c r="FY29" i="2" a="1"/>
  <c r="FY29" i="2" s="1"/>
  <c r="FY47" i="2" a="1"/>
  <c r="FY47" i="2" s="1"/>
  <c r="BP203" i="2"/>
  <c r="HH203" i="2"/>
  <c r="CS105" i="2" a="1"/>
  <c r="CS105" i="2" s="1"/>
  <c r="CS137" i="2" a="1"/>
  <c r="CS137" i="2" s="1"/>
  <c r="CS129" i="2" a="1"/>
  <c r="CS129" i="2" s="1"/>
  <c r="FY165" i="2" a="1"/>
  <c r="FY165" i="2" s="1"/>
  <c r="CS114" i="2" a="1"/>
  <c r="CS114" i="2" s="1"/>
  <c r="CS120" i="2" a="1"/>
  <c r="CS120" i="2" s="1"/>
  <c r="AH163" i="2" a="1"/>
  <c r="AH163" i="2" s="1"/>
  <c r="EI195" i="2" a="1"/>
  <c r="EI195" i="2" s="1"/>
  <c r="EI198" i="2" a="1"/>
  <c r="EI198" i="2" s="1"/>
  <c r="FY62" i="2" a="1"/>
  <c r="FY62" i="2" s="1"/>
  <c r="FY116" i="2" a="1"/>
  <c r="FY116" i="2" s="1"/>
  <c r="FY102" i="2" a="1"/>
  <c r="FY102" i="2" s="1"/>
  <c r="FY32" i="2" a="1"/>
  <c r="FY32" i="2" s="1"/>
  <c r="CS161" i="2" a="1"/>
  <c r="CS161" i="2" s="1"/>
  <c r="CS52" i="2" a="1"/>
  <c r="CS52" i="2" s="1"/>
  <c r="FY80" i="2" a="1"/>
  <c r="FY80" i="2" s="1"/>
  <c r="CS72" i="2" a="1"/>
  <c r="CS72" i="2" s="1"/>
  <c r="CS56" i="2" a="1"/>
  <c r="CS56" i="2" s="1"/>
  <c r="EI20" i="2" a="1"/>
  <c r="EI20" i="2" s="1"/>
  <c r="FY30" i="2" a="1"/>
  <c r="FY30" i="2" s="1"/>
  <c r="AH62" i="2" a="1"/>
  <c r="AH62" i="2" s="1"/>
  <c r="CS116" i="2" a="1"/>
  <c r="CS116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EI34" i="2" a="1"/>
  <c r="EI34" i="2" s="1"/>
  <c r="FY42" i="2" a="1"/>
  <c r="FY42" i="2" s="1"/>
  <c r="AH199" i="2" a="1"/>
  <c r="AH199" i="2" s="1"/>
  <c r="FY72" i="2" a="1"/>
  <c r="FY72" i="2" s="1"/>
  <c r="FY111" i="2" a="1"/>
  <c r="FY111" i="2" s="1"/>
  <c r="FY66" i="2" a="1"/>
  <c r="FY66" i="2" s="1"/>
  <c r="FY90" i="2" a="1"/>
  <c r="FY90" i="2" s="1"/>
  <c r="CS134" i="2" a="1"/>
  <c r="CS134" i="2" s="1"/>
  <c r="CS185" i="2" a="1"/>
  <c r="CS185" i="2" s="1"/>
  <c r="AH92" i="2" a="1"/>
  <c r="AH92" i="2" s="1"/>
  <c r="AH166" i="2" a="1"/>
  <c r="AH166" i="2" s="1"/>
  <c r="CS24" i="2" a="1"/>
  <c r="CS24" i="2" s="1"/>
  <c r="EI71" i="2" a="1"/>
  <c r="EI71" i="2" s="1"/>
  <c r="FY82" i="2" a="1"/>
  <c r="FY82" i="2" s="1"/>
  <c r="AH19" i="2" a="1"/>
  <c r="AH19" i="2" s="1"/>
  <c r="EI178" i="2" a="1"/>
  <c r="EI178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2" i="2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54" i="2" l="1"/>
  <c r="CD48" i="2"/>
  <c r="CD96" i="2"/>
  <c r="CD151" i="2"/>
  <c r="CD189" i="2"/>
  <c r="CD139" i="2"/>
  <c r="CD121" i="2"/>
  <c r="CD58" i="2"/>
  <c r="CD130" i="2"/>
  <c r="CD9" i="2"/>
  <c r="CD98" i="2"/>
  <c r="CD5" i="2"/>
  <c r="CD34" i="2"/>
  <c r="CD90" i="2"/>
  <c r="CD195" i="2"/>
  <c r="CD194" i="2"/>
  <c r="CD92" i="2"/>
  <c r="CD21" i="2"/>
  <c r="CD167" i="2"/>
  <c r="CD122" i="2"/>
  <c r="CD43" i="2"/>
  <c r="CD76" i="2"/>
  <c r="CD103" i="2"/>
  <c r="CD101" i="2"/>
  <c r="CD125" i="2"/>
  <c r="CD47" i="2"/>
  <c r="CD18" i="2"/>
  <c r="CD124" i="2"/>
  <c r="CD75" i="2"/>
  <c r="CD22" i="2"/>
  <c r="CD166" i="2"/>
  <c r="CD60" i="2"/>
  <c r="CD31" i="2"/>
  <c r="CD150" i="2"/>
  <c r="CD6" i="2"/>
  <c r="CD116" i="2"/>
  <c r="CD192" i="2"/>
  <c r="CD112" i="2"/>
  <c r="CD74" i="2"/>
  <c r="CD142" i="2"/>
  <c r="CD25" i="2"/>
  <c r="CD183" i="2"/>
  <c r="CD69" i="2"/>
  <c r="CD81" i="2"/>
  <c r="CD158" i="2"/>
  <c r="CD33" i="2"/>
  <c r="CD56" i="2"/>
  <c r="CD99" i="2"/>
  <c r="CD64" i="2"/>
  <c r="CD37" i="2"/>
  <c r="CD85" i="2"/>
  <c r="CD117" i="2"/>
  <c r="CD168" i="2"/>
  <c r="CD71" i="2"/>
  <c r="CD3" i="2"/>
  <c r="C9" i="4" s="1"/>
  <c r="E9" i="4" s="1"/>
  <c r="F9" i="4" s="1"/>
  <c r="G9" i="4" s="1"/>
  <c r="L9" i="4" s="1"/>
  <c r="CD19" i="2"/>
  <c r="CD95" i="2"/>
  <c r="CD30" i="2"/>
  <c r="CD110" i="2"/>
  <c r="CD55" i="2"/>
  <c r="CD100" i="2"/>
  <c r="CD162" i="2"/>
  <c r="CD11" i="2"/>
  <c r="CD49" i="2"/>
  <c r="CD178" i="2"/>
  <c r="CD196" i="2"/>
  <c r="CD41" i="2"/>
  <c r="CD91" i="2"/>
  <c r="CD197" i="2"/>
  <c r="CD72" i="2"/>
  <c r="CD42" i="2"/>
  <c r="CD111" i="2"/>
  <c r="CD191" i="2"/>
  <c r="CD87" i="2"/>
  <c r="CD38" i="2"/>
  <c r="CD120" i="2"/>
  <c r="CD80" i="2"/>
  <c r="CD44" i="2"/>
  <c r="CD114" i="2"/>
  <c r="CD200" i="2"/>
  <c r="CD199" i="2"/>
  <c r="CD4" i="2"/>
  <c r="CD188" i="2"/>
  <c r="CD27" i="2"/>
  <c r="CD8" i="2"/>
  <c r="CD10" i="2"/>
  <c r="CD170" i="2"/>
  <c r="CD97" i="2"/>
  <c r="CD179" i="2"/>
  <c r="CD171" i="2"/>
  <c r="CD144" i="2"/>
  <c r="CD163" i="2"/>
  <c r="CD177" i="2"/>
  <c r="CD29" i="2"/>
  <c r="CD14" i="2"/>
  <c r="CD156" i="2"/>
  <c r="CD62" i="2"/>
  <c r="CD65" i="2"/>
  <c r="CD149" i="2"/>
  <c r="CD164" i="2"/>
  <c r="CD61" i="2"/>
  <c r="CD12" i="2"/>
  <c r="CD70" i="2"/>
  <c r="CD132" i="2"/>
  <c r="CD45" i="2"/>
  <c r="CD32" i="2"/>
  <c r="CD169" i="2"/>
  <c r="CD203" i="2"/>
  <c r="CD129" i="2"/>
  <c r="CD181" i="2"/>
  <c r="CD155" i="2"/>
  <c r="CD184" i="2"/>
  <c r="CD82" i="2"/>
  <c r="CD105" i="2"/>
  <c r="CD86" i="2"/>
  <c r="CD115" i="2"/>
  <c r="CD13" i="2"/>
  <c r="CD160" i="2"/>
  <c r="CD201" i="2"/>
  <c r="CD175" i="2"/>
  <c r="CD78" i="2"/>
  <c r="CD157" i="2"/>
  <c r="CD128" i="2"/>
  <c r="CD147" i="2"/>
  <c r="CD83" i="2"/>
  <c r="CD16" i="2"/>
  <c r="CD104" i="2"/>
  <c r="CD126" i="2"/>
  <c r="CD28" i="2"/>
  <c r="CD109" i="2"/>
  <c r="CD193" i="2"/>
  <c r="CD23" i="2"/>
  <c r="CD190" i="2"/>
  <c r="CD93" i="2"/>
  <c r="CD94" i="2"/>
  <c r="CD165" i="2"/>
  <c r="CD7" i="2"/>
  <c r="CD180" i="2"/>
  <c r="CD159" i="2"/>
  <c r="CD134" i="2"/>
  <c r="CD140" i="2"/>
  <c r="CD152" i="2"/>
  <c r="CD182" i="2"/>
  <c r="CD66" i="2"/>
  <c r="CD52" i="2"/>
  <c r="CD187" i="2"/>
  <c r="CD145" i="2"/>
  <c r="CD59" i="2"/>
  <c r="CD46" i="2"/>
  <c r="CD53" i="2"/>
  <c r="CD35" i="2"/>
  <c r="CD40" i="2"/>
  <c r="CD108" i="2"/>
  <c r="CD153" i="2"/>
  <c r="CD119" i="2"/>
  <c r="CD54" i="2"/>
  <c r="CD26" i="2"/>
  <c r="CD186" i="2"/>
  <c r="CD36" i="2"/>
  <c r="CD24" i="2"/>
  <c r="CD57" i="2"/>
  <c r="CD202" i="2"/>
  <c r="CD50" i="2"/>
  <c r="CD133" i="2"/>
  <c r="CD68" i="2"/>
  <c r="CD107" i="2"/>
  <c r="CD135" i="2"/>
  <c r="CD39" i="2"/>
  <c r="CD136" i="2"/>
  <c r="CD113" i="2"/>
  <c r="CD148" i="2"/>
  <c r="CD88" i="2"/>
  <c r="CD143" i="2"/>
  <c r="CD138" i="2"/>
  <c r="CD118" i="2"/>
  <c r="CD106" i="2"/>
  <c r="CD102" i="2"/>
  <c r="CD161" i="2"/>
  <c r="CD17" i="2"/>
  <c r="CD146" i="2"/>
  <c r="CD185" i="2"/>
  <c r="CD127" i="2"/>
  <c r="CD172" i="2"/>
  <c r="CD123" i="2"/>
  <c r="CD77" i="2"/>
  <c r="CD15" i="2"/>
  <c r="CD198" i="2"/>
  <c r="CD141" i="2"/>
  <c r="CD89" i="2"/>
  <c r="CD51" i="2"/>
  <c r="CD20" i="2"/>
  <c r="CD131" i="2"/>
  <c r="CD137" i="2"/>
  <c r="CD84" i="2"/>
  <c r="CD73" i="2"/>
  <c r="CD173" i="2"/>
  <c r="CD79" i="2"/>
  <c r="CD174" i="2"/>
  <c r="CD176" i="2"/>
  <c r="CD63" i="2"/>
  <c r="CD67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42" i="2" l="1"/>
  <c r="BI16" i="2"/>
  <c r="BI167" i="2"/>
  <c r="BI55" i="2"/>
  <c r="BI43" i="2"/>
  <c r="BI41" i="2"/>
  <c r="BI103" i="2"/>
  <c r="BI132" i="2"/>
  <c r="BI79" i="2"/>
  <c r="BI117" i="2"/>
  <c r="BI138" i="2"/>
  <c r="BI108" i="2"/>
  <c r="BI18" i="2"/>
  <c r="BI182" i="2"/>
  <c r="BI13" i="2"/>
  <c r="BI166" i="2"/>
  <c r="BI68" i="2"/>
  <c r="BI177" i="2"/>
  <c r="BI48" i="2"/>
  <c r="BI105" i="2"/>
  <c r="BI11" i="2"/>
  <c r="BI144" i="2"/>
  <c r="BI151" i="2"/>
  <c r="BI7" i="2"/>
  <c r="BI21" i="2"/>
  <c r="BI170" i="2"/>
  <c r="BI102" i="2"/>
  <c r="BI111" i="2"/>
  <c r="BI56" i="2"/>
  <c r="BI191" i="2"/>
  <c r="BI57" i="2"/>
  <c r="BI45" i="2"/>
  <c r="BI91" i="2"/>
  <c r="BI23" i="2"/>
  <c r="BI180" i="2"/>
  <c r="BI33" i="2"/>
  <c r="BI10" i="2"/>
  <c r="BI4" i="2"/>
  <c r="BI200" i="2"/>
  <c r="BI90" i="2"/>
  <c r="BI35" i="2"/>
  <c r="BI150" i="2"/>
  <c r="BI61" i="2"/>
  <c r="BI189" i="2"/>
  <c r="BI141" i="2"/>
  <c r="BI172" i="2"/>
  <c r="BI88" i="2"/>
  <c r="BI12" i="2"/>
  <c r="BI168" i="2"/>
  <c r="BI192" i="2"/>
  <c r="BI3" i="2"/>
  <c r="C8" i="4" s="1"/>
  <c r="E8" i="4" s="1"/>
  <c r="F8" i="4" s="1"/>
  <c r="G8" i="4" s="1"/>
  <c r="L8" i="4" s="1"/>
  <c r="BI72" i="2"/>
  <c r="BI53" i="2"/>
  <c r="BI28" i="2"/>
  <c r="BI134" i="2"/>
  <c r="BI32" i="2"/>
  <c r="BI5" i="2"/>
  <c r="BI97" i="2"/>
  <c r="BI93" i="2"/>
  <c r="BI147" i="2"/>
  <c r="BI186" i="2"/>
  <c r="BI94" i="2"/>
  <c r="BI137" i="2"/>
  <c r="BI201" i="2"/>
  <c r="BI125" i="2"/>
  <c r="BI188" i="2"/>
  <c r="BI22" i="2"/>
  <c r="BI82" i="2"/>
  <c r="BI51" i="2"/>
  <c r="BI20" i="2"/>
  <c r="BI119" i="2"/>
  <c r="BI104" i="2"/>
  <c r="BI62" i="2"/>
  <c r="BI86" i="2"/>
  <c r="BI9" i="2"/>
  <c r="BI67" i="2"/>
  <c r="BI89" i="2"/>
  <c r="BI46" i="2"/>
  <c r="BI49" i="2"/>
  <c r="BI19" i="2"/>
  <c r="BI160" i="2"/>
  <c r="BI73" i="2"/>
  <c r="BI69" i="2"/>
  <c r="BI76" i="2"/>
  <c r="BI47" i="2"/>
  <c r="BI65" i="2"/>
  <c r="BI173" i="2"/>
  <c r="BI109" i="2"/>
  <c r="BI122" i="2"/>
  <c r="BI40" i="2"/>
  <c r="BI175" i="2"/>
  <c r="BI34" i="2"/>
  <c r="BI84" i="2"/>
  <c r="BI146" i="2"/>
  <c r="BI159" i="2"/>
  <c r="BI25" i="2"/>
  <c r="BI165" i="2"/>
  <c r="BI95" i="2"/>
  <c r="BI203" i="2"/>
  <c r="BI14" i="2"/>
  <c r="BI161" i="2"/>
  <c r="BI197" i="2"/>
  <c r="BI112" i="2"/>
  <c r="BI155" i="2"/>
  <c r="BI29" i="2"/>
  <c r="BI50" i="2"/>
  <c r="BI114" i="2"/>
  <c r="BI58" i="2"/>
  <c r="BI85" i="2"/>
  <c r="BI38" i="2"/>
  <c r="BI181" i="2"/>
  <c r="BI116" i="2"/>
  <c r="BI37" i="2"/>
  <c r="BI162" i="2"/>
  <c r="BI174" i="2"/>
  <c r="BI66" i="2"/>
  <c r="BI199" i="2"/>
  <c r="BI77" i="2"/>
  <c r="BI78" i="2"/>
  <c r="BI196" i="2"/>
  <c r="BI135" i="2"/>
  <c r="BI190" i="2"/>
  <c r="BI139" i="2"/>
  <c r="BI99" i="2"/>
  <c r="BI148" i="2"/>
  <c r="BI54" i="2"/>
  <c r="BI178" i="2"/>
  <c r="BI171" i="2"/>
  <c r="BI113" i="2"/>
  <c r="BI30" i="2"/>
  <c r="BI129" i="2"/>
  <c r="BI152" i="2"/>
  <c r="BI42" i="2"/>
  <c r="BI123" i="2"/>
  <c r="BI163" i="2"/>
  <c r="BI198" i="2"/>
  <c r="BI101" i="2"/>
  <c r="BI36" i="2"/>
  <c r="BI44" i="2"/>
  <c r="BI121" i="2"/>
  <c r="BI39" i="2"/>
  <c r="BI145" i="2"/>
  <c r="BI193" i="2"/>
  <c r="BI149" i="2"/>
  <c r="BI96" i="2"/>
  <c r="BI176" i="2"/>
  <c r="BI52" i="2"/>
  <c r="BI140" i="2"/>
  <c r="BI24" i="2"/>
  <c r="BI130" i="2"/>
  <c r="BI8" i="2"/>
  <c r="BI131" i="2"/>
  <c r="BI183" i="2"/>
  <c r="BI59" i="2"/>
  <c r="BI127" i="2"/>
  <c r="BI185" i="2"/>
  <c r="BI184" i="2"/>
  <c r="BI136" i="2"/>
  <c r="BI92" i="2"/>
  <c r="BI71" i="2"/>
  <c r="BI64" i="2"/>
  <c r="BI110" i="2"/>
  <c r="BI126" i="2"/>
  <c r="BI98" i="2"/>
  <c r="BI87" i="2"/>
  <c r="BI120" i="2"/>
  <c r="BI157" i="2"/>
  <c r="BI202" i="2"/>
  <c r="BI158" i="2"/>
  <c r="BI74" i="2"/>
  <c r="BI194" i="2"/>
  <c r="BI63" i="2"/>
  <c r="BI17" i="2"/>
  <c r="BI83" i="2"/>
  <c r="BI26" i="2"/>
  <c r="BI106" i="2"/>
  <c r="BI154" i="2"/>
  <c r="BI80" i="2"/>
  <c r="BI179" i="2"/>
  <c r="BI128" i="2"/>
  <c r="BI100" i="2"/>
  <c r="BI164" i="2"/>
  <c r="BI15" i="2"/>
  <c r="BI31" i="2"/>
  <c r="BI115" i="2"/>
  <c r="BI156" i="2"/>
  <c r="BI70" i="2"/>
  <c r="BI27" i="2"/>
  <c r="BI124" i="2"/>
  <c r="BI118" i="2"/>
  <c r="BI6" i="2"/>
  <c r="BI81" i="2"/>
  <c r="BI75" i="2"/>
  <c r="BI195" i="2"/>
  <c r="BI153" i="2"/>
  <c r="BI60" i="2"/>
  <c r="BI169" i="2"/>
  <c r="BI143" i="2"/>
  <c r="BI107" i="2"/>
  <c r="BI187" i="2"/>
  <c r="BI133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<sst xmlns="http://schemas.openxmlformats.org/spreadsheetml/2006/main" count="1173" uniqueCount="324">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</sst>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3.1291263698053959</c:v>
                </c:pt>
                <c:pt idx="2">
                  <c:v>3.6882374283129304</c:v>
                </c:pt>
                <c:pt idx="3">
                  <c:v>4.3476138015210708</c:v>
                </c:pt>
                <c:pt idx="4">
                  <c:v>5.1252975639123264</c:v>
                </c:pt>
                <c:pt idx="5">
                  <c:v>6.0425877090327118</c:v>
                </c:pt>
                <c:pt idx="6">
                  <c:v>7.124629823720201</c:v>
                </c:pt>
                <c:pt idx="7">
                  <c:v>8.401112816150091</c:v>
                </c:pt>
                <c:pt idx="8">
                  <c:v>9.9070921817342779</c:v>
                </c:pt>
                <c:pt idx="9">
                  <c:v>11.683962845158574</c:v>
                </c:pt>
                <c:pt idx="10">
                  <c:v>13.780608820795868</c:v>
                </c:pt>
                <c:pt idx="11">
                  <c:v>16.254761906381365</c:v>
                </c:pt>
                <c:pt idx="12">
                  <c:v>19.174607506995212</c:v>
                </c:pt>
                <c:pt idx="13">
                  <c:v>22.620682644722852</c:v>
                </c:pt>
                <c:pt idx="14">
                  <c:v>26.688119441097104</c:v>
                </c:pt>
                <c:pt idx="15">
                  <c:v>31.489297098020021</c:v>
                </c:pt>
                <c:pt idx="16">
                  <c:v>37.156976924635664</c:v>
                </c:pt>
                <c:pt idx="17">
                  <c:v>43.848008589644458</c:v>
                </c:pt>
                <c:pt idx="18">
                  <c:v>51.747711907965105</c:v>
                </c:pt>
                <c:pt idx="19">
                  <c:v>61.075057555746376</c:v>
                </c:pt>
                <c:pt idx="20">
                  <c:v>72.088792691014348</c:v>
                </c:pt>
                <c:pt idx="21">
                  <c:v>85.094684180942437</c:v>
                </c:pt>
                <c:pt idx="22">
                  <c:v>100.45408376115385</c:v>
                </c:pt>
                <c:pt idx="23">
                  <c:v>118.5940568777324</c:v>
                </c:pt>
                <c:pt idx="24">
                  <c:v>140.01936125439684</c:v>
                </c:pt>
                <c:pt idx="25">
                  <c:v>165.3266136473124</c:v>
                </c:pt>
                <c:pt idx="26">
                  <c:v>163.0568489007332</c:v>
                </c:pt>
                <c:pt idx="27">
                  <c:v>178.93013103704493</c:v>
                </c:pt>
                <c:pt idx="28">
                  <c:v>194.77041295233732</c:v>
                </c:pt>
                <c:pt idx="29">
                  <c:v>210.58075731770046</c:v>
                </c:pt>
                <c:pt idx="30">
                  <c:v>226.3637288579913</c:v>
                </c:pt>
                <c:pt idx="31">
                  <c:v>196.5787725137653</c:v>
                </c:pt>
                <c:pt idx="32">
                  <c:v>214.19062279087038</c:v>
                </c:pt>
                <c:pt idx="33">
                  <c:v>231.76913324998421</c:v>
                </c:pt>
                <c:pt idx="34">
                  <c:v>249.31718852631707</c:v>
                </c:pt>
                <c:pt idx="35">
                  <c:v>266.83723378272913</c:v>
                </c:pt>
                <c:pt idx="36">
                  <c:v>238.52184729375207</c:v>
                </c:pt>
                <c:pt idx="37">
                  <c:v>257.4067095917905</c:v>
                </c:pt>
                <c:pt idx="38">
                  <c:v>276.26024969794497</c:v>
                </c:pt>
                <c:pt idx="39">
                  <c:v>295.08490550123878</c:v>
                </c:pt>
                <c:pt idx="40">
                  <c:v>313.88277839914394</c:v>
                </c:pt>
                <c:pt idx="41">
                  <c:v>285.67604975379066</c:v>
                </c:pt>
                <c:pt idx="42">
                  <c:v>304.48706974706403</c:v>
                </c:pt>
                <c:pt idx="43">
                  <c:v>323.27225207911926</c:v>
                </c:pt>
                <c:pt idx="44">
                  <c:v>342.0333089023552</c:v>
                </c:pt>
                <c:pt idx="45">
                  <c:v>360.77174923572994</c:v>
                </c:pt>
                <c:pt idx="46">
                  <c:v>332.65569753778635</c:v>
                </c:pt>
                <c:pt idx="47">
                  <c:v>351.40526877970325</c:v>
                </c:pt>
                <c:pt idx="48">
                  <c:v>370.13291266764736</c:v>
                </c:pt>
                <c:pt idx="49">
                  <c:v>388.8398943000654</c:v>
                </c:pt>
                <c:pt idx="50">
                  <c:v>407.52734715549929</c:v>
                </c:pt>
                <c:pt idx="51">
                  <c:v>378.59808340312702</c:v>
                </c:pt>
                <c:pt idx="52">
                  <c:v>396.40615590256056</c:v>
                </c:pt>
                <c:pt idx="53">
                  <c:v>414.19690225230175</c:v>
                </c:pt>
                <c:pt idx="54">
                  <c:v>431.97117107689928</c:v>
                </c:pt>
                <c:pt idx="55">
                  <c:v>449.72973549516269</c:v>
                </c:pt>
                <c:pt idx="56">
                  <c:v>419.97530810979856</c:v>
                </c:pt>
                <c:pt idx="57">
                  <c:v>436.85631073214472</c:v>
                </c:pt>
                <c:pt idx="58">
                  <c:v>453.72332170031206</c:v>
                </c:pt>
                <c:pt idx="59">
                  <c:v>470.57693415697889</c:v>
                </c:pt>
                <c:pt idx="60">
                  <c:v>487.41769531100323</c:v>
                </c:pt>
                <c:pt idx="61">
                  <c:v>456.38529460741091</c:v>
                </c:pt>
                <c:pt idx="62">
                  <c:v>471.90692830623647</c:v>
                </c:pt>
                <c:pt idx="63">
                  <c:v>487.41769531100323</c:v>
                </c:pt>
                <c:pt idx="64">
                  <c:v>502.91798999726456</c:v>
                </c:pt>
                <c:pt idx="65">
                  <c:v>518.4081804575975</c:v>
                </c:pt>
                <c:pt idx="66">
                  <c:v>486.97467768184464</c:v>
                </c:pt>
                <c:pt idx="67">
                  <c:v>502.0325344479125</c:v>
                </c:pt>
                <c:pt idx="68">
                  <c:v>517.0808370063063</c:v>
                </c:pt>
                <c:pt idx="69">
                  <c:v>532.11990246351093</c:v>
                </c:pt>
                <c:pt idx="70">
                  <c:v>547.1500285472024</c:v>
                </c:pt>
                <c:pt idx="71">
                  <c:v>514.86843803268494</c:v>
                </c:pt>
                <c:pt idx="72">
                  <c:v>529.02436456380519</c:v>
                </c:pt>
                <c:pt idx="73">
                  <c:v>543.17231966165343</c:v>
                </c:pt>
                <c:pt idx="74">
                  <c:v>557.312540132923</c:v>
                </c:pt>
                <c:pt idx="75">
                  <c:v>571.44524979248843</c:v>
                </c:pt>
                <c:pt idx="76">
                  <c:v>547.59195866062248</c:v>
                </c:pt>
                <c:pt idx="77">
                  <c:v>570.12062152213355</c:v>
                </c:pt>
                <c:pt idx="78">
                  <c:v>592.6306918788855</c:v>
                </c:pt>
                <c:pt idx="79">
                  <c:v>615.1229745610425</c:v>
                </c:pt>
                <c:pt idx="80">
                  <c:v>637.59821080388076</c:v>
                </c:pt>
                <c:pt idx="81">
                  <c:v>603.65849584125021</c:v>
                </c:pt>
                <c:pt idx="82">
                  <c:v>616.00467286998548</c:v>
                </c:pt>
                <c:pt idx="83">
                  <c:v>628.34572110393322</c:v>
                </c:pt>
                <c:pt idx="84">
                  <c:v>640.68175543296877</c:v>
                </c:pt>
                <c:pt idx="85">
                  <c:v>653.01288596370125</c:v>
                </c:pt>
                <c:pt idx="86">
                  <c:v>618.64961097649234</c:v>
                </c:pt>
                <c:pt idx="87">
                  <c:v>630.54894887243461</c:v>
                </c:pt>
                <c:pt idx="88">
                  <c:v>642.44364323070295</c:v>
                </c:pt>
                <c:pt idx="89">
                  <c:v>654.3337921101712</c:v>
                </c:pt>
                <c:pt idx="90">
                  <c:v>666.21948971680979</c:v>
                </c:pt>
                <c:pt idx="91">
                  <c:v>630.98957529795643</c:v>
                </c:pt>
                <c:pt idx="92">
                  <c:v>642.00318064566795</c:v>
                </c:pt>
                <c:pt idx="93">
                  <c:v>653.01288596370102</c:v>
                </c:pt>
                <c:pt idx="94">
                  <c:v>664.01876625311525</c:v>
                </c:pt>
                <c:pt idx="95">
                  <c:v>675.02089382686063</c:v>
                </c:pt>
                <c:pt idx="96">
                  <c:v>639.36027393091456</c:v>
                </c:pt>
                <c:pt idx="97">
                  <c:v>649.93055721224744</c:v>
                </c:pt>
                <c:pt idx="98">
                  <c:v>660.49729626522947</c:v>
                </c:pt>
                <c:pt idx="99">
                  <c:v>671.06055576661822</c:v>
                </c:pt>
                <c:pt idx="100">
                  <c:v>681.62039819161953</c:v>
                </c:pt>
                <c:pt idx="101">
                  <c:v>645.08628798088523</c:v>
                </c:pt>
                <c:pt idx="102">
                  <c:v>654.77408194156533</c:v>
                </c:pt>
                <c:pt idx="103">
                  <c:v>664.45892293572126</c:v>
                </c:pt>
                <c:pt idx="104">
                  <c:v>674.1408600620955</c:v>
                </c:pt>
                <c:pt idx="105">
                  <c:v>683.81994089448426</c:v>
                </c:pt>
                <c:pt idx="106">
                  <c:v>649.04983655033755</c:v>
                </c:pt>
                <c:pt idx="107">
                  <c:v>658.29618135280373</c:v>
                </c:pt>
                <c:pt idx="108">
                  <c:v>667.53985198242788</c:v>
                </c:pt>
                <c:pt idx="109">
                  <c:v>676.7808906826026</c:v>
                </c:pt>
                <c:pt idx="110">
                  <c:v>686.01933844928772</c:v>
                </c:pt>
                <c:pt idx="111">
                  <c:v>652.57257168177659</c:v>
                </c:pt>
                <c:pt idx="112">
                  <c:v>660.93750110758231</c:v>
                </c:pt>
                <c:pt idx="113">
                  <c:v>669.30025147410379</c:v>
                </c:pt>
                <c:pt idx="114">
                  <c:v>677.66085384355108</c:v>
                </c:pt>
                <c:pt idx="115">
                  <c:v>686.01933844928806</c:v>
                </c:pt>
                <c:pt idx="116">
                  <c:v>654.33379211017109</c:v>
                </c:pt>
                <c:pt idx="117">
                  <c:v>662.25807943712243</c:v>
                </c:pt>
                <c:pt idx="118">
                  <c:v>670.18041550240071</c:v>
                </c:pt>
                <c:pt idx="119">
                  <c:v>678.10082662255229</c:v>
                </c:pt>
                <c:pt idx="120">
                  <c:v>686.01933844928806</c:v>
                </c:pt>
                <c:pt idx="121">
                  <c:v>3.2541982832721012E-12</c:v>
                </c:pt>
                <c:pt idx="122">
                  <c:v>3.2541982832721012E-12</c:v>
                </c:pt>
                <c:pt idx="123">
                  <c:v>3.2541982832721012E-12</c:v>
                </c:pt>
                <c:pt idx="124">
                  <c:v>3.2541982832721012E-12</c:v>
                </c:pt>
                <c:pt idx="125">
                  <c:v>3.2541982832721012E-12</c:v>
                </c:pt>
                <c:pt idx="126">
                  <c:v>3.2541982832721012E-12</c:v>
                </c:pt>
                <c:pt idx="127">
                  <c:v>3.2541982832721012E-12</c:v>
                </c:pt>
                <c:pt idx="128">
                  <c:v>3.2541982832721012E-12</c:v>
                </c:pt>
                <c:pt idx="129">
                  <c:v>3.2541982832721012E-12</c:v>
                </c:pt>
                <c:pt idx="130">
                  <c:v>3.2541982832721012E-12</c:v>
                </c:pt>
                <c:pt idx="131">
                  <c:v>3.2541982832721012E-12</c:v>
                </c:pt>
                <c:pt idx="132">
                  <c:v>3.2541982832721012E-12</c:v>
                </c:pt>
                <c:pt idx="133">
                  <c:v>3.2541982832721012E-12</c:v>
                </c:pt>
                <c:pt idx="134">
                  <c:v>3.2541982832721012E-12</c:v>
                </c:pt>
                <c:pt idx="135">
                  <c:v>3.2541982832721012E-12</c:v>
                </c:pt>
                <c:pt idx="136">
                  <c:v>3.2541982832721012E-12</c:v>
                </c:pt>
                <c:pt idx="137">
                  <c:v>3.2541982832721012E-12</c:v>
                </c:pt>
                <c:pt idx="138">
                  <c:v>3.2541982832721012E-12</c:v>
                </c:pt>
                <c:pt idx="139">
                  <c:v>3.2541982832721012E-12</c:v>
                </c:pt>
                <c:pt idx="140">
                  <c:v>3.2541982832721012E-12</c:v>
                </c:pt>
                <c:pt idx="141">
                  <c:v>3.2541982832721012E-12</c:v>
                </c:pt>
                <c:pt idx="142">
                  <c:v>3.2541982832721012E-12</c:v>
                </c:pt>
                <c:pt idx="143">
                  <c:v>3.2541982832721012E-12</c:v>
                </c:pt>
                <c:pt idx="144">
                  <c:v>3.2541982832721012E-12</c:v>
                </c:pt>
                <c:pt idx="145">
                  <c:v>3.2541982832721012E-12</c:v>
                </c:pt>
                <c:pt idx="146">
                  <c:v>3.2541982832721012E-12</c:v>
                </c:pt>
                <c:pt idx="147">
                  <c:v>3.2541982832721012E-12</c:v>
                </c:pt>
                <c:pt idx="148">
                  <c:v>3.2541982832721012E-12</c:v>
                </c:pt>
                <c:pt idx="149">
                  <c:v>3.2541982832721012E-12</c:v>
                </c:pt>
                <c:pt idx="150">
                  <c:v>3.2541982832721012E-12</c:v>
                </c:pt>
                <c:pt idx="151">
                  <c:v>3.2541982832721012E-12</c:v>
                </c:pt>
                <c:pt idx="152">
                  <c:v>3.2541982832721012E-12</c:v>
                </c:pt>
                <c:pt idx="153">
                  <c:v>3.2541982832721012E-12</c:v>
                </c:pt>
                <c:pt idx="154">
                  <c:v>3.2541982832721012E-12</c:v>
                </c:pt>
                <c:pt idx="155">
                  <c:v>3.2541982832721012E-12</c:v>
                </c:pt>
                <c:pt idx="156">
                  <c:v>3.2541982832721012E-12</c:v>
                </c:pt>
                <c:pt idx="157">
                  <c:v>3.2541982832721012E-12</c:v>
                </c:pt>
                <c:pt idx="158">
                  <c:v>3.2541982832721012E-12</c:v>
                </c:pt>
                <c:pt idx="159">
                  <c:v>3.2541982832721012E-12</c:v>
                </c:pt>
                <c:pt idx="160">
                  <c:v>3.2541982832721012E-12</c:v>
                </c:pt>
                <c:pt idx="161">
                  <c:v>3.2541982832721012E-12</c:v>
                </c:pt>
                <c:pt idx="162">
                  <c:v>3.2541982832721012E-12</c:v>
                </c:pt>
                <c:pt idx="163">
                  <c:v>3.2541982832721012E-12</c:v>
                </c:pt>
                <c:pt idx="164">
                  <c:v>3.2541982832721012E-12</c:v>
                </c:pt>
                <c:pt idx="165">
                  <c:v>3.2541982832721012E-12</c:v>
                </c:pt>
                <c:pt idx="166">
                  <c:v>3.2541982832721012E-12</c:v>
                </c:pt>
                <c:pt idx="167">
                  <c:v>3.2541982832721012E-12</c:v>
                </c:pt>
                <c:pt idx="168">
                  <c:v>3.2541982832721012E-12</c:v>
                </c:pt>
                <c:pt idx="169">
                  <c:v>3.2541982832721012E-12</c:v>
                </c:pt>
                <c:pt idx="170">
                  <c:v>3.2541982832721012E-12</c:v>
                </c:pt>
                <c:pt idx="171">
                  <c:v>3.2541982832721012E-12</c:v>
                </c:pt>
                <c:pt idx="172">
                  <c:v>3.2541982832721012E-12</c:v>
                </c:pt>
                <c:pt idx="173">
                  <c:v>3.2541982832721012E-12</c:v>
                </c:pt>
                <c:pt idx="174">
                  <c:v>3.2541982832721012E-12</c:v>
                </c:pt>
                <c:pt idx="175">
                  <c:v>3.2541982832721012E-12</c:v>
                </c:pt>
                <c:pt idx="176">
                  <c:v>3.2541982832721012E-12</c:v>
                </c:pt>
                <c:pt idx="177">
                  <c:v>3.2541982832721012E-12</c:v>
                </c:pt>
                <c:pt idx="178">
                  <c:v>3.2541982832721012E-12</c:v>
                </c:pt>
                <c:pt idx="179">
                  <c:v>3.2541982832721012E-12</c:v>
                </c:pt>
                <c:pt idx="180">
                  <c:v>3.2541982832721012E-12</c:v>
                </c:pt>
                <c:pt idx="181">
                  <c:v>3.2541982832721012E-12</c:v>
                </c:pt>
                <c:pt idx="182">
                  <c:v>3.2541982832721012E-12</c:v>
                </c:pt>
                <c:pt idx="183">
                  <c:v>3.2541982832721012E-12</c:v>
                </c:pt>
                <c:pt idx="184">
                  <c:v>3.2541982832721012E-12</c:v>
                </c:pt>
                <c:pt idx="185">
                  <c:v>3.2541982832721012E-12</c:v>
                </c:pt>
                <c:pt idx="186">
                  <c:v>3.2541982832721012E-12</c:v>
                </c:pt>
                <c:pt idx="187">
                  <c:v>3.2541982832721012E-12</c:v>
                </c:pt>
                <c:pt idx="188">
                  <c:v>3.2541982832721012E-12</c:v>
                </c:pt>
                <c:pt idx="189">
                  <c:v>3.2541982832721012E-12</c:v>
                </c:pt>
                <c:pt idx="190">
                  <c:v>3.2541982832721012E-12</c:v>
                </c:pt>
                <c:pt idx="191">
                  <c:v>3.2541982832721012E-12</c:v>
                </c:pt>
                <c:pt idx="192">
                  <c:v>3.2541982832721012E-12</c:v>
                </c:pt>
                <c:pt idx="193">
                  <c:v>3.2541982832721012E-12</c:v>
                </c:pt>
                <c:pt idx="194">
                  <c:v>3.2541982832721012E-12</c:v>
                </c:pt>
                <c:pt idx="195">
                  <c:v>3.2541982832721012E-12</c:v>
                </c:pt>
                <c:pt idx="196">
                  <c:v>3.2541982832721012E-12</c:v>
                </c:pt>
                <c:pt idx="197">
                  <c:v>3.2541982832721012E-12</c:v>
                </c:pt>
                <c:pt idx="198">
                  <c:v>3.2541982832721012E-12</c:v>
                </c:pt>
                <c:pt idx="199">
                  <c:v>3.2541982832721012E-12</c:v>
                </c:pt>
                <c:pt idx="200">
                  <c:v>3.2541982832721012E-12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364.79097187788199</c:v>
                </c:pt>
                <c:pt idx="57">
                  <c:v>379.44902568382531</c:v>
                </c:pt>
                <c:pt idx="58">
                  <c:v>394.09476222315919</c:v>
                </c:pt>
                <c:pt idx="59">
                  <c:v>408.72870365690943</c:v>
                </c:pt>
                <c:pt idx="60">
                  <c:v>423.35133170920335</c:v>
                </c:pt>
                <c:pt idx="61">
                  <c:v>396.40615590256044</c:v>
                </c:pt>
                <c:pt idx="62">
                  <c:v>409.88352694182049</c:v>
                </c:pt>
                <c:pt idx="63">
                  <c:v>423.35133170920335</c:v>
                </c:pt>
                <c:pt idx="64">
                  <c:v>436.8099173851615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475.59873329316855</c:v>
                </c:pt>
                <c:pt idx="77">
                  <c:v>495.1592132101195</c:v>
                </c:pt>
                <c:pt idx="78">
                  <c:v>514.70332559574524</c:v>
                </c:pt>
                <c:pt idx="79">
                  <c:v>534.23177896582104</c:v>
                </c:pt>
                <c:pt idx="80">
                  <c:v>553.74522585166335</c:v>
                </c:pt>
                <c:pt idx="81">
                  <c:v>524.2780117454289</c:v>
                </c:pt>
                <c:pt idx="82">
                  <c:v>534.99729079736971</c:v>
                </c:pt>
                <c:pt idx="83">
                  <c:v>545.71205481970969</c:v>
                </c:pt>
                <c:pt idx="84">
                  <c:v>556.42240495340059</c:v>
                </c:pt>
                <c:pt idx="85">
                  <c:v>567.12843812854408</c:v>
                </c:pt>
                <c:pt idx="86">
                  <c:v>537.29368823845255</c:v>
                </c:pt>
                <c:pt idx="87">
                  <c:v>547.62493821970611</c:v>
                </c:pt>
                <c:pt idx="88">
                  <c:v>557.95210035753485</c:v>
                </c:pt>
                <c:pt idx="89">
                  <c:v>568.27526097606221</c:v>
                </c:pt>
                <c:pt idx="90">
                  <c:v>578.59450300758806</c:v>
                </c:pt>
                <c:pt idx="91">
                  <c:v>548.00749806060503</c:v>
                </c:pt>
                <c:pt idx="92">
                  <c:v>557.56968475025803</c:v>
                </c:pt>
                <c:pt idx="93">
                  <c:v>567.12843812854396</c:v>
                </c:pt>
                <c:pt idx="94">
                  <c:v>576.68382422111188</c:v>
                </c:pt>
                <c:pt idx="95">
                  <c:v>586.2359066871885</c:v>
                </c:pt>
                <c:pt idx="96">
                  <c:v>555.27507560336085</c:v>
                </c:pt>
                <c:pt idx="97">
                  <c:v>564.45232939981622</c:v>
                </c:pt>
                <c:pt idx="98">
                  <c:v>573.62646310732669</c:v>
                </c:pt>
                <c:pt idx="99">
                  <c:v>582.79753366275293</c:v>
                </c:pt>
                <c:pt idx="100">
                  <c:v>591.96559606486528</c:v>
                </c:pt>
                <c:pt idx="101">
                  <c:v>560.24647888927916</c:v>
                </c:pt>
                <c:pt idx="102">
                  <c:v>568.65752450320417</c:v>
                </c:pt>
                <c:pt idx="103">
                  <c:v>577.06597053344137</c:v>
                </c:pt>
                <c:pt idx="104">
                  <c:v>585.47186020306481</c:v>
                </c:pt>
                <c:pt idx="105">
                  <c:v>593.87523539269284</c:v>
                </c:pt>
                <c:pt idx="106">
                  <c:v>563.68767821983909</c:v>
                </c:pt>
                <c:pt idx="107">
                  <c:v>571.71543971696565</c:v>
                </c:pt>
                <c:pt idx="108">
                  <c:v>579.74084706072097</c:v>
                </c:pt>
                <c:pt idx="109">
                  <c:v>587.76393743921199</c:v>
                </c:pt>
                <c:pt idx="110">
                  <c:v>595.7847469423931</c:v>
                </c:pt>
                <c:pt idx="111">
                  <c:v>566.7461530768777</c:v>
                </c:pt>
                <c:pt idx="112">
                  <c:v>574.00865181610436</c:v>
                </c:pt>
                <c:pt idx="113">
                  <c:v>581.26923226505437</c:v>
                </c:pt>
                <c:pt idx="114">
                  <c:v>588.52792176870946</c:v>
                </c:pt>
                <c:pt idx="115">
                  <c:v>595.7847469423931</c:v>
                </c:pt>
                <c:pt idx="116">
                  <c:v>568.27526097606199</c:v>
                </c:pt>
                <c:pt idx="117">
                  <c:v>575.15518607669253</c:v>
                </c:pt>
                <c:pt idx="118">
                  <c:v>582.03339342401432</c:v>
                </c:pt>
                <c:pt idx="119">
                  <c:v>588.90990618526166</c:v>
                </c:pt>
                <c:pt idx="120">
                  <c:v>595.78474694239333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3.0390461285480193</c:v>
                </c:pt>
                <c:pt idx="2">
                  <c:v>3.5820082011770853</c:v>
                </c:pt>
                <c:pt idx="3">
                  <c:v>4.2223305446090311</c:v>
                </c:pt>
                <c:pt idx="4">
                  <c:v>4.9775309648326838</c:v>
                </c:pt>
                <c:pt idx="5">
                  <c:v>5.868289290782422</c:v>
                </c:pt>
                <c:pt idx="6">
                  <c:v>6.919019824455714</c:v>
                </c:pt>
                <c:pt idx="7">
                  <c:v>8.1585477106915896</c:v>
                </c:pt>
                <c:pt idx="8">
                  <c:v>9.6209081390309201</c:v>
                </c:pt>
                <c:pt idx="9">
                  <c:v>11.346290739854856</c:v>
                </c:pt>
                <c:pt idx="10">
                  <c:v>13.382155617350314</c:v>
                </c:pt>
                <c:pt idx="11">
                  <c:v>15.784552288259455</c:v>
                </c:pt>
                <c:pt idx="12">
                  <c:v>18.619678504496793</c:v>
                </c:pt>
                <c:pt idx="13">
                  <c:v>21.965722691301057</c:v>
                </c:pt>
                <c:pt idx="14">
                  <c:v>25.915041722051782</c:v>
                </c:pt>
                <c:pt idx="15">
                  <c:v>30.576735202784167</c:v>
                </c:pt>
                <c:pt idx="16">
                  <c:v>36.079688621942118</c:v>
                </c:pt>
                <c:pt idx="17">
                  <c:v>42.576170951428125</c:v>
                </c:pt>
                <c:pt idx="18">
                  <c:v>50.246087939256903</c:v>
                </c:pt>
                <c:pt idx="19">
                  <c:v>59.302010856844014</c:v>
                </c:pt>
                <c:pt idx="20">
                  <c:v>69.995122381643057</c:v>
                </c:pt>
                <c:pt idx="21">
                  <c:v>82.62224723173459</c:v>
                </c:pt>
                <c:pt idx="22">
                  <c:v>97.534165860904935</c:v>
                </c:pt>
                <c:pt idx="23">
                  <c:v>115.14544584424293</c:v>
                </c:pt>
                <c:pt idx="24">
                  <c:v>135.94606856949596</c:v>
                </c:pt>
                <c:pt idx="25">
                  <c:v>160.51517972277688</c:v>
                </c:pt>
                <c:pt idx="26">
                  <c:v>158.31162856255909</c:v>
                </c:pt>
                <c:pt idx="27">
                  <c:v>173.72181380960993</c:v>
                </c:pt>
                <c:pt idx="28">
                  <c:v>189.09987078266829</c:v>
                </c:pt>
                <c:pt idx="29">
                  <c:v>204.4487812295192</c:v>
                </c:pt>
                <c:pt idx="30">
                  <c:v>219.7710421086791</c:v>
                </c:pt>
                <c:pt idx="31">
                  <c:v>190.85545638141195</c:v>
                </c:pt>
                <c:pt idx="32">
                  <c:v>207.95327986760662</c:v>
                </c:pt>
                <c:pt idx="33">
                  <c:v>225.01864445582441</c:v>
                </c:pt>
                <c:pt idx="34">
                  <c:v>242.05435856211645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249.90766763554748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304.73423115701871</c:v>
                </c:pt>
                <c:pt idx="41">
                  <c:v>277.35142797945286</c:v>
                </c:pt>
                <c:pt idx="42">
                  <c:v>295.61299167711019</c:v>
                </c:pt>
                <c:pt idx="43">
                  <c:v>313.84940040812506</c:v>
                </c:pt>
                <c:pt idx="44">
                  <c:v>332.06232108561716</c:v>
                </c:pt>
                <c:pt idx="45">
                  <c:v>350.25322285655176</c:v>
                </c:pt>
                <c:pt idx="46">
                  <c:v>322.95870071836066</c:v>
                </c:pt>
                <c:pt idx="47">
                  <c:v>341.16043929184929</c:v>
                </c:pt>
                <c:pt idx="48">
                  <c:v>359.34082988600289</c:v>
                </c:pt>
                <c:pt idx="49">
                  <c:v>377.50110417225511</c:v>
                </c:pt>
                <c:pt idx="50">
                  <c:v>395.64236567985591</c:v>
                </c:pt>
                <c:pt idx="51">
                  <c:v>367.55861487745005</c:v>
                </c:pt>
                <c:pt idx="52">
                  <c:v>384.84622774857991</c:v>
                </c:pt>
                <c:pt idx="53">
                  <c:v>402.11697226951833</c:v>
                </c:pt>
                <c:pt idx="54">
                  <c:v>419.3716746420655</c:v>
                </c:pt>
                <c:pt idx="55">
                  <c:v>436.61108755732999</c:v>
                </c:pt>
                <c:pt idx="56">
                  <c:v>407.72647230225533</c:v>
                </c:pt>
                <c:pt idx="57">
                  <c:v>424.11400709030062</c:v>
                </c:pt>
                <c:pt idx="58">
                  <c:v>440.48791991809298</c:v>
                </c:pt>
                <c:pt idx="59">
                  <c:v>456.84878825602186</c:v>
                </c:pt>
                <c:pt idx="60">
                  <c:v>473.19714485434088</c:v>
                </c:pt>
                <c:pt idx="61">
                  <c:v>443.07206797078328</c:v>
                </c:pt>
                <c:pt idx="62">
                  <c:v>458.1398961971957</c:v>
                </c:pt>
                <c:pt idx="63">
                  <c:v>473.19714485434088</c:v>
                </c:pt>
                <c:pt idx="64">
                  <c:v>488.24419789739949</c:v>
                </c:pt>
                <c:pt idx="65">
                  <c:v>503.28141369303734</c:v>
                </c:pt>
                <c:pt idx="66">
                  <c:v>472.76708100439265</c:v>
                </c:pt>
                <c:pt idx="67">
                  <c:v>487.38463458913157</c:v>
                </c:pt>
                <c:pt idx="68">
                  <c:v>501.99288641186803</c:v>
                </c:pt>
                <c:pt idx="69">
                  <c:v>516.59214520035437</c:v>
                </c:pt>
                <c:pt idx="70">
                  <c:v>531.18270081556841</c:v>
                </c:pt>
                <c:pt idx="71">
                  <c:v>499.84518527975473</c:v>
                </c:pt>
                <c:pt idx="72">
                  <c:v>513.58713617235435</c:v>
                </c:pt>
                <c:pt idx="73">
                  <c:v>527.32132625656061</c:v>
                </c:pt>
                <c:pt idx="74">
                  <c:v>541.04798608205112</c:v>
                </c:pt>
                <c:pt idx="75">
                  <c:v>554.76733354996077</c:v>
                </c:pt>
                <c:pt idx="76">
                  <c:v>531.61170588461948</c:v>
                </c:pt>
                <c:pt idx="77">
                  <c:v>553.48144970796784</c:v>
                </c:pt>
                <c:pt idx="78">
                  <c:v>575.33309228627434</c:v>
                </c:pt>
                <c:pt idx="79">
                  <c:v>597.16741718411038</c:v>
                </c:pt>
                <c:pt idx="80">
                  <c:v>618.98514605149205</c:v>
                </c:pt>
                <c:pt idx="81">
                  <c:v>586.03831044894594</c:v>
                </c:pt>
                <c:pt idx="82">
                  <c:v>598.02332252750443</c:v>
                </c:pt>
                <c:pt idx="83">
                  <c:v>610.00334132665182</c:v>
                </c:pt>
                <c:pt idx="84">
                  <c:v>621.97847870059002</c:v>
                </c:pt>
                <c:pt idx="85">
                  <c:v>633.94884184664056</c:v>
                </c:pt>
                <c:pt idx="86">
                  <c:v>600.59088588094369</c:v>
                </c:pt>
                <c:pt idx="87">
                  <c:v>612.14211357944771</c:v>
                </c:pt>
                <c:pt idx="88">
                  <c:v>623.68882043396718</c:v>
                </c:pt>
                <c:pt idx="89">
                  <c:v>635.23110191241904</c:v>
                </c:pt>
                <c:pt idx="90">
                  <c:v>646.76904973162061</c:v>
                </c:pt>
                <c:pt idx="91">
                  <c:v>612.56984940724203</c:v>
                </c:pt>
                <c:pt idx="92">
                  <c:v>623.26124411759099</c:v>
                </c:pt>
                <c:pt idx="93">
                  <c:v>633.94884184664045</c:v>
                </c:pt>
                <c:pt idx="94">
                  <c:v>644.63271561373756</c:v>
                </c:pt>
                <c:pt idx="95">
                  <c:v>655.31293582114643</c:v>
                </c:pt>
                <c:pt idx="96">
                  <c:v>620.69565848153741</c:v>
                </c:pt>
                <c:pt idx="97">
                  <c:v>630.95669294869867</c:v>
                </c:pt>
                <c:pt idx="98">
                  <c:v>641.21427683474178</c:v>
                </c:pt>
                <c:pt idx="99">
                  <c:v>651.46847310750468</c:v>
                </c:pt>
                <c:pt idx="100">
                  <c:v>661.71934259144541</c:v>
                </c:pt>
                <c:pt idx="101">
                  <c:v>626.25415102719774</c:v>
                </c:pt>
                <c:pt idx="102">
                  <c:v>635.65851003973046</c:v>
                </c:pt>
                <c:pt idx="103">
                  <c:v>645.05999411037931</c:v>
                </c:pt>
                <c:pt idx="104">
                  <c:v>654.45865104057782</c:v>
                </c:pt>
                <c:pt idx="105">
                  <c:v>663.85452714710493</c:v>
                </c:pt>
                <c:pt idx="106">
                  <c:v>630.10173942049789</c:v>
                </c:pt>
                <c:pt idx="107">
                  <c:v>639.07756161116583</c:v>
                </c:pt>
                <c:pt idx="108">
                  <c:v>648.05078028721744</c:v>
                </c:pt>
                <c:pt idx="109">
                  <c:v>657.02143657587078</c:v>
                </c:pt>
                <c:pt idx="110">
                  <c:v>665.9895703898718</c:v>
                </c:pt>
                <c:pt idx="111">
                  <c:v>633.5214099148418</c:v>
                </c:pt>
                <c:pt idx="112">
                  <c:v>641.64160221863142</c:v>
                </c:pt>
                <c:pt idx="113">
                  <c:v>649.75967303924392</c:v>
                </c:pt>
                <c:pt idx="114">
                  <c:v>657.87565261814939</c:v>
                </c:pt>
                <c:pt idx="115">
                  <c:v>665.9895703898718</c:v>
                </c:pt>
                <c:pt idx="116">
                  <c:v>635.23110191241881</c:v>
                </c:pt>
                <c:pt idx="117">
                  <c:v>642.92354312920986</c:v>
                </c:pt>
                <c:pt idx="118">
                  <c:v>650.6140846414612</c:v>
                </c:pt>
                <c:pt idx="119">
                  <c:v>658.30275207037221</c:v>
                </c:pt>
                <c:pt idx="120">
                  <c:v>665.98957038987214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" zoomScale="80" zoomScaleNormal="80" workbookViewId="0">
      <selection activeCell="C13" sqref="C13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1.96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0.71419999999999995</v>
      </c>
      <c r="D9" s="36">
        <f t="shared" ref="D9:D18" si="0">C9*$C$5</f>
        <v>1.399832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9</v>
      </c>
      <c r="C10" s="35">
        <v>9.5000000000000001E-2</v>
      </c>
      <c r="D10" s="36">
        <f t="shared" si="0"/>
        <v>0.1862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9.5000000000000001E-2</v>
      </c>
      <c r="D11" s="36">
        <f t="shared" si="0"/>
        <v>0.1862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12</v>
      </c>
      <c r="C12" s="35">
        <v>9.5000000000000001E-2</v>
      </c>
      <c r="D12" s="36">
        <f t="shared" si="0"/>
        <v>0.1862</v>
      </c>
      <c r="E12" s="37">
        <v>120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0.99919999999999987</v>
      </c>
      <c r="D19" s="41">
        <f>SUM(D9:D18)</f>
        <v>1.9584319999999997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0.4</v>
      </c>
      <c r="F38" s="54"/>
      <c r="G38" s="54">
        <v>0.6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34</v>
      </c>
      <c r="B39" s="63">
        <v>325</v>
      </c>
      <c r="C39" s="63">
        <v>4</v>
      </c>
      <c r="D39" s="63">
        <v>325</v>
      </c>
      <c r="E39" s="54">
        <v>0.4</v>
      </c>
      <c r="F39" s="54">
        <v>0.4</v>
      </c>
      <c r="G39" s="54">
        <v>0.2</v>
      </c>
      <c r="H39" s="54"/>
      <c r="I39" s="52">
        <f t="shared" si="1"/>
        <v>14.727272727272727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chevelu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71</v>
      </c>
      <c r="C62" s="63">
        <v>1</v>
      </c>
      <c r="D62" s="63">
        <v>8</v>
      </c>
      <c r="E62" s="54"/>
      <c r="F62" s="54"/>
      <c r="G62" s="54"/>
      <c r="H62" s="54">
        <v>1</v>
      </c>
      <c r="I62" s="56">
        <f>IFERROR(B62/A62,"")</f>
        <v>2.84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98</v>
      </c>
      <c r="C63" s="63">
        <v>2</v>
      </c>
      <c r="D63" s="63">
        <v>21</v>
      </c>
      <c r="E63" s="54"/>
      <c r="F63" s="54">
        <v>0.3</v>
      </c>
      <c r="G63" s="54">
        <v>0.7</v>
      </c>
      <c r="H63" s="54"/>
      <c r="I63" s="52">
        <f>IF(A63&lt;&gt;0,(B63-(B62-D62))/(A63-A62),"")</f>
        <v>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116</v>
      </c>
      <c r="C64" s="63">
        <v>3</v>
      </c>
      <c r="D64" s="63">
        <v>21</v>
      </c>
      <c r="E64" s="54"/>
      <c r="F64" s="54"/>
      <c r="G64" s="54"/>
      <c r="H64" s="54"/>
      <c r="I64" s="52">
        <f>IF(A64&lt;&gt;0,(B64-(B63-D63))/(A64-A63),"")</f>
        <v>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137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158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179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198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215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7.6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229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242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6.8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253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283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10.199999999999999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290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5.6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296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300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303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4.8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304</v>
      </c>
      <c r="C78" s="53">
        <v>17</v>
      </c>
      <c r="D78" s="53">
        <v>20</v>
      </c>
      <c r="E78" s="54"/>
      <c r="F78" s="54"/>
      <c r="G78" s="54"/>
      <c r="H78" s="54"/>
      <c r="I78" s="52">
        <f t="shared" si="2"/>
        <v>4.4000000000000004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305</v>
      </c>
      <c r="C79" s="53">
        <v>18</v>
      </c>
      <c r="D79" s="53">
        <v>19</v>
      </c>
      <c r="E79" s="54"/>
      <c r="F79" s="54"/>
      <c r="G79" s="54"/>
      <c r="H79" s="54"/>
      <c r="I79" s="52">
        <f t="shared" si="2"/>
        <v>4.2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305</v>
      </c>
      <c r="C80" s="53">
        <v>19</v>
      </c>
      <c r="D80" s="53">
        <v>18</v>
      </c>
      <c r="E80" s="54"/>
      <c r="F80" s="54"/>
      <c r="G80" s="54"/>
      <c r="H80" s="54"/>
      <c r="I80" s="52">
        <f t="shared" si="2"/>
        <v>3.8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305</v>
      </c>
      <c r="C81" s="53">
        <v>20</v>
      </c>
      <c r="D81" s="53">
        <v>305</v>
      </c>
      <c r="E81" s="54"/>
      <c r="F81" s="54"/>
      <c r="G81" s="54"/>
      <c r="H81" s="54"/>
      <c r="I81" s="52">
        <f t="shared" si="2"/>
        <v>3.6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71</v>
      </c>
      <c r="C88" s="63">
        <v>1</v>
      </c>
      <c r="D88" s="63">
        <v>8</v>
      </c>
      <c r="E88" s="54"/>
      <c r="F88" s="54"/>
      <c r="G88" s="54"/>
      <c r="H88" s="54">
        <v>1</v>
      </c>
      <c r="I88" s="56">
        <f>IFERROR(B88/A88,"")</f>
        <v>2.84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98</v>
      </c>
      <c r="C89" s="63">
        <v>2</v>
      </c>
      <c r="D89" s="63">
        <v>21</v>
      </c>
      <c r="E89" s="54"/>
      <c r="F89" s="54">
        <v>0.3</v>
      </c>
      <c r="G89" s="54">
        <v>0.7</v>
      </c>
      <c r="H89" s="54"/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179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198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215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253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283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10.199999999999999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290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296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300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303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304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4.4000000000000004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305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305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305</v>
      </c>
      <c r="C107" s="53">
        <v>20</v>
      </c>
      <c r="D107" s="53">
        <v>305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pubescent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25</v>
      </c>
      <c r="B114" s="63">
        <v>71</v>
      </c>
      <c r="C114" s="63">
        <v>1</v>
      </c>
      <c r="D114" s="63">
        <v>8</v>
      </c>
      <c r="E114" s="54"/>
      <c r="F114" s="54"/>
      <c r="G114" s="54"/>
      <c r="H114" s="54">
        <v>1</v>
      </c>
      <c r="I114" s="56">
        <f>IFERROR(B114/A114,"")</f>
        <v>2.84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30</v>
      </c>
      <c r="B115" s="63">
        <v>98</v>
      </c>
      <c r="C115" s="63">
        <v>2</v>
      </c>
      <c r="D115" s="63">
        <v>21</v>
      </c>
      <c r="E115" s="54"/>
      <c r="F115" s="54">
        <v>0.3</v>
      </c>
      <c r="G115" s="54">
        <v>0.7</v>
      </c>
      <c r="H115" s="54"/>
      <c r="I115" s="56">
        <f t="shared" ref="I115:I133" si="4">IF(A115&lt;&gt;0,(B115-(B114-D114))/(A115-A114),"")</f>
        <v>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35</v>
      </c>
      <c r="B116" s="63">
        <v>116</v>
      </c>
      <c r="C116" s="63">
        <v>3</v>
      </c>
      <c r="D116" s="63">
        <v>21</v>
      </c>
      <c r="E116" s="54"/>
      <c r="F116" s="54"/>
      <c r="G116" s="54"/>
      <c r="H116" s="54"/>
      <c r="I116" s="56">
        <f t="shared" si="4"/>
        <v>7.8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40</v>
      </c>
      <c r="B117" s="63">
        <v>137</v>
      </c>
      <c r="C117" s="63">
        <v>4</v>
      </c>
      <c r="D117" s="63">
        <v>21</v>
      </c>
      <c r="E117" s="54"/>
      <c r="F117" s="54"/>
      <c r="G117" s="54"/>
      <c r="H117" s="54"/>
      <c r="I117" s="56">
        <f t="shared" si="4"/>
        <v>8.4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45</v>
      </c>
      <c r="B118" s="63">
        <v>158</v>
      </c>
      <c r="C118" s="53">
        <v>5</v>
      </c>
      <c r="D118" s="63">
        <v>21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50</v>
      </c>
      <c r="B119" s="63">
        <v>179</v>
      </c>
      <c r="C119" s="53">
        <v>6</v>
      </c>
      <c r="D119" s="63">
        <v>21</v>
      </c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55</v>
      </c>
      <c r="B120" s="63">
        <v>198</v>
      </c>
      <c r="C120" s="63">
        <v>7</v>
      </c>
      <c r="D120" s="63">
        <v>21</v>
      </c>
      <c r="E120" s="93"/>
      <c r="F120" s="93"/>
      <c r="G120" s="93"/>
      <c r="H120" s="93"/>
      <c r="I120" s="56">
        <f t="shared" si="4"/>
        <v>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60</v>
      </c>
      <c r="B121" s="63">
        <v>215</v>
      </c>
      <c r="C121" s="63">
        <v>8</v>
      </c>
      <c r="D121" s="63">
        <v>21</v>
      </c>
      <c r="E121" s="93"/>
      <c r="F121" s="93"/>
      <c r="G121" s="93"/>
      <c r="H121" s="93"/>
      <c r="I121" s="56">
        <f t="shared" si="4"/>
        <v>7.6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65</v>
      </c>
      <c r="B122" s="63">
        <v>229</v>
      </c>
      <c r="C122" s="63">
        <v>9</v>
      </c>
      <c r="D122" s="63">
        <v>21</v>
      </c>
      <c r="E122" s="93"/>
      <c r="F122" s="93"/>
      <c r="G122" s="93"/>
      <c r="H122" s="93"/>
      <c r="I122" s="56">
        <f t="shared" si="4"/>
        <v>7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70</v>
      </c>
      <c r="B123" s="63">
        <v>242</v>
      </c>
      <c r="C123" s="63">
        <v>10</v>
      </c>
      <c r="D123" s="63">
        <v>21</v>
      </c>
      <c r="E123" s="93"/>
      <c r="F123" s="93"/>
      <c r="G123" s="93"/>
      <c r="H123" s="93"/>
      <c r="I123" s="56">
        <f t="shared" si="4"/>
        <v>6.8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75</v>
      </c>
      <c r="B124" s="63">
        <v>253</v>
      </c>
      <c r="C124" s="63">
        <v>11</v>
      </c>
      <c r="D124" s="63">
        <v>21</v>
      </c>
      <c r="E124" s="93"/>
      <c r="F124" s="93"/>
      <c r="G124" s="93"/>
      <c r="H124" s="93"/>
      <c r="I124" s="56">
        <f t="shared" si="4"/>
        <v>6.4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80</v>
      </c>
      <c r="B125" s="63">
        <v>283</v>
      </c>
      <c r="C125" s="63">
        <v>12</v>
      </c>
      <c r="D125" s="63">
        <v>21</v>
      </c>
      <c r="E125" s="93"/>
      <c r="F125" s="93"/>
      <c r="G125" s="93"/>
      <c r="H125" s="93"/>
      <c r="I125" s="56">
        <f t="shared" si="4"/>
        <v>10.199999999999999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85</v>
      </c>
      <c r="B126" s="63">
        <v>290</v>
      </c>
      <c r="C126" s="63">
        <v>13</v>
      </c>
      <c r="D126" s="63">
        <v>21</v>
      </c>
      <c r="E126" s="68"/>
      <c r="F126" s="68"/>
      <c r="G126" s="68"/>
      <c r="H126" s="68"/>
      <c r="I126" s="56">
        <f t="shared" si="4"/>
        <v>5.6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90</v>
      </c>
      <c r="B127" s="63">
        <v>296</v>
      </c>
      <c r="C127" s="63">
        <v>14</v>
      </c>
      <c r="D127" s="63">
        <v>21</v>
      </c>
      <c r="E127" s="68"/>
      <c r="F127" s="68"/>
      <c r="G127" s="68"/>
      <c r="H127" s="68"/>
      <c r="I127" s="56">
        <f t="shared" si="4"/>
        <v>5.4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95</v>
      </c>
      <c r="B128" s="53">
        <v>300</v>
      </c>
      <c r="C128" s="53">
        <v>15</v>
      </c>
      <c r="D128" s="53">
        <v>21</v>
      </c>
      <c r="E128" s="57"/>
      <c r="F128" s="57"/>
      <c r="G128" s="57"/>
      <c r="H128" s="57"/>
      <c r="I128" s="56">
        <f t="shared" si="4"/>
        <v>5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100</v>
      </c>
      <c r="B129" s="53">
        <v>303</v>
      </c>
      <c r="C129" s="53">
        <v>16</v>
      </c>
      <c r="D129" s="53">
        <v>21</v>
      </c>
      <c r="E129" s="57"/>
      <c r="F129" s="57"/>
      <c r="G129" s="57"/>
      <c r="H129" s="57"/>
      <c r="I129" s="56">
        <f t="shared" si="4"/>
        <v>4.8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105</v>
      </c>
      <c r="B130" s="53">
        <v>304</v>
      </c>
      <c r="C130" s="53">
        <v>17</v>
      </c>
      <c r="D130" s="53">
        <v>20</v>
      </c>
      <c r="E130" s="57"/>
      <c r="F130" s="57"/>
      <c r="G130" s="57"/>
      <c r="H130" s="57"/>
      <c r="I130" s="56">
        <f t="shared" si="4"/>
        <v>4.4000000000000004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110</v>
      </c>
      <c r="B131" s="53">
        <v>305</v>
      </c>
      <c r="C131" s="53">
        <v>18</v>
      </c>
      <c r="D131" s="53">
        <v>19</v>
      </c>
      <c r="E131" s="57"/>
      <c r="F131" s="57"/>
      <c r="G131" s="57"/>
      <c r="H131" s="57"/>
      <c r="I131" s="56">
        <f t="shared" si="4"/>
        <v>4.2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115</v>
      </c>
      <c r="B132" s="53">
        <v>305</v>
      </c>
      <c r="C132" s="53">
        <v>19</v>
      </c>
      <c r="D132" s="53">
        <v>18</v>
      </c>
      <c r="E132" s="57"/>
      <c r="F132" s="57"/>
      <c r="G132" s="57"/>
      <c r="H132" s="57"/>
      <c r="I132" s="56">
        <f t="shared" si="4"/>
        <v>3.8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120</v>
      </c>
      <c r="B133" s="53">
        <v>305</v>
      </c>
      <c r="C133" s="53">
        <v>20</v>
      </c>
      <c r="D133" s="53">
        <v>305</v>
      </c>
      <c r="E133" s="57"/>
      <c r="F133" s="57"/>
      <c r="G133" s="57"/>
      <c r="H133" s="57"/>
      <c r="I133" s="56">
        <f t="shared" si="4"/>
        <v>3.6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6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6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6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6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chevelu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sessile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Chêne pubescent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160.24926890971085</v>
      </c>
      <c r="T3" s="62">
        <f>IF('Données projet'!E9&gt;30,$R$33-$H$33,LOOKUP('Données projet'!$E$9,$A$3:$A$203,R3:R203)-LOOKUP('Données projet'!$E$9,$A$3:$A$203,$H$3:$H$203))</f>
        <v>323.52368436151721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320.63267332485663</v>
      </c>
      <c r="AO3" s="62">
        <f>IF('Données projet'!E10&gt;30,$AM$33-$H$33,LOOKUP('Données projet'!$E$10,$A$3:$A$203,AM3:AM203)-LOOKUP('Données projet'!$E$10,$A$3:$A$203,$H$3:$H$203))</f>
        <v>201.96012789473809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267.00333505765792</v>
      </c>
      <c r="BJ3" s="62">
        <f>IF('Données projet'!E11&gt;30,$BH$33-$H$33,LOOKUP('Données projet'!$E$11,$A$3:$A$203,BH3:BH203)-LOOKUP('Données projet'!$E$11,$A$3:$A$203,$H$3:$H$203))</f>
        <v>172.25613380618557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308.72872453744998</v>
      </c>
      <c r="CE3" s="62">
        <f>IF('Données projet'!E12&gt;30,$CC$33-$H$33,LOOKUP('Données projet'!$E$12,$A$3:$A$203,CC3:CC203)-LOOKUP('Données projet'!$E$12,$A$3:$A$203,$H$3:$H$203))</f>
        <v>195.3674411454258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260.07163016944799</v>
      </c>
      <c r="S4" s="62">
        <f ca="1">AVERAGE(OFFSET($R$3,0,0,'Données projet'!$E$9+1,1))-AVERAGE(OFFSET($H$3,0,0,'Données projet'!$E$9+1,1))</f>
        <v>160.24926890971085</v>
      </c>
      <c r="T4" s="62">
        <f>$T$3</f>
        <v>323.52368436151721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2.84</v>
      </c>
      <c r="AI4" s="14">
        <f>IF('Données projet'!$A$62&gt;35,AI3+AH4-AQ3,IF(A4&lt;'Données projet'!$A$62,$AF$205^A4,IF(A4='Données projet'!$A$62,'Données projet'!$B$62,AI3+AH4-AQ3)))</f>
        <v>1.185906184594963</v>
      </c>
      <c r="AJ4" s="14">
        <f>AI4*VLOOKUP('Données projet'!$B$10,Paramètres!$A$1:$I$89,3,0)*VLOOKUP('Données projet'!$B$10,Paramètres!$A$1:$I$89,5,0)</f>
        <v>1.2395091441386554</v>
      </c>
      <c r="AK4" s="14">
        <f>EXP(-1.0587+0.8836*LN(AJ4)+0.284)</f>
        <v>0.55711843661085447</v>
      </c>
      <c r="AL4" s="22">
        <f t="shared" ref="AL4:AL67" si="4">(AJ4+AK4)*0.475*44/12</f>
        <v>3.1291263698053959</v>
      </c>
      <c r="AM4" s="62">
        <f t="shared" ref="AM4:AM67" si="5">AL4+(AD4+AE4)*44/12</f>
        <v>261.01801525869428</v>
      </c>
      <c r="AN4" s="62">
        <f ca="1">AVERAGE(OFFSET($AM$3,0,0,'Données projet'!$E$10+1,1))-AVERAGE(OFFSET($H$3,0,0,'Données projet'!$E$10+1,1))</f>
        <v>320.63267332485663</v>
      </c>
      <c r="AO4" s="62">
        <f>$AO$3</f>
        <v>201.96012789473809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2.84</v>
      </c>
      <c r="BD4" s="13">
        <f>IF('Données projet'!$A$88&gt;35,BD3+BC4-BL3,IF(A4&lt;'Données projet'!$A$88,$BA$205^A4,IF(A4='Données projet'!$A$88,'Données projet'!$B$88,BD3+BC4-BL3)))</f>
        <v>1.185906184594963</v>
      </c>
      <c r="BE4" s="14">
        <f>BD4*VLOOKUP('Données projet'!$B$11,Paramètres!$A$1:$I$89,3,0)*VLOOKUP('Données projet'!$B$11,Paramètres!$A$1:$I$89,5,0)</f>
        <v>1.0730079158215224</v>
      </c>
      <c r="BF4" s="14">
        <f>EXP(-1.0587+0.8836*LN(BE4)+0.284)</f>
        <v>0.49044782191261621</v>
      </c>
      <c r="BG4" s="22">
        <f t="shared" ref="BG4:BG67" si="7">(BE4+BF4)*0.475*44/12</f>
        <v>2.7230187432202917</v>
      </c>
      <c r="BH4" s="62">
        <f t="shared" ref="BH4:BH67" si="8">BG4+(AY4+AZ4)*44/12</f>
        <v>260.61190763210914</v>
      </c>
      <c r="BI4" s="62">
        <f ca="1">AVERAGE(OFFSET($BH$3,0,0,'Données projet'!$E$11+1,1))-AVERAGE(OFFSET($H$3,0,0,'Données projet'!$E$11+1,1))</f>
        <v>267.00333505765792</v>
      </c>
      <c r="BJ4" s="62">
        <f>$BJ$3</f>
        <v>172.25613380618557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2.84</v>
      </c>
      <c r="BY4" s="13">
        <f>IF('Données projet'!$A$114&gt;35,BY3+BX4-CG3,IF(A4&lt;'Données projet'!$A$114,$BV$205^A4,IF(A4='Données projet'!$A$114,'Données projet'!$B$114,BY3+BX4-CG3)))</f>
        <v>1.185906184594963</v>
      </c>
      <c r="BZ4" s="14">
        <f>BY4*VLOOKUP('Données projet'!$B$12,Paramètres!$A$1:$I$89,3,0)*VLOOKUP('Données projet'!$B$12,Paramètres!$A$1:$I$89,5,0)</f>
        <v>1.2025088711792926</v>
      </c>
      <c r="CA4" s="14">
        <f>EXP(-1.0587+0.8836*LN(BZ4)+0.284)</f>
        <v>0.54239799688655566</v>
      </c>
      <c r="CB4" s="22">
        <f t="shared" ref="CB4:CB67" si="10">(BZ4+CA4)*0.475*44/12</f>
        <v>3.0390461285480193</v>
      </c>
      <c r="CC4" s="62">
        <f t="shared" ref="CC4:CC67" si="11">CB4+(BT4+BU4)*44/12</f>
        <v>260.92793501743688</v>
      </c>
      <c r="CD4" s="62">
        <f ca="1">AVERAGE(OFFSET($CC$3,0,0,'Données projet'!$E$12+1,1))-AVERAGE(OFFSET($H$3,0,0,'Données projet'!$E$12+1,1))</f>
        <v>308.72872453744998</v>
      </c>
      <c r="CE4" s="62">
        <f>$CE$3</f>
        <v>195.3674411454258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262.18386357747022</v>
      </c>
      <c r="S5" s="62">
        <f ca="1">AVERAGE(OFFSET($R$3,0,0,'Données projet'!$E$9+1,1))-AVERAGE(OFFSET($H$3,0,0,'Données projet'!$E$9+1,1))</f>
        <v>160.24926890971085</v>
      </c>
      <c r="T5" s="62">
        <f t="shared" ref="T5:T68" si="34">$T$3</f>
        <v>323.52368436151721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2.84</v>
      </c>
      <c r="AI5" s="14">
        <f>IF('Données projet'!$A$62&gt;35,AI4+AH5-AQ4,IF(A5&lt;'Données projet'!$A$62,$AF$205^A5,IF(A5='Données projet'!$A$62,'Données projet'!$B$62,AI4+AH5-AQ4)))</f>
        <v>1.4063734786605824</v>
      </c>
      <c r="AJ5" s="14">
        <f>AI5*VLOOKUP('Données projet'!$B$10,Paramètres!$A$1:$I$89,3,0)*VLOOKUP('Données projet'!$B$10,Paramètres!$A$1:$I$89,5,0)</f>
        <v>1.4699415598960408</v>
      </c>
      <c r="AK5" s="14">
        <f t="shared" ref="AK5:AK68" si="35">EXP(-1.0587+0.8836*LN(AJ5)+0.284)</f>
        <v>0.64770672430277143</v>
      </c>
      <c r="AL5" s="22">
        <f t="shared" si="4"/>
        <v>3.6882374283129304</v>
      </c>
      <c r="AM5" s="62">
        <f t="shared" si="5"/>
        <v>262.79934853942405</v>
      </c>
      <c r="AN5" s="62">
        <f ca="1">AVERAGE(OFFSET($AM$3,0,0,'Données projet'!$E$10+1,1))-AVERAGE(OFFSET($H$3,0,0,'Données projet'!$E$10+1,1))</f>
        <v>320.63267332485663</v>
      </c>
      <c r="AO5" s="62">
        <f t="shared" ref="AO5:AO68" si="36">$AO$3</f>
        <v>201.96012789473809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2.84</v>
      </c>
      <c r="BD5" s="13">
        <f>IF('Données projet'!$A$88&gt;35,BD4+BC5-BL4,IF(A5&lt;'Données projet'!$A$88,$BA$205^A5,IF(A5='Données projet'!$A$88,'Données projet'!$B$88,BD4+BC5-BL4)))</f>
        <v>1.4063734786605824</v>
      </c>
      <c r="BE5" s="14">
        <f>BD5*VLOOKUP('Données projet'!$B$11,Paramètres!$A$1:$I$89,3,0)*VLOOKUP('Données projet'!$B$11,Paramètres!$A$1:$I$89,5,0)</f>
        <v>1.2724867234920949</v>
      </c>
      <c r="BF5" s="14">
        <f t="shared" ref="BF5:BF68" si="37">EXP(-1.0587+0.8836*LN(BE5)+0.284)</f>
        <v>0.570195368340213</v>
      </c>
      <c r="BG5" s="22">
        <f t="shared" si="7"/>
        <v>3.209337976607936</v>
      </c>
      <c r="BH5" s="62">
        <f t="shared" si="8"/>
        <v>262.32044908771906</v>
      </c>
      <c r="BI5" s="62">
        <f ca="1">AVERAGE(OFFSET($BH$3,0,0,'Données projet'!$E$11+1,1))-AVERAGE(OFFSET($H$3,0,0,'Données projet'!$E$11+1,1))</f>
        <v>267.00333505765792</v>
      </c>
      <c r="BJ5" s="62">
        <f t="shared" ref="BJ5:BJ68" si="38">$BJ$3</f>
        <v>172.25613380618557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2.84</v>
      </c>
      <c r="BY5" s="13">
        <f>IF('Données projet'!$A$114&gt;35,BY4+BX5-CG4,IF(A5&lt;'Données projet'!$A$114,$BV$205^A5,IF(A5='Données projet'!$A$114,'Données projet'!$B$114,BY4+BX5-CG4)))</f>
        <v>1.4063734786605824</v>
      </c>
      <c r="BZ5" s="14">
        <f>BY5*VLOOKUP('Données projet'!$B$12,Paramètres!$A$1:$I$89,3,0)*VLOOKUP('Données projet'!$B$12,Paramètres!$A$1:$I$89,5,0)</f>
        <v>1.4260627073618306</v>
      </c>
      <c r="CA5" s="14">
        <f t="shared" ref="CA5:CA68" si="39">EXP(-1.0587+0.8836*LN(BZ5)+0.284)</f>
        <v>0.63059271915132864</v>
      </c>
      <c r="CB5" s="22">
        <f t="shared" si="10"/>
        <v>3.5820082011770853</v>
      </c>
      <c r="CC5" s="62">
        <f t="shared" si="11"/>
        <v>262.69311931228822</v>
      </c>
      <c r="CD5" s="62">
        <f ca="1">AVERAGE(OFFSET($CC$3,0,0,'Données projet'!$E$12+1,1))-AVERAGE(OFFSET($H$3,0,0,'Données projet'!$E$12+1,1))</f>
        <v>308.72872453744998</v>
      </c>
      <c r="CE5" s="62">
        <f t="shared" ref="CE5:CE68" si="40">$CE$3</f>
        <v>195.3674411454258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264.66058017412968</v>
      </c>
      <c r="S6" s="62">
        <f ca="1">AVERAGE(OFFSET($R$3,0,0,'Données projet'!$E$9+1,1))-AVERAGE(OFFSET($H$3,0,0,'Données projet'!$E$9+1,1))</f>
        <v>160.24926890971085</v>
      </c>
      <c r="T6" s="62">
        <f t="shared" si="34"/>
        <v>323.52368436151721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2.84</v>
      </c>
      <c r="AI6" s="14">
        <f>IF('Données projet'!$A$62&gt;35,AI5+AH6-AQ5,IF(A6&lt;'Données projet'!$A$62,$AF$205^A6,IF(A6='Données projet'!$A$62,'Données projet'!$B$62,AI5+AH6-AQ5)))</f>
        <v>1.6678270061939169</v>
      </c>
      <c r="AJ6" s="14">
        <f>AI6*VLOOKUP('Données projet'!$B$10,Paramètres!$A$1:$I$89,3,0)*VLOOKUP('Données projet'!$B$10,Paramètres!$A$1:$I$89,5,0)</f>
        <v>1.743212786873882</v>
      </c>
      <c r="AK6" s="14">
        <f t="shared" si="35"/>
        <v>0.75302480251620674</v>
      </c>
      <c r="AL6" s="22">
        <f t="shared" si="4"/>
        <v>4.3476138015210708</v>
      </c>
      <c r="AM6" s="62">
        <f t="shared" si="5"/>
        <v>264.68094713485436</v>
      </c>
      <c r="AN6" s="62">
        <f ca="1">AVERAGE(OFFSET($AM$3,0,0,'Données projet'!$E$10+1,1))-AVERAGE(OFFSET($H$3,0,0,'Données projet'!$E$10+1,1))</f>
        <v>320.63267332485663</v>
      </c>
      <c r="AO6" s="62">
        <f t="shared" si="36"/>
        <v>201.96012789473809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2.84</v>
      </c>
      <c r="BD6" s="13">
        <f>IF('Données projet'!$A$88&gt;35,BD5+BC6-BL5,IF(A6&lt;'Données projet'!$A$88,$BA$205^A6,IF(A6='Données projet'!$A$88,'Données projet'!$B$88,BD5+BC6-BL5)))</f>
        <v>1.6678270061939169</v>
      </c>
      <c r="BE6" s="14">
        <f>BD6*VLOOKUP('Données projet'!$B$11,Paramètres!$A$1:$I$89,3,0)*VLOOKUP('Données projet'!$B$11,Paramètres!$A$1:$I$89,5,0)</f>
        <v>1.5090498752042558</v>
      </c>
      <c r="BF6" s="14">
        <f t="shared" si="37"/>
        <v>0.66290998461108197</v>
      </c>
      <c r="BG6" s="22">
        <f t="shared" si="7"/>
        <v>3.7828300891783795</v>
      </c>
      <c r="BH6" s="62">
        <f t="shared" si="8"/>
        <v>264.1161634225117</v>
      </c>
      <c r="BI6" s="62">
        <f ca="1">AVERAGE(OFFSET($BH$3,0,0,'Données projet'!$E$11+1,1))-AVERAGE(OFFSET($H$3,0,0,'Données projet'!$E$11+1,1))</f>
        <v>267.00333505765792</v>
      </c>
      <c r="BJ6" s="62">
        <f t="shared" si="38"/>
        <v>172.25613380618557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2.84</v>
      </c>
      <c r="BY6" s="13">
        <f>IF('Données projet'!$A$114&gt;35,BY5+BX6-CG5,IF(A6&lt;'Données projet'!$A$114,$BV$205^A6,IF(A6='Données projet'!$A$114,'Données projet'!$B$114,BY5+BX6-CG5)))</f>
        <v>1.6678270061939169</v>
      </c>
      <c r="BZ6" s="14">
        <f>BY6*VLOOKUP('Données projet'!$B$12,Paramètres!$A$1:$I$89,3,0)*VLOOKUP('Données projet'!$B$12,Paramètres!$A$1:$I$89,5,0)</f>
        <v>1.6911765842806317</v>
      </c>
      <c r="CA6" s="14">
        <f t="shared" si="39"/>
        <v>0.73312803463364506</v>
      </c>
      <c r="CB6" s="22">
        <f t="shared" si="10"/>
        <v>4.2223305446090311</v>
      </c>
      <c r="CC6" s="62">
        <f t="shared" si="11"/>
        <v>264.55566387794232</v>
      </c>
      <c r="CD6" s="62">
        <f ca="1">AVERAGE(OFFSET($CC$3,0,0,'Données projet'!$E$12+1,1))-AVERAGE(OFFSET($H$3,0,0,'Données projet'!$E$12+1,1))</f>
        <v>308.72872453744998</v>
      </c>
      <c r="CE6" s="62">
        <f t="shared" si="40"/>
        <v>195.3674411454258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267.65165467591896</v>
      </c>
      <c r="S7" s="62">
        <f ca="1">AVERAGE(OFFSET($R$3,0,0,'Données projet'!$E$9+1,1))-AVERAGE(OFFSET($H$3,0,0,'Données projet'!$E$9+1,1))</f>
        <v>160.24926890971085</v>
      </c>
      <c r="T7" s="62">
        <f t="shared" si="34"/>
        <v>323.52368436151721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2.84</v>
      </c>
      <c r="AI7" s="14">
        <f>IF('Données projet'!$A$62&gt;35,AI6+AH7-AQ6,IF(A7&lt;'Données projet'!$A$62,$AF$205^A7,IF(A7='Données projet'!$A$62,'Données projet'!$B$62,AI6+AH7-AQ6)))</f>
        <v>1.9778863614798676</v>
      </c>
      <c r="AJ7" s="14">
        <f>AI7*VLOOKUP('Données projet'!$B$10,Paramètres!$A$1:$I$89,3,0)*VLOOKUP('Données projet'!$B$10,Paramètres!$A$1:$I$89,5,0)</f>
        <v>2.0672868250187575</v>
      </c>
      <c r="AK7" s="14">
        <f t="shared" si="35"/>
        <v>0.87546775713186098</v>
      </c>
      <c r="AL7" s="22">
        <f t="shared" si="4"/>
        <v>5.1252975639123264</v>
      </c>
      <c r="AM7" s="62">
        <f t="shared" si="5"/>
        <v>266.68085311946788</v>
      </c>
      <c r="AN7" s="62">
        <f ca="1">AVERAGE(OFFSET($AM$3,0,0,'Données projet'!$E$10+1,1))-AVERAGE(OFFSET($H$3,0,0,'Données projet'!$E$10+1,1))</f>
        <v>320.63267332485663</v>
      </c>
      <c r="AO7" s="62">
        <f t="shared" si="36"/>
        <v>201.96012789473809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2.84</v>
      </c>
      <c r="BD7" s="13">
        <f>IF('Données projet'!$A$88&gt;35,BD6+BC7-BL6,IF(A7&lt;'Données projet'!$A$88,$BA$205^A7,IF(A7='Données projet'!$A$88,'Données projet'!$B$88,BD6+BC7-BL6)))</f>
        <v>1.9778863614798676</v>
      </c>
      <c r="BE7" s="14">
        <f>BD7*VLOOKUP('Données projet'!$B$11,Paramètres!$A$1:$I$89,3,0)*VLOOKUP('Données projet'!$B$11,Paramètres!$A$1:$I$89,5,0)</f>
        <v>1.7895915798669841</v>
      </c>
      <c r="BF7" s="14">
        <f t="shared" si="37"/>
        <v>0.77070013559784434</v>
      </c>
      <c r="BG7" s="22">
        <f t="shared" si="7"/>
        <v>4.459174737767909</v>
      </c>
      <c r="BH7" s="62">
        <f t="shared" si="8"/>
        <v>266.01473029332345</v>
      </c>
      <c r="BI7" s="62">
        <f ca="1">AVERAGE(OFFSET($BH$3,0,0,'Données projet'!$E$11+1,1))-AVERAGE(OFFSET($H$3,0,0,'Données projet'!$E$11+1,1))</f>
        <v>267.00333505765792</v>
      </c>
      <c r="BJ7" s="62">
        <f t="shared" si="38"/>
        <v>172.25613380618557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2.84</v>
      </c>
      <c r="BY7" s="13">
        <f>IF('Données projet'!$A$114&gt;35,BY6+BX7-CG6,IF(A7&lt;'Données projet'!$A$114,$BV$205^A7,IF(A7='Données projet'!$A$114,'Données projet'!$B$114,BY6+BX7-CG6)))</f>
        <v>1.9778863614798676</v>
      </c>
      <c r="BZ7" s="14">
        <f>BY7*VLOOKUP('Données projet'!$B$12,Paramètres!$A$1:$I$89,3,0)*VLOOKUP('Données projet'!$B$12,Paramètres!$A$1:$I$89,5,0)</f>
        <v>2.005576770540586</v>
      </c>
      <c r="CA7" s="14">
        <f t="shared" si="39"/>
        <v>0.85233574515282073</v>
      </c>
      <c r="CB7" s="22">
        <f t="shared" si="10"/>
        <v>4.9775309648326838</v>
      </c>
      <c r="CC7" s="62">
        <f t="shared" si="11"/>
        <v>266.53308652038822</v>
      </c>
      <c r="CD7" s="62">
        <f ca="1">AVERAGE(OFFSET($CC$3,0,0,'Données projet'!$E$12+1,1))-AVERAGE(OFFSET($H$3,0,0,'Données projet'!$E$12+1,1))</f>
        <v>308.72872453744998</v>
      </c>
      <c r="CE7" s="62">
        <f t="shared" si="40"/>
        <v>195.3674411454258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271.36882356072067</v>
      </c>
      <c r="S8" s="62">
        <f ca="1">AVERAGE(OFFSET($R$3,0,0,'Données projet'!$E$9+1,1))-AVERAGE(OFFSET($H$3,0,0,'Données projet'!$E$9+1,1))</f>
        <v>160.24926890971085</v>
      </c>
      <c r="T8" s="62">
        <f t="shared" si="34"/>
        <v>323.52368436151721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2.84</v>
      </c>
      <c r="AI8" s="14">
        <f>IF('Données projet'!$A$62&gt;35,AI7+AH8-AQ7,IF(A8&lt;'Données projet'!$A$62,$AF$205^A8,IF(A8='Données projet'!$A$62,'Données projet'!$B$62,AI7+AH8-AQ7)))</f>
        <v>2.3455876685050034</v>
      </c>
      <c r="AJ8" s="14">
        <f>AI8*VLOOKUP('Données projet'!$B$10,Paramètres!$A$1:$I$89,3,0)*VLOOKUP('Données projet'!$B$10,Paramètres!$A$1:$I$89,5,0)</f>
        <v>2.4516082311214298</v>
      </c>
      <c r="AK8" s="14">
        <f t="shared" si="35"/>
        <v>1.0178201185624238</v>
      </c>
      <c r="AL8" s="22">
        <f t="shared" si="4"/>
        <v>6.0425877090327118</v>
      </c>
      <c r="AM8" s="62">
        <f t="shared" si="5"/>
        <v>268.82036548681049</v>
      </c>
      <c r="AN8" s="62">
        <f ca="1">AVERAGE(OFFSET($AM$3,0,0,'Données projet'!$E$10+1,1))-AVERAGE(OFFSET($H$3,0,0,'Données projet'!$E$10+1,1))</f>
        <v>320.63267332485663</v>
      </c>
      <c r="AO8" s="62">
        <f t="shared" si="36"/>
        <v>201.96012789473809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2.84</v>
      </c>
      <c r="BD8" s="13">
        <f>IF('Données projet'!$A$88&gt;35,BD7+BC8-BL7,IF(A8&lt;'Données projet'!$A$88,$BA$205^A8,IF(A8='Données projet'!$A$88,'Données projet'!$B$88,BD7+BC8-BL7)))</f>
        <v>2.3455876685050034</v>
      </c>
      <c r="BE8" s="14">
        <f>BD8*VLOOKUP('Données projet'!$B$11,Paramètres!$A$1:$I$89,3,0)*VLOOKUP('Données projet'!$B$11,Paramètres!$A$1:$I$89,5,0)</f>
        <v>2.122287722463327</v>
      </c>
      <c r="BF8" s="14">
        <f t="shared" si="37"/>
        <v>0.89601712570223679</v>
      </c>
      <c r="BG8" s="22">
        <f t="shared" si="7"/>
        <v>5.2568809438883566</v>
      </c>
      <c r="BH8" s="62">
        <f t="shared" si="8"/>
        <v>268.03465872166612</v>
      </c>
      <c r="BI8" s="62">
        <f ca="1">AVERAGE(OFFSET($BH$3,0,0,'Données projet'!$E$11+1,1))-AVERAGE(OFFSET($H$3,0,0,'Données projet'!$E$11+1,1))</f>
        <v>267.00333505765792</v>
      </c>
      <c r="BJ8" s="62">
        <f t="shared" si="38"/>
        <v>172.25613380618557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2.84</v>
      </c>
      <c r="BY8" s="13">
        <f>IF('Données projet'!$A$114&gt;35,BY7+BX8-CG7,IF(A8&lt;'Données projet'!$A$114,$BV$205^A8,IF(A8='Données projet'!$A$114,'Données projet'!$B$114,BY7+BX8-CG7)))</f>
        <v>2.3455876685050034</v>
      </c>
      <c r="BZ8" s="14">
        <f>BY8*VLOOKUP('Données projet'!$B$12,Paramètres!$A$1:$I$89,3,0)*VLOOKUP('Données projet'!$B$12,Paramètres!$A$1:$I$89,5,0)</f>
        <v>2.3784258958640736</v>
      </c>
      <c r="CA8" s="14">
        <f t="shared" si="39"/>
        <v>0.99092680697750823</v>
      </c>
      <c r="CB8" s="22">
        <f t="shared" si="10"/>
        <v>5.868289290782422</v>
      </c>
      <c r="CC8" s="62">
        <f t="shared" si="11"/>
        <v>268.64606706856017</v>
      </c>
      <c r="CD8" s="62">
        <f ca="1">AVERAGE(OFFSET($CC$3,0,0,'Données projet'!$E$12+1,1))-AVERAGE(OFFSET($H$3,0,0,'Données projet'!$E$12+1,1))</f>
        <v>308.72872453744998</v>
      </c>
      <c r="CE8" s="62">
        <f t="shared" si="40"/>
        <v>195.3674411454258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276.11130812041091</v>
      </c>
      <c r="S9" s="62">
        <f ca="1">AVERAGE(OFFSET($R$3,0,0,'Données projet'!$E$9+1,1))-AVERAGE(OFFSET($H$3,0,0,'Données projet'!$E$9+1,1))</f>
        <v>160.24926890971085</v>
      </c>
      <c r="T9" s="62">
        <f t="shared" si="34"/>
        <v>323.52368436151721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2.84</v>
      </c>
      <c r="AI9" s="14">
        <f>IF('Données projet'!$A$62&gt;35,AI8+AH9-AQ8,IF(A9&lt;'Données projet'!$A$62,$AF$205^A9,IF(A9='Données projet'!$A$62,'Données projet'!$B$62,AI8+AH9-AQ8)))</f>
        <v>2.7816469225897635</v>
      </c>
      <c r="AJ9" s="14">
        <f>AI9*VLOOKUP('Données projet'!$B$10,Paramètres!$A$1:$I$89,3,0)*VLOOKUP('Données projet'!$B$10,Paramètres!$A$1:$I$89,5,0)</f>
        <v>2.9073773634908209</v>
      </c>
      <c r="AK9" s="14">
        <f t="shared" si="35"/>
        <v>1.1833191860136008</v>
      </c>
      <c r="AL9" s="22">
        <f t="shared" si="4"/>
        <v>7.124629823720201</v>
      </c>
      <c r="AM9" s="62">
        <f t="shared" si="5"/>
        <v>271.12462982372023</v>
      </c>
      <c r="AN9" s="62">
        <f ca="1">AVERAGE(OFFSET($AM$3,0,0,'Données projet'!$E$10+1,1))-AVERAGE(OFFSET($H$3,0,0,'Données projet'!$E$10+1,1))</f>
        <v>320.63267332485663</v>
      </c>
      <c r="AO9" s="62">
        <f t="shared" si="36"/>
        <v>201.96012789473809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2.84</v>
      </c>
      <c r="BD9" s="13">
        <f>IF('Données projet'!$A$88&gt;35,BD8+BC9-BL8,IF(A9&lt;'Données projet'!$A$88,$BA$205^A9,IF(A9='Données projet'!$A$88,'Données projet'!$B$88,BD8+BC9-BL8)))</f>
        <v>2.7816469225897635</v>
      </c>
      <c r="BE9" s="14">
        <f>BD9*VLOOKUP('Données projet'!$B$11,Paramètres!$A$1:$I$89,3,0)*VLOOKUP('Données projet'!$B$11,Paramètres!$A$1:$I$89,5,0)</f>
        <v>2.5168341355592179</v>
      </c>
      <c r="BF9" s="14">
        <f t="shared" si="37"/>
        <v>1.0417108450732491</v>
      </c>
      <c r="BG9" s="22">
        <f t="shared" si="7"/>
        <v>6.1977991746015464</v>
      </c>
      <c r="BH9" s="62">
        <f t="shared" si="8"/>
        <v>270.19779917460153</v>
      </c>
      <c r="BI9" s="62">
        <f ca="1">AVERAGE(OFFSET($BH$3,0,0,'Données projet'!$E$11+1,1))-AVERAGE(OFFSET($H$3,0,0,'Données projet'!$E$11+1,1))</f>
        <v>267.00333505765792</v>
      </c>
      <c r="BJ9" s="62">
        <f t="shared" si="38"/>
        <v>172.25613380618557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2.84</v>
      </c>
      <c r="BY9" s="13">
        <f>IF('Données projet'!$A$114&gt;35,BY8+BX9-CG8,IF(A9&lt;'Données projet'!$A$114,$BV$205^A9,IF(A9='Données projet'!$A$114,'Données projet'!$B$114,BY8+BX9-CG8)))</f>
        <v>2.7816469225897635</v>
      </c>
      <c r="BZ9" s="14">
        <f>BY9*VLOOKUP('Données projet'!$B$12,Paramètres!$A$1:$I$89,3,0)*VLOOKUP('Données projet'!$B$12,Paramètres!$A$1:$I$89,5,0)</f>
        <v>2.8205899795060203</v>
      </c>
      <c r="CA9" s="14">
        <f t="shared" si="39"/>
        <v>1.1520529819039591</v>
      </c>
      <c r="CB9" s="22">
        <f t="shared" si="10"/>
        <v>6.919019824455714</v>
      </c>
      <c r="CC9" s="62">
        <f t="shared" si="11"/>
        <v>270.91901982445569</v>
      </c>
      <c r="CD9" s="62">
        <f ca="1">AVERAGE(OFFSET($CC$3,0,0,'Données projet'!$E$12+1,1))-AVERAGE(OFFSET($H$3,0,0,'Données projet'!$E$12+1,1))</f>
        <v>308.72872453744998</v>
      </c>
      <c r="CE9" s="62">
        <f t="shared" si="40"/>
        <v>195.3674411454258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282.30208448518505</v>
      </c>
      <c r="S10" s="62">
        <f ca="1">AVERAGE(OFFSET($R$3,0,0,'Données projet'!$E$9+1,1))-AVERAGE(OFFSET($H$3,0,0,'Données projet'!$E$9+1,1))</f>
        <v>160.24926890971085</v>
      </c>
      <c r="T10" s="62">
        <f t="shared" si="34"/>
        <v>323.52368436151721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2.84</v>
      </c>
      <c r="AI10" s="14">
        <f>IF('Données projet'!$A$62&gt;35,AI9+AH10-AQ9,IF(A10&lt;'Données projet'!$A$62,$AF$205^A10,IF(A10='Données projet'!$A$62,'Données projet'!$B$62,AI9+AH10-AQ9)))</f>
        <v>3.2987722888587467</v>
      </c>
      <c r="AJ10" s="14">
        <f>AI10*VLOOKUP('Données projet'!$B$10,Paramètres!$A$1:$I$89,3,0)*VLOOKUP('Données projet'!$B$10,Paramètres!$A$1:$I$89,5,0)</f>
        <v>3.4478767963151622</v>
      </c>
      <c r="AK10" s="14">
        <f t="shared" si="35"/>
        <v>1.3757286483643154</v>
      </c>
      <c r="AL10" s="22">
        <f t="shared" si="4"/>
        <v>8.401112816150091</v>
      </c>
      <c r="AM10" s="62">
        <f t="shared" si="5"/>
        <v>273.62333503837232</v>
      </c>
      <c r="AN10" s="62">
        <f ca="1">AVERAGE(OFFSET($AM$3,0,0,'Données projet'!$E$10+1,1))-AVERAGE(OFFSET($H$3,0,0,'Données projet'!$E$10+1,1))</f>
        <v>320.63267332485663</v>
      </c>
      <c r="AO10" s="62">
        <f t="shared" si="36"/>
        <v>201.96012789473809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2.84</v>
      </c>
      <c r="BD10" s="13">
        <f>IF('Données projet'!$A$88&gt;35,BD9+BC10-BL9,IF(A10&lt;'Données projet'!$A$88,$BA$205^A10,IF(A10='Données projet'!$A$88,'Données projet'!$B$88,BD9+BC10-BL9)))</f>
        <v>3.2987722888587467</v>
      </c>
      <c r="BE10" s="14">
        <f>BD10*VLOOKUP('Données projet'!$B$11,Paramètres!$A$1:$I$89,3,0)*VLOOKUP('Données projet'!$B$11,Paramètres!$A$1:$I$89,5,0)</f>
        <v>2.9847291669593941</v>
      </c>
      <c r="BF10" s="14">
        <f t="shared" si="37"/>
        <v>1.2110945802433715</v>
      </c>
      <c r="BG10" s="22">
        <f t="shared" si="7"/>
        <v>7.3077263597114817</v>
      </c>
      <c r="BH10" s="62">
        <f t="shared" si="8"/>
        <v>272.5299485819337</v>
      </c>
      <c r="BI10" s="62">
        <f ca="1">AVERAGE(OFFSET($BH$3,0,0,'Données projet'!$E$11+1,1))-AVERAGE(OFFSET($H$3,0,0,'Données projet'!$E$11+1,1))</f>
        <v>267.00333505765792</v>
      </c>
      <c r="BJ10" s="62">
        <f t="shared" si="38"/>
        <v>172.25613380618557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2.84</v>
      </c>
      <c r="BY10" s="13">
        <f>IF('Données projet'!$A$114&gt;35,BY9+BX10-CG9,IF(A10&lt;'Données projet'!$A$114,$BV$205^A10,IF(A10='Données projet'!$A$114,'Données projet'!$B$114,BY9+BX10-CG9)))</f>
        <v>3.2987722888587467</v>
      </c>
      <c r="BZ10" s="14">
        <f>BY10*VLOOKUP('Données projet'!$B$12,Paramètres!$A$1:$I$89,3,0)*VLOOKUP('Données projet'!$B$12,Paramètres!$A$1:$I$89,5,0)</f>
        <v>3.3449551009027689</v>
      </c>
      <c r="CA10" s="14">
        <f t="shared" si="39"/>
        <v>1.3393785128914457</v>
      </c>
      <c r="CB10" s="22">
        <f t="shared" si="10"/>
        <v>8.1585477106915896</v>
      </c>
      <c r="CC10" s="62">
        <f t="shared" si="11"/>
        <v>273.38076993291384</v>
      </c>
      <c r="CD10" s="62">
        <f ca="1">AVERAGE(OFFSET($CC$3,0,0,'Données projet'!$E$12+1,1))-AVERAGE(OFFSET($H$3,0,0,'Données projet'!$E$12+1,1))</f>
        <v>308.72872453744998</v>
      </c>
      <c r="CE10" s="62">
        <f t="shared" si="40"/>
        <v>195.3674411454258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290.53923755068712</v>
      </c>
      <c r="S11" s="62">
        <f ca="1">AVERAGE(OFFSET($R$3,0,0,'Données projet'!$E$9+1,1))-AVERAGE(OFFSET($H$3,0,0,'Données projet'!$E$9+1,1))</f>
        <v>160.24926890971085</v>
      </c>
      <c r="T11" s="62">
        <f t="shared" si="34"/>
        <v>323.52368436151721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2.84</v>
      </c>
      <c r="AI11" s="14">
        <f>IF('Données projet'!$A$62&gt;35,AI10+AH11-AQ10,IF(A11&lt;'Données projet'!$A$62,$AF$205^A11,IF(A11='Données projet'!$A$62,'Données projet'!$B$62,AI10+AH11-AQ10)))</f>
        <v>3.9120344589280696</v>
      </c>
      <c r="AJ11" s="14">
        <f>AI11*VLOOKUP('Données projet'!$B$10,Paramètres!$A$1:$I$89,3,0)*VLOOKUP('Données projet'!$B$10,Paramètres!$A$1:$I$89,5,0)</f>
        <v>4.0888584164716182</v>
      </c>
      <c r="AK11" s="14">
        <f t="shared" si="35"/>
        <v>1.5994241759116992</v>
      </c>
      <c r="AL11" s="22">
        <f t="shared" si="4"/>
        <v>9.9070921817342779</v>
      </c>
      <c r="AM11" s="62">
        <f t="shared" si="5"/>
        <v>276.35153662617876</v>
      </c>
      <c r="AN11" s="62">
        <f ca="1">AVERAGE(OFFSET($AM$3,0,0,'Données projet'!$E$10+1,1))-AVERAGE(OFFSET($H$3,0,0,'Données projet'!$E$10+1,1))</f>
        <v>320.63267332485663</v>
      </c>
      <c r="AO11" s="62">
        <f t="shared" si="36"/>
        <v>201.96012789473809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2.84</v>
      </c>
      <c r="BD11" s="13">
        <f>IF('Données projet'!$A$88&gt;35,BD10+BC11-BL10,IF(A11&lt;'Données projet'!$A$88,$BA$205^A11,IF(A11='Données projet'!$A$88,'Données projet'!$B$88,BD10+BC11-BL10)))</f>
        <v>3.9120344589280696</v>
      </c>
      <c r="BE11" s="14">
        <f>BD11*VLOOKUP('Données projet'!$B$11,Paramètres!$A$1:$I$89,3,0)*VLOOKUP('Données projet'!$B$11,Paramètres!$A$1:$I$89,5,0)</f>
        <v>3.5396087784381174</v>
      </c>
      <c r="BF11" s="14">
        <f t="shared" si="37"/>
        <v>1.4080203630708406</v>
      </c>
      <c r="BG11" s="22">
        <f t="shared" si="7"/>
        <v>8.6171207547947688</v>
      </c>
      <c r="BH11" s="62">
        <f t="shared" si="8"/>
        <v>275.06156519923923</v>
      </c>
      <c r="BI11" s="62">
        <f ca="1">AVERAGE(OFFSET($BH$3,0,0,'Données projet'!$E$11+1,1))-AVERAGE(OFFSET($H$3,0,0,'Données projet'!$E$11+1,1))</f>
        <v>267.00333505765792</v>
      </c>
      <c r="BJ11" s="62">
        <f t="shared" si="38"/>
        <v>172.25613380618557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2.84</v>
      </c>
      <c r="BY11" s="13">
        <f>IF('Données projet'!$A$114&gt;35,BY10+BX11-CG10,IF(A11&lt;'Données projet'!$A$114,$BV$205^A11,IF(A11='Données projet'!$A$114,'Données projet'!$B$114,BY10+BX11-CG10)))</f>
        <v>3.9120344589280696</v>
      </c>
      <c r="BZ11" s="14">
        <f>BY11*VLOOKUP('Données projet'!$B$12,Paramètres!$A$1:$I$89,3,0)*VLOOKUP('Données projet'!$B$12,Paramètres!$A$1:$I$89,5,0)</f>
        <v>3.9668029413530626</v>
      </c>
      <c r="CA11" s="14">
        <f t="shared" si="39"/>
        <v>1.5571634542627768</v>
      </c>
      <c r="CB11" s="22">
        <f t="shared" si="10"/>
        <v>9.6209081390309201</v>
      </c>
      <c r="CC11" s="62">
        <f t="shared" si="11"/>
        <v>276.06535258347537</v>
      </c>
      <c r="CD11" s="62">
        <f ca="1">AVERAGE(OFFSET($CC$3,0,0,'Données projet'!$E$12+1,1))-AVERAGE(OFFSET($H$3,0,0,'Données projet'!$E$12+1,1))</f>
        <v>308.72872453744998</v>
      </c>
      <c r="CE11" s="62">
        <f t="shared" si="40"/>
        <v>195.3674411454258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301.66868961206603</v>
      </c>
      <c r="S12" s="62">
        <f ca="1">AVERAGE(OFFSET($R$3,0,0,'Données projet'!$E$9+1,1))-AVERAGE(OFFSET($H$3,0,0,'Données projet'!$E$9+1,1))</f>
        <v>160.24926890971085</v>
      </c>
      <c r="T12" s="62">
        <f t="shared" si="34"/>
        <v>323.52368436151721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2.84</v>
      </c>
      <c r="AI12" s="14">
        <f>IF('Données projet'!$A$62&gt;35,AI11+AH12-AQ11,IF(A12&lt;'Données projet'!$A$62,$AF$205^A12,IF(A12='Données projet'!$A$62,'Données projet'!$B$62,AI11+AH12-AQ11)))</f>
        <v>4.6393058591914071</v>
      </c>
      <c r="AJ12" s="14">
        <f>AI12*VLOOKUP('Données projet'!$B$10,Paramètres!$A$1:$I$89,3,0)*VLOOKUP('Données projet'!$B$10,Paramètres!$A$1:$I$89,5,0)</f>
        <v>4.8490024840268591</v>
      </c>
      <c r="AK12" s="14">
        <f t="shared" si="35"/>
        <v>1.8594929294613169</v>
      </c>
      <c r="AL12" s="22">
        <f t="shared" si="4"/>
        <v>11.683962845158574</v>
      </c>
      <c r="AM12" s="62">
        <f t="shared" si="5"/>
        <v>279.35062951182528</v>
      </c>
      <c r="AN12" s="62">
        <f ca="1">AVERAGE(OFFSET($AM$3,0,0,'Données projet'!$E$10+1,1))-AVERAGE(OFFSET($H$3,0,0,'Données projet'!$E$10+1,1))</f>
        <v>320.63267332485663</v>
      </c>
      <c r="AO12" s="62">
        <f t="shared" si="36"/>
        <v>201.96012789473809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2.84</v>
      </c>
      <c r="BD12" s="13">
        <f>IF('Données projet'!$A$88&gt;35,BD11+BC12-BL11,IF(A12&lt;'Données projet'!$A$88,$BA$205^A12,IF(A12='Données projet'!$A$88,'Données projet'!$B$88,BD11+BC12-BL11)))</f>
        <v>4.6393058591914071</v>
      </c>
      <c r="BE12" s="14">
        <f>BD12*VLOOKUP('Données projet'!$B$11,Paramètres!$A$1:$I$89,3,0)*VLOOKUP('Données projet'!$B$11,Paramètres!$A$1:$I$89,5,0)</f>
        <v>4.1976439413963851</v>
      </c>
      <c r="BF12" s="14">
        <f t="shared" si="37"/>
        <v>1.6369665715321342</v>
      </c>
      <c r="BG12" s="22">
        <f t="shared" si="7"/>
        <v>10.161946643350502</v>
      </c>
      <c r="BH12" s="62">
        <f t="shared" si="8"/>
        <v>277.8286133100172</v>
      </c>
      <c r="BI12" s="62">
        <f ca="1">AVERAGE(OFFSET($BH$3,0,0,'Données projet'!$E$11+1,1))-AVERAGE(OFFSET($H$3,0,0,'Données projet'!$E$11+1,1))</f>
        <v>267.00333505765792</v>
      </c>
      <c r="BJ12" s="62">
        <f t="shared" si="38"/>
        <v>172.25613380618557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2.84</v>
      </c>
      <c r="BY12" s="13">
        <f>IF('Données projet'!$A$114&gt;35,BY11+BX12-CG11,IF(A12&lt;'Données projet'!$A$114,$BV$205^A12,IF(A12='Données projet'!$A$114,'Données projet'!$B$114,BY11+BX12-CG11)))</f>
        <v>4.6393058591914071</v>
      </c>
      <c r="BZ12" s="14">
        <f>BY12*VLOOKUP('Données projet'!$B$12,Paramètres!$A$1:$I$89,3,0)*VLOOKUP('Données projet'!$B$12,Paramètres!$A$1:$I$89,5,0)</f>
        <v>4.7042561412200872</v>
      </c>
      <c r="CA12" s="14">
        <f t="shared" si="39"/>
        <v>1.8103605515195429</v>
      </c>
      <c r="CB12" s="22">
        <f t="shared" si="10"/>
        <v>11.346290739854856</v>
      </c>
      <c r="CC12" s="62">
        <f t="shared" si="11"/>
        <v>279.01295740652154</v>
      </c>
      <c r="CD12" s="62">
        <f ca="1">AVERAGE(OFFSET($CC$3,0,0,'Données projet'!$E$12+1,1))-AVERAGE(OFFSET($H$3,0,0,'Données projet'!$E$12+1,1))</f>
        <v>308.72872453744998</v>
      </c>
      <c r="CE12" s="62">
        <f t="shared" si="40"/>
        <v>195.3674411454258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316.88722481428681</v>
      </c>
      <c r="S13" s="62">
        <f ca="1">AVERAGE(OFFSET($R$3,0,0,'Données projet'!$E$9+1,1))-AVERAGE(OFFSET($H$3,0,0,'Données projet'!$E$9+1,1))</f>
        <v>160.24926890971085</v>
      </c>
      <c r="T13" s="62">
        <f t="shared" si="34"/>
        <v>323.52368436151721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2.84</v>
      </c>
      <c r="AI13" s="14">
        <f>IF('Données projet'!$A$62&gt;35,AI12+AH13-AQ12,IF(A13&lt;'Données projet'!$A$62,$AF$205^A13,IF(A13='Données projet'!$A$62,'Données projet'!$B$62,AI12+AH13-AQ12)))</f>
        <v>5.5017815106427381</v>
      </c>
      <c r="AJ13" s="14">
        <f>AI13*VLOOKUP('Données projet'!$B$10,Paramètres!$A$1:$I$89,3,0)*VLOOKUP('Données projet'!$B$10,Paramètres!$A$1:$I$89,5,0)</f>
        <v>5.7504620349237907</v>
      </c>
      <c r="AK13" s="14">
        <f t="shared" si="35"/>
        <v>2.1618492497436925</v>
      </c>
      <c r="AL13" s="22">
        <f t="shared" si="4"/>
        <v>13.780608820795868</v>
      </c>
      <c r="AM13" s="62">
        <f t="shared" si="5"/>
        <v>282.66949770968472</v>
      </c>
      <c r="AN13" s="62">
        <f ca="1">AVERAGE(OFFSET($AM$3,0,0,'Données projet'!$E$10+1,1))-AVERAGE(OFFSET($H$3,0,0,'Données projet'!$E$10+1,1))</f>
        <v>320.63267332485663</v>
      </c>
      <c r="AO13" s="62">
        <f t="shared" si="36"/>
        <v>201.96012789473809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2.84</v>
      </c>
      <c r="BD13" s="13">
        <f>IF('Données projet'!$A$88&gt;35,BD12+BC13-BL12,IF(A13&lt;'Données projet'!$A$88,$BA$205^A13,IF(A13='Données projet'!$A$88,'Données projet'!$B$88,BD12+BC13-BL12)))</f>
        <v>5.5017815106427381</v>
      </c>
      <c r="BE13" s="14">
        <f>BD13*VLOOKUP('Données projet'!$B$11,Paramètres!$A$1:$I$89,3,0)*VLOOKUP('Données projet'!$B$11,Paramètres!$A$1:$I$89,5,0)</f>
        <v>4.9780119108295491</v>
      </c>
      <c r="BF13" s="14">
        <f t="shared" si="37"/>
        <v>1.9031397745338225</v>
      </c>
      <c r="BG13" s="22">
        <f t="shared" si="7"/>
        <v>11.984672518674538</v>
      </c>
      <c r="BH13" s="62">
        <f t="shared" si="8"/>
        <v>280.87356140756339</v>
      </c>
      <c r="BI13" s="62">
        <f ca="1">AVERAGE(OFFSET($BH$3,0,0,'Données projet'!$E$11+1,1))-AVERAGE(OFFSET($H$3,0,0,'Données projet'!$E$11+1,1))</f>
        <v>267.00333505765792</v>
      </c>
      <c r="BJ13" s="62">
        <f t="shared" si="38"/>
        <v>172.25613380618557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2.84</v>
      </c>
      <c r="BY13" s="13">
        <f>IF('Données projet'!$A$114&gt;35,BY12+BX13-CG12,IF(A13&lt;'Données projet'!$A$114,$BV$205^A13,IF(A13='Données projet'!$A$114,'Données projet'!$B$114,BY12+BX13-CG12)))</f>
        <v>5.5017815106427381</v>
      </c>
      <c r="BZ13" s="14">
        <f>BY13*VLOOKUP('Données projet'!$B$12,Paramètres!$A$1:$I$89,3,0)*VLOOKUP('Données projet'!$B$12,Paramètres!$A$1:$I$89,5,0)</f>
        <v>5.5788064517917366</v>
      </c>
      <c r="CA13" s="14">
        <f t="shared" si="39"/>
        <v>2.1047278739596393</v>
      </c>
      <c r="CB13" s="22">
        <f t="shared" si="10"/>
        <v>13.382155617350314</v>
      </c>
      <c r="CC13" s="62">
        <f t="shared" si="11"/>
        <v>282.27104450623915</v>
      </c>
      <c r="CD13" s="62">
        <f ca="1">AVERAGE(OFFSET($CC$3,0,0,'Données projet'!$E$12+1,1))-AVERAGE(OFFSET($H$3,0,0,'Données projet'!$E$12+1,1))</f>
        <v>308.72872453744998</v>
      </c>
      <c r="CE13" s="62">
        <f t="shared" si="40"/>
        <v>195.3674411454258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337.88846313652766</v>
      </c>
      <c r="S14" s="62">
        <f ca="1">AVERAGE(OFFSET($R$3,0,0,'Données projet'!$E$9+1,1))-AVERAGE(OFFSET($H$3,0,0,'Données projet'!$E$9+1,1))</f>
        <v>160.24926890971085</v>
      </c>
      <c r="T14" s="62">
        <f t="shared" si="34"/>
        <v>323.52368436151721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2.84</v>
      </c>
      <c r="AI14" s="14">
        <f>IF('Données projet'!$A$62&gt;35,AI13+AH14-AQ13,IF(A14&lt;'Données projet'!$A$62,$AF$205^A14,IF(A14='Données projet'!$A$62,'Données projet'!$B$62,AI13+AH14-AQ13)))</f>
        <v>6.5245967197614414</v>
      </c>
      <c r="AJ14" s="14">
        <f>AI14*VLOOKUP('Données projet'!$B$10,Paramètres!$A$1:$I$89,3,0)*VLOOKUP('Données projet'!$B$10,Paramètres!$A$1:$I$89,5,0)</f>
        <v>6.8195084914946591</v>
      </c>
      <c r="AK14" s="14">
        <f t="shared" si="35"/>
        <v>2.5133691581022974</v>
      </c>
      <c r="AL14" s="22">
        <f t="shared" si="4"/>
        <v>16.254761906381365</v>
      </c>
      <c r="AM14" s="62">
        <f t="shared" si="5"/>
        <v>286.3658730174925</v>
      </c>
      <c r="AN14" s="62">
        <f ca="1">AVERAGE(OFFSET($AM$3,0,0,'Données projet'!$E$10+1,1))-AVERAGE(OFFSET($H$3,0,0,'Données projet'!$E$10+1,1))</f>
        <v>320.63267332485663</v>
      </c>
      <c r="AO14" s="62">
        <f t="shared" si="36"/>
        <v>201.96012789473809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2.84</v>
      </c>
      <c r="BD14" s="13">
        <f>IF('Données projet'!$A$88&gt;35,BD13+BC14-BL13,IF(A14&lt;'Données projet'!$A$88,$BA$205^A14,IF(A14='Données projet'!$A$88,'Données projet'!$B$88,BD13+BC14-BL13)))</f>
        <v>6.5245967197614414</v>
      </c>
      <c r="BE14" s="14">
        <f>BD14*VLOOKUP('Données projet'!$B$11,Paramètres!$A$1:$I$89,3,0)*VLOOKUP('Données projet'!$B$11,Paramètres!$A$1:$I$89,5,0)</f>
        <v>5.9034551120401524</v>
      </c>
      <c r="BF14" s="14">
        <f t="shared" si="37"/>
        <v>2.2125931368425316</v>
      </c>
      <c r="BG14" s="22">
        <f t="shared" si="7"/>
        <v>14.135450700137341</v>
      </c>
      <c r="BH14" s="62">
        <f t="shared" si="8"/>
        <v>284.24656181124851</v>
      </c>
      <c r="BI14" s="62">
        <f ca="1">AVERAGE(OFFSET($BH$3,0,0,'Données projet'!$E$11+1,1))-AVERAGE(OFFSET($H$3,0,0,'Données projet'!$E$11+1,1))</f>
        <v>267.00333505765792</v>
      </c>
      <c r="BJ14" s="62">
        <f t="shared" si="38"/>
        <v>172.25613380618557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2.84</v>
      </c>
      <c r="BY14" s="13">
        <f>IF('Données projet'!$A$114&gt;35,BY13+BX14-CG13,IF(A14&lt;'Données projet'!$A$114,$BV$205^A14,IF(A14='Données projet'!$A$114,'Données projet'!$B$114,BY13+BX14-CG13)))</f>
        <v>6.5245967197614414</v>
      </c>
      <c r="BZ14" s="14">
        <f>BY14*VLOOKUP('Données projet'!$B$12,Paramètres!$A$1:$I$89,3,0)*VLOOKUP('Données projet'!$B$12,Paramètres!$A$1:$I$89,5,0)</f>
        <v>6.6159410738381021</v>
      </c>
      <c r="CA14" s="14">
        <f t="shared" si="39"/>
        <v>2.4469597615261804</v>
      </c>
      <c r="CB14" s="22">
        <f t="shared" si="10"/>
        <v>15.784552288259455</v>
      </c>
      <c r="CC14" s="62">
        <f t="shared" si="11"/>
        <v>285.89566339937062</v>
      </c>
      <c r="CD14" s="62">
        <f ca="1">AVERAGE(OFFSET($CC$3,0,0,'Données projet'!$E$12+1,1))-AVERAGE(OFFSET($H$3,0,0,'Données projet'!$E$12+1,1))</f>
        <v>308.72872453744998</v>
      </c>
      <c r="CE14" s="62">
        <f t="shared" si="40"/>
        <v>195.3674411454258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367.06973543886363</v>
      </c>
      <c r="S15" s="62">
        <f ca="1">AVERAGE(OFFSET($R$3,0,0,'Données projet'!$E$9+1,1))-AVERAGE(OFFSET($H$3,0,0,'Données projet'!$E$9+1,1))</f>
        <v>160.24926890971085</v>
      </c>
      <c r="T15" s="62">
        <f t="shared" si="34"/>
        <v>323.52368436151721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2.84</v>
      </c>
      <c r="AI15" s="14">
        <f>IF('Données projet'!$A$62&gt;35,AI14+AH15-AQ14,IF(A15&lt;'Données projet'!$A$62,$AF$205^A15,IF(A15='Données projet'!$A$62,'Données projet'!$B$62,AI14+AH15-AQ14)))</f>
        <v>7.7375596019531026</v>
      </c>
      <c r="AJ15" s="14">
        <f>AI15*VLOOKUP('Données projet'!$B$10,Paramètres!$A$1:$I$89,3,0)*VLOOKUP('Données projet'!$B$10,Paramètres!$A$1:$I$89,5,0)</f>
        <v>8.0872972959613829</v>
      </c>
      <c r="AK15" s="14">
        <f t="shared" si="35"/>
        <v>2.9220467271937638</v>
      </c>
      <c r="AL15" s="22">
        <f t="shared" si="4"/>
        <v>19.174607506995212</v>
      </c>
      <c r="AM15" s="62">
        <f t="shared" si="5"/>
        <v>290.5079408403285</v>
      </c>
      <c r="AN15" s="62">
        <f ca="1">AVERAGE(OFFSET($AM$3,0,0,'Données projet'!$E$10+1,1))-AVERAGE(OFFSET($H$3,0,0,'Données projet'!$E$10+1,1))</f>
        <v>320.63267332485663</v>
      </c>
      <c r="AO15" s="62">
        <f t="shared" si="36"/>
        <v>201.96012789473809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2.84</v>
      </c>
      <c r="BD15" s="13">
        <f>IF('Données projet'!$A$88&gt;35,BD14+BC15-BL14,IF(A15&lt;'Données projet'!$A$88,$BA$205^A15,IF(A15='Données projet'!$A$88,'Données projet'!$B$88,BD14+BC15-BL14)))</f>
        <v>7.7375596019531026</v>
      </c>
      <c r="BE15" s="14">
        <f>BD15*VLOOKUP('Données projet'!$B$11,Paramètres!$A$1:$I$89,3,0)*VLOOKUP('Données projet'!$B$11,Paramètres!$A$1:$I$89,5,0)</f>
        <v>7.0009439278471666</v>
      </c>
      <c r="BF15" s="14">
        <f t="shared" si="37"/>
        <v>2.5723640768329017</v>
      </c>
      <c r="BG15" s="22">
        <f t="shared" si="7"/>
        <v>16.673511441484454</v>
      </c>
      <c r="BH15" s="62">
        <f t="shared" si="8"/>
        <v>288.00684477481775</v>
      </c>
      <c r="BI15" s="62">
        <f ca="1">AVERAGE(OFFSET($BH$3,0,0,'Données projet'!$E$11+1,1))-AVERAGE(OFFSET($H$3,0,0,'Données projet'!$E$11+1,1))</f>
        <v>267.00333505765792</v>
      </c>
      <c r="BJ15" s="62">
        <f t="shared" si="38"/>
        <v>172.25613380618557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2.84</v>
      </c>
      <c r="BY15" s="13">
        <f>IF('Données projet'!$A$114&gt;35,BY14+BX15-CG14,IF(A15&lt;'Données projet'!$A$114,$BV$205^A15,IF(A15='Données projet'!$A$114,'Données projet'!$B$114,BY14+BX15-CG14)))</f>
        <v>7.7375596019531026</v>
      </c>
      <c r="BZ15" s="14">
        <f>BY15*VLOOKUP('Données projet'!$B$12,Paramètres!$A$1:$I$89,3,0)*VLOOKUP('Données projet'!$B$12,Paramètres!$A$1:$I$89,5,0)</f>
        <v>7.8458854363804464</v>
      </c>
      <c r="CA15" s="14">
        <f t="shared" si="39"/>
        <v>2.844839063809101</v>
      </c>
      <c r="CB15" s="22">
        <f t="shared" si="10"/>
        <v>18.619678504496793</v>
      </c>
      <c r="CC15" s="62">
        <f t="shared" si="11"/>
        <v>289.9530118378301</v>
      </c>
      <c r="CD15" s="62">
        <f ca="1">AVERAGE(OFFSET($CC$3,0,0,'Données projet'!$E$12+1,1))-AVERAGE(OFFSET($H$3,0,0,'Données projet'!$E$12+1,1))</f>
        <v>308.72872453744998</v>
      </c>
      <c r="CE15" s="62">
        <f t="shared" si="40"/>
        <v>195.3674411454258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407.82533175374891</v>
      </c>
      <c r="S16" s="62">
        <f ca="1">AVERAGE(OFFSET($R$3,0,0,'Données projet'!$E$9+1,1))-AVERAGE(OFFSET($H$3,0,0,'Données projet'!$E$9+1,1))</f>
        <v>160.24926890971085</v>
      </c>
      <c r="T16" s="62">
        <f t="shared" si="34"/>
        <v>323.52368436151721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2.84</v>
      </c>
      <c r="AI16" s="14">
        <f>IF('Données projet'!$A$62&gt;35,AI15+AH16-AQ15,IF(A16&lt;'Données projet'!$A$62,$AF$205^A16,IF(A16='Données projet'!$A$62,'Données projet'!$B$62,AI15+AH16-AQ15)))</f>
        <v>9.1760197856283234</v>
      </c>
      <c r="AJ16" s="14">
        <f>AI16*VLOOKUP('Données projet'!$B$10,Paramètres!$A$1:$I$89,3,0)*VLOOKUP('Données projet'!$B$10,Paramètres!$A$1:$I$89,5,0)</f>
        <v>9.5907758799387253</v>
      </c>
      <c r="AK16" s="14">
        <f t="shared" si="35"/>
        <v>3.3971758777968843</v>
      </c>
      <c r="AL16" s="22">
        <f t="shared" si="4"/>
        <v>22.620682644722852</v>
      </c>
      <c r="AM16" s="62">
        <f t="shared" si="5"/>
        <v>295.17623820027842</v>
      </c>
      <c r="AN16" s="62">
        <f ca="1">AVERAGE(OFFSET($AM$3,0,0,'Données projet'!$E$10+1,1))-AVERAGE(OFFSET($H$3,0,0,'Données projet'!$E$10+1,1))</f>
        <v>320.63267332485663</v>
      </c>
      <c r="AO16" s="62">
        <f t="shared" si="36"/>
        <v>201.96012789473809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2.84</v>
      </c>
      <c r="BD16" s="13">
        <f>IF('Données projet'!$A$88&gt;35,BD15+BC16-BL15,IF(A16&lt;'Données projet'!$A$88,$BA$205^A16,IF(A16='Données projet'!$A$88,'Données projet'!$B$88,BD15+BC16-BL15)))</f>
        <v>9.1760197856283234</v>
      </c>
      <c r="BE16" s="14">
        <f>BD16*VLOOKUP('Données projet'!$B$11,Paramètres!$A$1:$I$89,3,0)*VLOOKUP('Données projet'!$B$11,Paramètres!$A$1:$I$89,5,0)</f>
        <v>8.3024627020365074</v>
      </c>
      <c r="BF16" s="14">
        <f t="shared" si="37"/>
        <v>2.9906343075904238</v>
      </c>
      <c r="BG16" s="22">
        <f t="shared" si="7"/>
        <v>19.668810625100239</v>
      </c>
      <c r="BH16" s="62">
        <f t="shared" si="8"/>
        <v>292.22436618065581</v>
      </c>
      <c r="BI16" s="62">
        <f ca="1">AVERAGE(OFFSET($BH$3,0,0,'Données projet'!$E$11+1,1))-AVERAGE(OFFSET($H$3,0,0,'Données projet'!$E$11+1,1))</f>
        <v>267.00333505765792</v>
      </c>
      <c r="BJ16" s="62">
        <f t="shared" si="38"/>
        <v>172.25613380618557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2.84</v>
      </c>
      <c r="BY16" s="13">
        <f>IF('Données projet'!$A$114&gt;35,BY15+BX16-CG15,IF(A16&lt;'Données projet'!$A$114,$BV$205^A16,IF(A16='Données projet'!$A$114,'Données projet'!$B$114,BY15+BX16-CG15)))</f>
        <v>9.1760197856283234</v>
      </c>
      <c r="BZ16" s="14">
        <f>BY16*VLOOKUP('Données projet'!$B$12,Paramètres!$A$1:$I$89,3,0)*VLOOKUP('Données projet'!$B$12,Paramètres!$A$1:$I$89,5,0)</f>
        <v>9.3044840626271217</v>
      </c>
      <c r="CA16" s="14">
        <f t="shared" si="39"/>
        <v>3.3074141333352105</v>
      </c>
      <c r="CB16" s="22">
        <f t="shared" si="10"/>
        <v>21.965722691301057</v>
      </c>
      <c r="CC16" s="62">
        <f t="shared" si="11"/>
        <v>294.52127824685658</v>
      </c>
      <c r="CD16" s="62">
        <f ca="1">AVERAGE(OFFSET($CC$3,0,0,'Données projet'!$E$12+1,1))-AVERAGE(OFFSET($H$3,0,0,'Données projet'!$E$12+1,1))</f>
        <v>308.72872453744998</v>
      </c>
      <c r="CE16" s="62">
        <f t="shared" si="40"/>
        <v>195.3674411454258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396.77003176132837</v>
      </c>
      <c r="S17" s="62">
        <f ca="1">AVERAGE(OFFSET($R$3,0,0,'Données projet'!$E$9+1,1))-AVERAGE(OFFSET($H$3,0,0,'Données projet'!$E$9+1,1))</f>
        <v>160.24926890971085</v>
      </c>
      <c r="T17" s="62">
        <f t="shared" si="34"/>
        <v>323.52368436151721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2.84</v>
      </c>
      <c r="AI17" s="14">
        <f>IF('Données projet'!$A$62&gt;35,AI16+AH17-AQ16,IF(A17&lt;'Données projet'!$A$62,$AF$205^A17,IF(A17='Données projet'!$A$62,'Données projet'!$B$62,AI16+AH17-AQ16)))</f>
        <v>10.881898613742376</v>
      </c>
      <c r="AJ17" s="14">
        <f>AI17*VLOOKUP('Données projet'!$B$10,Paramètres!$A$1:$I$89,3,0)*VLOOKUP('Données projet'!$B$10,Paramètres!$A$1:$I$89,5,0)</f>
        <v>11.373760431083532</v>
      </c>
      <c r="AK17" s="14">
        <f t="shared" si="35"/>
        <v>3.9495617360535622</v>
      </c>
      <c r="AL17" s="22">
        <f t="shared" si="4"/>
        <v>26.688119441097104</v>
      </c>
      <c r="AM17" s="62">
        <f t="shared" si="5"/>
        <v>300.46589721887489</v>
      </c>
      <c r="AN17" s="62">
        <f ca="1">AVERAGE(OFFSET($AM$3,0,0,'Données projet'!$E$10+1,1))-AVERAGE(OFFSET($H$3,0,0,'Données projet'!$E$10+1,1))</f>
        <v>320.63267332485663</v>
      </c>
      <c r="AO17" s="62">
        <f t="shared" si="36"/>
        <v>201.96012789473809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2.84</v>
      </c>
      <c r="BD17" s="13">
        <f>IF('Données projet'!$A$88&gt;35,BD16+BC17-BL16,IF(A17&lt;'Données projet'!$A$88,$BA$205^A17,IF(A17='Données projet'!$A$88,'Données projet'!$B$88,BD16+BC17-BL16)))</f>
        <v>10.881898613742376</v>
      </c>
      <c r="BE17" s="14">
        <f>BD17*VLOOKUP('Données projet'!$B$11,Paramètres!$A$1:$I$89,3,0)*VLOOKUP('Données projet'!$B$11,Paramètres!$A$1:$I$89,5,0)</f>
        <v>9.8459418657141011</v>
      </c>
      <c r="BF17" s="14">
        <f t="shared" si="37"/>
        <v>3.4769159009359916</v>
      </c>
      <c r="BG17" s="22">
        <f t="shared" si="7"/>
        <v>23.203977276915577</v>
      </c>
      <c r="BH17" s="62">
        <f t="shared" si="8"/>
        <v>296.98175505469334</v>
      </c>
      <c r="BI17" s="62">
        <f ca="1">AVERAGE(OFFSET($BH$3,0,0,'Données projet'!$E$11+1,1))-AVERAGE(OFFSET($H$3,0,0,'Données projet'!$E$11+1,1))</f>
        <v>267.00333505765792</v>
      </c>
      <c r="BJ17" s="62">
        <f t="shared" si="38"/>
        <v>172.25613380618557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2.84</v>
      </c>
      <c r="BY17" s="13">
        <f>IF('Données projet'!$A$114&gt;35,BY16+BX17-CG16,IF(A17&lt;'Données projet'!$A$114,$BV$205^A17,IF(A17='Données projet'!$A$114,'Données projet'!$B$114,BY16+BX17-CG16)))</f>
        <v>10.881898613742376</v>
      </c>
      <c r="BZ17" s="14">
        <f>BY17*VLOOKUP('Données projet'!$B$12,Paramètres!$A$1:$I$89,3,0)*VLOOKUP('Données projet'!$B$12,Paramètres!$A$1:$I$89,5,0)</f>
        <v>11.034245194334769</v>
      </c>
      <c r="CA17" s="14">
        <f t="shared" si="39"/>
        <v>3.8452045982308483</v>
      </c>
      <c r="CB17" s="22">
        <f t="shared" si="10"/>
        <v>25.915041722051782</v>
      </c>
      <c r="CC17" s="62">
        <f t="shared" si="11"/>
        <v>299.69281949982957</v>
      </c>
      <c r="CD17" s="62">
        <f ca="1">AVERAGE(OFFSET($CC$3,0,0,'Données projet'!$E$12+1,1))-AVERAGE(OFFSET($H$3,0,0,'Données projet'!$E$12+1,1))</f>
        <v>308.72872453744998</v>
      </c>
      <c r="CE17" s="62">
        <f t="shared" si="40"/>
        <v>195.3674411454258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422.26006612469439</v>
      </c>
      <c r="S18" s="62">
        <f ca="1">AVERAGE(OFFSET($R$3,0,0,'Données projet'!$E$9+1,1))-AVERAGE(OFFSET($H$3,0,0,'Données projet'!$E$9+1,1))</f>
        <v>160.24926890971085</v>
      </c>
      <c r="T18" s="62">
        <f t="shared" si="34"/>
        <v>323.52368436151721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2.84</v>
      </c>
      <c r="AI18" s="14">
        <f>IF('Données projet'!$A$62&gt;35,AI17+AH18-AQ17,IF(A18&lt;'Données projet'!$A$62,$AF$205^A18,IF(A18='Données projet'!$A$62,'Données projet'!$B$62,AI17+AH18-AQ17)))</f>
        <v>12.904910866172436</v>
      </c>
      <c r="AJ18" s="14">
        <f>AI18*VLOOKUP('Données projet'!$B$10,Paramètres!$A$1:$I$89,3,0)*VLOOKUP('Données projet'!$B$10,Paramètres!$A$1:$I$89,5,0)</f>
        <v>13.488212837323433</v>
      </c>
      <c r="AK18" s="14">
        <f t="shared" si="35"/>
        <v>4.5917663577119878</v>
      </c>
      <c r="AL18" s="22">
        <f t="shared" si="4"/>
        <v>31.489297098020021</v>
      </c>
      <c r="AM18" s="62">
        <f t="shared" si="5"/>
        <v>306.48929709802002</v>
      </c>
      <c r="AN18" s="62">
        <f ca="1">AVERAGE(OFFSET($AM$3,0,0,'Données projet'!$E$10+1,1))-AVERAGE(OFFSET($H$3,0,0,'Données projet'!$E$10+1,1))</f>
        <v>320.63267332485663</v>
      </c>
      <c r="AO18" s="62">
        <f t="shared" si="36"/>
        <v>201.96012789473809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2.84</v>
      </c>
      <c r="BD18" s="13">
        <f>IF('Données projet'!$A$88&gt;35,BD17+BC18-BL17,IF(A18&lt;'Données projet'!$A$88,$BA$205^A18,IF(A18='Données projet'!$A$88,'Données projet'!$B$88,BD17+BC18-BL17)))</f>
        <v>12.904910866172436</v>
      </c>
      <c r="BE18" s="14">
        <f>BD18*VLOOKUP('Données projet'!$B$11,Paramètres!$A$1:$I$89,3,0)*VLOOKUP('Données projet'!$B$11,Paramètres!$A$1:$I$89,5,0)</f>
        <v>11.676363351712819</v>
      </c>
      <c r="BF18" s="14">
        <f t="shared" si="37"/>
        <v>4.0422676057380276</v>
      </c>
      <c r="BG18" s="22">
        <f t="shared" si="7"/>
        <v>27.376615584226887</v>
      </c>
      <c r="BH18" s="62">
        <f t="shared" si="8"/>
        <v>302.3766155842269</v>
      </c>
      <c r="BI18" s="62">
        <f ca="1">AVERAGE(OFFSET($BH$3,0,0,'Données projet'!$E$11+1,1))-AVERAGE(OFFSET($H$3,0,0,'Données projet'!$E$11+1,1))</f>
        <v>267.00333505765792</v>
      </c>
      <c r="BJ18" s="62">
        <f t="shared" si="38"/>
        <v>172.25613380618557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2.84</v>
      </c>
      <c r="BY18" s="13">
        <f>IF('Données projet'!$A$114&gt;35,BY17+BX18-CG17,IF(A18&lt;'Données projet'!$A$114,$BV$205^A18,IF(A18='Données projet'!$A$114,'Données projet'!$B$114,BY17+BX18-CG17)))</f>
        <v>12.904910866172436</v>
      </c>
      <c r="BZ18" s="14">
        <f>BY18*VLOOKUP('Données projet'!$B$12,Paramètres!$A$1:$I$89,3,0)*VLOOKUP('Données projet'!$B$12,Paramètres!$A$1:$I$89,5,0)</f>
        <v>13.085579618298853</v>
      </c>
      <c r="CA18" s="14">
        <f t="shared" si="39"/>
        <v>4.4704405938260292</v>
      </c>
      <c r="CB18" s="22">
        <f t="shared" si="10"/>
        <v>30.576735202784167</v>
      </c>
      <c r="CC18" s="62">
        <f t="shared" si="11"/>
        <v>305.57673520278416</v>
      </c>
      <c r="CD18" s="62">
        <f ca="1">AVERAGE(OFFSET($CC$3,0,0,'Données projet'!$E$12+1,1))-AVERAGE(OFFSET($H$3,0,0,'Données projet'!$E$12+1,1))</f>
        <v>308.72872453744998</v>
      </c>
      <c r="CE18" s="62">
        <f t="shared" si="40"/>
        <v>195.3674411454258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447.65437831933548</v>
      </c>
      <c r="S19" s="62">
        <f ca="1">AVERAGE(OFFSET($R$3,0,0,'Données projet'!$E$9+1,1))-AVERAGE(OFFSET($H$3,0,0,'Données projet'!$E$9+1,1))</f>
        <v>160.24926890971085</v>
      </c>
      <c r="T19" s="62">
        <f t="shared" si="34"/>
        <v>323.52368436151721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2.84</v>
      </c>
      <c r="AI19" s="14">
        <f>IF('Données projet'!$A$62&gt;35,AI18+AH19-AQ18,IF(A19&lt;'Données projet'!$A$62,$AF$205^A19,IF(A19='Données projet'!$A$62,'Données projet'!$B$62,AI18+AH19-AQ18)))</f>
        <v>15.304013607840634</v>
      </c>
      <c r="AJ19" s="14">
        <f>AI19*VLOOKUP('Données projet'!$B$10,Paramètres!$A$1:$I$89,3,0)*VLOOKUP('Données projet'!$B$10,Paramètres!$A$1:$I$89,5,0)</f>
        <v>15.995755022915032</v>
      </c>
      <c r="AK19" s="14">
        <f t="shared" si="35"/>
        <v>5.3383944074977938</v>
      </c>
      <c r="AL19" s="22">
        <f t="shared" si="4"/>
        <v>37.156976924635664</v>
      </c>
      <c r="AM19" s="62">
        <f t="shared" si="5"/>
        <v>313.3791991468579</v>
      </c>
      <c r="AN19" s="62">
        <f ca="1">AVERAGE(OFFSET($AM$3,0,0,'Données projet'!$E$10+1,1))-AVERAGE(OFFSET($H$3,0,0,'Données projet'!$E$10+1,1))</f>
        <v>320.63267332485663</v>
      </c>
      <c r="AO19" s="62">
        <f t="shared" si="36"/>
        <v>201.96012789473809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2.84</v>
      </c>
      <c r="BD19" s="13">
        <f>IF('Données projet'!$A$88&gt;35,BD18+BC19-BL18,IF(A19&lt;'Données projet'!$A$88,$BA$205^A19,IF(A19='Données projet'!$A$88,'Données projet'!$B$88,BD18+BC19-BL18)))</f>
        <v>15.304013607840634</v>
      </c>
      <c r="BE19" s="14">
        <f>BD19*VLOOKUP('Données projet'!$B$11,Paramètres!$A$1:$I$89,3,0)*VLOOKUP('Données projet'!$B$11,Paramètres!$A$1:$I$89,5,0)</f>
        <v>13.847071512374203</v>
      </c>
      <c r="BF19" s="14">
        <f t="shared" si="37"/>
        <v>4.6995463399043667</v>
      </c>
      <c r="BG19" s="22">
        <f t="shared" si="7"/>
        <v>32.302026092718499</v>
      </c>
      <c r="BH19" s="62">
        <f t="shared" si="8"/>
        <v>308.52424831494073</v>
      </c>
      <c r="BI19" s="62">
        <f ca="1">AVERAGE(OFFSET($BH$3,0,0,'Données projet'!$E$11+1,1))-AVERAGE(OFFSET($H$3,0,0,'Données projet'!$E$11+1,1))</f>
        <v>267.00333505765792</v>
      </c>
      <c r="BJ19" s="62">
        <f t="shared" si="38"/>
        <v>172.25613380618557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2.84</v>
      </c>
      <c r="BY19" s="13">
        <f>IF('Données projet'!$A$114&gt;35,BY18+BX19-CG18,IF(A19&lt;'Données projet'!$A$114,$BV$205^A19,IF(A19='Données projet'!$A$114,'Données projet'!$B$114,BY18+BX19-CG18)))</f>
        <v>15.304013607840634</v>
      </c>
      <c r="BZ19" s="14">
        <f>BY19*VLOOKUP('Données projet'!$B$12,Paramètres!$A$1:$I$89,3,0)*VLOOKUP('Données projet'!$B$12,Paramètres!$A$1:$I$89,5,0)</f>
        <v>15.518269798350405</v>
      </c>
      <c r="CA19" s="14">
        <f t="shared" si="39"/>
        <v>5.1973408936737764</v>
      </c>
      <c r="CB19" s="22">
        <f t="shared" si="10"/>
        <v>36.079688621942118</v>
      </c>
      <c r="CC19" s="62">
        <f t="shared" si="11"/>
        <v>312.30191084416435</v>
      </c>
      <c r="CD19" s="62">
        <f ca="1">AVERAGE(OFFSET($CC$3,0,0,'Données projet'!$E$12+1,1))-AVERAGE(OFFSET($H$3,0,0,'Données projet'!$E$12+1,1))</f>
        <v>308.72872453744998</v>
      </c>
      <c r="CE19" s="62">
        <f t="shared" si="40"/>
        <v>195.3674411454258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472.9683877652933</v>
      </c>
      <c r="S20" s="62">
        <f ca="1">AVERAGE(OFFSET($R$3,0,0,'Données projet'!$E$9+1,1))-AVERAGE(OFFSET($H$3,0,0,'Données projet'!$E$9+1,1))</f>
        <v>160.24926890971085</v>
      </c>
      <c r="T20" s="62">
        <f t="shared" si="34"/>
        <v>323.52368436151721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2.84</v>
      </c>
      <c r="AI20" s="14">
        <f>IF('Données projet'!$A$62&gt;35,AI19+AH20-AQ19,IF(A20&lt;'Données projet'!$A$62,$AF$205^A20,IF(A20='Données projet'!$A$62,'Données projet'!$B$62,AI19+AH20-AQ19)))</f>
        <v>18.149124386663679</v>
      </c>
      <c r="AJ20" s="14">
        <f>AI20*VLOOKUP('Données projet'!$B$10,Paramètres!$A$1:$I$89,3,0)*VLOOKUP('Données projet'!$B$10,Paramètres!$A$1:$I$89,5,0)</f>
        <v>18.969464808940881</v>
      </c>
      <c r="AK20" s="14">
        <f t="shared" si="35"/>
        <v>6.2064252903765151</v>
      </c>
      <c r="AL20" s="22">
        <f t="shared" si="4"/>
        <v>43.848008589644458</v>
      </c>
      <c r="AM20" s="62">
        <f t="shared" si="5"/>
        <v>321.29245303408891</v>
      </c>
      <c r="AN20" s="62">
        <f ca="1">AVERAGE(OFFSET($AM$3,0,0,'Données projet'!$E$10+1,1))-AVERAGE(OFFSET($H$3,0,0,'Données projet'!$E$10+1,1))</f>
        <v>320.63267332485663</v>
      </c>
      <c r="AO20" s="62">
        <f t="shared" si="36"/>
        <v>201.96012789473809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2.84</v>
      </c>
      <c r="BD20" s="13">
        <f>IF('Données projet'!$A$88&gt;35,BD19+BC20-BL19,IF(A20&lt;'Données projet'!$A$88,$BA$205^A20,IF(A20='Données projet'!$A$88,'Données projet'!$B$88,BD19+BC20-BL19)))</f>
        <v>18.149124386663679</v>
      </c>
      <c r="BE20" s="14">
        <f>BD20*VLOOKUP('Données projet'!$B$11,Paramètres!$A$1:$I$89,3,0)*VLOOKUP('Données projet'!$B$11,Paramètres!$A$1:$I$89,5,0)</f>
        <v>16.421327745053297</v>
      </c>
      <c r="BF20" s="14">
        <f t="shared" si="37"/>
        <v>5.4636995753466904</v>
      </c>
      <c r="BG20" s="22">
        <f t="shared" si="7"/>
        <v>38.11642258302998</v>
      </c>
      <c r="BH20" s="62">
        <f t="shared" si="8"/>
        <v>315.56086702747444</v>
      </c>
      <c r="BI20" s="62">
        <f ca="1">AVERAGE(OFFSET($BH$3,0,0,'Données projet'!$E$11+1,1))-AVERAGE(OFFSET($H$3,0,0,'Données projet'!$E$11+1,1))</f>
        <v>267.00333505765792</v>
      </c>
      <c r="BJ20" s="62">
        <f t="shared" si="38"/>
        <v>172.25613380618557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2.84</v>
      </c>
      <c r="BY20" s="13">
        <f>IF('Données projet'!$A$114&gt;35,BY19+BX20-CG19,IF(A20&lt;'Données projet'!$A$114,$BV$205^A20,IF(A20='Données projet'!$A$114,'Données projet'!$B$114,BY19+BX20-CG19)))</f>
        <v>18.149124386663679</v>
      </c>
      <c r="BZ20" s="14">
        <f>BY20*VLOOKUP('Données projet'!$B$12,Paramètres!$A$1:$I$89,3,0)*VLOOKUP('Données projet'!$B$12,Paramètres!$A$1:$I$89,5,0)</f>
        <v>18.403212128076973</v>
      </c>
      <c r="CA20" s="14">
        <f t="shared" si="39"/>
        <v>6.0424362650875043</v>
      </c>
      <c r="CB20" s="22">
        <f t="shared" si="10"/>
        <v>42.576170951428125</v>
      </c>
      <c r="CC20" s="62">
        <f t="shared" si="11"/>
        <v>320.0206153958726</v>
      </c>
      <c r="CD20" s="62">
        <f ca="1">AVERAGE(OFFSET($CC$3,0,0,'Données projet'!$E$12+1,1))-AVERAGE(OFFSET($H$3,0,0,'Données projet'!$E$12+1,1))</f>
        <v>308.72872453744998</v>
      </c>
      <c r="CE20" s="62">
        <f t="shared" si="40"/>
        <v>195.3674411454258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498.21338863650169</v>
      </c>
      <c r="S21" s="62">
        <f ca="1">AVERAGE(OFFSET($R$3,0,0,'Données projet'!$E$9+1,1))-AVERAGE(OFFSET($H$3,0,0,'Données projet'!$E$9+1,1))</f>
        <v>160.24926890971085</v>
      </c>
      <c r="T21" s="62">
        <f t="shared" si="34"/>
        <v>323.52368436151721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9.0000000000000011E-2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0.8</v>
      </c>
      <c r="Z21" s="23">
        <f>EXP(-LN(2)/35)*Z20+(1-EXP(-LN(2)/35))/(LN(2)/35)*V21*W21*VLOOKUP('Données projet'!$B$9,Paramètres!$A$1:$I$89,3,0)*0.475*44/12</f>
        <v>2.8558279596702421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25.017747086499455</v>
      </c>
      <c r="AC21" s="24">
        <f t="shared" si="3"/>
        <v>27.873575046169698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2.84</v>
      </c>
      <c r="AI21" s="14">
        <f>IF('Données projet'!$A$62&gt;35,AI20+AH21-AQ20,IF(A21&lt;'Données projet'!$A$62,$AF$205^A21,IF(A21='Données projet'!$A$62,'Données projet'!$B$62,AI20+AH21-AQ20)))</f>
        <v>21.523158855127722</v>
      </c>
      <c r="AJ21" s="14">
        <f>AI21*VLOOKUP('Données projet'!$B$10,Paramètres!$A$1:$I$89,3,0)*VLOOKUP('Données projet'!$B$10,Paramètres!$A$1:$I$89,5,0)</f>
        <v>22.496005635379497</v>
      </c>
      <c r="AK21" s="14">
        <f t="shared" si="35"/>
        <v>7.2155992878540589</v>
      </c>
      <c r="AL21" s="22">
        <f t="shared" si="4"/>
        <v>51.747711907965105</v>
      </c>
      <c r="AM21" s="62">
        <f t="shared" si="5"/>
        <v>330.41437857463177</v>
      </c>
      <c r="AN21" s="62">
        <f ca="1">AVERAGE(OFFSET($AM$3,0,0,'Données projet'!$E$10+1,1))-AVERAGE(OFFSET($H$3,0,0,'Données projet'!$E$10+1,1))</f>
        <v>320.63267332485663</v>
      </c>
      <c r="AO21" s="62">
        <f t="shared" si="36"/>
        <v>201.96012789473809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2.84</v>
      </c>
      <c r="BD21" s="13">
        <f>IF('Données projet'!$A$88&gt;35,BD20+BC21-BL20,IF(A21&lt;'Données projet'!$A$88,$BA$205^A21,IF(A21='Données projet'!$A$88,'Données projet'!$B$88,BD20+BC21-BL20)))</f>
        <v>21.523158855127722</v>
      </c>
      <c r="BE21" s="14">
        <f>BD21*VLOOKUP('Données projet'!$B$11,Paramètres!$A$1:$I$89,3,0)*VLOOKUP('Données projet'!$B$11,Paramètres!$A$1:$I$89,5,0)</f>
        <v>19.474154132119562</v>
      </c>
      <c r="BF21" s="14">
        <f t="shared" si="37"/>
        <v>6.3521052651756742</v>
      </c>
      <c r="BG21" s="22">
        <f t="shared" si="7"/>
        <v>44.980735116955863</v>
      </c>
      <c r="BH21" s="62">
        <f t="shared" si="8"/>
        <v>323.64740178362257</v>
      </c>
      <c r="BI21" s="62">
        <f ca="1">AVERAGE(OFFSET($BH$3,0,0,'Données projet'!$E$11+1,1))-AVERAGE(OFFSET($H$3,0,0,'Données projet'!$E$11+1,1))</f>
        <v>267.00333505765792</v>
      </c>
      <c r="BJ21" s="62">
        <f t="shared" si="38"/>
        <v>172.25613380618557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2.84</v>
      </c>
      <c r="BY21" s="13">
        <f>IF('Données projet'!$A$114&gt;35,BY20+BX21-CG20,IF(A21&lt;'Données projet'!$A$114,$BV$205^A21,IF(A21='Données projet'!$A$114,'Données projet'!$B$114,BY20+BX21-CG20)))</f>
        <v>21.523158855127722</v>
      </c>
      <c r="BZ21" s="14">
        <f>BY21*VLOOKUP('Données projet'!$B$12,Paramètres!$A$1:$I$89,3,0)*VLOOKUP('Données projet'!$B$12,Paramètres!$A$1:$I$89,5,0)</f>
        <v>21.824483079099512</v>
      </c>
      <c r="CA21" s="14">
        <f t="shared" si="39"/>
        <v>7.0249454027704825</v>
      </c>
      <c r="CB21" s="22">
        <f t="shared" si="10"/>
        <v>50.246087939256903</v>
      </c>
      <c r="CC21" s="62">
        <f t="shared" si="11"/>
        <v>328.91275460592357</v>
      </c>
      <c r="CD21" s="62">
        <f ca="1">AVERAGE(OFFSET($CC$3,0,0,'Données projet'!$E$12+1,1))-AVERAGE(OFFSET($H$3,0,0,'Données projet'!$E$12+1,1))</f>
        <v>308.72872453744998</v>
      </c>
      <c r="CE21" s="62">
        <f t="shared" si="40"/>
        <v>195.3674411454258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470.75559780649564</v>
      </c>
      <c r="S22" s="62">
        <f ca="1">AVERAGE(OFFSET($R$3,0,0,'Données projet'!$E$9+1,1))-AVERAGE(OFFSET($H$3,0,0,'Données projet'!$E$9+1,1))</f>
        <v>160.24926890971085</v>
      </c>
      <c r="T22" s="62">
        <f t="shared" si="34"/>
        <v>323.52368436151721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2.7998269152641675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17.690218614873757</v>
      </c>
      <c r="AC22" s="24">
        <f t="shared" si="3"/>
        <v>20.490045530137923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2.84</v>
      </c>
      <c r="AI22" s="14">
        <f>IF('Données projet'!$A$62&gt;35,AI21+AH22-AQ21,IF(A22&lt;'Données projet'!$A$62,$AF$205^A22,IF(A22='Données projet'!$A$62,'Données projet'!$B$62,AI21+AH22-AQ21)))</f>
        <v>25.524447198315809</v>
      </c>
      <c r="AJ22" s="14">
        <f>AI22*VLOOKUP('Données projet'!$B$10,Paramètres!$A$1:$I$89,3,0)*VLOOKUP('Données projet'!$B$10,Paramètres!$A$1:$I$89,5,0)</f>
        <v>26.678152211679688</v>
      </c>
      <c r="AK22" s="14">
        <f t="shared" si="35"/>
        <v>8.3888664806148832</v>
      </c>
      <c r="AL22" s="22">
        <f t="shared" si="4"/>
        <v>61.075057555746376</v>
      </c>
      <c r="AM22" s="62">
        <f t="shared" si="5"/>
        <v>340.96394644463521</v>
      </c>
      <c r="AN22" s="62">
        <f ca="1">AVERAGE(OFFSET($AM$3,0,0,'Données projet'!$E$10+1,1))-AVERAGE(OFFSET($H$3,0,0,'Données projet'!$E$10+1,1))</f>
        <v>320.63267332485663</v>
      </c>
      <c r="AO22" s="62">
        <f t="shared" si="36"/>
        <v>201.96012789473809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2.84</v>
      </c>
      <c r="BD22" s="13">
        <f>IF('Données projet'!$A$88&gt;35,BD21+BC22-BL21,IF(A22&lt;'Données projet'!$A$88,$BA$205^A22,IF(A22='Données projet'!$A$88,'Données projet'!$B$88,BD21+BC22-BL21)))</f>
        <v>25.524447198315809</v>
      </c>
      <c r="BE22" s="14">
        <f>BD22*VLOOKUP('Données projet'!$B$11,Paramètres!$A$1:$I$89,3,0)*VLOOKUP('Données projet'!$B$11,Paramètres!$A$1:$I$89,5,0)</f>
        <v>23.094519825036141</v>
      </c>
      <c r="BF22" s="14">
        <f t="shared" si="37"/>
        <v>7.3849670435644734</v>
      </c>
      <c r="BG22" s="22">
        <f t="shared" si="7"/>
        <v>53.085106296146058</v>
      </c>
      <c r="BH22" s="62">
        <f t="shared" si="8"/>
        <v>332.97399518503494</v>
      </c>
      <c r="BI22" s="62">
        <f ca="1">AVERAGE(OFFSET($BH$3,0,0,'Données projet'!$E$11+1,1))-AVERAGE(OFFSET($H$3,0,0,'Données projet'!$E$11+1,1))</f>
        <v>267.00333505765792</v>
      </c>
      <c r="BJ22" s="62">
        <f t="shared" si="38"/>
        <v>172.25613380618557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2.84</v>
      </c>
      <c r="BY22" s="13">
        <f>IF('Données projet'!$A$114&gt;35,BY21+BX22-CG21,IF(A22&lt;'Données projet'!$A$114,$BV$205^A22,IF(A22='Données projet'!$A$114,'Données projet'!$B$114,BY21+BX22-CG21)))</f>
        <v>25.524447198315809</v>
      </c>
      <c r="BZ22" s="14">
        <f>BY22*VLOOKUP('Données projet'!$B$12,Paramètres!$A$1:$I$89,3,0)*VLOOKUP('Données projet'!$B$12,Paramètres!$A$1:$I$89,5,0)</f>
        <v>25.881789459092229</v>
      </c>
      <c r="CA22" s="14">
        <f t="shared" si="39"/>
        <v>8.1672119898134259</v>
      </c>
      <c r="CB22" s="22">
        <f t="shared" si="10"/>
        <v>59.302010856844014</v>
      </c>
      <c r="CC22" s="62">
        <f t="shared" si="11"/>
        <v>339.19089974573285</v>
      </c>
      <c r="CD22" s="62">
        <f ca="1">AVERAGE(OFFSET($CC$3,0,0,'Données projet'!$E$12+1,1))-AVERAGE(OFFSET($H$3,0,0,'Données projet'!$E$12+1,1))</f>
        <v>308.72872453744998</v>
      </c>
      <c r="CE22" s="62">
        <f t="shared" si="40"/>
        <v>195.3674411454258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494.98076446085526</v>
      </c>
      <c r="S23" s="62">
        <f ca="1">AVERAGE(OFFSET($R$3,0,0,'Données projet'!$E$9+1,1))-AVERAGE(OFFSET($H$3,0,0,'Données projet'!$E$9+1,1))</f>
        <v>160.24926890971085</v>
      </c>
      <c r="T23" s="62">
        <f t="shared" si="34"/>
        <v>323.52368436151721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2.7449240171816314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12.508873543249729</v>
      </c>
      <c r="AC23" s="24">
        <f t="shared" si="3"/>
        <v>15.25379756043136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2.84</v>
      </c>
      <c r="AI23" s="14">
        <f>IF('Données projet'!$A$62&gt;35,AI22+AH23-AQ22,IF(A23&lt;'Données projet'!$A$62,$AF$205^A23,IF(A23='Données projet'!$A$62,'Données projet'!$B$62,AI22+AH23-AQ22)))</f>
        <v>30.269599790850293</v>
      </c>
      <c r="AJ23" s="14">
        <f>AI23*VLOOKUP('Données projet'!$B$10,Paramètres!$A$1:$I$89,3,0)*VLOOKUP('Données projet'!$B$10,Paramètres!$A$1:$I$89,5,0)</f>
        <v>31.637785701396727</v>
      </c>
      <c r="AK23" s="14">
        <f t="shared" si="35"/>
        <v>9.7529086666497911</v>
      </c>
      <c r="AL23" s="22">
        <f t="shared" si="4"/>
        <v>72.088792691014348</v>
      </c>
      <c r="AM23" s="62">
        <f t="shared" si="5"/>
        <v>353.1999038021255</v>
      </c>
      <c r="AN23" s="62">
        <f ca="1">AVERAGE(OFFSET($AM$3,0,0,'Données projet'!$E$10+1,1))-AVERAGE(OFFSET($H$3,0,0,'Données projet'!$E$10+1,1))</f>
        <v>320.63267332485663</v>
      </c>
      <c r="AO23" s="62">
        <f t="shared" si="36"/>
        <v>201.96012789473809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2.84</v>
      </c>
      <c r="BD23" s="13">
        <f>IF('Données projet'!$A$88&gt;35,BD22+BC23-BL22,IF(A23&lt;'Données projet'!$A$88,$BA$205^A23,IF(A23='Données projet'!$A$88,'Données projet'!$B$88,BD22+BC23-BL22)))</f>
        <v>30.269599790850293</v>
      </c>
      <c r="BE23" s="14">
        <f>BD23*VLOOKUP('Données projet'!$B$11,Paramètres!$A$1:$I$89,3,0)*VLOOKUP('Données projet'!$B$11,Paramètres!$A$1:$I$89,5,0)</f>
        <v>27.387933890761346</v>
      </c>
      <c r="BF23" s="14">
        <f t="shared" si="37"/>
        <v>8.5857736856986921</v>
      </c>
      <c r="BG23" s="22">
        <f t="shared" si="7"/>
        <v>62.654207362334567</v>
      </c>
      <c r="BH23" s="62">
        <f t="shared" si="8"/>
        <v>343.76531847344569</v>
      </c>
      <c r="BI23" s="62">
        <f ca="1">AVERAGE(OFFSET($BH$3,0,0,'Données projet'!$E$11+1,1))-AVERAGE(OFFSET($H$3,0,0,'Données projet'!$E$11+1,1))</f>
        <v>267.00333505765792</v>
      </c>
      <c r="BJ23" s="62">
        <f t="shared" si="38"/>
        <v>172.25613380618557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2.84</v>
      </c>
      <c r="BY23" s="13">
        <f>IF('Données projet'!$A$114&gt;35,BY22+BX23-CG22,IF(A23&lt;'Données projet'!$A$114,$BV$205^A23,IF(A23='Données projet'!$A$114,'Données projet'!$B$114,BY22+BX23-CG22)))</f>
        <v>30.269599790850293</v>
      </c>
      <c r="BZ23" s="14">
        <f>BY23*VLOOKUP('Données projet'!$B$12,Paramètres!$A$1:$I$89,3,0)*VLOOKUP('Données projet'!$B$12,Paramètres!$A$1:$I$89,5,0)</f>
        <v>30.693374187922199</v>
      </c>
      <c r="CA23" s="14">
        <f t="shared" si="39"/>
        <v>9.4952128254613779</v>
      </c>
      <c r="CB23" s="22">
        <f t="shared" si="10"/>
        <v>69.995122381643057</v>
      </c>
      <c r="CC23" s="62">
        <f t="shared" si="11"/>
        <v>351.1062334927542</v>
      </c>
      <c r="CD23" s="62">
        <f ca="1">AVERAGE(OFFSET($CC$3,0,0,'Données projet'!$E$12+1,1))-AVERAGE(OFFSET($H$3,0,0,'Données projet'!$E$12+1,1))</f>
        <v>308.72872453744998</v>
      </c>
      <c r="CE23" s="62">
        <f t="shared" si="40"/>
        <v>195.3674411454258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519.14894137493934</v>
      </c>
      <c r="S24" s="62">
        <f ca="1">AVERAGE(OFFSET($R$3,0,0,'Données projet'!$E$9+1,1))-AVERAGE(OFFSET($H$3,0,0,'Données projet'!$E$9+1,1))</f>
        <v>160.24926890971085</v>
      </c>
      <c r="T24" s="62">
        <f t="shared" si="34"/>
        <v>323.52368436151721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2.6910977314430329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8.8451093074368803</v>
      </c>
      <c r="AC24" s="24">
        <f t="shared" si="3"/>
        <v>11.536207038879914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2.84</v>
      </c>
      <c r="AI24" s="14">
        <f>IF('Données projet'!$A$62&gt;35,AI23+AH24-AQ23,IF(A24&lt;'Données projet'!$A$62,$AF$205^A24,IF(A24='Données projet'!$A$62,'Données projet'!$B$62,AI23+AH24-AQ23)))</f>
        <v>35.896905597183761</v>
      </c>
      <c r="AJ24" s="14">
        <f>AI24*VLOOKUP('Données projet'!$B$10,Paramètres!$A$1:$I$89,3,0)*VLOOKUP('Données projet'!$B$10,Paramètres!$A$1:$I$89,5,0)</f>
        <v>37.519445730176471</v>
      </c>
      <c r="AK24" s="14">
        <f t="shared" si="35"/>
        <v>11.338746144048852</v>
      </c>
      <c r="AL24" s="22">
        <f t="shared" si="4"/>
        <v>85.094684180942437</v>
      </c>
      <c r="AM24" s="62">
        <f t="shared" si="5"/>
        <v>367.42801751427578</v>
      </c>
      <c r="AN24" s="62">
        <f ca="1">AVERAGE(OFFSET($AM$3,0,0,'Données projet'!$E$10+1,1))-AVERAGE(OFFSET($H$3,0,0,'Données projet'!$E$10+1,1))</f>
        <v>320.63267332485663</v>
      </c>
      <c r="AO24" s="62">
        <f t="shared" si="36"/>
        <v>201.96012789473809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2.84</v>
      </c>
      <c r="BD24" s="13">
        <f>IF('Données projet'!$A$88&gt;35,BD23+BC24-BL23,IF(A24&lt;'Données projet'!$A$88,$BA$205^A24,IF(A24='Données projet'!$A$88,'Données projet'!$B$88,BD23+BC24-BL23)))</f>
        <v>35.896905597183761</v>
      </c>
      <c r="BE24" s="14">
        <f>BD24*VLOOKUP('Données projet'!$B$11,Paramètres!$A$1:$I$89,3,0)*VLOOKUP('Données projet'!$B$11,Paramètres!$A$1:$I$89,5,0)</f>
        <v>32.479520184331868</v>
      </c>
      <c r="BF24" s="14">
        <f t="shared" si="37"/>
        <v>9.9818332765986337</v>
      </c>
      <c r="BG24" s="22">
        <f t="shared" si="7"/>
        <v>73.953523944453949</v>
      </c>
      <c r="BH24" s="62">
        <f t="shared" si="8"/>
        <v>356.28685727778725</v>
      </c>
      <c r="BI24" s="62">
        <f ca="1">AVERAGE(OFFSET($BH$3,0,0,'Données projet'!$E$11+1,1))-AVERAGE(OFFSET($H$3,0,0,'Données projet'!$E$11+1,1))</f>
        <v>267.00333505765792</v>
      </c>
      <c r="BJ24" s="62">
        <f t="shared" si="38"/>
        <v>172.25613380618557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2.84</v>
      </c>
      <c r="BY24" s="13">
        <f>IF('Données projet'!$A$114&gt;35,BY23+BX24-CG23,IF(A24&lt;'Données projet'!$A$114,$BV$205^A24,IF(A24='Données projet'!$A$114,'Données projet'!$B$114,BY23+BX24-CG23)))</f>
        <v>35.896905597183761</v>
      </c>
      <c r="BZ24" s="14">
        <f>BY24*VLOOKUP('Données projet'!$B$12,Paramètres!$A$1:$I$89,3,0)*VLOOKUP('Données projet'!$B$12,Paramètres!$A$1:$I$89,5,0)</f>
        <v>36.399462275544337</v>
      </c>
      <c r="CA24" s="14">
        <f t="shared" si="39"/>
        <v>11.039148575212362</v>
      </c>
      <c r="CB24" s="22">
        <f t="shared" si="10"/>
        <v>82.62224723173459</v>
      </c>
      <c r="CC24" s="62">
        <f t="shared" si="11"/>
        <v>364.95558056506792</v>
      </c>
      <c r="CD24" s="62">
        <f ca="1">AVERAGE(OFFSET($CC$3,0,0,'Données projet'!$E$12+1,1))-AVERAGE(OFFSET($H$3,0,0,'Données projet'!$E$12+1,1))</f>
        <v>308.72872453744998</v>
      </c>
      <c r="CE24" s="62">
        <f t="shared" si="40"/>
        <v>195.3674411454258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543.26642667171188</v>
      </c>
      <c r="S25" s="62">
        <f ca="1">AVERAGE(OFFSET($R$3,0,0,'Données projet'!$E$9+1,1))-AVERAGE(OFFSET($H$3,0,0,'Données projet'!$E$9+1,1))</f>
        <v>160.24926890971085</v>
      </c>
      <c r="T25" s="62">
        <f t="shared" si="34"/>
        <v>323.52368436151721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2.6383269463369756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6.2544367716248654</v>
      </c>
      <c r="AC25" s="24">
        <f t="shared" si="3"/>
        <v>8.8927637179618415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2.84</v>
      </c>
      <c r="AI25" s="14">
        <f>IF('Données projet'!$A$62&gt;35,AI24+AH25-AQ24,IF(A25&lt;'Données projet'!$A$62,$AF$205^A25,IF(A25='Données projet'!$A$62,'Données projet'!$B$62,AI24+AH25-AQ24)))</f>
        <v>42.570362355521766</v>
      </c>
      <c r="AJ25" s="14">
        <f>AI25*VLOOKUP('Données projet'!$B$10,Paramètres!$A$1:$I$89,3,0)*VLOOKUP('Données projet'!$B$10,Paramètres!$A$1:$I$89,5,0)</f>
        <v>44.494542733991352</v>
      </c>
      <c r="AK25" s="14">
        <f t="shared" si="35"/>
        <v>13.182443157580241</v>
      </c>
      <c r="AL25" s="22">
        <f t="shared" si="4"/>
        <v>100.45408376115385</v>
      </c>
      <c r="AM25" s="62">
        <f t="shared" si="5"/>
        <v>384.00963931670941</v>
      </c>
      <c r="AN25" s="62">
        <f ca="1">AVERAGE(OFFSET($AM$3,0,0,'Données projet'!$E$10+1,1))-AVERAGE(OFFSET($H$3,0,0,'Données projet'!$E$10+1,1))</f>
        <v>320.63267332485663</v>
      </c>
      <c r="AO25" s="62">
        <f t="shared" si="36"/>
        <v>201.96012789473809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2.84</v>
      </c>
      <c r="BD25" s="13">
        <f>IF('Données projet'!$A$88&gt;35,BD24+BC25-BL24,IF(A25&lt;'Données projet'!$A$88,$BA$205^A25,IF(A25='Données projet'!$A$88,'Données projet'!$B$88,BD24+BC25-BL24)))</f>
        <v>42.570362355521766</v>
      </c>
      <c r="BE25" s="14">
        <f>BD25*VLOOKUP('Données projet'!$B$11,Paramètres!$A$1:$I$89,3,0)*VLOOKUP('Données projet'!$B$11,Paramètres!$A$1:$I$89,5,0)</f>
        <v>38.517663859276098</v>
      </c>
      <c r="BF25" s="14">
        <f t="shared" si="37"/>
        <v>11.604894236587789</v>
      </c>
      <c r="BG25" s="22">
        <f t="shared" si="7"/>
        <v>87.2967886836296</v>
      </c>
      <c r="BH25" s="62">
        <f t="shared" si="8"/>
        <v>370.85234423918513</v>
      </c>
      <c r="BI25" s="62">
        <f ca="1">AVERAGE(OFFSET($BH$3,0,0,'Données projet'!$E$11+1,1))-AVERAGE(OFFSET($H$3,0,0,'Données projet'!$E$11+1,1))</f>
        <v>267.00333505765792</v>
      </c>
      <c r="BJ25" s="62">
        <f t="shared" si="38"/>
        <v>172.25613380618557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2.84</v>
      </c>
      <c r="BY25" s="13">
        <f>IF('Données projet'!$A$114&gt;35,BY24+BX25-CG24,IF(A25&lt;'Données projet'!$A$114,$BV$205^A25,IF(A25='Données projet'!$A$114,'Données projet'!$B$114,BY24+BX25-CG24)))</f>
        <v>42.570362355521766</v>
      </c>
      <c r="BZ25" s="14">
        <f>BY25*VLOOKUP('Données projet'!$B$12,Paramètres!$A$1:$I$89,3,0)*VLOOKUP('Données projet'!$B$12,Paramètres!$A$1:$I$89,5,0)</f>
        <v>43.166347428499073</v>
      </c>
      <c r="CA25" s="14">
        <f t="shared" si="39"/>
        <v>12.83413057776214</v>
      </c>
      <c r="CB25" s="22">
        <f t="shared" si="10"/>
        <v>97.534165860904935</v>
      </c>
      <c r="CC25" s="62">
        <f t="shared" si="11"/>
        <v>381.08972141646046</v>
      </c>
      <c r="CD25" s="62">
        <f ca="1">AVERAGE(OFFSET($CC$3,0,0,'Données projet'!$E$12+1,1))-AVERAGE(OFFSET($H$3,0,0,'Données projet'!$E$12+1,1))</f>
        <v>308.72872453744998</v>
      </c>
      <c r="CE25" s="62">
        <f t="shared" si="40"/>
        <v>195.3674411454258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567.33831631272574</v>
      </c>
      <c r="S26" s="62">
        <f ca="1">AVERAGE(OFFSET($R$3,0,0,'Données projet'!$E$9+1,1))-AVERAGE(OFFSET($H$3,0,0,'Données projet'!$E$9+1,1))</f>
        <v>160.24926890971085</v>
      </c>
      <c r="T26" s="62">
        <f t="shared" si="34"/>
        <v>323.52368436151721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0.18000000000000002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0.6</v>
      </c>
      <c r="Z26" s="23">
        <f>EXP(-LN(2)/35)*Z25+(1-EXP(-LN(2)/35))/(LN(2)/35)*V26*W26*VLOOKUP('Données projet'!$B$9,Paramètres!$A$1:$I$89,3,0)*0.475*44/12</f>
        <v>10.011743659282478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25.547291968048228</v>
      </c>
      <c r="AC26" s="24">
        <f t="shared" si="3"/>
        <v>35.559035627330708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2.84</v>
      </c>
      <c r="AI26" s="14">
        <f>IF('Données projet'!$A$62&gt;35,AI25+AH26-AQ25,IF(A26&lt;'Données projet'!$A$62,$AF$205^A26,IF(A26='Données projet'!$A$62,'Données projet'!$B$62,AI25+AH26-AQ25)))</f>
        <v>50.484455997861858</v>
      </c>
      <c r="AJ26" s="14">
        <f>AI26*VLOOKUP('Données projet'!$B$10,Paramètres!$A$1:$I$89,3,0)*VLOOKUP('Données projet'!$B$10,Paramètres!$A$1:$I$89,5,0)</f>
        <v>52.766353408965216</v>
      </c>
      <c r="AK26" s="14">
        <f t="shared" si="35"/>
        <v>15.325928051933779</v>
      </c>
      <c r="AL26" s="22">
        <f t="shared" si="4"/>
        <v>118.5940568777324</v>
      </c>
      <c r="AM26" s="62">
        <f t="shared" si="5"/>
        <v>403.37183465551016</v>
      </c>
      <c r="AN26" s="62">
        <f ca="1">AVERAGE(OFFSET($AM$3,0,0,'Données projet'!$E$10+1,1))-AVERAGE(OFFSET($H$3,0,0,'Données projet'!$E$10+1,1))</f>
        <v>320.63267332485663</v>
      </c>
      <c r="AO26" s="62">
        <f t="shared" si="36"/>
        <v>201.96012789473809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2.84</v>
      </c>
      <c r="BD26" s="13">
        <f>IF('Données projet'!$A$88&gt;35,BD25+BC26-BL25,IF(A26&lt;'Données projet'!$A$88,$BA$205^A26,IF(A26='Données projet'!$A$88,'Données projet'!$B$88,BD25+BC26-BL25)))</f>
        <v>50.484455997861858</v>
      </c>
      <c r="BE26" s="14">
        <f>BD26*VLOOKUP('Données projet'!$B$11,Paramètres!$A$1:$I$89,3,0)*VLOOKUP('Données projet'!$B$11,Paramètres!$A$1:$I$89,5,0)</f>
        <v>45.678335786865411</v>
      </c>
      <c r="BF26" s="14">
        <f t="shared" si="37"/>
        <v>13.491867326427556</v>
      </c>
      <c r="BG26" s="22">
        <f t="shared" si="7"/>
        <v>103.0547704223186</v>
      </c>
      <c r="BH26" s="62">
        <f t="shared" si="8"/>
        <v>387.83254820009637</v>
      </c>
      <c r="BI26" s="62">
        <f ca="1">AVERAGE(OFFSET($BH$3,0,0,'Données projet'!$E$11+1,1))-AVERAGE(OFFSET($H$3,0,0,'Données projet'!$E$11+1,1))</f>
        <v>267.00333505765792</v>
      </c>
      <c r="BJ26" s="62">
        <f t="shared" si="38"/>
        <v>172.25613380618557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2.84</v>
      </c>
      <c r="BY26" s="13">
        <f>IF('Données projet'!$A$114&gt;35,BY25+BX26-CG25,IF(A26&lt;'Données projet'!$A$114,$BV$205^A26,IF(A26='Données projet'!$A$114,'Données projet'!$B$114,BY25+BX26-CG25)))</f>
        <v>50.484455997861858</v>
      </c>
      <c r="BZ26" s="14">
        <f>BY26*VLOOKUP('Données projet'!$B$12,Paramètres!$A$1:$I$89,3,0)*VLOOKUP('Données projet'!$B$12,Paramètres!$A$1:$I$89,5,0)</f>
        <v>51.19123838183193</v>
      </c>
      <c r="CA26" s="14">
        <f t="shared" si="39"/>
        <v>14.920979327781229</v>
      </c>
      <c r="CB26" s="22">
        <f t="shared" si="10"/>
        <v>115.14544584424293</v>
      </c>
      <c r="CC26" s="62">
        <f t="shared" si="11"/>
        <v>399.92322362202071</v>
      </c>
      <c r="CD26" s="62">
        <f ca="1">AVERAGE(OFFSET($CC$3,0,0,'Données projet'!$E$12+1,1))-AVERAGE(OFFSET($H$3,0,0,'Données projet'!$E$12+1,1))</f>
        <v>308.72872453744998</v>
      </c>
      <c r="CE26" s="62">
        <f t="shared" si="40"/>
        <v>195.3674411454258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14.727272727272727</v>
      </c>
      <c r="N27" s="14">
        <f>IF('Données projet'!$A$36&gt;35,N26+M27-V26,IF(A27&lt;'Données projet'!$A$36,$K$205^A27,IF(A27='Données projet'!$A$36,'Données projet'!$B$36,N26+M27-V26)))</f>
        <v>177.72727272727275</v>
      </c>
      <c r="O27" s="14">
        <f>N27*VLOOKUP('Données projet'!$B$9,Paramètres!$A$1:$I$89,3,0)*VLOOKUP('Données projet'!$B$9,Paramètres!$A$1:$I$89,5,0)</f>
        <v>106.28090909090911</v>
      </c>
      <c r="P27" s="14">
        <f t="shared" si="33"/>
        <v>28.45299143279248</v>
      </c>
      <c r="Q27" s="22">
        <f t="shared" si="2"/>
        <v>234.66154341211356</v>
      </c>
      <c r="R27" s="62">
        <f t="shared" si="0"/>
        <v>520.66154341211359</v>
      </c>
      <c r="S27" s="62">
        <f ca="1">AVERAGE(OFFSET($R$3,0,0,'Données projet'!$E$9+1,1))-AVERAGE(OFFSET($H$3,0,0,'Données projet'!$E$9+1,1))</f>
        <v>160.24926890971085</v>
      </c>
      <c r="T27" s="62">
        <f t="shared" si="34"/>
        <v>323.52368436151721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9.8154194726846082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18.064663391559524</v>
      </c>
      <c r="AC27" s="24">
        <f t="shared" si="3"/>
        <v>27.88008286424413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2.84</v>
      </c>
      <c r="AI27" s="14">
        <f>IF('Données projet'!$A$62&gt;35,AI26+AH27-AQ26,IF(A27&lt;'Données projet'!$A$62,$AF$205^A27,IF(A27='Données projet'!$A$62,'Données projet'!$B$62,AI26+AH27-AQ26)))</f>
        <v>59.869828593776646</v>
      </c>
      <c r="AJ27" s="14">
        <f>AI27*VLOOKUP('Données projet'!$B$10,Paramètres!$A$1:$I$89,3,0)*VLOOKUP('Données projet'!$B$10,Paramètres!$A$1:$I$89,5,0)</f>
        <v>62.57594484621535</v>
      </c>
      <c r="AK27" s="14">
        <f t="shared" si="35"/>
        <v>17.817946783103427</v>
      </c>
      <c r="AL27" s="22">
        <f t="shared" si="4"/>
        <v>140.01936125439684</v>
      </c>
      <c r="AM27" s="62">
        <f t="shared" si="5"/>
        <v>426.01936125439681</v>
      </c>
      <c r="AN27" s="62">
        <f ca="1">AVERAGE(OFFSET($AM$3,0,0,'Données projet'!$E$10+1,1))-AVERAGE(OFFSET($H$3,0,0,'Données projet'!$E$10+1,1))</f>
        <v>320.63267332485663</v>
      </c>
      <c r="AO27" s="62">
        <f t="shared" si="36"/>
        <v>201.96012789473809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2.84</v>
      </c>
      <c r="BD27" s="13">
        <f>IF('Données projet'!$A$88&gt;35,BD26+BC27-BL26,IF(A27&lt;'Données projet'!$A$88,$BA$205^A27,IF(A27='Données projet'!$A$88,'Données projet'!$B$88,BD26+BC27-BL26)))</f>
        <v>59.869828593776646</v>
      </c>
      <c r="BE27" s="14">
        <f>BD27*VLOOKUP('Données projet'!$B$11,Paramètres!$A$1:$I$89,3,0)*VLOOKUP('Données projet'!$B$11,Paramètres!$A$1:$I$89,5,0)</f>
        <v>54.17022091164911</v>
      </c>
      <c r="BF27" s="14">
        <f t="shared" si="37"/>
        <v>15.685665051562438</v>
      </c>
      <c r="BG27" s="22">
        <f t="shared" si="7"/>
        <v>121.66566805259345</v>
      </c>
      <c r="BH27" s="62">
        <f t="shared" si="8"/>
        <v>407.66566805259345</v>
      </c>
      <c r="BI27" s="62">
        <f ca="1">AVERAGE(OFFSET($BH$3,0,0,'Données projet'!$E$11+1,1))-AVERAGE(OFFSET($H$3,0,0,'Données projet'!$E$11+1,1))</f>
        <v>267.00333505765792</v>
      </c>
      <c r="BJ27" s="62">
        <f t="shared" si="38"/>
        <v>172.25613380618557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2.84</v>
      </c>
      <c r="BY27" s="13">
        <f>IF('Données projet'!$A$114&gt;35,BY26+BX27-CG26,IF(A27&lt;'Données projet'!$A$114,$BV$205^A27,IF(A27='Données projet'!$A$114,'Données projet'!$B$114,BY26+BX27-CG26)))</f>
        <v>59.869828593776646</v>
      </c>
      <c r="BZ27" s="14">
        <f>BY27*VLOOKUP('Données projet'!$B$12,Paramètres!$A$1:$I$89,3,0)*VLOOKUP('Données projet'!$B$12,Paramètres!$A$1:$I$89,5,0)</f>
        <v>60.708006194089528</v>
      </c>
      <c r="CA27" s="14">
        <f t="shared" si="39"/>
        <v>17.347152793180882</v>
      </c>
      <c r="CB27" s="22">
        <f t="shared" si="10"/>
        <v>135.94606856949596</v>
      </c>
      <c r="CC27" s="62">
        <f t="shared" si="11"/>
        <v>421.94606856949599</v>
      </c>
      <c r="CD27" s="62">
        <f ca="1">AVERAGE(OFFSET($CC$3,0,0,'Données projet'!$E$12+1,1))-AVERAGE(OFFSET($H$3,0,0,'Données projet'!$E$12+1,1))</f>
        <v>308.72872453744998</v>
      </c>
      <c r="CE27" s="62">
        <f t="shared" si="40"/>
        <v>195.3674411454258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14.727272727272727</v>
      </c>
      <c r="N28" s="14">
        <f>IF('Données projet'!$A$36&gt;35,N27+M28-V27,IF(A28&lt;'Données projet'!$A$36,$K$205^A28,IF(A28='Données projet'!$A$36,'Données projet'!$B$36,N27+M28-V27)))</f>
        <v>192.45454545454547</v>
      </c>
      <c r="O28" s="14">
        <f>N28*VLOOKUP('Données projet'!$B$9,Paramètres!$A$1:$I$89,3,0)*VLOOKUP('Données projet'!$B$9,Paramètres!$A$1:$I$89,5,0)</f>
        <v>115.08781818181821</v>
      </c>
      <c r="P28" s="14">
        <f t="shared" si="33"/>
        <v>30.526541558002926</v>
      </c>
      <c r="Q28" s="22">
        <f t="shared" si="2"/>
        <v>253.61167654685516</v>
      </c>
      <c r="R28" s="62">
        <f t="shared" si="0"/>
        <v>540.83389876907745</v>
      </c>
      <c r="S28" s="62">
        <f ca="1">AVERAGE(OFFSET($R$3,0,0,'Données projet'!$E$9+1,1))-AVERAGE(OFFSET($H$3,0,0,'Données projet'!$E$9+1,1))</f>
        <v>160.24926890971085</v>
      </c>
      <c r="T28" s="62">
        <f t="shared" si="34"/>
        <v>323.52368436151721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9.6229450836399923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12.773645984024117</v>
      </c>
      <c r="AC28" s="24">
        <f t="shared" si="3"/>
        <v>22.396591067664112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71</v>
      </c>
      <c r="AG28" s="13">
        <f>VLOOKUP(A28,'Données projet'!$A$61:$I$81,9,0)</f>
        <v>2.84</v>
      </c>
      <c r="AH28" s="13">
        <f t="array" ref="AH28">INDEX(AG:AG,MIN(IF(ISNUMBER(AG28:AG224),ROW(AG28:AG224),"")))</f>
        <v>2.84</v>
      </c>
      <c r="AI28" s="14">
        <f>IF('Données projet'!$A$62&gt;35,AI27+AH28-AQ27,IF(A28&lt;'Données projet'!$A$62,$AF$205^A28,IF(A28='Données projet'!$A$62,'Données projet'!$B$62,AI27+AH28-AQ27)))</f>
        <v>71</v>
      </c>
      <c r="AJ28" s="14">
        <f>AI28*VLOOKUP('Données projet'!$B$10,Paramètres!$A$1:$I$89,3,0)*VLOOKUP('Données projet'!$B$10,Paramètres!$A$1:$I$89,5,0)</f>
        <v>74.20920000000001</v>
      </c>
      <c r="AK28" s="14">
        <f t="shared" si="35"/>
        <v>20.71517147214108</v>
      </c>
      <c r="AL28" s="22">
        <f t="shared" si="4"/>
        <v>165.3266136473124</v>
      </c>
      <c r="AM28" s="62">
        <f t="shared" si="5"/>
        <v>452.54883586953463</v>
      </c>
      <c r="AN28" s="62">
        <f ca="1">AVERAGE(OFFSET($AM$3,0,0,'Données projet'!$E$10+1,1))-AVERAGE(OFFSET($H$3,0,0,'Données projet'!$E$10+1,1))</f>
        <v>320.63267332485663</v>
      </c>
      <c r="AO28" s="62">
        <f t="shared" si="36"/>
        <v>201.96012789473809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2.84</v>
      </c>
      <c r="BC28" s="13">
        <f t="array" ref="BC28">INDEX(BB:BB,MIN(IF(ISNUMBER(BB28:BB224),ROW(BB28:BB224),"")))</f>
        <v>2.84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projet'!$B$11,Paramètres!$A$1:$I$89,3,0)*VLOOKUP('Données projet'!$B$11,Paramètres!$A$1:$I$89,5,0)</f>
        <v>64.240800000000007</v>
      </c>
      <c r="BF28" s="14">
        <f t="shared" si="37"/>
        <v>18.236177554745847</v>
      </c>
      <c r="BG28" s="22">
        <f t="shared" si="7"/>
        <v>143.6474025745157</v>
      </c>
      <c r="BH28" s="62">
        <f t="shared" si="8"/>
        <v>430.86962479673792</v>
      </c>
      <c r="BI28" s="62">
        <f ca="1">AVERAGE(OFFSET($BH$3,0,0,'Données projet'!$E$11+1,1))-AVERAGE(OFFSET($H$3,0,0,'Données projet'!$E$11+1,1))</f>
        <v>267.00333505765792</v>
      </c>
      <c r="BJ28" s="62">
        <f t="shared" si="38"/>
        <v>172.25613380618557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71</v>
      </c>
      <c r="BW28" s="13">
        <f>VLOOKUP(A28,'Données projet'!$A$113:$I$133,9,0)</f>
        <v>2.84</v>
      </c>
      <c r="BX28" s="13">
        <f t="array" ref="BX28">INDEX(BW:BW,MIN(IF(ISNUMBER(BW28:BW224),ROW(BW28:BW224),"")))</f>
        <v>2.84</v>
      </c>
      <c r="BY28" s="13">
        <f>IF('Données projet'!$A$114&gt;35,BY27+BX28-CG27,IF(A28&lt;'Données projet'!$A$114,$BV$205^A28,IF(A28='Données projet'!$A$114,'Données projet'!$B$114,BY27+BX28-CG27)))</f>
        <v>71</v>
      </c>
      <c r="BZ28" s="14">
        <f>BY28*VLOOKUP('Données projet'!$B$12,Paramètres!$A$1:$I$89,3,0)*VLOOKUP('Données projet'!$B$12,Paramètres!$A$1:$I$89,5,0)</f>
        <v>71.994</v>
      </c>
      <c r="CA28" s="14">
        <f t="shared" si="39"/>
        <v>20.167825678149413</v>
      </c>
      <c r="CB28" s="22">
        <f t="shared" si="10"/>
        <v>160.51517972277688</v>
      </c>
      <c r="CC28" s="62">
        <f t="shared" si="11"/>
        <v>447.73740194499908</v>
      </c>
      <c r="CD28" s="62">
        <f ca="1">AVERAGE(OFFSET($CC$3,0,0,'Données projet'!$E$12+1,1))-AVERAGE(OFFSET($H$3,0,0,'Données projet'!$E$12+1,1))</f>
        <v>308.72872453744998</v>
      </c>
      <c r="CE28" s="62">
        <f t="shared" si="40"/>
        <v>195.3674411454258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14.727272727272727</v>
      </c>
      <c r="N29" s="14">
        <f>IF('Données projet'!$A$36&gt;35,N28+M29-V28,IF(A29&lt;'Données projet'!$A$36,$K$205^A29,IF(A29='Données projet'!$A$36,'Données projet'!$B$36,N28+M29-V28)))</f>
        <v>207.18181818181819</v>
      </c>
      <c r="O29" s="14">
        <f>N29*VLOOKUP('Données projet'!$B$9,Paramètres!$A$1:$I$89,3,0)*VLOOKUP('Données projet'!$B$9,Paramètres!$A$1:$I$89,5,0)</f>
        <v>123.89472727272728</v>
      </c>
      <c r="P29" s="14">
        <f t="shared" si="33"/>
        <v>32.581684967306394</v>
      </c>
      <c r="Q29" s="22">
        <f t="shared" si="2"/>
        <v>272.52975131805863</v>
      </c>
      <c r="R29" s="62">
        <f t="shared" si="0"/>
        <v>560.97419576250309</v>
      </c>
      <c r="S29" s="62">
        <f ca="1">AVERAGE(OFFSET($R$3,0,0,'Données projet'!$E$9+1,1))-AVERAGE(OFFSET($H$3,0,0,'Données projet'!$E$9+1,1))</f>
        <v>160.24926890971085</v>
      </c>
      <c r="T29" s="62">
        <f t="shared" si="34"/>
        <v>323.52368436151721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9.4342449999667561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9.0323316957797637</v>
      </c>
      <c r="AC29" s="24">
        <f t="shared" si="3"/>
        <v>18.466576695746518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70</v>
      </c>
      <c r="AJ29" s="14">
        <f>AI29*VLOOKUP('Données projet'!$B$10,Paramètres!$A$1:$I$89,3,0)*VLOOKUP('Données projet'!$B$10,Paramètres!$A$1:$I$89,5,0)</f>
        <v>73.164000000000016</v>
      </c>
      <c r="AK29" s="14">
        <f t="shared" si="35"/>
        <v>20.457157263578857</v>
      </c>
      <c r="AL29" s="22">
        <f t="shared" si="4"/>
        <v>163.0568489007332</v>
      </c>
      <c r="AM29" s="62">
        <f t="shared" si="5"/>
        <v>451.50129334517766</v>
      </c>
      <c r="AN29" s="62">
        <f ca="1">AVERAGE(OFFSET($AM$3,0,0,'Données projet'!$E$10+1,1))-AVERAGE(OFFSET($H$3,0,0,'Données projet'!$E$10+1,1))</f>
        <v>320.63267332485663</v>
      </c>
      <c r="AO29" s="62">
        <f t="shared" si="36"/>
        <v>201.96012789473809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70</v>
      </c>
      <c r="BE29" s="14">
        <f>BD29*VLOOKUP('Données projet'!$B$11,Paramètres!$A$1:$I$89,3,0)*VLOOKUP('Données projet'!$B$11,Paramètres!$A$1:$I$89,5,0)</f>
        <v>63.335999999999991</v>
      </c>
      <c r="BF29" s="14">
        <f t="shared" si="37"/>
        <v>18.009040022946227</v>
      </c>
      <c r="BG29" s="22">
        <f t="shared" si="7"/>
        <v>141.67594470663133</v>
      </c>
      <c r="BH29" s="62">
        <f t="shared" si="8"/>
        <v>430.12038915107576</v>
      </c>
      <c r="BI29" s="62">
        <f ca="1">AVERAGE(OFFSET($BH$3,0,0,'Données projet'!$E$11+1,1))-AVERAGE(OFFSET($H$3,0,0,'Données projet'!$E$11+1,1))</f>
        <v>267.00333505765792</v>
      </c>
      <c r="BJ29" s="62">
        <f t="shared" si="38"/>
        <v>172.25613380618557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70</v>
      </c>
      <c r="BZ29" s="14">
        <f>BY29*VLOOKUP('Données projet'!$B$12,Paramètres!$A$1:$I$89,3,0)*VLOOKUP('Données projet'!$B$12,Paramètres!$A$1:$I$89,5,0)</f>
        <v>70.98</v>
      </c>
      <c r="CA29" s="14">
        <f t="shared" si="39"/>
        <v>19.916628839746853</v>
      </c>
      <c r="CB29" s="22">
        <f t="shared" si="10"/>
        <v>158.31162856255909</v>
      </c>
      <c r="CC29" s="62">
        <f t="shared" si="11"/>
        <v>446.75607300700358</v>
      </c>
      <c r="CD29" s="62">
        <f ca="1">AVERAGE(OFFSET($CC$3,0,0,'Données projet'!$E$12+1,1))-AVERAGE(OFFSET($H$3,0,0,'Données projet'!$E$12+1,1))</f>
        <v>308.72872453744998</v>
      </c>
      <c r="CE29" s="62">
        <f t="shared" si="40"/>
        <v>195.3674411454258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14.727272727272727</v>
      </c>
      <c r="N30" s="14">
        <f>IF('Données projet'!$A$36&gt;35,N29+M30-V29,IF(A30&lt;'Données projet'!$A$36,$K$205^A30,IF(A30='Données projet'!$A$36,'Données projet'!$B$36,N29+M30-V29)))</f>
        <v>221.90909090909091</v>
      </c>
      <c r="O30" s="14">
        <f>N30*VLOOKUP('Données projet'!$B$9,Paramètres!$A$1:$I$89,3,0)*VLOOKUP('Données projet'!$B$9,Paramètres!$A$1:$I$89,5,0)</f>
        <v>132.70163636363637</v>
      </c>
      <c r="P30" s="14">
        <f t="shared" si="33"/>
        <v>34.619878895597843</v>
      </c>
      <c r="Q30" s="22">
        <f t="shared" si="2"/>
        <v>291.41830574316629</v>
      </c>
      <c r="R30" s="62">
        <f t="shared" si="0"/>
        <v>581.08497240983297</v>
      </c>
      <c r="S30" s="62">
        <f ca="1">AVERAGE(OFFSET($R$3,0,0,'Données projet'!$E$9+1,1))-AVERAGE(OFFSET($H$3,0,0,'Données projet'!$E$9+1,1))</f>
        <v>160.24926890971085</v>
      </c>
      <c r="T30" s="62">
        <f t="shared" si="34"/>
        <v>323.52368436151721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9.2492452098386657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6.3868229920120596</v>
      </c>
      <c r="AC30" s="24">
        <f t="shared" si="3"/>
        <v>15.636068201850726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77</v>
      </c>
      <c r="AJ30" s="14">
        <f>AI30*VLOOKUP('Données projet'!$B$10,Paramètres!$A$1:$I$89,3,0)*VLOOKUP('Données projet'!$B$10,Paramètres!$A$1:$I$89,5,0)</f>
        <v>80.480400000000003</v>
      </c>
      <c r="AK30" s="14">
        <f t="shared" si="35"/>
        <v>22.254603466245904</v>
      </c>
      <c r="AL30" s="22">
        <f t="shared" si="4"/>
        <v>178.93013103704493</v>
      </c>
      <c r="AM30" s="62">
        <f t="shared" si="5"/>
        <v>468.59679770371162</v>
      </c>
      <c r="AN30" s="62">
        <f ca="1">AVERAGE(OFFSET($AM$3,0,0,'Données projet'!$E$10+1,1))-AVERAGE(OFFSET($H$3,0,0,'Données projet'!$E$10+1,1))</f>
        <v>320.63267332485663</v>
      </c>
      <c r="AO30" s="62">
        <f t="shared" si="36"/>
        <v>201.96012789473809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69.669600000000003</v>
      </c>
      <c r="BF30" s="14">
        <f t="shared" si="37"/>
        <v>19.591385027476957</v>
      </c>
      <c r="BG30" s="22">
        <f t="shared" si="7"/>
        <v>155.46288225618903</v>
      </c>
      <c r="BH30" s="62">
        <f t="shared" si="8"/>
        <v>445.12954892285575</v>
      </c>
      <c r="BI30" s="62">
        <f ca="1">AVERAGE(OFFSET($BH$3,0,0,'Données projet'!$E$11+1,1))-AVERAGE(OFFSET($H$3,0,0,'Données projet'!$E$11+1,1))</f>
        <v>267.00333505765792</v>
      </c>
      <c r="BJ30" s="62">
        <f t="shared" si="38"/>
        <v>172.25613380618557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77</v>
      </c>
      <c r="BZ30" s="14">
        <f>BY30*VLOOKUP('Données projet'!$B$12,Paramètres!$A$1:$I$89,3,0)*VLOOKUP('Données projet'!$B$12,Paramètres!$A$1:$I$89,5,0)</f>
        <v>78.078000000000003</v>
      </c>
      <c r="CA30" s="14">
        <f t="shared" si="39"/>
        <v>21.666582091642084</v>
      </c>
      <c r="CB30" s="22">
        <f t="shared" si="10"/>
        <v>173.72181380960993</v>
      </c>
      <c r="CC30" s="62">
        <f t="shared" si="11"/>
        <v>463.38848047627664</v>
      </c>
      <c r="CD30" s="62">
        <f ca="1">AVERAGE(OFFSET($CC$3,0,0,'Données projet'!$E$12+1,1))-AVERAGE(OFFSET($H$3,0,0,'Données projet'!$E$12+1,1))</f>
        <v>308.72872453744998</v>
      </c>
      <c r="CE30" s="62">
        <f t="shared" si="40"/>
        <v>195.3674411454258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14.727272727272727</v>
      </c>
      <c r="N31" s="14">
        <f>IF('Données projet'!$A$36&gt;35,N30+M31-V30,IF(A31&lt;'Données projet'!$A$36,$K$205^A31,IF(A31='Données projet'!$A$36,'Données projet'!$B$36,N30+M31-V30)))</f>
        <v>236.63636363636363</v>
      </c>
      <c r="O31" s="14">
        <f>N31*VLOOKUP('Données projet'!$B$9,Paramètres!$A$1:$I$89,3,0)*VLOOKUP('Données projet'!$B$9,Paramètres!$A$1:$I$89,5,0)</f>
        <v>141.50854545454547</v>
      </c>
      <c r="P31" s="14">
        <f t="shared" si="33"/>
        <v>36.642376213467628</v>
      </c>
      <c r="Q31" s="22">
        <f t="shared" si="2"/>
        <v>310.27952190512281</v>
      </c>
      <c r="R31" s="62">
        <f t="shared" si="0"/>
        <v>601.16841079401161</v>
      </c>
      <c r="S31" s="62">
        <f ca="1">AVERAGE(OFFSET($R$3,0,0,'Données projet'!$E$9+1,1))-AVERAGE(OFFSET($H$3,0,0,'Données projet'!$E$9+1,1))</f>
        <v>160.24926890971085</v>
      </c>
      <c r="T31" s="62">
        <f t="shared" si="34"/>
        <v>323.52368436151721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9.0678731527562579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4.5161658478898827</v>
      </c>
      <c r="AC31" s="24">
        <f t="shared" si="3"/>
        <v>13.58403900064614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84</v>
      </c>
      <c r="AJ31" s="14">
        <f>AI31*VLOOKUP('Données projet'!$B$10,Paramètres!$A$1:$I$89,3,0)*VLOOKUP('Données projet'!$B$10,Paramètres!$A$1:$I$89,5,0)</f>
        <v>87.796800000000005</v>
      </c>
      <c r="AK31" s="14">
        <f t="shared" si="35"/>
        <v>24.033102173590827</v>
      </c>
      <c r="AL31" s="22">
        <f t="shared" si="4"/>
        <v>194.77041295233732</v>
      </c>
      <c r="AM31" s="62">
        <f t="shared" si="5"/>
        <v>485.65930184122618</v>
      </c>
      <c r="AN31" s="62">
        <f ca="1">AVERAGE(OFFSET($AM$3,0,0,'Données projet'!$E$10+1,1))-AVERAGE(OFFSET($H$3,0,0,'Données projet'!$E$10+1,1))</f>
        <v>320.63267332485663</v>
      </c>
      <c r="AO31" s="62">
        <f t="shared" si="36"/>
        <v>201.96012789473809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84</v>
      </c>
      <c r="BE31" s="14">
        <f>BD31*VLOOKUP('Données projet'!$B$11,Paramètres!$A$1:$I$89,3,0)*VLOOKUP('Données projet'!$B$11,Paramètres!$A$1:$I$89,5,0)</f>
        <v>76.003200000000007</v>
      </c>
      <c r="BF31" s="14">
        <f t="shared" si="37"/>
        <v>21.157049992000456</v>
      </c>
      <c r="BG31" s="22">
        <f t="shared" si="7"/>
        <v>169.22076873606747</v>
      </c>
      <c r="BH31" s="62">
        <f t="shared" si="8"/>
        <v>460.1096576249563</v>
      </c>
      <c r="BI31" s="62">
        <f ca="1">AVERAGE(OFFSET($BH$3,0,0,'Données projet'!$E$11+1,1))-AVERAGE(OFFSET($H$3,0,0,'Données projet'!$E$11+1,1))</f>
        <v>267.00333505765792</v>
      </c>
      <c r="BJ31" s="62">
        <f t="shared" si="38"/>
        <v>172.25613380618557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84</v>
      </c>
      <c r="BZ31" s="14">
        <f>BY31*VLOOKUP('Données projet'!$B$12,Paramètres!$A$1:$I$89,3,0)*VLOOKUP('Données projet'!$B$12,Paramètres!$A$1:$I$89,5,0)</f>
        <v>85.176000000000002</v>
      </c>
      <c r="CA31" s="14">
        <f t="shared" si="39"/>
        <v>23.398088487656441</v>
      </c>
      <c r="CB31" s="22">
        <f t="shared" si="10"/>
        <v>189.09987078266829</v>
      </c>
      <c r="CC31" s="62">
        <f t="shared" si="11"/>
        <v>479.98875967155715</v>
      </c>
      <c r="CD31" s="62">
        <f ca="1">AVERAGE(OFFSET($CC$3,0,0,'Données projet'!$E$12+1,1))-AVERAGE(OFFSET($H$3,0,0,'Données projet'!$E$12+1,1))</f>
        <v>308.72872453744998</v>
      </c>
      <c r="CE31" s="62">
        <f t="shared" si="40"/>
        <v>195.3674411454258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14.727272727272727</v>
      </c>
      <c r="N32" s="14">
        <f>IF('Données projet'!$A$36&gt;35,N31+M32-V31,IF(A32&lt;'Données projet'!$A$36,$K$205^A32,IF(A32='Données projet'!$A$36,'Données projet'!$B$36,N31+M32-V31)))</f>
        <v>251.36363636363635</v>
      </c>
      <c r="O32" s="14">
        <f>N32*VLOOKUP('Données projet'!$B$9,Paramètres!$A$1:$I$89,3,0)*VLOOKUP('Données projet'!$B$9,Paramètres!$A$1:$I$89,5,0)</f>
        <v>150.31545454545454</v>
      </c>
      <c r="P32" s="14">
        <f t="shared" si="33"/>
        <v>38.650265030760963</v>
      </c>
      <c r="Q32" s="22">
        <f t="shared" si="2"/>
        <v>329.11529492857534</v>
      </c>
      <c r="R32" s="62">
        <f t="shared" si="0"/>
        <v>621.22640603968648</v>
      </c>
      <c r="S32" s="62">
        <f ca="1">AVERAGE(OFFSET($R$3,0,0,'Données projet'!$E$9+1,1))-AVERAGE(OFFSET($H$3,0,0,'Données projet'!$E$9+1,1))</f>
        <v>160.24926890971085</v>
      </c>
      <c r="T32" s="62">
        <f t="shared" si="34"/>
        <v>323.52368436151721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8.890057691087204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3.1934114960060302</v>
      </c>
      <c r="AC32" s="24">
        <f t="shared" si="3"/>
        <v>12.083469187093234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91</v>
      </c>
      <c r="AJ32" s="14">
        <f>AI32*VLOOKUP('Données projet'!$B$10,Paramètres!$A$1:$I$89,3,0)*VLOOKUP('Données projet'!$B$10,Paramètres!$A$1:$I$89,5,0)</f>
        <v>95.113200000000006</v>
      </c>
      <c r="AK32" s="14">
        <f t="shared" si="35"/>
        <v>25.794411857052886</v>
      </c>
      <c r="AL32" s="22">
        <f t="shared" si="4"/>
        <v>210.58075731770046</v>
      </c>
      <c r="AM32" s="62">
        <f t="shared" si="5"/>
        <v>502.69186842881163</v>
      </c>
      <c r="AN32" s="62">
        <f ca="1">AVERAGE(OFFSET($AM$3,0,0,'Données projet'!$E$10+1,1))-AVERAGE(OFFSET($H$3,0,0,'Données projet'!$E$10+1,1))</f>
        <v>320.63267332485663</v>
      </c>
      <c r="AO32" s="62">
        <f t="shared" si="36"/>
        <v>201.96012789473809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91</v>
      </c>
      <c r="BE32" s="14">
        <f>BD32*VLOOKUP('Données projet'!$B$11,Paramètres!$A$1:$I$89,3,0)*VLOOKUP('Données projet'!$B$11,Paramètres!$A$1:$I$89,5,0)</f>
        <v>82.336799999999997</v>
      </c>
      <c r="BF32" s="14">
        <f t="shared" si="37"/>
        <v>22.707582950885364</v>
      </c>
      <c r="BG32" s="22">
        <f t="shared" si="7"/>
        <v>182.95230030612535</v>
      </c>
      <c r="BH32" s="62">
        <f t="shared" si="8"/>
        <v>475.06341141723647</v>
      </c>
      <c r="BI32" s="62">
        <f ca="1">AVERAGE(OFFSET($BH$3,0,0,'Données projet'!$E$11+1,1))-AVERAGE(OFFSET($H$3,0,0,'Données projet'!$E$11+1,1))</f>
        <v>267.00333505765792</v>
      </c>
      <c r="BJ32" s="62">
        <f t="shared" si="38"/>
        <v>172.25613380618557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91</v>
      </c>
      <c r="BZ32" s="14">
        <f>BY32*VLOOKUP('Données projet'!$B$12,Paramètres!$A$1:$I$89,3,0)*VLOOKUP('Données projet'!$B$12,Paramètres!$A$1:$I$89,5,0)</f>
        <v>92.274000000000001</v>
      </c>
      <c r="CA32" s="14">
        <f t="shared" si="39"/>
        <v>25.112860036087575</v>
      </c>
      <c r="CB32" s="22">
        <f t="shared" si="10"/>
        <v>204.4487812295192</v>
      </c>
      <c r="CC32" s="62">
        <f t="shared" si="11"/>
        <v>496.55989234063031</v>
      </c>
      <c r="CD32" s="62">
        <f ca="1">AVERAGE(OFFSET($CC$3,0,0,'Données projet'!$E$12+1,1))-AVERAGE(OFFSET($H$3,0,0,'Données projet'!$E$12+1,1))</f>
        <v>308.72872453744998</v>
      </c>
      <c r="CE32" s="62">
        <f t="shared" si="40"/>
        <v>195.3674411454258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14.727272727272727</v>
      </c>
      <c r="N33" s="14">
        <f>IF('Données projet'!$A$36&gt;35,N32+M33-V32,IF(A33&lt;'Données projet'!$A$36,$K$205^A33,IF(A33='Données projet'!$A$36,'Données projet'!$B$36,N32+M33-V32)))</f>
        <v>266.09090909090907</v>
      </c>
      <c r="O33" s="14">
        <f>N33*VLOOKUP('Données projet'!$B$9,Paramètres!$A$1:$I$89,3,0)*VLOOKUP('Données projet'!$B$9,Paramètres!$A$1:$I$89,5,0)</f>
        <v>159.12236363636362</v>
      </c>
      <c r="P33" s="14">
        <f t="shared" si="33"/>
        <v>40.644498751064432</v>
      </c>
      <c r="Q33" s="22">
        <f t="shared" si="2"/>
        <v>347.92728532477048</v>
      </c>
      <c r="R33" s="62">
        <f t="shared" si="0"/>
        <v>641.26061865810379</v>
      </c>
      <c r="S33" s="62">
        <f ca="1">AVERAGE(OFFSET($R$3,0,0,'Données projet'!$E$9+1,1))-AVERAGE(OFFSET($H$3,0,0,'Données projet'!$E$9+1,1))</f>
        <v>160.24926890971085</v>
      </c>
      <c r="T33" s="62">
        <f t="shared" si="34"/>
        <v>323.52368436151721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8.7157290821647582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2.2580829239449414</v>
      </c>
      <c r="AC33" s="24">
        <f t="shared" si="3"/>
        <v>10.9738120061097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98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98</v>
      </c>
      <c r="AJ33" s="14">
        <f>AI33*VLOOKUP('Données projet'!$B$10,Paramètres!$A$1:$I$89,3,0)*VLOOKUP('Données projet'!$B$10,Paramètres!$A$1:$I$89,5,0)</f>
        <v>102.42960000000002</v>
      </c>
      <c r="AK33" s="14">
        <f t="shared" si="35"/>
        <v>27.540005085928001</v>
      </c>
      <c r="AL33" s="22">
        <f t="shared" si="4"/>
        <v>226.3637288579913</v>
      </c>
      <c r="AM33" s="62">
        <f t="shared" si="5"/>
        <v>519.69706219132468</v>
      </c>
      <c r="AN33" s="62">
        <f ca="1">AVERAGE(OFFSET($AM$3,0,0,'Données projet'!$E$10+1,1))-AVERAGE(OFFSET($H$3,0,0,'Données projet'!$E$10+1,1))</f>
        <v>320.63267332485663</v>
      </c>
      <c r="AO33" s="62">
        <f t="shared" si="36"/>
        <v>201.96012789473809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0.129</v>
      </c>
      <c r="AT33" s="17">
        <f>IF(ISNA(VLOOKUP(A33,'Données projet'!$A$61:$I$81,7,0)),0%,VLOOKUP(A33,'Données projet'!$A$61:$I$81,7,0))</f>
        <v>0.7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3.1177562487704882</v>
      </c>
      <c r="AW33" s="23">
        <f>EXP(-LN(2)/2)*AW32+(1-EXP(-LN(2)/2))/(LN(2)/2)*AQ33*AT33*VLOOKUP('Données projet'!$B$10,Paramètres!$A$1:$I$89,3,0)*0.475*44/12</f>
        <v>14.49676266783961</v>
      </c>
      <c r="AX33" s="23">
        <f t="shared" si="6"/>
        <v>17.614518916610098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98</v>
      </c>
      <c r="BE33" s="14">
        <f>BD33*VLOOKUP('Données projet'!$B$11,Paramètres!$A$1:$I$89,3,0)*VLOOKUP('Données projet'!$B$11,Paramètres!$A$1:$I$89,5,0)</f>
        <v>88.670400000000001</v>
      </c>
      <c r="BF33" s="14">
        <f t="shared" si="37"/>
        <v>24.244280250395512</v>
      </c>
      <c r="BG33" s="22">
        <f t="shared" si="7"/>
        <v>196.65973476943884</v>
      </c>
      <c r="BH33" s="62">
        <f t="shared" si="8"/>
        <v>489.99306810277216</v>
      </c>
      <c r="BI33" s="62">
        <f ca="1">AVERAGE(OFFSET($BH$3,0,0,'Données projet'!$E$11+1,1))-AVERAGE(OFFSET($H$3,0,0,'Données projet'!$E$11+1,1))</f>
        <v>267.00333505765792</v>
      </c>
      <c r="BJ33" s="62">
        <f t="shared" si="38"/>
        <v>172.25613380618557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0.129</v>
      </c>
      <c r="BO33" s="17">
        <f>IF(ISNA(VLOOKUP(A33,'Données projet'!$A$87:$I$107,7,0)),0%,VLOOKUP(A33,'Données projet'!$A$87:$I$107,7,0))</f>
        <v>0.7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2.6989531705774374</v>
      </c>
      <c r="BR33" s="23">
        <f>EXP(-LN(2)/2)*BR32+(1-EXP(-LN(2)/2))/(LN(2)/2)*BL33*BO33*VLOOKUP('Données projet'!$B$11,Paramètres!$A$1:$I$89,3,0)*0.475*44/12</f>
        <v>12.54943633932384</v>
      </c>
      <c r="BS33" s="24">
        <f t="shared" si="9"/>
        <v>15.248389509901278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98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98</v>
      </c>
      <c r="BZ33" s="14">
        <f>BY33*VLOOKUP('Données projet'!$B$12,Paramètres!$A$1:$I$89,3,0)*VLOOKUP('Données projet'!$B$12,Paramètres!$A$1:$I$89,5,0)</f>
        <v>99.372000000000014</v>
      </c>
      <c r="CA33" s="14">
        <f t="shared" si="39"/>
        <v>26.812330397327713</v>
      </c>
      <c r="CB33" s="22">
        <f t="shared" si="10"/>
        <v>219.7710421086791</v>
      </c>
      <c r="CC33" s="62">
        <f t="shared" si="11"/>
        <v>513.10437544201238</v>
      </c>
      <c r="CD33" s="62">
        <f ca="1">AVERAGE(OFFSET($CC$3,0,0,'Données projet'!$E$12+1,1))-AVERAGE(OFFSET($H$3,0,0,'Données projet'!$E$12+1,1))</f>
        <v>308.72872453744998</v>
      </c>
      <c r="CE33" s="62">
        <f t="shared" si="40"/>
        <v>195.3674411454258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21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0.129</v>
      </c>
      <c r="CJ33" s="17">
        <f>IF(ISNA(VLOOKUP(A33,'Données projet'!$A$113:$I$133,7,0)),0%,VLOOKUP(A33,'Données projet'!$A$113:$I$133,7,0))</f>
        <v>0.7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3.024688898060921</v>
      </c>
      <c r="CM33" s="23">
        <f>EXP(-LN(2)/2)*CM32+(1-EXP(-LN(2)/2))/(LN(2)/2)*CG33*CJ33*VLOOKUP('Données projet'!$B$12,Paramètres!$A$1:$I$89,3,0)*0.475*44/12</f>
        <v>14.064023483724995</v>
      </c>
      <c r="CN33" s="24">
        <f t="shared" si="12"/>
        <v>17.088712381785918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14.727272727272727</v>
      </c>
      <c r="N34" s="14">
        <f>IF('Données projet'!$A$36&gt;35,N33+M34-V33,IF(A34&lt;'Données projet'!$A$36,$K$205^A34,IF(A34='Données projet'!$A$36,'Données projet'!$B$36,N33+M34-V33)))</f>
        <v>280.81818181818181</v>
      </c>
      <c r="O34" s="14">
        <f>N34*VLOOKUP('Données projet'!$B$9,Paramètres!$A$1:$I$89,3,0)*VLOOKUP('Données projet'!$B$9,Paramètres!$A$1:$I$89,5,0)</f>
        <v>167.92927272727275</v>
      </c>
      <c r="P34" s="14">
        <f t="shared" si="33"/>
        <v>42.625919281834626</v>
      </c>
      <c r="Q34" s="22">
        <f t="shared" si="2"/>
        <v>366.71695941586199</v>
      </c>
      <c r="R34" s="62">
        <f t="shared" si="0"/>
        <v>660.05029274919525</v>
      </c>
      <c r="S34" s="62">
        <f ca="1">AVERAGE(OFFSET($R$3,0,0,'Données projet'!$E$9+1,1))-AVERAGE(OFFSET($H$3,0,0,'Données projet'!$E$9+1,1))</f>
        <v>160.24926890971085</v>
      </c>
      <c r="T34" s="62">
        <f t="shared" si="34"/>
        <v>323.52368436151721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8.5448189509333297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1.5967057480030151</v>
      </c>
      <c r="AC34" s="24">
        <f t="shared" si="3"/>
        <v>10.141524698936344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7.8</v>
      </c>
      <c r="AI34" s="14">
        <f>IF('Données projet'!$A$62&gt;35,AI33+AH34-AQ33,IF(A34&lt;'Données projet'!$A$62,$AF$205^A34,IF(A34='Données projet'!$A$62,'Données projet'!$B$62,AI33+AH34-AQ33)))</f>
        <v>84.8</v>
      </c>
      <c r="AJ34" s="14">
        <f>AI34*VLOOKUP('Données projet'!$B$10,Paramètres!$A$1:$I$89,3,0)*VLOOKUP('Données projet'!$B$10,Paramètres!$A$1:$I$89,5,0)</f>
        <v>88.632960000000011</v>
      </c>
      <c r="AK34" s="14">
        <f t="shared" si="35"/>
        <v>24.235234744745632</v>
      </c>
      <c r="AL34" s="22">
        <f t="shared" si="4"/>
        <v>196.5787725137653</v>
      </c>
      <c r="AM34" s="62">
        <f t="shared" si="5"/>
        <v>489.91210584709859</v>
      </c>
      <c r="AN34" s="62">
        <f ca="1">AVERAGE(OFFSET($AM$3,0,0,'Données projet'!$E$10+1,1))-AVERAGE(OFFSET($H$3,0,0,'Données projet'!$E$10+1,1))</f>
        <v>320.63267332485663</v>
      </c>
      <c r="AO34" s="62">
        <f t="shared" si="36"/>
        <v>201.96012789473809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3.0325010401921837</v>
      </c>
      <c r="AW34" s="23">
        <f>EXP(-LN(2)/2)*AW33+(1-EXP(-LN(2)/2))/(LN(2)/2)*AQ34*AT34*VLOOKUP('Données projet'!$B$10,Paramètres!$A$1:$I$89,3,0)*0.475*44/12</f>
        <v>10.250759187681375</v>
      </c>
      <c r="AX34" s="23">
        <f t="shared" si="6"/>
        <v>13.283260227873559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84.8</v>
      </c>
      <c r="BE34" s="14">
        <f>BD34*VLOOKUP('Données projet'!$B$11,Paramètres!$A$1:$I$89,3,0)*VLOOKUP('Données projet'!$B$11,Paramètres!$A$1:$I$89,5,0)</f>
        <v>76.727040000000002</v>
      </c>
      <c r="BF34" s="14">
        <f t="shared" si="37"/>
        <v>21.334993267156708</v>
      </c>
      <c r="BG34" s="22">
        <f t="shared" si="7"/>
        <v>170.79137460696458</v>
      </c>
      <c r="BH34" s="62">
        <f t="shared" si="8"/>
        <v>464.12470794029787</v>
      </c>
      <c r="BI34" s="62">
        <f ca="1">AVERAGE(OFFSET($BH$3,0,0,'Données projet'!$E$11+1,1))-AVERAGE(OFFSET($H$3,0,0,'Données projet'!$E$11+1,1))</f>
        <v>267.00333505765792</v>
      </c>
      <c r="BJ34" s="62">
        <f t="shared" si="38"/>
        <v>172.25613380618557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2.6251501541962186</v>
      </c>
      <c r="BR34" s="23">
        <f>EXP(-LN(2)/2)*BR33+(1-EXP(-LN(2)/2))/(LN(2)/2)*BL34*BO34*VLOOKUP('Données projet'!$B$11,Paramètres!$A$1:$I$89,3,0)*0.475*44/12</f>
        <v>8.8737915356047719</v>
      </c>
      <c r="BS34" s="24">
        <f t="shared" si="9"/>
        <v>11.49894168980099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7.8</v>
      </c>
      <c r="BY34" s="13">
        <f>IF('Données projet'!$A$114&gt;35,BY33+BX34-CG33,IF(A34&lt;'Données projet'!$A$114,$BV$205^A34,IF(A34='Données projet'!$A$114,'Données projet'!$B$114,BY33+BX34-CG33)))</f>
        <v>84.8</v>
      </c>
      <c r="BZ34" s="14">
        <f>BY34*VLOOKUP('Données projet'!$B$12,Paramètres!$A$1:$I$89,3,0)*VLOOKUP('Données projet'!$B$12,Paramètres!$A$1:$I$89,5,0)</f>
        <v>85.987200000000001</v>
      </c>
      <c r="CA34" s="14">
        <f t="shared" si="39"/>
        <v>23.594880218992504</v>
      </c>
      <c r="CB34" s="22">
        <f t="shared" si="10"/>
        <v>190.85545638141195</v>
      </c>
      <c r="CC34" s="62">
        <f t="shared" si="11"/>
        <v>484.18878971474527</v>
      </c>
      <c r="CD34" s="62">
        <f ca="1">AVERAGE(OFFSET($CC$3,0,0,'Données projet'!$E$12+1,1))-AVERAGE(OFFSET($H$3,0,0,'Données projet'!$E$12+1,1))</f>
        <v>308.72872453744998</v>
      </c>
      <c r="CE34" s="62">
        <f t="shared" si="40"/>
        <v>195.3674411454258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2.9419786210819692</v>
      </c>
      <c r="CM34" s="23">
        <f>EXP(-LN(2)/2)*CM33+(1-EXP(-LN(2)/2))/(LN(2)/2)*CG34*CJ34*VLOOKUP('Données projet'!$B$12,Paramètres!$A$1:$I$89,3,0)*0.475*44/12</f>
        <v>9.944766376108797</v>
      </c>
      <c r="CN34" s="24">
        <f t="shared" si="12"/>
        <v>12.886744997190766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14.727272727272727</v>
      </c>
      <c r="N35" s="14">
        <f>IF('Données projet'!$A$36&gt;35,N34+M35-V34,IF(A35&lt;'Données projet'!$A$36,$K$205^A35,IF(A35='Données projet'!$A$36,'Données projet'!$B$36,N34+M35-V34)))</f>
        <v>295.54545454545456</v>
      </c>
      <c r="O35" s="14">
        <f>N35*VLOOKUP('Données projet'!$B$9,Paramètres!$A$1:$I$89,3,0)*VLOOKUP('Données projet'!$B$9,Paramètres!$A$1:$I$89,5,0)</f>
        <v>176.73618181818185</v>
      </c>
      <c r="P35" s="14">
        <f t="shared" si="33"/>
        <v>44.595275236724611</v>
      </c>
      <c r="Q35" s="22">
        <f t="shared" ref="Q35:Q66" si="53">(O35+P35)*0.475*44/12</f>
        <v>385.4856210372954</v>
      </c>
      <c r="R35" s="62">
        <f t="shared" si="0"/>
        <v>678.81895437062872</v>
      </c>
      <c r="S35" s="62">
        <f ca="1">AVERAGE(OFFSET($R$3,0,0,'Données projet'!$E$9+1,1))-AVERAGE(OFFSET($H$3,0,0,'Données projet'!$E$9+1,1))</f>
        <v>160.24926890971085</v>
      </c>
      <c r="T35" s="62">
        <f t="shared" si="34"/>
        <v>323.52368436151721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8.3772602631304629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1.1290414619724707</v>
      </c>
      <c r="AC35" s="24">
        <f t="shared" si="3"/>
        <v>9.5063017251029329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7.8</v>
      </c>
      <c r="AI35" s="14">
        <f>IF('Données projet'!$A$62&gt;35,AI34+AH35-AQ34,IF(A35&lt;'Données projet'!$A$62,$AF$205^A35,IF(A35='Données projet'!$A$62,'Données projet'!$B$62,AI34+AH35-AQ34)))</f>
        <v>92.6</v>
      </c>
      <c r="AJ35" s="14">
        <f>AI35*VLOOKUP('Données projet'!$B$10,Paramètres!$A$1:$I$89,3,0)*VLOOKUP('Données projet'!$B$10,Paramètres!$A$1:$I$89,5,0)</f>
        <v>96.785520000000005</v>
      </c>
      <c r="AK35" s="14">
        <f t="shared" si="35"/>
        <v>26.194741889494949</v>
      </c>
      <c r="AL35" s="22">
        <f t="shared" si="4"/>
        <v>214.19062279087038</v>
      </c>
      <c r="AM35" s="62">
        <f t="shared" si="5"/>
        <v>507.52395612420366</v>
      </c>
      <c r="AN35" s="62">
        <f ca="1">AVERAGE(OFFSET($AM$3,0,0,'Données projet'!$E$10+1,1))-AVERAGE(OFFSET($H$3,0,0,'Données projet'!$E$10+1,1))</f>
        <v>320.63267332485663</v>
      </c>
      <c r="AO35" s="62">
        <f t="shared" si="36"/>
        <v>201.96012789473809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2.9495771397758297</v>
      </c>
      <c r="AW35" s="23">
        <f>EXP(-LN(2)/2)*AW34+(1-EXP(-LN(2)/2))/(LN(2)/2)*AQ35*AT35*VLOOKUP('Données projet'!$B$10,Paramètres!$A$1:$I$89,3,0)*0.475*44/12</f>
        <v>7.2483813339198058</v>
      </c>
      <c r="AX35" s="23">
        <f t="shared" si="6"/>
        <v>10.197958473695635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92.6</v>
      </c>
      <c r="BE35" s="14">
        <f>BD35*VLOOKUP('Données projet'!$B$11,Paramètres!$A$1:$I$89,3,0)*VLOOKUP('Données projet'!$B$11,Paramètres!$A$1:$I$89,5,0)</f>
        <v>83.784479999999988</v>
      </c>
      <c r="BF35" s="14">
        <f t="shared" si="37"/>
        <v>23.06000530770384</v>
      </c>
      <c r="BG35" s="22">
        <f t="shared" si="7"/>
        <v>186.08747857758416</v>
      </c>
      <c r="BH35" s="62">
        <f t="shared" si="8"/>
        <v>479.42081191091745</v>
      </c>
      <c r="BI35" s="62">
        <f ca="1">AVERAGE(OFFSET($BH$3,0,0,'Données projet'!$E$11+1,1))-AVERAGE(OFFSET($H$3,0,0,'Données projet'!$E$11+1,1))</f>
        <v>267.00333505765792</v>
      </c>
      <c r="BJ35" s="62">
        <f t="shared" si="38"/>
        <v>172.25613380618557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2.5533652851790762</v>
      </c>
      <c r="BR35" s="23">
        <f>EXP(-LN(2)/2)*BR34+(1-EXP(-LN(2)/2))/(LN(2)/2)*BL35*BO35*VLOOKUP('Données projet'!$B$11,Paramètres!$A$1:$I$89,3,0)*0.475*44/12</f>
        <v>6.274718169661921</v>
      </c>
      <c r="BS35" s="24">
        <f t="shared" si="9"/>
        <v>8.8280834548409963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7.8</v>
      </c>
      <c r="BY35" s="13">
        <f>IF('Données projet'!$A$114&gt;35,BY34+BX35-CG34,IF(A35&lt;'Données projet'!$A$114,$BV$205^A35,IF(A35='Données projet'!$A$114,'Données projet'!$B$114,BY34+BX35-CG34)))</f>
        <v>92.6</v>
      </c>
      <c r="BZ35" s="14">
        <f>BY35*VLOOKUP('Données projet'!$B$12,Paramètres!$A$1:$I$89,3,0)*VLOOKUP('Données projet'!$B$12,Paramètres!$A$1:$I$89,5,0)</f>
        <v>93.8964</v>
      </c>
      <c r="CA35" s="14">
        <f t="shared" si="39"/>
        <v>25.502612364176063</v>
      </c>
      <c r="CB35" s="22">
        <f t="shared" si="10"/>
        <v>207.95327986760662</v>
      </c>
      <c r="CC35" s="62">
        <f t="shared" si="11"/>
        <v>501.28661320093994</v>
      </c>
      <c r="CD35" s="62">
        <f ca="1">AVERAGE(OFFSET($CC$3,0,0,'Données projet'!$E$12+1,1))-AVERAGE(OFFSET($H$3,0,0,'Données projet'!$E$12+1,1))</f>
        <v>308.72872453744998</v>
      </c>
      <c r="CE35" s="62">
        <f t="shared" si="40"/>
        <v>195.3674411454258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2.861530060976551</v>
      </c>
      <c r="CM35" s="23">
        <f>EXP(-LN(2)/2)*CM34+(1-EXP(-LN(2)/2))/(LN(2)/2)*CG35*CJ35*VLOOKUP('Données projet'!$B$12,Paramètres!$A$1:$I$89,3,0)*0.475*44/12</f>
        <v>7.0320117418624983</v>
      </c>
      <c r="CN35" s="24">
        <f t="shared" si="12"/>
        <v>9.8935418028390494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14.727272727272727</v>
      </c>
      <c r="N36" s="14">
        <f>IF('Données projet'!$A$36&gt;35,N35+M36-V35,IF(A36&lt;'Données projet'!$A$36,$K$205^A36,IF(A36='Données projet'!$A$36,'Données projet'!$B$36,N35+M36-V35)))</f>
        <v>310.27272727272731</v>
      </c>
      <c r="O36" s="14">
        <f>N36*VLOOKUP('Données projet'!$B$9,Paramètres!$A$1:$I$89,3,0)*VLOOKUP('Données projet'!$B$9,Paramètres!$A$1:$I$89,5,0)</f>
        <v>185.54309090909095</v>
      </c>
      <c r="P36" s="14">
        <f t="shared" si="33"/>
        <v>46.553236406680583</v>
      </c>
      <c r="Q36" s="22">
        <f t="shared" si="53"/>
        <v>404.23443674163536</v>
      </c>
      <c r="R36" s="62">
        <f t="shared" si="0"/>
        <v>697.56777007496862</v>
      </c>
      <c r="S36" s="62">
        <f ca="1">AVERAGE(OFFSET($R$3,0,0,'Données projet'!$E$9+1,1))-AVERAGE(OFFSET($H$3,0,0,'Données projet'!$E$9+1,1))</f>
        <v>160.24926890971085</v>
      </c>
      <c r="T36" s="62">
        <f t="shared" si="34"/>
        <v>323.52368436151721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8.212987298994701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0.79835287400150756</v>
      </c>
      <c r="AC36" s="24">
        <f t="shared" si="3"/>
        <v>9.0113401729962082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7.8</v>
      </c>
      <c r="AI36" s="14">
        <f>IF('Données projet'!$A$62&gt;35,AI35+AH36-AQ35,IF(A36&lt;'Données projet'!$A$62,$AF$205^A36,IF(A36='Données projet'!$A$62,'Données projet'!$B$62,AI35+AH36-AQ35)))</f>
        <v>100.39999999999999</v>
      </c>
      <c r="AJ36" s="14">
        <f>AI36*VLOOKUP('Données projet'!$B$10,Paramètres!$A$1:$I$89,3,0)*VLOOKUP('Données projet'!$B$10,Paramètres!$A$1:$I$89,5,0)</f>
        <v>104.93808</v>
      </c>
      <c r="AK36" s="14">
        <f t="shared" si="35"/>
        <v>28.135106555014872</v>
      </c>
      <c r="AL36" s="22">
        <f t="shared" si="4"/>
        <v>231.76913324998421</v>
      </c>
      <c r="AM36" s="62">
        <f t="shared" si="5"/>
        <v>525.10246658331755</v>
      </c>
      <c r="AN36" s="62">
        <f ca="1">AVERAGE(OFFSET($AM$3,0,0,'Données projet'!$E$10+1,1))-AVERAGE(OFFSET($H$3,0,0,'Données projet'!$E$10+1,1))</f>
        <v>320.63267332485663</v>
      </c>
      <c r="AO36" s="62">
        <f t="shared" si="36"/>
        <v>201.96012789473809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2.8689207977771392</v>
      </c>
      <c r="AW36" s="23">
        <f>EXP(-LN(2)/2)*AW35+(1-EXP(-LN(2)/2))/(LN(2)/2)*AQ36*AT36*VLOOKUP('Données projet'!$B$10,Paramètres!$A$1:$I$89,3,0)*0.475*44/12</f>
        <v>5.1253795938406883</v>
      </c>
      <c r="AX36" s="23">
        <f t="shared" si="6"/>
        <v>7.994300391617827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100.39999999999999</v>
      </c>
      <c r="BE36" s="14">
        <f>BD36*VLOOKUP('Données projet'!$B$11,Paramètres!$A$1:$I$89,3,0)*VLOOKUP('Données projet'!$B$11,Paramètres!$A$1:$I$89,5,0)</f>
        <v>90.841919999999988</v>
      </c>
      <c r="BF36" s="14">
        <f t="shared" si="37"/>
        <v>24.768165658148625</v>
      </c>
      <c r="BG36" s="22">
        <f t="shared" si="7"/>
        <v>201.35423252127552</v>
      </c>
      <c r="BH36" s="62">
        <f t="shared" si="8"/>
        <v>494.68756585460881</v>
      </c>
      <c r="BI36" s="62">
        <f ca="1">AVERAGE(OFFSET($BH$3,0,0,'Données projet'!$E$11+1,1))-AVERAGE(OFFSET($H$3,0,0,'Données projet'!$E$11+1,1))</f>
        <v>267.00333505765792</v>
      </c>
      <c r="BJ36" s="62">
        <f t="shared" si="38"/>
        <v>172.25613380618557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2.4835433771802098</v>
      </c>
      <c r="BR36" s="23">
        <f>EXP(-LN(2)/2)*BR35+(1-EXP(-LN(2)/2))/(LN(2)/2)*BL36*BO36*VLOOKUP('Données projet'!$B$11,Paramètres!$A$1:$I$89,3,0)*0.475*44/12</f>
        <v>4.4368957678023859</v>
      </c>
      <c r="BS36" s="24">
        <f t="shared" si="9"/>
        <v>6.9204391449825957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7.8</v>
      </c>
      <c r="BY36" s="13">
        <f>IF('Données projet'!$A$114&gt;35,BY35+BX36-CG35,IF(A36&lt;'Données projet'!$A$114,$BV$205^A36,IF(A36='Données projet'!$A$114,'Données projet'!$B$114,BY35+BX36-CG35)))</f>
        <v>100.39999999999999</v>
      </c>
      <c r="BZ36" s="14">
        <f>BY36*VLOOKUP('Données projet'!$B$12,Paramètres!$A$1:$I$89,3,0)*VLOOKUP('Données projet'!$B$12,Paramètres!$A$1:$I$89,5,0)</f>
        <v>101.80559999999998</v>
      </c>
      <c r="CA36" s="14">
        <f t="shared" si="39"/>
        <v>27.391707821525987</v>
      </c>
      <c r="CB36" s="22">
        <f t="shared" si="10"/>
        <v>225.01864445582441</v>
      </c>
      <c r="CC36" s="62">
        <f t="shared" si="11"/>
        <v>518.35197778915767</v>
      </c>
      <c r="CD36" s="62">
        <f ca="1">AVERAGE(OFFSET($CC$3,0,0,'Données projet'!$E$12+1,1))-AVERAGE(OFFSET($H$3,0,0,'Données projet'!$E$12+1,1))</f>
        <v>308.72872453744998</v>
      </c>
      <c r="CE36" s="62">
        <f t="shared" si="40"/>
        <v>195.3674411454258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2.7832813709778215</v>
      </c>
      <c r="CM36" s="23">
        <f>EXP(-LN(2)/2)*CM35+(1-EXP(-LN(2)/2))/(LN(2)/2)*CG36*CJ36*VLOOKUP('Données projet'!$B$12,Paramètres!$A$1:$I$89,3,0)*0.475*44/12</f>
        <v>4.9723831880543985</v>
      </c>
      <c r="CN36" s="24">
        <f t="shared" si="12"/>
        <v>7.75566455903222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14.727272727272727</v>
      </c>
      <c r="M37" s="13">
        <f t="array" ref="M37">INDEX(L:L,MIN(IF(ISNUMBER(L37:L233),ROW(L37:L233),"")))</f>
        <v>14.727272727272727</v>
      </c>
      <c r="N37" s="14">
        <f>IF('Données projet'!$A$36&gt;35,N36+M37-V36,IF(A37&lt;'Données projet'!$A$36,$K$205^A37,IF(A37='Données projet'!$A$36,'Données projet'!$B$36,N36+M37-V36)))</f>
        <v>325.00000000000006</v>
      </c>
      <c r="O37" s="14">
        <f>N37*VLOOKUP('Données projet'!$B$9,Paramètres!$A$1:$I$89,3,0)*VLOOKUP('Données projet'!$B$9,Paramètres!$A$1:$I$89,5,0)</f>
        <v>194.35000000000005</v>
      </c>
      <c r="P37" s="14">
        <f t="shared" si="33"/>
        <v>48.500405405690472</v>
      </c>
      <c r="Q37" s="22">
        <f t="shared" si="53"/>
        <v>422.96445608157768</v>
      </c>
      <c r="R37" s="62">
        <f t="shared" si="0"/>
        <v>716.29778941491099</v>
      </c>
      <c r="S37" s="62">
        <f ca="1">AVERAGE(OFFSET($R$3,0,0,'Données projet'!$E$9+1,1))-AVERAGE(OFFSET($H$3,0,0,'Données projet'!$E$9+1,1))</f>
        <v>160.24926890971085</v>
      </c>
      <c r="T37" s="62">
        <f t="shared" si="34"/>
        <v>323.52368436151721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0.18000000000000002</v>
      </c>
      <c r="X37" s="17">
        <f>IF(ISNA(VLOOKUP(A37,'Données projet'!$A$35:$I$55,6,0)),0%,VLOOKUP(A37,'Données projet'!$A$35:$I$55,6,0)*VLOOKUP('Données projet'!$B$9,Paramètres!$A$1:$I$89,7,0))</f>
        <v>0.18000000000000002</v>
      </c>
      <c r="Y37" s="17">
        <f>IF(ISNA(VLOOKUP(A37,'Données projet'!$A$35:$I$55,7,0)),0%,VLOOKUP(A37,'Données projet'!$A$35:$I$55,7,0))</f>
        <v>0.2</v>
      </c>
      <c r="Z37" s="23">
        <f>EXP(-LN(2)/35)*Z36+(1-EXP(-LN(2)/35))/(LN(2)/35)*V37*W37*VLOOKUP('Données projet'!$B$9,Paramètres!$A$1:$I$89,3,0)*0.475*44/12</f>
        <v>54.45913997213048</v>
      </c>
      <c r="AA37" s="23">
        <f>EXP(-LN(2)/25)*AA36+(1-EXP(-LN(2)/25))/(LN(2)/25)*Calculateur!V37*Calculateur!X37*VLOOKUP('Données projet'!$B$9,Paramètres!$A$1:$I$89,3,0)*0.475*44/12</f>
        <v>46.224481498605449</v>
      </c>
      <c r="AB37" s="23">
        <f>EXP(-LN(2)/2)*AB36+(1-EXP(-LN(2)/2))/(LN(2)/2)*V37*Y37*VLOOKUP('Données projet'!$B$9,Paramètres!$A$1:$I$89,3,0)*0.475*44/12</f>
        <v>44.574390135839977</v>
      </c>
      <c r="AC37" s="24">
        <f t="shared" si="3"/>
        <v>145.25801160657591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7.8</v>
      </c>
      <c r="AI37" s="14">
        <f>IF('Données projet'!$A$62&gt;35,AI36+AH37-AQ36,IF(A37&lt;'Données projet'!$A$62,$AF$205^A37,IF(A37='Données projet'!$A$62,'Données projet'!$B$62,AI36+AH37-AQ36)))</f>
        <v>108.19999999999999</v>
      </c>
      <c r="AJ37" s="14">
        <f>AI37*VLOOKUP('Données projet'!$B$10,Paramètres!$A$1:$I$89,3,0)*VLOOKUP('Données projet'!$B$10,Paramètres!$A$1:$I$89,5,0)</f>
        <v>113.09064000000001</v>
      </c>
      <c r="AK37" s="14">
        <f t="shared" si="35"/>
        <v>30.057984991186821</v>
      </c>
      <c r="AL37" s="22">
        <f t="shared" si="4"/>
        <v>249.31718852631707</v>
      </c>
      <c r="AM37" s="62">
        <f t="shared" si="5"/>
        <v>542.65052185965033</v>
      </c>
      <c r="AN37" s="62">
        <f ca="1">AVERAGE(OFFSET($AM$3,0,0,'Données projet'!$E$10+1,1))-AVERAGE(OFFSET($H$3,0,0,'Données projet'!$E$10+1,1))</f>
        <v>320.63267332485663</v>
      </c>
      <c r="AO37" s="62">
        <f t="shared" si="36"/>
        <v>201.96012789473809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2.7904700076919355</v>
      </c>
      <c r="AW37" s="23">
        <f>EXP(-LN(2)/2)*AW36+(1-EXP(-LN(2)/2))/(LN(2)/2)*AQ37*AT37*VLOOKUP('Données projet'!$B$10,Paramètres!$A$1:$I$89,3,0)*0.475*44/12</f>
        <v>3.6241906669599038</v>
      </c>
      <c r="AX37" s="23">
        <f t="shared" si="6"/>
        <v>6.4146606746518398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108.19999999999999</v>
      </c>
      <c r="BE37" s="14">
        <f>BD37*VLOOKUP('Données projet'!$B$11,Paramètres!$A$1:$I$89,3,0)*VLOOKUP('Données projet'!$B$11,Paramètres!$A$1:$I$89,5,0)</f>
        <v>97.899359999999987</v>
      </c>
      <c r="BF37" s="14">
        <f t="shared" si="37"/>
        <v>26.460932364201845</v>
      </c>
      <c r="BG37" s="22">
        <f t="shared" si="7"/>
        <v>216.59417586765153</v>
      </c>
      <c r="BH37" s="62">
        <f t="shared" si="8"/>
        <v>509.92750920098484</v>
      </c>
      <c r="BI37" s="62">
        <f ca="1">AVERAGE(OFFSET($BH$3,0,0,'Données projet'!$E$11+1,1))-AVERAGE(OFFSET($H$3,0,0,'Données projet'!$E$11+1,1))</f>
        <v>267.00333505765792</v>
      </c>
      <c r="BJ37" s="62">
        <f t="shared" si="38"/>
        <v>172.25613380618557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2.4156307529273469</v>
      </c>
      <c r="BR37" s="23">
        <f>EXP(-LN(2)/2)*BR36+(1-EXP(-LN(2)/2))/(LN(2)/2)*BL37*BO37*VLOOKUP('Données projet'!$B$11,Paramètres!$A$1:$I$89,3,0)*0.475*44/12</f>
        <v>3.1373590848309605</v>
      </c>
      <c r="BS37" s="24">
        <f t="shared" si="9"/>
        <v>5.5529898377583073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7.8</v>
      </c>
      <c r="BY37" s="13">
        <f>IF('Données projet'!$A$114&gt;35,BY36+BX37-CG36,IF(A37&lt;'Données projet'!$A$114,$BV$205^A37,IF(A37='Données projet'!$A$114,'Données projet'!$B$114,BY36+BX37-CG36)))</f>
        <v>108.19999999999999</v>
      </c>
      <c r="BZ37" s="14">
        <f>BY37*VLOOKUP('Données projet'!$B$12,Paramètres!$A$1:$I$89,3,0)*VLOOKUP('Données projet'!$B$12,Paramètres!$A$1:$I$89,5,0)</f>
        <v>109.7148</v>
      </c>
      <c r="CA37" s="14">
        <f t="shared" si="39"/>
        <v>29.263779078727129</v>
      </c>
      <c r="CB37" s="22">
        <f t="shared" si="10"/>
        <v>242.05435856211645</v>
      </c>
      <c r="CC37" s="62">
        <f t="shared" si="11"/>
        <v>535.38769189544973</v>
      </c>
      <c r="CD37" s="62">
        <f ca="1">AVERAGE(OFFSET($CC$3,0,0,'Données projet'!$E$12+1,1))-AVERAGE(OFFSET($H$3,0,0,'Données projet'!$E$12+1,1))</f>
        <v>308.72872453744998</v>
      </c>
      <c r="CE37" s="62">
        <f t="shared" si="40"/>
        <v>195.3674411454258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2.707172395522027</v>
      </c>
      <c r="CM37" s="23">
        <f>EXP(-LN(2)/2)*CM36+(1-EXP(-LN(2)/2))/(LN(2)/2)*CG37*CJ37*VLOOKUP('Données projet'!$B$12,Paramètres!$A$1:$I$89,3,0)*0.475*44/12</f>
        <v>3.5160058709312492</v>
      </c>
      <c r="CN37" s="24">
        <f t="shared" si="12"/>
        <v>6.2231782664532762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3.3992364478763198E-14</v>
      </c>
      <c r="P38" s="14">
        <f t="shared" si="33"/>
        <v>5.790027782444094E-13</v>
      </c>
      <c r="Q38" s="22">
        <f t="shared" si="53"/>
        <v>1.0676332069095257E-12</v>
      </c>
      <c r="R38" s="62">
        <f t="shared" si="0"/>
        <v>293.33333333333439</v>
      </c>
      <c r="S38" s="62">
        <f ca="1">AVERAGE(OFFSET($R$3,0,0,'Données projet'!$E$9+1,1))-AVERAGE(OFFSET($H$3,0,0,'Données projet'!$E$9+1,1))</f>
        <v>160.24926890971085</v>
      </c>
      <c r="T38" s="62">
        <f t="shared" si="34"/>
        <v>323.52368436151721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53.391229454072494</v>
      </c>
      <c r="AA38" s="23">
        <f>EXP(-LN(2)/25)*AA37+(1-EXP(-LN(2)/25))/(LN(2)/25)*Calculateur!V38*Calculateur!X38*VLOOKUP('Données projet'!$B$9,Paramètres!$A$1:$I$89,3,0)*0.475*44/12</f>
        <v>44.960470621186246</v>
      </c>
      <c r="AB38" s="23">
        <f>EXP(-LN(2)/2)*AB37+(1-EXP(-LN(2)/2))/(LN(2)/2)*V38*Y38*VLOOKUP('Données projet'!$B$9,Paramètres!$A$1:$I$89,3,0)*0.475*44/12</f>
        <v>31.518853532307205</v>
      </c>
      <c r="AC38" s="24">
        <f t="shared" si="3"/>
        <v>129.87055360756597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7.8</v>
      </c>
      <c r="AH38" s="13">
        <f t="array" ref="AH38">INDEX(AG:AG,MIN(IF(ISNUMBER(AG38:AG234),ROW(AG38:AG234),"")))</f>
        <v>7.8</v>
      </c>
      <c r="AI38" s="14">
        <f>IF('Données projet'!$A$62&gt;35,AI37+AH38-AQ37,IF(A38&lt;'Données projet'!$A$62,$AF$205^A38,IF(A38='Données projet'!$A$62,'Données projet'!$B$62,AI37+AH38-AQ37)))</f>
        <v>115.99999999999999</v>
      </c>
      <c r="AJ38" s="14">
        <f>AI38*VLOOKUP('Données projet'!$B$10,Paramètres!$A$1:$I$89,3,0)*VLOOKUP('Données projet'!$B$10,Paramètres!$A$1:$I$89,5,0)</f>
        <v>121.2432</v>
      </c>
      <c r="AK38" s="14">
        <f t="shared" si="35"/>
        <v>31.964781119270334</v>
      </c>
      <c r="AL38" s="22">
        <f t="shared" si="4"/>
        <v>266.83723378272913</v>
      </c>
      <c r="AM38" s="62">
        <f t="shared" si="5"/>
        <v>560.17056711606244</v>
      </c>
      <c r="AN38" s="62">
        <f ca="1">AVERAGE(OFFSET($AM$3,0,0,'Données projet'!$E$10+1,1))-AVERAGE(OFFSET($H$3,0,0,'Données projet'!$E$10+1,1))</f>
        <v>320.63267332485663</v>
      </c>
      <c r="AO38" s="62">
        <f t="shared" si="36"/>
        <v>201.96012789473809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2.7141644585871596</v>
      </c>
      <c r="AW38" s="23">
        <f>EXP(-LN(2)/2)*AW37+(1-EXP(-LN(2)/2))/(LN(2)/2)*AQ38*AT38*VLOOKUP('Données projet'!$B$10,Paramètres!$A$1:$I$89,3,0)*0.475*44/12</f>
        <v>2.5626897969203446</v>
      </c>
      <c r="AX38" s="23">
        <f t="shared" si="6"/>
        <v>5.2768542555075042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115.99999999999999</v>
      </c>
      <c r="BE38" s="14">
        <f>BD38*VLOOKUP('Données projet'!$B$11,Paramètres!$A$1:$I$89,3,0)*VLOOKUP('Données projet'!$B$11,Paramètres!$A$1:$I$89,5,0)</f>
        <v>104.95679999999999</v>
      </c>
      <c r="BF38" s="14">
        <f t="shared" si="37"/>
        <v>28.139541339232373</v>
      </c>
      <c r="BG38" s="22">
        <f t="shared" si="7"/>
        <v>231.8094611658297</v>
      </c>
      <c r="BH38" s="62">
        <f t="shared" si="8"/>
        <v>525.14279449916307</v>
      </c>
      <c r="BI38" s="62">
        <f ca="1">AVERAGE(OFFSET($BH$3,0,0,'Données projet'!$E$11+1,1))-AVERAGE(OFFSET($H$3,0,0,'Données projet'!$E$11+1,1))</f>
        <v>267.00333505765792</v>
      </c>
      <c r="BJ38" s="62">
        <f t="shared" si="38"/>
        <v>172.25613380618557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2.3495752029560482</v>
      </c>
      <c r="BR38" s="23">
        <f>EXP(-LN(2)/2)*BR37+(1-EXP(-LN(2)/2))/(LN(2)/2)*BL38*BO38*VLOOKUP('Données projet'!$B$11,Paramètres!$A$1:$I$89,3,0)*0.475*44/12</f>
        <v>2.218447883901193</v>
      </c>
      <c r="BS38" s="24">
        <f t="shared" si="9"/>
        <v>4.5680230868572416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7.8</v>
      </c>
      <c r="BX38" s="13">
        <f t="array" ref="BX38">INDEX(BW:BW,MIN(IF(ISNUMBER(BW38:BW234),ROW(BW38:BW234),"")))</f>
        <v>7.8</v>
      </c>
      <c r="BY38" s="13">
        <f>IF('Données projet'!$A$114&gt;35,BY37+BX38-CG37,IF(A38&lt;'Données projet'!$A$114,$BV$205^A38,IF(A38='Données projet'!$A$114,'Données projet'!$B$114,BY37+BX38-CG37)))</f>
        <v>115.99999999999999</v>
      </c>
      <c r="BZ38" s="14">
        <f>BY38*VLOOKUP('Données projet'!$B$12,Paramètres!$A$1:$I$89,3,0)*VLOOKUP('Données projet'!$B$12,Paramètres!$A$1:$I$89,5,0)</f>
        <v>117.624</v>
      </c>
      <c r="CA38" s="14">
        <f t="shared" si="39"/>
        <v>31.120192961985413</v>
      </c>
      <c r="CB38" s="22">
        <f t="shared" si="10"/>
        <v>259.06280274212457</v>
      </c>
      <c r="CC38" s="62">
        <f t="shared" si="11"/>
        <v>552.39613607545789</v>
      </c>
      <c r="CD38" s="62">
        <f ca="1">AVERAGE(OFFSET($CC$3,0,0,'Données projet'!$E$12+1,1))-AVERAGE(OFFSET($H$3,0,0,'Données projet'!$E$12+1,1))</f>
        <v>308.72872453744998</v>
      </c>
      <c r="CE38" s="62">
        <f t="shared" si="40"/>
        <v>195.3674411454258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21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2.6331446240024681</v>
      </c>
      <c r="CM38" s="23">
        <f>EXP(-LN(2)/2)*CM37+(1-EXP(-LN(2)/2))/(LN(2)/2)*CG38*CJ38*VLOOKUP('Données projet'!$B$12,Paramètres!$A$1:$I$89,3,0)*0.475*44/12</f>
        <v>2.4861915940271992</v>
      </c>
      <c r="CN38" s="24">
        <f t="shared" si="12"/>
        <v>5.1193362180296678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3.3992364478763198E-14</v>
      </c>
      <c r="P39" s="14">
        <f t="shared" si="33"/>
        <v>5.790027782444094E-13</v>
      </c>
      <c r="Q39" s="22">
        <f t="shared" si="53"/>
        <v>1.0676332069095257E-12</v>
      </c>
      <c r="R39" s="62">
        <f t="shared" si="0"/>
        <v>293.33333333333439</v>
      </c>
      <c r="S39" s="62">
        <f ca="1">AVERAGE(OFFSET($R$3,0,0,'Données projet'!$E$9+1,1))-AVERAGE(OFFSET($H$3,0,0,'Données projet'!$E$9+1,1))</f>
        <v>160.24926890971085</v>
      </c>
      <c r="T39" s="62">
        <f t="shared" si="34"/>
        <v>323.52368436151721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52.344260009912531</v>
      </c>
      <c r="AA39" s="23">
        <f>EXP(-LN(2)/25)*AA38+(1-EXP(-LN(2)/25))/(LN(2)/25)*Calculateur!V39*Calculateur!X39*VLOOKUP('Données projet'!$B$9,Paramètres!$A$1:$I$89,3,0)*0.475*44/12</f>
        <v>43.73102418768152</v>
      </c>
      <c r="AB39" s="23">
        <f>EXP(-LN(2)/2)*AB38+(1-EXP(-LN(2)/2))/(LN(2)/2)*V39*Y39*VLOOKUP('Données projet'!$B$9,Paramètres!$A$1:$I$89,3,0)*0.475*44/12</f>
        <v>22.287195067919992</v>
      </c>
      <c r="AC39" s="24">
        <f t="shared" si="3"/>
        <v>118.36247926551404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103.39999999999999</v>
      </c>
      <c r="AJ39" s="14">
        <f>AI39*VLOOKUP('Données projet'!$B$10,Paramètres!$A$1:$I$89,3,0)*VLOOKUP('Données projet'!$B$10,Paramètres!$A$1:$I$89,5,0)</f>
        <v>108.07368</v>
      </c>
      <c r="AK39" s="14">
        <f t="shared" si="35"/>
        <v>28.876662943781092</v>
      </c>
      <c r="AL39" s="22">
        <f t="shared" si="4"/>
        <v>238.52184729375207</v>
      </c>
      <c r="AM39" s="62">
        <f t="shared" si="5"/>
        <v>531.85518062708536</v>
      </c>
      <c r="AN39" s="62">
        <f ca="1">AVERAGE(OFFSET($AM$3,0,0,'Données projet'!$E$10+1,1))-AVERAGE(OFFSET($H$3,0,0,'Données projet'!$E$10+1,1))</f>
        <v>320.63267332485663</v>
      </c>
      <c r="AO39" s="62">
        <f t="shared" si="36"/>
        <v>201.96012789473809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2.6399454887353881</v>
      </c>
      <c r="AW39" s="23">
        <f>EXP(-LN(2)/2)*AW38+(1-EXP(-LN(2)/2))/(LN(2)/2)*AQ39*AT39*VLOOKUP('Données projet'!$B$10,Paramètres!$A$1:$I$89,3,0)*0.475*44/12</f>
        <v>1.8120953334799521</v>
      </c>
      <c r="AX39" s="23">
        <f t="shared" si="6"/>
        <v>4.4520408222153405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103.39999999999999</v>
      </c>
      <c r="BE39" s="14">
        <f>BD39*VLOOKUP('Données projet'!$B$11,Paramètres!$A$1:$I$89,3,0)*VLOOKUP('Données projet'!$B$11,Paramètres!$A$1:$I$89,5,0)</f>
        <v>93.556319999999999</v>
      </c>
      <c r="BF39" s="14">
        <f t="shared" si="37"/>
        <v>25.420979659258073</v>
      </c>
      <c r="BG39" s="22">
        <f t="shared" si="7"/>
        <v>207.21879690654114</v>
      </c>
      <c r="BH39" s="62">
        <f t="shared" si="8"/>
        <v>500.55213023987449</v>
      </c>
      <c r="BI39" s="62">
        <f ca="1">AVERAGE(OFFSET($BH$3,0,0,'Données projet'!$E$11+1,1))-AVERAGE(OFFSET($H$3,0,0,'Données projet'!$E$11+1,1))</f>
        <v>267.00333505765792</v>
      </c>
      <c r="BJ39" s="62">
        <f t="shared" si="38"/>
        <v>172.25613380618557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2.2853259454724251</v>
      </c>
      <c r="BR39" s="23">
        <f>EXP(-LN(2)/2)*BR38+(1-EXP(-LN(2)/2))/(LN(2)/2)*BL39*BO39*VLOOKUP('Données projet'!$B$11,Paramètres!$A$1:$I$89,3,0)*0.475*44/12</f>
        <v>1.5686795424154802</v>
      </c>
      <c r="BS39" s="24">
        <f t="shared" si="9"/>
        <v>3.8540054878879051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103.39999999999999</v>
      </c>
      <c r="BZ39" s="14">
        <f>BY39*VLOOKUP('Données projet'!$B$12,Paramètres!$A$1:$I$89,3,0)*VLOOKUP('Données projet'!$B$12,Paramètres!$A$1:$I$89,5,0)</f>
        <v>104.8476</v>
      </c>
      <c r="CA39" s="14">
        <f t="shared" si="39"/>
        <v>28.113670466115643</v>
      </c>
      <c r="CB39" s="22">
        <f t="shared" si="10"/>
        <v>231.57421272848475</v>
      </c>
      <c r="CC39" s="62">
        <f t="shared" si="11"/>
        <v>524.90754606181804</v>
      </c>
      <c r="CD39" s="62">
        <f ca="1">AVERAGE(OFFSET($CC$3,0,0,'Données projet'!$E$12+1,1))-AVERAGE(OFFSET($H$3,0,0,'Données projet'!$E$12+1,1))</f>
        <v>308.72872453744998</v>
      </c>
      <c r="CE39" s="62">
        <f t="shared" si="40"/>
        <v>195.3674411454258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2.5611411457880631</v>
      </c>
      <c r="CM39" s="23">
        <f>EXP(-LN(2)/2)*CM38+(1-EXP(-LN(2)/2))/(LN(2)/2)*CG39*CJ39*VLOOKUP('Données projet'!$B$12,Paramètres!$A$1:$I$89,3,0)*0.475*44/12</f>
        <v>1.7580029354656246</v>
      </c>
      <c r="CN39" s="24">
        <f t="shared" si="12"/>
        <v>4.3191440812536879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3.3992364478763198E-14</v>
      </c>
      <c r="P40" s="14">
        <f t="shared" si="33"/>
        <v>5.790027782444094E-13</v>
      </c>
      <c r="Q40" s="22">
        <f t="shared" si="53"/>
        <v>1.0676332069095257E-12</v>
      </c>
      <c r="R40" s="62">
        <f t="shared" si="0"/>
        <v>293.33333333333439</v>
      </c>
      <c r="S40" s="62">
        <f ca="1">AVERAGE(OFFSET($R$3,0,0,'Données projet'!$E$9+1,1))-AVERAGE(OFFSET($H$3,0,0,'Données projet'!$E$9+1,1))</f>
        <v>160.24926890971085</v>
      </c>
      <c r="T40" s="62">
        <f t="shared" si="34"/>
        <v>323.52368436151721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51.31782099796424</v>
      </c>
      <c r="AA40" s="23">
        <f>EXP(-LN(2)/25)*AA39+(1-EXP(-LN(2)/25))/(LN(2)/25)*Calculateur!V40*Calculateur!X40*VLOOKUP('Données projet'!$B$9,Paramètres!$A$1:$I$89,3,0)*0.475*44/12</f>
        <v>42.535197031554752</v>
      </c>
      <c r="AB40" s="23">
        <f>EXP(-LN(2)/2)*AB39+(1-EXP(-LN(2)/2))/(LN(2)/2)*V40*Y40*VLOOKUP('Données projet'!$B$9,Paramètres!$A$1:$I$89,3,0)*0.475*44/12</f>
        <v>15.759426766153604</v>
      </c>
      <c r="AC40" s="24">
        <f t="shared" si="3"/>
        <v>109.6124447956726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</v>
      </c>
      <c r="AJ40" s="14">
        <f>AI40*VLOOKUP('Données projet'!$B$10,Paramètres!$A$1:$I$89,3,0)*VLOOKUP('Données projet'!$B$10,Paramètres!$A$1:$I$89,5,0)</f>
        <v>116.85336000000001</v>
      </c>
      <c r="AK40" s="14">
        <f t="shared" si="35"/>
        <v>30.939966081410812</v>
      </c>
      <c r="AL40" s="22">
        <f t="shared" si="4"/>
        <v>257.4067095917905</v>
      </c>
      <c r="AM40" s="62">
        <f t="shared" si="5"/>
        <v>550.74004292512382</v>
      </c>
      <c r="AN40" s="62">
        <f ca="1">AVERAGE(OFFSET($AM$3,0,0,'Données projet'!$E$10+1,1))-AVERAGE(OFFSET($H$3,0,0,'Données projet'!$E$10+1,1))</f>
        <v>320.63267332485663</v>
      </c>
      <c r="AO40" s="62">
        <f t="shared" si="36"/>
        <v>201.96012789473809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2.5677560405172195</v>
      </c>
      <c r="AW40" s="23">
        <f>EXP(-LN(2)/2)*AW39+(1-EXP(-LN(2)/2))/(LN(2)/2)*AQ40*AT40*VLOOKUP('Données projet'!$B$10,Paramètres!$A$1:$I$89,3,0)*0.475*44/12</f>
        <v>1.2813448984601725</v>
      </c>
      <c r="AX40" s="23">
        <f t="shared" si="6"/>
        <v>3.8491009389773918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</v>
      </c>
      <c r="BE40" s="14">
        <f>BD40*VLOOKUP('Données projet'!$B$11,Paramètres!$A$1:$I$89,3,0)*VLOOKUP('Données projet'!$B$11,Paramètres!$A$1:$I$89,5,0)</f>
        <v>101.15664</v>
      </c>
      <c r="BF40" s="14">
        <f t="shared" si="37"/>
        <v>27.237366379381644</v>
      </c>
      <c r="BG40" s="22">
        <f t="shared" si="7"/>
        <v>223.61956111075634</v>
      </c>
      <c r="BH40" s="62">
        <f t="shared" si="8"/>
        <v>516.95289444408968</v>
      </c>
      <c r="BI40" s="62">
        <f ca="1">AVERAGE(OFFSET($BH$3,0,0,'Données projet'!$E$11+1,1))-AVERAGE(OFFSET($H$3,0,0,'Données projet'!$E$11+1,1))</f>
        <v>267.00333505765792</v>
      </c>
      <c r="BJ40" s="62">
        <f t="shared" si="38"/>
        <v>172.25613380618557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2.2228335873134135</v>
      </c>
      <c r="BR40" s="23">
        <f>EXP(-LN(2)/2)*BR39+(1-EXP(-LN(2)/2))/(LN(2)/2)*BL40*BO40*VLOOKUP('Données projet'!$B$11,Paramètres!$A$1:$I$89,3,0)*0.475*44/12</f>
        <v>1.1092239419505965</v>
      </c>
      <c r="BS40" s="24">
        <f t="shared" si="9"/>
        <v>3.3320575292640102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111.8</v>
      </c>
      <c r="BZ40" s="14">
        <f>BY40*VLOOKUP('Données projet'!$B$12,Paramètres!$A$1:$I$89,3,0)*VLOOKUP('Données projet'!$B$12,Paramètres!$A$1:$I$89,5,0)</f>
        <v>113.3652</v>
      </c>
      <c r="CA40" s="14">
        <f t="shared" si="39"/>
        <v>30.122456058687586</v>
      </c>
      <c r="CB40" s="22">
        <f t="shared" si="10"/>
        <v>249.90766763554748</v>
      </c>
      <c r="CC40" s="62">
        <f t="shared" si="11"/>
        <v>543.24100096888083</v>
      </c>
      <c r="CD40" s="62">
        <f ca="1">AVERAGE(OFFSET($CC$3,0,0,'Données projet'!$E$12+1,1))-AVERAGE(OFFSET($H$3,0,0,'Données projet'!$E$12+1,1))</f>
        <v>308.72872453744998</v>
      </c>
      <c r="CE40" s="62">
        <f t="shared" si="40"/>
        <v>195.3674411454258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2.4911066064719294</v>
      </c>
      <c r="CM40" s="23">
        <f>EXP(-LN(2)/2)*CM39+(1-EXP(-LN(2)/2))/(LN(2)/2)*CG40*CJ40*VLOOKUP('Données projet'!$B$12,Paramètres!$A$1:$I$89,3,0)*0.475*44/12</f>
        <v>1.2430957970135996</v>
      </c>
      <c r="CN40" s="24">
        <f t="shared" si="12"/>
        <v>3.7342024034855292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3.3992364478763198E-14</v>
      </c>
      <c r="P41" s="14">
        <f t="shared" si="33"/>
        <v>5.790027782444094E-13</v>
      </c>
      <c r="Q41" s="22">
        <f t="shared" si="53"/>
        <v>1.0676332069095257E-12</v>
      </c>
      <c r="R41" s="62">
        <f t="shared" si="0"/>
        <v>293.33333333333439</v>
      </c>
      <c r="S41" s="62">
        <f ca="1">AVERAGE(OFFSET($R$3,0,0,'Données projet'!$E$9+1,1))-AVERAGE(OFFSET($H$3,0,0,'Données projet'!$E$9+1,1))</f>
        <v>160.24926890971085</v>
      </c>
      <c r="T41" s="62">
        <f t="shared" si="34"/>
        <v>323.52368436151721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50.311509828974273</v>
      </c>
      <c r="AA41" s="23">
        <f>EXP(-LN(2)/25)*AA40+(1-EXP(-LN(2)/25))/(LN(2)/25)*Calculateur!V41*Calculateur!X41*VLOOKUP('Données projet'!$B$9,Paramètres!$A$1:$I$89,3,0)*0.475*44/12</f>
        <v>41.372069831898088</v>
      </c>
      <c r="AB41" s="23">
        <f>EXP(-LN(2)/2)*AB40+(1-EXP(-LN(2)/2))/(LN(2)/2)*V41*Y41*VLOOKUP('Données projet'!$B$9,Paramètres!$A$1:$I$89,3,0)*0.475*44/12</f>
        <v>11.143597533959998</v>
      </c>
      <c r="AC41" s="24">
        <f t="shared" si="3"/>
        <v>102.82717719483236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</v>
      </c>
      <c r="AJ41" s="14">
        <f>AI41*VLOOKUP('Données projet'!$B$10,Paramètres!$A$1:$I$89,3,0)*VLOOKUP('Données projet'!$B$10,Paramètres!$A$1:$I$89,5,0)</f>
        <v>125.63304000000001</v>
      </c>
      <c r="AK41" s="14">
        <f t="shared" si="35"/>
        <v>32.98528518542296</v>
      </c>
      <c r="AL41" s="22">
        <f t="shared" si="4"/>
        <v>276.26024969794497</v>
      </c>
      <c r="AM41" s="62">
        <f t="shared" si="5"/>
        <v>569.59358303127829</v>
      </c>
      <c r="AN41" s="62">
        <f ca="1">AVERAGE(OFFSET($AM$3,0,0,'Données projet'!$E$10+1,1))-AVERAGE(OFFSET($H$3,0,0,'Données projet'!$E$10+1,1))</f>
        <v>320.63267332485663</v>
      </c>
      <c r="AO41" s="62">
        <f t="shared" si="36"/>
        <v>201.96012789473809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2.4975406165568548</v>
      </c>
      <c r="AW41" s="23">
        <f>EXP(-LN(2)/2)*AW40+(1-EXP(-LN(2)/2))/(LN(2)/2)*AQ41*AT41*VLOOKUP('Données projet'!$B$10,Paramètres!$A$1:$I$89,3,0)*0.475*44/12</f>
        <v>0.90604766673997628</v>
      </c>
      <c r="AX41" s="23">
        <f t="shared" si="6"/>
        <v>3.4035882832968309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</v>
      </c>
      <c r="BE41" s="14">
        <f>BD41*VLOOKUP('Données projet'!$B$11,Paramètres!$A$1:$I$89,3,0)*VLOOKUP('Données projet'!$B$11,Paramètres!$A$1:$I$89,5,0)</f>
        <v>108.75695999999999</v>
      </c>
      <c r="BF41" s="14">
        <f t="shared" si="37"/>
        <v>29.037921223305585</v>
      </c>
      <c r="BG41" s="22">
        <f t="shared" si="7"/>
        <v>239.99275146392384</v>
      </c>
      <c r="BH41" s="62">
        <f t="shared" si="8"/>
        <v>533.32608479725718</v>
      </c>
      <c r="BI41" s="62">
        <f ca="1">AVERAGE(OFFSET($BH$3,0,0,'Données projet'!$E$11+1,1))-AVERAGE(OFFSET($H$3,0,0,'Données projet'!$E$11+1,1))</f>
        <v>267.00333505765792</v>
      </c>
      <c r="BJ41" s="62">
        <f t="shared" si="38"/>
        <v>172.25613380618557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2.1620500859745904</v>
      </c>
      <c r="BR41" s="23">
        <f>EXP(-LN(2)/2)*BR40+(1-EXP(-LN(2)/2))/(LN(2)/2)*BL41*BO41*VLOOKUP('Données projet'!$B$11,Paramètres!$A$1:$I$89,3,0)*0.475*44/12</f>
        <v>0.78433977120774012</v>
      </c>
      <c r="BS41" s="24">
        <f t="shared" si="9"/>
        <v>2.9463898571823304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120.2</v>
      </c>
      <c r="BZ41" s="14">
        <f>BY41*VLOOKUP('Données projet'!$B$12,Paramètres!$A$1:$I$89,3,0)*VLOOKUP('Données projet'!$B$12,Paramètres!$A$1:$I$89,5,0)</f>
        <v>121.88280000000002</v>
      </c>
      <c r="CA41" s="14">
        <f t="shared" si="39"/>
        <v>32.113732800054677</v>
      </c>
      <c r="CB41" s="22">
        <f t="shared" si="10"/>
        <v>268.21062796009522</v>
      </c>
      <c r="CC41" s="62">
        <f t="shared" si="11"/>
        <v>561.54396129342854</v>
      </c>
      <c r="CD41" s="62">
        <f ca="1">AVERAGE(OFFSET($CC$3,0,0,'Données projet'!$E$12+1,1))-AVERAGE(OFFSET($H$3,0,0,'Données projet'!$E$12+1,1))</f>
        <v>308.72872453744998</v>
      </c>
      <c r="CE41" s="62">
        <f t="shared" si="40"/>
        <v>195.3674411454258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2.4229871653163517</v>
      </c>
      <c r="CM41" s="23">
        <f>EXP(-LN(2)/2)*CM40+(1-EXP(-LN(2)/2))/(LN(2)/2)*CG41*CJ41*VLOOKUP('Données projet'!$B$12,Paramètres!$A$1:$I$89,3,0)*0.475*44/12</f>
        <v>0.87900146773281229</v>
      </c>
      <c r="CN41" s="24">
        <f t="shared" si="12"/>
        <v>3.3019886330491639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160.24926890971085</v>
      </c>
      <c r="T42" s="62">
        <f t="shared" si="34"/>
        <v>323.52368436151721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49.324931808218992</v>
      </c>
      <c r="AA42" s="23">
        <f>EXP(-LN(2)/25)*AA41+(1-EXP(-LN(2)/25))/(LN(2)/25)*Calculateur!V42*Calculateur!X42*VLOOKUP('Données projet'!$B$9,Paramètres!$A$1:$I$89,3,0)*0.475*44/12</f>
        <v>40.240748406682236</v>
      </c>
      <c r="AB42" s="23">
        <f>EXP(-LN(2)/2)*AB41+(1-EXP(-LN(2)/2))/(LN(2)/2)*V42*Y42*VLOOKUP('Données projet'!$B$9,Paramètres!$A$1:$I$89,3,0)*0.475*44/12</f>
        <v>7.8797133830768029</v>
      </c>
      <c r="AC42" s="24">
        <f t="shared" si="3"/>
        <v>97.445393597978025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</v>
      </c>
      <c r="AJ42" s="14">
        <f>AI42*VLOOKUP('Données projet'!$B$10,Paramètres!$A$1:$I$89,3,0)*VLOOKUP('Données projet'!$B$10,Paramètres!$A$1:$I$89,5,0)</f>
        <v>134.41272000000001</v>
      </c>
      <c r="AK42" s="14">
        <f t="shared" si="35"/>
        <v>35.014020000711284</v>
      </c>
      <c r="AL42" s="22">
        <f t="shared" si="4"/>
        <v>295.08490550123878</v>
      </c>
      <c r="AM42" s="62">
        <f t="shared" si="5"/>
        <v>588.41823883457209</v>
      </c>
      <c r="AN42" s="62">
        <f ca="1">AVERAGE(OFFSET($AM$3,0,0,'Données projet'!$E$10+1,1))-AVERAGE(OFFSET($H$3,0,0,'Données projet'!$E$10+1,1))</f>
        <v>320.63267332485663</v>
      </c>
      <c r="AO42" s="62">
        <f t="shared" si="36"/>
        <v>201.96012789473809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2.4292452370571547</v>
      </c>
      <c r="AW42" s="23">
        <f>EXP(-LN(2)/2)*AW41+(1-EXP(-LN(2)/2))/(LN(2)/2)*AQ42*AT42*VLOOKUP('Données projet'!$B$10,Paramètres!$A$1:$I$89,3,0)*0.475*44/12</f>
        <v>0.64067244923008637</v>
      </c>
      <c r="AX42" s="23">
        <f t="shared" si="6"/>
        <v>3.069917686287241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116.35727999999999</v>
      </c>
      <c r="BF42" s="14">
        <f t="shared" si="37"/>
        <v>30.823876427820704</v>
      </c>
      <c r="BG42" s="22">
        <f t="shared" si="7"/>
        <v>256.34051411178768</v>
      </c>
      <c r="BH42" s="62">
        <f t="shared" si="8"/>
        <v>549.67384744512105</v>
      </c>
      <c r="BI42" s="62">
        <f ca="1">AVERAGE(OFFSET($BH$3,0,0,'Données projet'!$E$11+1,1))-AVERAGE(OFFSET($H$3,0,0,'Données projet'!$E$11+1,1))</f>
        <v>267.00333505765792</v>
      </c>
      <c r="BJ42" s="62">
        <f t="shared" si="38"/>
        <v>172.25613380618557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2.1029287126763427</v>
      </c>
      <c r="BR42" s="23">
        <f>EXP(-LN(2)/2)*BR41+(1-EXP(-LN(2)/2))/(LN(2)/2)*BL42*BO42*VLOOKUP('Données projet'!$B$11,Paramètres!$A$1:$I$89,3,0)*0.475*44/12</f>
        <v>0.55461197097529824</v>
      </c>
      <c r="BS42" s="24">
        <f t="shared" si="9"/>
        <v>2.6575406836516411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128.6</v>
      </c>
      <c r="BZ42" s="14">
        <f>BY42*VLOOKUP('Données projet'!$B$12,Paramètres!$A$1:$I$89,3,0)*VLOOKUP('Données projet'!$B$12,Paramètres!$A$1:$I$89,5,0)</f>
        <v>130.40040000000002</v>
      </c>
      <c r="CA42" s="14">
        <f t="shared" si="39"/>
        <v>34.088863450406919</v>
      </c>
      <c r="CB42" s="22">
        <f t="shared" si="10"/>
        <v>286.48546717612544</v>
      </c>
      <c r="CC42" s="62">
        <f t="shared" si="11"/>
        <v>579.8188005094587</v>
      </c>
      <c r="CD42" s="62">
        <f ca="1">AVERAGE(OFFSET($CC$3,0,0,'Données projet'!$E$12+1,1))-AVERAGE(OFFSET($H$3,0,0,'Données projet'!$E$12+1,1))</f>
        <v>308.72872453744998</v>
      </c>
      <c r="CE42" s="62">
        <f t="shared" si="40"/>
        <v>195.3674411454258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2.3567304538614189</v>
      </c>
      <c r="CM42" s="23">
        <f>EXP(-LN(2)/2)*CM41+(1-EXP(-LN(2)/2))/(LN(2)/2)*CG42*CJ42*VLOOKUP('Données projet'!$B$12,Paramètres!$A$1:$I$89,3,0)*0.475*44/12</f>
        <v>0.62154789850679981</v>
      </c>
      <c r="CN42" s="24">
        <f t="shared" si="12"/>
        <v>2.9782783523682186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160.24926890971085</v>
      </c>
      <c r="T43" s="62">
        <f t="shared" si="34"/>
        <v>323.52368436151721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48.357699980697546</v>
      </c>
      <c r="AA43" s="23">
        <f>EXP(-LN(2)/25)*AA42+(1-EXP(-LN(2)/25))/(LN(2)/25)*Calculateur!V43*Calculateur!X43*VLOOKUP('Données projet'!$B$9,Paramètres!$A$1:$I$89,3,0)*0.475*44/12</f>
        <v>39.140363025332526</v>
      </c>
      <c r="AB43" s="23">
        <f>EXP(-LN(2)/2)*AB42+(1-EXP(-LN(2)/2))/(LN(2)/2)*V43*Y43*VLOOKUP('Données projet'!$B$9,Paramètres!$A$1:$I$89,3,0)*0.475*44/12</f>
        <v>5.5717987669799998</v>
      </c>
      <c r="AC43" s="24">
        <f t="shared" si="3"/>
        <v>93.069861773010061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</v>
      </c>
      <c r="AJ43" s="14">
        <f>AI43*VLOOKUP('Données projet'!$B$10,Paramètres!$A$1:$I$89,3,0)*VLOOKUP('Données projet'!$B$10,Paramètres!$A$1:$I$89,5,0)</f>
        <v>143.19240000000002</v>
      </c>
      <c r="AK43" s="14">
        <f t="shared" si="35"/>
        <v>37.027377071278792</v>
      </c>
      <c r="AL43" s="22">
        <f t="shared" si="4"/>
        <v>313.88277839914394</v>
      </c>
      <c r="AM43" s="62">
        <f t="shared" si="5"/>
        <v>607.2161117324772</v>
      </c>
      <c r="AN43" s="62">
        <f ca="1">AVERAGE(OFFSET($AM$3,0,0,'Données projet'!$E$10+1,1))-AVERAGE(OFFSET($H$3,0,0,'Données projet'!$E$10+1,1))</f>
        <v>320.63267332485663</v>
      </c>
      <c r="AO43" s="62">
        <f t="shared" si="36"/>
        <v>201.96012789473809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2.3628173983013721</v>
      </c>
      <c r="AW43" s="23">
        <f>EXP(-LN(2)/2)*AW42+(1-EXP(-LN(2)/2))/(LN(2)/2)*AQ43*AT43*VLOOKUP('Données projet'!$B$10,Paramètres!$A$1:$I$89,3,0)*0.475*44/12</f>
        <v>0.45302383336998819</v>
      </c>
      <c r="AX43" s="23">
        <f t="shared" si="6"/>
        <v>2.8158412316713601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123.9576</v>
      </c>
      <c r="BF43" s="14">
        <f t="shared" si="37"/>
        <v>32.59629414926458</v>
      </c>
      <c r="BG43" s="22">
        <f t="shared" si="7"/>
        <v>272.6646989766358</v>
      </c>
      <c r="BH43" s="62">
        <f t="shared" si="8"/>
        <v>565.99803230996918</v>
      </c>
      <c r="BI43" s="62">
        <f ca="1">AVERAGE(OFFSET($BH$3,0,0,'Données projet'!$E$11+1,1))-AVERAGE(OFFSET($H$3,0,0,'Données projet'!$E$11+1,1))</f>
        <v>267.00333505765792</v>
      </c>
      <c r="BJ43" s="62">
        <f t="shared" si="38"/>
        <v>172.25613380618557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2.0454240164399935</v>
      </c>
      <c r="BR43" s="23">
        <f>EXP(-LN(2)/2)*BR42+(1-EXP(-LN(2)/2))/(LN(2)/2)*BL43*BO43*VLOOKUP('Données projet'!$B$11,Paramètres!$A$1:$I$89,3,0)*0.475*44/12</f>
        <v>0.39216988560387006</v>
      </c>
      <c r="BS43" s="24">
        <f t="shared" si="9"/>
        <v>2.4375939020438637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137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137</v>
      </c>
      <c r="BZ43" s="14">
        <f>BY43*VLOOKUP('Données projet'!$B$12,Paramètres!$A$1:$I$89,3,0)*VLOOKUP('Données projet'!$B$12,Paramètres!$A$1:$I$89,5,0)</f>
        <v>138.91800000000001</v>
      </c>
      <c r="CA43" s="14">
        <f t="shared" si="39"/>
        <v>36.049022673886341</v>
      </c>
      <c r="CB43" s="22">
        <f t="shared" si="10"/>
        <v>304.73423115701871</v>
      </c>
      <c r="CC43" s="62">
        <f t="shared" si="11"/>
        <v>598.06756449035197</v>
      </c>
      <c r="CD43" s="62">
        <f ca="1">AVERAGE(OFFSET($CC$3,0,0,'Données projet'!$E$12+1,1))-AVERAGE(OFFSET($H$3,0,0,'Données projet'!$E$12+1,1))</f>
        <v>308.72872453744998</v>
      </c>
      <c r="CE43" s="62">
        <f t="shared" si="40"/>
        <v>195.3674411454258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21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2.2922855356655103</v>
      </c>
      <c r="CM43" s="23">
        <f>EXP(-LN(2)/2)*CM42+(1-EXP(-LN(2)/2))/(LN(2)/2)*CG43*CJ43*VLOOKUP('Données projet'!$B$12,Paramètres!$A$1:$I$89,3,0)*0.475*44/12</f>
        <v>0.43950073386640615</v>
      </c>
      <c r="CN43" s="24">
        <f t="shared" si="12"/>
        <v>2.7317862695319164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160.24926890971085</v>
      </c>
      <c r="T44" s="62">
        <f t="shared" si="34"/>
        <v>323.52368436151721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47.40943497936064</v>
      </c>
      <c r="AA44" s="23">
        <f>EXP(-LN(2)/25)*AA43+(1-EXP(-LN(2)/25))/(LN(2)/25)*Calculateur!V44*Calculateur!X44*VLOOKUP('Données projet'!$B$9,Paramètres!$A$1:$I$89,3,0)*0.475*44/12</f>
        <v>38.070067740102573</v>
      </c>
      <c r="AB44" s="23">
        <f>EXP(-LN(2)/2)*AB43+(1-EXP(-LN(2)/2))/(LN(2)/2)*V44*Y44*VLOOKUP('Données projet'!$B$9,Paramètres!$A$1:$I$89,3,0)*0.475*44/12</f>
        <v>3.9398566915384023</v>
      </c>
      <c r="AC44" s="24">
        <f t="shared" si="3"/>
        <v>89.419359411001608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</v>
      </c>
      <c r="AJ44" s="14">
        <f>AI44*VLOOKUP('Données projet'!$B$10,Paramètres!$A$1:$I$89,3,0)*VLOOKUP('Données projet'!$B$10,Paramètres!$A$1:$I$89,5,0)</f>
        <v>130.02288000000001</v>
      </c>
      <c r="AK44" s="14">
        <f t="shared" si="35"/>
        <v>34.00164617442524</v>
      </c>
      <c r="AL44" s="22">
        <f t="shared" si="4"/>
        <v>285.67604975379066</v>
      </c>
      <c r="AM44" s="62">
        <f t="shared" si="5"/>
        <v>579.00938308712398</v>
      </c>
      <c r="AN44" s="62">
        <f ca="1">AVERAGE(OFFSET($AM$3,0,0,'Données projet'!$E$10+1,1))-AVERAGE(OFFSET($H$3,0,0,'Données projet'!$E$10+1,1))</f>
        <v>320.63267332485663</v>
      </c>
      <c r="AO44" s="62">
        <f t="shared" si="36"/>
        <v>201.96012789473809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2.2982060322896545</v>
      </c>
      <c r="AW44" s="23">
        <f>EXP(-LN(2)/2)*AW43+(1-EXP(-LN(2)/2))/(LN(2)/2)*AQ44*AT44*VLOOKUP('Données projet'!$B$10,Paramètres!$A$1:$I$89,3,0)*0.475*44/12</f>
        <v>0.32033622461504324</v>
      </c>
      <c r="AX44" s="23">
        <f t="shared" si="6"/>
        <v>2.6185422569046977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112.55712000000001</v>
      </c>
      <c r="BF44" s="14">
        <f t="shared" si="37"/>
        <v>29.932653834140599</v>
      </c>
      <c r="BG44" s="22">
        <f t="shared" si="7"/>
        <v>248.16968942779488</v>
      </c>
      <c r="BH44" s="62">
        <f t="shared" si="8"/>
        <v>541.50302276112825</v>
      </c>
      <c r="BI44" s="62">
        <f ca="1">AVERAGE(OFFSET($BH$3,0,0,'Données projet'!$E$11+1,1))-AVERAGE(OFFSET($H$3,0,0,'Données projet'!$E$11+1,1))</f>
        <v>267.00333505765792</v>
      </c>
      <c r="BJ44" s="62">
        <f t="shared" si="38"/>
        <v>172.25613380618557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1.9894917891462678</v>
      </c>
      <c r="BR44" s="23">
        <f>EXP(-LN(2)/2)*BR43+(1-EXP(-LN(2)/2))/(LN(2)/2)*BL44*BO44*VLOOKUP('Données projet'!$B$11,Paramètres!$A$1:$I$89,3,0)*0.475*44/12</f>
        <v>0.27730598548764912</v>
      </c>
      <c r="BS44" s="24">
        <f t="shared" si="9"/>
        <v>2.266797774633917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</v>
      </c>
      <c r="BZ44" s="14">
        <f>BY44*VLOOKUP('Données projet'!$B$12,Paramètres!$A$1:$I$89,3,0)*VLOOKUP('Données projet'!$B$12,Paramètres!$A$1:$I$89,5,0)</f>
        <v>126.1416</v>
      </c>
      <c r="CA44" s="14">
        <f t="shared" si="39"/>
        <v>33.10323903126482</v>
      </c>
      <c r="CB44" s="22">
        <f t="shared" si="10"/>
        <v>277.35142797945286</v>
      </c>
      <c r="CC44" s="62">
        <f t="shared" si="11"/>
        <v>570.68476131278612</v>
      </c>
      <c r="CD44" s="62">
        <f ca="1">AVERAGE(OFFSET($CC$3,0,0,'Données projet'!$E$12+1,1))-AVERAGE(OFFSET($H$3,0,0,'Données projet'!$E$12+1,1))</f>
        <v>308.72872453744998</v>
      </c>
      <c r="CE44" s="62">
        <f t="shared" si="40"/>
        <v>195.3674411454258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2.2296028671466797</v>
      </c>
      <c r="CM44" s="23">
        <f>EXP(-LN(2)/2)*CM43+(1-EXP(-LN(2)/2))/(LN(2)/2)*CG44*CJ44*VLOOKUP('Données projet'!$B$12,Paramètres!$A$1:$I$89,3,0)*0.475*44/12</f>
        <v>0.31077394925339991</v>
      </c>
      <c r="CN44" s="24">
        <f t="shared" si="12"/>
        <v>2.5403768164000797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160.24926890971085</v>
      </c>
      <c r="T45" s="62">
        <f t="shared" si="34"/>
        <v>323.52368436151721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46.479764876315407</v>
      </c>
      <c r="AA45" s="23">
        <f>EXP(-LN(2)/25)*AA44+(1-EXP(-LN(2)/25))/(LN(2)/25)*Calculateur!V45*Calculateur!X45*VLOOKUP('Données projet'!$B$9,Paramètres!$A$1:$I$89,3,0)*0.475*44/12</f>
        <v>37.029039735731615</v>
      </c>
      <c r="AB45" s="23">
        <f>EXP(-LN(2)/2)*AB44+(1-EXP(-LN(2)/2))/(LN(2)/2)*V45*Y45*VLOOKUP('Données projet'!$B$9,Paramètres!$A$1:$I$89,3,0)*0.475*44/12</f>
        <v>2.7858993834900003</v>
      </c>
      <c r="AC45" s="24">
        <f t="shared" si="3"/>
        <v>86.29470399553702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132.80000000000001</v>
      </c>
      <c r="AJ45" s="14">
        <f>AI45*VLOOKUP('Données projet'!$B$10,Paramètres!$A$1:$I$89,3,0)*VLOOKUP('Données projet'!$B$10,Paramètres!$A$1:$I$89,5,0)</f>
        <v>138.80256000000003</v>
      </c>
      <c r="AK45" s="14">
        <f t="shared" si="35"/>
        <v>36.022551816496033</v>
      </c>
      <c r="AL45" s="22">
        <f t="shared" si="4"/>
        <v>304.48706974706403</v>
      </c>
      <c r="AM45" s="62">
        <f t="shared" si="5"/>
        <v>597.82040308039734</v>
      </c>
      <c r="AN45" s="62">
        <f ca="1">AVERAGE(OFFSET($AM$3,0,0,'Données projet'!$E$10+1,1))-AVERAGE(OFFSET($H$3,0,0,'Données projet'!$E$10+1,1))</f>
        <v>320.63267332485663</v>
      </c>
      <c r="AO45" s="62">
        <f t="shared" si="36"/>
        <v>201.96012789473809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2.2353614674792914</v>
      </c>
      <c r="AW45" s="23">
        <f>EXP(-LN(2)/2)*AW44+(1-EXP(-LN(2)/2))/(LN(2)/2)*AQ45*AT45*VLOOKUP('Données projet'!$B$10,Paramètres!$A$1:$I$89,3,0)*0.475*44/12</f>
        <v>0.22651191668499412</v>
      </c>
      <c r="AX45" s="23">
        <f t="shared" si="6"/>
        <v>2.4618733841642855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120.15744000000001</v>
      </c>
      <c r="BF45" s="14">
        <f t="shared" si="37"/>
        <v>31.711716786129845</v>
      </c>
      <c r="BG45" s="22">
        <f t="shared" si="7"/>
        <v>264.50544806917611</v>
      </c>
      <c r="BH45" s="62">
        <f t="shared" si="8"/>
        <v>557.83878140250943</v>
      </c>
      <c r="BI45" s="62">
        <f ca="1">AVERAGE(OFFSET($BH$3,0,0,'Données projet'!$E$11+1,1))-AVERAGE(OFFSET($H$3,0,0,'Données projet'!$E$11+1,1))</f>
        <v>267.00333505765792</v>
      </c>
      <c r="BJ45" s="62">
        <f t="shared" si="38"/>
        <v>172.25613380618557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1.9350890315492368</v>
      </c>
      <c r="BR45" s="23">
        <f>EXP(-LN(2)/2)*BR44+(1-EXP(-LN(2)/2))/(LN(2)/2)*BL45*BO45*VLOOKUP('Données projet'!$B$11,Paramètres!$A$1:$I$89,3,0)*0.475*44/12</f>
        <v>0.19608494280193503</v>
      </c>
      <c r="BS45" s="24">
        <f t="shared" si="9"/>
        <v>2.1311739743511717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132.80000000000001</v>
      </c>
      <c r="BZ45" s="14">
        <f>BY45*VLOOKUP('Données projet'!$B$12,Paramètres!$A$1:$I$89,3,0)*VLOOKUP('Données projet'!$B$12,Paramètres!$A$1:$I$89,5,0)</f>
        <v>134.65920000000003</v>
      </c>
      <c r="CA45" s="14">
        <f t="shared" si="39"/>
        <v>35.07074737441733</v>
      </c>
      <c r="CB45" s="22">
        <f t="shared" si="10"/>
        <v>295.61299167711019</v>
      </c>
      <c r="CC45" s="62">
        <f t="shared" si="11"/>
        <v>588.9463250104435</v>
      </c>
      <c r="CD45" s="62">
        <f ca="1">AVERAGE(OFFSET($CC$3,0,0,'Données projet'!$E$12+1,1))-AVERAGE(OFFSET($H$3,0,0,'Données projet'!$E$12+1,1))</f>
        <v>308.72872453744998</v>
      </c>
      <c r="CE45" s="62">
        <f t="shared" si="40"/>
        <v>195.3674411454258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2.1686342594948349</v>
      </c>
      <c r="CM45" s="23">
        <f>EXP(-LN(2)/2)*CM44+(1-EXP(-LN(2)/2))/(LN(2)/2)*CG45*CJ45*VLOOKUP('Données projet'!$B$12,Paramètres!$A$1:$I$89,3,0)*0.475*44/12</f>
        <v>0.21975036693320307</v>
      </c>
      <c r="CN45" s="24">
        <f t="shared" si="12"/>
        <v>2.3883846264280382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160.24926890971085</v>
      </c>
      <c r="T46" s="62">
        <f t="shared" si="34"/>
        <v>323.52368436151721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45.568325036948117</v>
      </c>
      <c r="AA46" s="23">
        <f>EXP(-LN(2)/25)*AA45+(1-EXP(-LN(2)/25))/(LN(2)/25)*Calculateur!V46*Calculateur!X46*VLOOKUP('Données projet'!$B$9,Paramètres!$A$1:$I$89,3,0)*0.475*44/12</f>
        <v>36.016478696885464</v>
      </c>
      <c r="AB46" s="23">
        <f>EXP(-LN(2)/2)*AB45+(1-EXP(-LN(2)/2))/(LN(2)/2)*V46*Y46*VLOOKUP('Données projet'!$B$9,Paramètres!$A$1:$I$89,3,0)*0.475*44/12</f>
        <v>1.9699283457692014</v>
      </c>
      <c r="AC46" s="24">
        <f t="shared" si="3"/>
        <v>83.554732079602786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141.20000000000002</v>
      </c>
      <c r="AJ46" s="14">
        <f>AI46*VLOOKUP('Données projet'!$B$10,Paramètres!$A$1:$I$89,3,0)*VLOOKUP('Données projet'!$B$10,Paramètres!$A$1:$I$89,5,0)</f>
        <v>147.58224000000001</v>
      </c>
      <c r="AK46" s="14">
        <f t="shared" si="35"/>
        <v>38.028622437771823</v>
      </c>
      <c r="AL46" s="22">
        <f t="shared" si="4"/>
        <v>323.27225207911926</v>
      </c>
      <c r="AM46" s="62">
        <f t="shared" si="5"/>
        <v>616.60558541245257</v>
      </c>
      <c r="AN46" s="62">
        <f ca="1">AVERAGE(OFFSET($AM$3,0,0,'Données projet'!$E$10+1,1))-AVERAGE(OFFSET($H$3,0,0,'Données projet'!$E$10+1,1))</f>
        <v>320.63267332485663</v>
      </c>
      <c r="AO46" s="62">
        <f t="shared" si="36"/>
        <v>201.96012789473809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2.1742353905985197</v>
      </c>
      <c r="AW46" s="23">
        <f>EXP(-LN(2)/2)*AW45+(1-EXP(-LN(2)/2))/(LN(2)/2)*AQ46*AT46*VLOOKUP('Données projet'!$B$10,Paramètres!$A$1:$I$89,3,0)*0.475*44/12</f>
        <v>0.16016811230752165</v>
      </c>
      <c r="AX46" s="23">
        <f t="shared" si="6"/>
        <v>2.3344035029060413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127.75776</v>
      </c>
      <c r="BF46" s="14">
        <f t="shared" si="37"/>
        <v>33.477720030956604</v>
      </c>
      <c r="BG46" s="22">
        <f t="shared" si="7"/>
        <v>280.81846105391611</v>
      </c>
      <c r="BH46" s="62">
        <f t="shared" si="8"/>
        <v>574.15179438724942</v>
      </c>
      <c r="BI46" s="62">
        <f ca="1">AVERAGE(OFFSET($BH$3,0,0,'Données projet'!$E$11+1,1))-AVERAGE(OFFSET($H$3,0,0,'Données projet'!$E$11+1,1))</f>
        <v>267.00333505765792</v>
      </c>
      <c r="BJ46" s="62">
        <f t="shared" si="38"/>
        <v>172.25613380618557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1.8821739202196135</v>
      </c>
      <c r="BR46" s="23">
        <f>EXP(-LN(2)/2)*BR45+(1-EXP(-LN(2)/2))/(LN(2)/2)*BL46*BO46*VLOOKUP('Données projet'!$B$11,Paramètres!$A$1:$I$89,3,0)*0.475*44/12</f>
        <v>0.13865299274382456</v>
      </c>
      <c r="BS46" s="24">
        <f t="shared" si="9"/>
        <v>2.0208269129634382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141.20000000000002</v>
      </c>
      <c r="BZ46" s="14">
        <f>BY46*VLOOKUP('Données projet'!$B$12,Paramètres!$A$1:$I$89,3,0)*VLOOKUP('Données projet'!$B$12,Paramètres!$A$1:$I$89,5,0)</f>
        <v>143.17680000000004</v>
      </c>
      <c r="CA46" s="14">
        <f t="shared" si="39"/>
        <v>37.023812674521515</v>
      </c>
      <c r="CB46" s="22">
        <f t="shared" si="10"/>
        <v>313.84940040812506</v>
      </c>
      <c r="CC46" s="62">
        <f t="shared" si="11"/>
        <v>607.18273374145838</v>
      </c>
      <c r="CD46" s="62">
        <f ca="1">AVERAGE(OFFSET($CC$3,0,0,'Données projet'!$E$12+1,1))-AVERAGE(OFFSET($H$3,0,0,'Données projet'!$E$12+1,1))</f>
        <v>308.72872453744998</v>
      </c>
      <c r="CE46" s="62">
        <f t="shared" si="40"/>
        <v>195.3674411454258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2.1093328416254296</v>
      </c>
      <c r="CM46" s="23">
        <f>EXP(-LN(2)/2)*CM45+(1-EXP(-LN(2)/2))/(LN(2)/2)*CG46*CJ46*VLOOKUP('Données projet'!$B$12,Paramètres!$A$1:$I$89,3,0)*0.475*44/12</f>
        <v>0.15538697462669995</v>
      </c>
      <c r="CN46" s="24">
        <f t="shared" si="12"/>
        <v>2.2647198162521294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160.24926890971085</v>
      </c>
      <c r="T47" s="62">
        <f t="shared" si="34"/>
        <v>323.52368436151721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44.674757976907415</v>
      </c>
      <c r="AA47" s="23">
        <f>EXP(-LN(2)/25)*AA46+(1-EXP(-LN(2)/25))/(LN(2)/25)*Calculateur!V47*Calculateur!X47*VLOOKUP('Données projet'!$B$9,Paramètres!$A$1:$I$89,3,0)*0.475*44/12</f>
        <v>35.031606192894834</v>
      </c>
      <c r="AB47" s="23">
        <f>EXP(-LN(2)/2)*AB46+(1-EXP(-LN(2)/2))/(LN(2)/2)*V47*Y47*VLOOKUP('Données projet'!$B$9,Paramètres!$A$1:$I$89,3,0)*0.475*44/12</f>
        <v>1.3929496917450004</v>
      </c>
      <c r="AC47" s="24">
        <f t="shared" si="3"/>
        <v>81.099313861547245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149.60000000000002</v>
      </c>
      <c r="AJ47" s="14">
        <f>AI47*VLOOKUP('Données projet'!$B$10,Paramètres!$A$1:$I$89,3,0)*VLOOKUP('Données projet'!$B$10,Paramètres!$A$1:$I$89,5,0)</f>
        <v>156.36192000000005</v>
      </c>
      <c r="AK47" s="14">
        <f t="shared" si="35"/>
        <v>40.020841092261293</v>
      </c>
      <c r="AL47" s="22">
        <f t="shared" si="4"/>
        <v>342.0333089023552</v>
      </c>
      <c r="AM47" s="62">
        <f t="shared" si="5"/>
        <v>635.36664223568846</v>
      </c>
      <c r="AN47" s="62">
        <f ca="1">AVERAGE(OFFSET($AM$3,0,0,'Données projet'!$E$10+1,1))-AVERAGE(OFFSET($H$3,0,0,'Données projet'!$E$10+1,1))</f>
        <v>320.63267332485663</v>
      </c>
      <c r="AO47" s="62">
        <f t="shared" si="36"/>
        <v>201.96012789473809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2.1147808095045333</v>
      </c>
      <c r="AW47" s="23">
        <f>EXP(-LN(2)/2)*AW46+(1-EXP(-LN(2)/2))/(LN(2)/2)*AQ47*AT47*VLOOKUP('Données projet'!$B$10,Paramètres!$A$1:$I$89,3,0)*0.475*44/12</f>
        <v>0.11325595834249709</v>
      </c>
      <c r="AX47" s="23">
        <f t="shared" si="6"/>
        <v>2.2280367678470303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135.35808</v>
      </c>
      <c r="BF47" s="14">
        <f t="shared" si="37"/>
        <v>35.231528980112834</v>
      </c>
      <c r="BG47" s="22">
        <f t="shared" si="7"/>
        <v>297.11023564036316</v>
      </c>
      <c r="BH47" s="62">
        <f t="shared" si="8"/>
        <v>590.44356897369653</v>
      </c>
      <c r="BI47" s="62">
        <f ca="1">AVERAGE(OFFSET($BH$3,0,0,'Données projet'!$E$11+1,1))-AVERAGE(OFFSET($H$3,0,0,'Données projet'!$E$11+1,1))</f>
        <v>267.00333505765792</v>
      </c>
      <c r="BJ47" s="62">
        <f t="shared" si="38"/>
        <v>172.25613380618557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1.8307057753919835</v>
      </c>
      <c r="BR47" s="23">
        <f>EXP(-LN(2)/2)*BR46+(1-EXP(-LN(2)/2))/(LN(2)/2)*BL47*BO47*VLOOKUP('Données projet'!$B$11,Paramètres!$A$1:$I$89,3,0)*0.475*44/12</f>
        <v>9.8042471400967515E-2</v>
      </c>
      <c r="BS47" s="24">
        <f t="shared" si="9"/>
        <v>1.9287482467929511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149.60000000000002</v>
      </c>
      <c r="BZ47" s="14">
        <f>BY47*VLOOKUP('Données projet'!$B$12,Paramètres!$A$1:$I$89,3,0)*VLOOKUP('Données projet'!$B$12,Paramètres!$A$1:$I$89,5,0)</f>
        <v>151.69440000000003</v>
      </c>
      <c r="CA47" s="14">
        <f t="shared" si="39"/>
        <v>38.963392010880654</v>
      </c>
      <c r="CB47" s="22">
        <f t="shared" si="10"/>
        <v>332.06232108561716</v>
      </c>
      <c r="CC47" s="62">
        <f t="shared" si="11"/>
        <v>625.39565441895047</v>
      </c>
      <c r="CD47" s="62">
        <f ca="1">AVERAGE(OFFSET($CC$3,0,0,'Données projet'!$E$12+1,1))-AVERAGE(OFFSET($H$3,0,0,'Données projet'!$E$12+1,1))</f>
        <v>308.72872453744998</v>
      </c>
      <c r="CE47" s="62">
        <f t="shared" si="40"/>
        <v>195.3674411454258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2.051653024146189</v>
      </c>
      <c r="CM47" s="23">
        <f>EXP(-LN(2)/2)*CM46+(1-EXP(-LN(2)/2))/(LN(2)/2)*CG47*CJ47*VLOOKUP('Données projet'!$B$12,Paramètres!$A$1:$I$89,3,0)*0.475*44/12</f>
        <v>0.10987518346660154</v>
      </c>
      <c r="CN47" s="24">
        <f t="shared" si="12"/>
        <v>2.1615282076127906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160.24926890971085</v>
      </c>
      <c r="T48" s="62">
        <f t="shared" si="34"/>
        <v>323.52368436151721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43.798713221892022</v>
      </c>
      <c r="AA48" s="23">
        <f>EXP(-LN(2)/25)*AA47+(1-EXP(-LN(2)/25))/(LN(2)/25)*Calculateur!V48*Calculateur!X48*VLOOKUP('Données projet'!$B$9,Paramètres!$A$1:$I$89,3,0)*0.475*44/12</f>
        <v>34.073665079318019</v>
      </c>
      <c r="AB48" s="23">
        <f>EXP(-LN(2)/2)*AB47+(1-EXP(-LN(2)/2))/(LN(2)/2)*V48*Y48*VLOOKUP('Données projet'!$B$9,Paramètres!$A$1:$I$89,3,0)*0.475*44/12</f>
        <v>0.98496417288460092</v>
      </c>
      <c r="AC48" s="24">
        <f t="shared" si="3"/>
        <v>78.857342474094636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158.00000000000003</v>
      </c>
      <c r="AJ48" s="14">
        <f>AI48*VLOOKUP('Données projet'!$B$10,Paramètres!$A$1:$I$89,3,0)*VLOOKUP('Données projet'!$B$10,Paramètres!$A$1:$I$89,5,0)</f>
        <v>165.14160000000004</v>
      </c>
      <c r="AK48" s="14">
        <f t="shared" si="35"/>
        <v>42.000074202332975</v>
      </c>
      <c r="AL48" s="22">
        <f t="shared" si="4"/>
        <v>360.77174923572994</v>
      </c>
      <c r="AM48" s="62">
        <f t="shared" si="5"/>
        <v>654.10508256906326</v>
      </c>
      <c r="AN48" s="62">
        <f ca="1">AVERAGE(OFFSET($AM$3,0,0,'Données projet'!$E$10+1,1))-AVERAGE(OFFSET($H$3,0,0,'Données projet'!$E$10+1,1))</f>
        <v>320.63267332485663</v>
      </c>
      <c r="AO48" s="62">
        <f t="shared" si="36"/>
        <v>201.96012789473809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2.0569520170571423</v>
      </c>
      <c r="AW48" s="23">
        <f>EXP(-LN(2)/2)*AW47+(1-EXP(-LN(2)/2))/(LN(2)/2)*AQ48*AT48*VLOOKUP('Données projet'!$B$10,Paramètres!$A$1:$I$89,3,0)*0.475*44/12</f>
        <v>8.0084056153760838E-2</v>
      </c>
      <c r="AX48" s="23">
        <f t="shared" si="6"/>
        <v>2.1370360732109033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142.95840000000004</v>
      </c>
      <c r="BF48" s="14">
        <f t="shared" si="37"/>
        <v>36.973906370811264</v>
      </c>
      <c r="BG48" s="22">
        <f t="shared" si="7"/>
        <v>313.38210026249641</v>
      </c>
      <c r="BH48" s="62">
        <f t="shared" si="8"/>
        <v>606.71543359582972</v>
      </c>
      <c r="BI48" s="62">
        <f ca="1">AVERAGE(OFFSET($BH$3,0,0,'Données projet'!$E$11+1,1))-AVERAGE(OFFSET($H$3,0,0,'Données projet'!$E$11+1,1))</f>
        <v>267.00333505765792</v>
      </c>
      <c r="BJ48" s="62">
        <f t="shared" si="38"/>
        <v>172.25613380618557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1.7806450296912573</v>
      </c>
      <c r="BR48" s="23">
        <f>EXP(-LN(2)/2)*BR47+(1-EXP(-LN(2)/2))/(LN(2)/2)*BL48*BO48*VLOOKUP('Données projet'!$B$11,Paramètres!$A$1:$I$89,3,0)*0.475*44/12</f>
        <v>6.932649637191228E-2</v>
      </c>
      <c r="BS48" s="24">
        <f t="shared" si="9"/>
        <v>1.8499715260631695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158.00000000000003</v>
      </c>
      <c r="BZ48" s="14">
        <f>BY48*VLOOKUP('Données projet'!$B$12,Paramètres!$A$1:$I$89,3,0)*VLOOKUP('Données projet'!$B$12,Paramètres!$A$1:$I$89,5,0)</f>
        <v>160.21200000000005</v>
      </c>
      <c r="CA48" s="14">
        <f t="shared" si="39"/>
        <v>40.890328912852695</v>
      </c>
      <c r="CB48" s="22">
        <f t="shared" si="10"/>
        <v>350.25322285655176</v>
      </c>
      <c r="CC48" s="62">
        <f t="shared" si="11"/>
        <v>643.58655618988507</v>
      </c>
      <c r="CD48" s="62">
        <f ca="1">AVERAGE(OFFSET($CC$3,0,0,'Données projet'!$E$12+1,1))-AVERAGE(OFFSET($H$3,0,0,'Données projet'!$E$12+1,1))</f>
        <v>308.72872453744998</v>
      </c>
      <c r="CE48" s="62">
        <f t="shared" si="40"/>
        <v>195.3674411454258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21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1.9955504643091679</v>
      </c>
      <c r="CM48" s="23">
        <f>EXP(-LN(2)/2)*CM47+(1-EXP(-LN(2)/2))/(LN(2)/2)*CG48*CJ48*VLOOKUP('Données projet'!$B$12,Paramètres!$A$1:$I$89,3,0)*0.475*44/12</f>
        <v>7.7693487313349976E-2</v>
      </c>
      <c r="CN48" s="24">
        <f t="shared" si="12"/>
        <v>2.0732439516225178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160.24926890971085</v>
      </c>
      <c r="T49" s="62">
        <f t="shared" si="34"/>
        <v>323.52368436151721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42.939847170187939</v>
      </c>
      <c r="AA49" s="23">
        <f>EXP(-LN(2)/25)*AA48+(1-EXP(-LN(2)/25))/(LN(2)/25)*Calculateur!V49*Calculateur!X49*VLOOKUP('Données projet'!$B$9,Paramètres!$A$1:$I$89,3,0)*0.475*44/12</f>
        <v>33.141918915867898</v>
      </c>
      <c r="AB49" s="23">
        <f>EXP(-LN(2)/2)*AB48+(1-EXP(-LN(2)/2))/(LN(2)/2)*V49*Y49*VLOOKUP('Données projet'!$B$9,Paramètres!$A$1:$I$89,3,0)*0.475*44/12</f>
        <v>0.6964748458725003</v>
      </c>
      <c r="AC49" s="24">
        <f t="shared" si="3"/>
        <v>76.778240931928337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8.4</v>
      </c>
      <c r="AI49" s="14">
        <f>IF('Données projet'!$A$62&gt;35,AI48+AH49-AQ48,IF(A49&lt;'Données projet'!$A$62,$AF$205^A49,IF(A49='Données projet'!$A$62,'Données projet'!$B$62,AI48+AH49-AQ48)))</f>
        <v>145.40000000000003</v>
      </c>
      <c r="AJ49" s="14">
        <f>AI49*VLOOKUP('Données projet'!$B$10,Paramètres!$A$1:$I$89,3,0)*VLOOKUP('Données projet'!$B$10,Paramètres!$A$1:$I$89,5,0)</f>
        <v>151.97208000000006</v>
      </c>
      <c r="AK49" s="14">
        <f t="shared" si="35"/>
        <v>39.026406624566306</v>
      </c>
      <c r="AL49" s="22">
        <f t="shared" si="4"/>
        <v>332.65569753778635</v>
      </c>
      <c r="AM49" s="62">
        <f t="shared" si="5"/>
        <v>625.98903087111967</v>
      </c>
      <c r="AN49" s="62">
        <f ca="1">AVERAGE(OFFSET($AM$3,0,0,'Données projet'!$E$10+1,1))-AVERAGE(OFFSET($H$3,0,0,'Données projet'!$E$10+1,1))</f>
        <v>320.63267332485663</v>
      </c>
      <c r="AO49" s="62">
        <f t="shared" si="36"/>
        <v>201.96012789473809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2.0007045559803092</v>
      </c>
      <c r="AW49" s="23">
        <f>EXP(-LN(2)/2)*AW48+(1-EXP(-LN(2)/2))/(LN(2)/2)*AQ49*AT49*VLOOKUP('Données projet'!$B$10,Paramètres!$A$1:$I$89,3,0)*0.475*44/12</f>
        <v>5.6627979171248552E-2</v>
      </c>
      <c r="AX49" s="23">
        <f t="shared" si="6"/>
        <v>2.0573325351515579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131.55792000000002</v>
      </c>
      <c r="BF49" s="14">
        <f t="shared" si="37"/>
        <v>34.3560989338864</v>
      </c>
      <c r="BG49" s="22">
        <f t="shared" si="7"/>
        <v>288.96691630985219</v>
      </c>
      <c r="BH49" s="62">
        <f t="shared" si="8"/>
        <v>582.30024964318545</v>
      </c>
      <c r="BI49" s="62">
        <f ca="1">AVERAGE(OFFSET($BH$3,0,0,'Données projet'!$E$11+1,1))-AVERAGE(OFFSET($H$3,0,0,'Données projet'!$E$11+1,1))</f>
        <v>267.00333505765792</v>
      </c>
      <c r="BJ49" s="62">
        <f t="shared" si="38"/>
        <v>172.25613380618557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1.7319531977142975</v>
      </c>
      <c r="BR49" s="23">
        <f>EXP(-LN(2)/2)*BR48+(1-EXP(-LN(2)/2))/(LN(2)/2)*BL49*BO49*VLOOKUP('Données projet'!$B$11,Paramètres!$A$1:$I$89,3,0)*0.475*44/12</f>
        <v>4.9021235700483758E-2</v>
      </c>
      <c r="BS49" s="24">
        <f t="shared" si="9"/>
        <v>1.7809744334147812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8.4</v>
      </c>
      <c r="BY49" s="13">
        <f>IF('Données projet'!$A$114&gt;35,BY48+BX49-CG48,IF(A49&lt;'Données projet'!$A$114,$BV$205^A49,IF(A49='Données projet'!$A$114,'Données projet'!$B$114,BY48+BX49-CG48)))</f>
        <v>145.40000000000003</v>
      </c>
      <c r="BZ49" s="14">
        <f>BY49*VLOOKUP('Données projet'!$B$12,Paramètres!$A$1:$I$89,3,0)*VLOOKUP('Données projet'!$B$12,Paramètres!$A$1:$I$89,5,0)</f>
        <v>147.43560000000002</v>
      </c>
      <c r="CA49" s="14">
        <f t="shared" si="39"/>
        <v>37.99523294834102</v>
      </c>
      <c r="CB49" s="22">
        <f t="shared" si="10"/>
        <v>322.95870071836066</v>
      </c>
      <c r="CC49" s="62">
        <f t="shared" si="11"/>
        <v>616.29203405169392</v>
      </c>
      <c r="CD49" s="62">
        <f ca="1">AVERAGE(OFFSET($CC$3,0,0,'Données projet'!$E$12+1,1))-AVERAGE(OFFSET($H$3,0,0,'Données projet'!$E$12+1,1))</f>
        <v>308.72872453744998</v>
      </c>
      <c r="CE49" s="62">
        <f t="shared" si="40"/>
        <v>195.3674411454258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1.9409820319211957</v>
      </c>
      <c r="CM49" s="23">
        <f>EXP(-LN(2)/2)*CM48+(1-EXP(-LN(2)/2))/(LN(2)/2)*CG49*CJ49*VLOOKUP('Données projet'!$B$12,Paramètres!$A$1:$I$89,3,0)*0.475*44/12</f>
        <v>5.4937591733300768E-2</v>
      </c>
      <c r="CN49" s="24">
        <f t="shared" si="12"/>
        <v>1.9959196236544965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160.24926890971085</v>
      </c>
      <c r="T50" s="62">
        <f t="shared" si="34"/>
        <v>323.52368436151721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42.097822957901208</v>
      </c>
      <c r="AA50" s="23">
        <f>EXP(-LN(2)/25)*AA49+(1-EXP(-LN(2)/25))/(LN(2)/25)*Calculateur!V50*Calculateur!X50*VLOOKUP('Données projet'!$B$9,Paramètres!$A$1:$I$89,3,0)*0.475*44/12</f>
        <v>32.235651400255719</v>
      </c>
      <c r="AB50" s="23">
        <f>EXP(-LN(2)/2)*AB49+(1-EXP(-LN(2)/2))/(LN(2)/2)*V50*Y50*VLOOKUP('Données projet'!$B$9,Paramètres!$A$1:$I$89,3,0)*0.475*44/12</f>
        <v>0.49248208644230052</v>
      </c>
      <c r="AC50" s="24">
        <f t="shared" si="3"/>
        <v>74.825956444599228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8.4</v>
      </c>
      <c r="AI50" s="14">
        <f>IF('Données projet'!$A$62&gt;35,AI49+AH50-AQ49,IF(A50&lt;'Données projet'!$A$62,$AF$205^A50,IF(A50='Données projet'!$A$62,'Données projet'!$B$62,AI49+AH50-AQ49)))</f>
        <v>153.80000000000004</v>
      </c>
      <c r="AJ50" s="14">
        <f>AI50*VLOOKUP('Données projet'!$B$10,Paramètres!$A$1:$I$89,3,0)*VLOOKUP('Données projet'!$B$10,Paramètres!$A$1:$I$89,5,0)</f>
        <v>160.75176000000005</v>
      </c>
      <c r="AK50" s="14">
        <f t="shared" si="35"/>
        <v>41.01203068691094</v>
      </c>
      <c r="AL50" s="22">
        <f t="shared" si="4"/>
        <v>351.40526877970325</v>
      </c>
      <c r="AM50" s="62">
        <f t="shared" si="5"/>
        <v>644.73860211303656</v>
      </c>
      <c r="AN50" s="62">
        <f ca="1">AVERAGE(OFFSET($AM$3,0,0,'Données projet'!$E$10+1,1))-AVERAGE(OFFSET($H$3,0,0,'Données projet'!$E$10+1,1))</f>
        <v>320.63267332485663</v>
      </c>
      <c r="AO50" s="62">
        <f t="shared" si="36"/>
        <v>201.96012789473809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1.9459951846845476</v>
      </c>
      <c r="AW50" s="23">
        <f>EXP(-LN(2)/2)*AW49+(1-EXP(-LN(2)/2))/(LN(2)/2)*AQ50*AT50*VLOOKUP('Données projet'!$B$10,Paramètres!$A$1:$I$89,3,0)*0.475*44/12</f>
        <v>4.0042028076880426E-2</v>
      </c>
      <c r="AX50" s="23">
        <f t="shared" si="6"/>
        <v>1.9860372127614281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139.15824000000003</v>
      </c>
      <c r="BF50" s="14">
        <f t="shared" si="37"/>
        <v>36.104102468715482</v>
      </c>
      <c r="BG50" s="22">
        <f t="shared" si="7"/>
        <v>305.24857979967953</v>
      </c>
      <c r="BH50" s="62">
        <f t="shared" si="8"/>
        <v>598.5819131330129</v>
      </c>
      <c r="BI50" s="62">
        <f ca="1">AVERAGE(OFFSET($BH$3,0,0,'Données projet'!$E$11+1,1))-AVERAGE(OFFSET($H$3,0,0,'Données projet'!$E$11+1,1))</f>
        <v>267.00333505765792</v>
      </c>
      <c r="BJ50" s="62">
        <f t="shared" si="38"/>
        <v>172.25613380618557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1.6845928464433397</v>
      </c>
      <c r="BR50" s="23">
        <f>EXP(-LN(2)/2)*BR49+(1-EXP(-LN(2)/2))/(LN(2)/2)*BL50*BO50*VLOOKUP('Données projet'!$B$11,Paramètres!$A$1:$I$89,3,0)*0.475*44/12</f>
        <v>3.466324818595614E-2</v>
      </c>
      <c r="BS50" s="24">
        <f t="shared" si="9"/>
        <v>1.7192560946292959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8.4</v>
      </c>
      <c r="BY50" s="13">
        <f>IF('Données projet'!$A$114&gt;35,BY49+BX50-CG49,IF(A50&lt;'Données projet'!$A$114,$BV$205^A50,IF(A50='Données projet'!$A$114,'Données projet'!$B$114,BY49+BX50-CG49)))</f>
        <v>153.80000000000004</v>
      </c>
      <c r="BZ50" s="14">
        <f>BY50*VLOOKUP('Données projet'!$B$12,Paramètres!$A$1:$I$89,3,0)*VLOOKUP('Données projet'!$B$12,Paramètres!$A$1:$I$89,5,0)</f>
        <v>155.95320000000004</v>
      </c>
      <c r="CA50" s="14">
        <f t="shared" si="39"/>
        <v>39.928391937903875</v>
      </c>
      <c r="CB50" s="22">
        <f t="shared" si="10"/>
        <v>341.16043929184929</v>
      </c>
      <c r="CC50" s="62">
        <f t="shared" si="11"/>
        <v>634.4937726251826</v>
      </c>
      <c r="CD50" s="62">
        <f ca="1">AVERAGE(OFFSET($CC$3,0,0,'Données projet'!$E$12+1,1))-AVERAGE(OFFSET($H$3,0,0,'Données projet'!$E$12+1,1))</f>
        <v>308.72872453744998</v>
      </c>
      <c r="CE50" s="62">
        <f t="shared" si="40"/>
        <v>195.3674411454258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1.8879057761865017</v>
      </c>
      <c r="CM50" s="23">
        <f>EXP(-LN(2)/2)*CM49+(1-EXP(-LN(2)/2))/(LN(2)/2)*CG50*CJ50*VLOOKUP('Données projet'!$B$12,Paramètres!$A$1:$I$89,3,0)*0.475*44/12</f>
        <v>3.8846743656674988E-2</v>
      </c>
      <c r="CN50" s="24">
        <f t="shared" si="12"/>
        <v>1.9267525198431767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160.24926890971085</v>
      </c>
      <c r="T51" s="62">
        <f t="shared" si="34"/>
        <v>323.52368436151721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41.272310326833363</v>
      </c>
      <c r="AA51" s="23">
        <f>EXP(-LN(2)/25)*AA50+(1-EXP(-LN(2)/25))/(LN(2)/25)*Calculateur!V51*Calculateur!X51*VLOOKUP('Données projet'!$B$9,Paramètres!$A$1:$I$89,3,0)*0.475*44/12</f>
        <v>31.354165817516495</v>
      </c>
      <c r="AB51" s="23">
        <f>EXP(-LN(2)/2)*AB50+(1-EXP(-LN(2)/2))/(LN(2)/2)*V51*Y51*VLOOKUP('Données projet'!$B$9,Paramètres!$A$1:$I$89,3,0)*0.475*44/12</f>
        <v>0.34823742293625021</v>
      </c>
      <c r="AC51" s="24">
        <f t="shared" si="3"/>
        <v>72.974713567286102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8.4</v>
      </c>
      <c r="AI51" s="14">
        <f>IF('Données projet'!$A$62&gt;35,AI50+AH51-AQ50,IF(A51&lt;'Données projet'!$A$62,$AF$205^A51,IF(A51='Données projet'!$A$62,'Données projet'!$B$62,AI50+AH51-AQ50)))</f>
        <v>162.20000000000005</v>
      </c>
      <c r="AJ51" s="14">
        <f>AI51*VLOOKUP('Données projet'!$B$10,Paramètres!$A$1:$I$89,3,0)*VLOOKUP('Données projet'!$B$10,Paramètres!$A$1:$I$89,5,0)</f>
        <v>169.53144000000006</v>
      </c>
      <c r="AK51" s="14">
        <f t="shared" si="35"/>
        <v>42.985064880945778</v>
      </c>
      <c r="AL51" s="22">
        <f t="shared" si="4"/>
        <v>370.13291266764736</v>
      </c>
      <c r="AM51" s="62">
        <f t="shared" si="5"/>
        <v>663.46624600098062</v>
      </c>
      <c r="AN51" s="62">
        <f ca="1">AVERAGE(OFFSET($AM$3,0,0,'Données projet'!$E$10+1,1))-AVERAGE(OFFSET($H$3,0,0,'Données projet'!$E$10+1,1))</f>
        <v>320.63267332485663</v>
      </c>
      <c r="AO51" s="62">
        <f t="shared" si="36"/>
        <v>201.96012789473809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1.8927818440239095</v>
      </c>
      <c r="AW51" s="23">
        <f>EXP(-LN(2)/2)*AW50+(1-EXP(-LN(2)/2))/(LN(2)/2)*AQ51*AT51*VLOOKUP('Données projet'!$B$10,Paramètres!$A$1:$I$89,3,0)*0.475*44/12</f>
        <v>2.8313989585624283E-2</v>
      </c>
      <c r="AX51" s="23">
        <f t="shared" si="6"/>
        <v>1.9210958336095338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146.75856000000005</v>
      </c>
      <c r="BF51" s="14">
        <f t="shared" si="37"/>
        <v>37.841022770456242</v>
      </c>
      <c r="BG51" s="22">
        <f t="shared" si="7"/>
        <v>321.51093999187805</v>
      </c>
      <c r="BH51" s="62">
        <f t="shared" si="8"/>
        <v>614.84427332521136</v>
      </c>
      <c r="BI51" s="62">
        <f ca="1">AVERAGE(OFFSET($BH$3,0,0,'Données projet'!$E$11+1,1))-AVERAGE(OFFSET($H$3,0,0,'Données projet'!$E$11+1,1))</f>
        <v>267.00333505765792</v>
      </c>
      <c r="BJ51" s="62">
        <f t="shared" si="38"/>
        <v>172.25613380618557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1.6385275664684591</v>
      </c>
      <c r="BR51" s="23">
        <f>EXP(-LN(2)/2)*BR50+(1-EXP(-LN(2)/2))/(LN(2)/2)*BL51*BO51*VLOOKUP('Données projet'!$B$11,Paramètres!$A$1:$I$89,3,0)*0.475*44/12</f>
        <v>2.4510617850241879E-2</v>
      </c>
      <c r="BS51" s="24">
        <f t="shared" si="9"/>
        <v>1.663038184318701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8.4</v>
      </c>
      <c r="BY51" s="13">
        <f>IF('Données projet'!$A$114&gt;35,BY50+BX51-CG50,IF(A51&lt;'Données projet'!$A$114,$BV$205^A51,IF(A51='Données projet'!$A$114,'Données projet'!$B$114,BY50+BX51-CG50)))</f>
        <v>162.20000000000005</v>
      </c>
      <c r="BZ51" s="14">
        <f>BY51*VLOOKUP('Données projet'!$B$12,Paramètres!$A$1:$I$89,3,0)*VLOOKUP('Données projet'!$B$12,Paramètres!$A$1:$I$89,5,0)</f>
        <v>164.47080000000005</v>
      </c>
      <c r="CA51" s="14">
        <f t="shared" si="39"/>
        <v>41.849293714451377</v>
      </c>
      <c r="CB51" s="22">
        <f t="shared" si="10"/>
        <v>359.34082988600289</v>
      </c>
      <c r="CC51" s="62">
        <f t="shared" si="11"/>
        <v>652.67416321933615</v>
      </c>
      <c r="CD51" s="62">
        <f ca="1">AVERAGE(OFFSET($CC$3,0,0,'Données projet'!$E$12+1,1))-AVERAGE(OFFSET($H$3,0,0,'Données projet'!$E$12+1,1))</f>
        <v>308.72872453744998</v>
      </c>
      <c r="CE51" s="62">
        <f t="shared" si="40"/>
        <v>195.3674411454258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1.836280893456032</v>
      </c>
      <c r="CM51" s="23">
        <f>EXP(-LN(2)/2)*CM50+(1-EXP(-LN(2)/2))/(LN(2)/2)*CG51*CJ51*VLOOKUP('Données projet'!$B$12,Paramètres!$A$1:$I$89,3,0)*0.475*44/12</f>
        <v>2.7468795866650384E-2</v>
      </c>
      <c r="CN51" s="24">
        <f t="shared" si="12"/>
        <v>1.8637496893226824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160.24926890971085</v>
      </c>
      <c r="T52" s="62">
        <f t="shared" si="34"/>
        <v>323.52368436151721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40.462985494947773</v>
      </c>
      <c r="AA52" s="23">
        <f>EXP(-LN(2)/25)*AA51+(1-EXP(-LN(2)/25))/(LN(2)/25)*Calculateur!V52*Calculateur!X52*VLOOKUP('Données projet'!$B$9,Paramètres!$A$1:$I$89,3,0)*0.475*44/12</f>
        <v>30.496784504392586</v>
      </c>
      <c r="AB52" s="23">
        <f>EXP(-LN(2)/2)*AB51+(1-EXP(-LN(2)/2))/(LN(2)/2)*V52*Y52*VLOOKUP('Données projet'!$B$9,Paramètres!$A$1:$I$89,3,0)*0.475*44/12</f>
        <v>0.24624104322115029</v>
      </c>
      <c r="AC52" s="24">
        <f t="shared" si="3"/>
        <v>71.206011042561499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8.4</v>
      </c>
      <c r="AI52" s="14">
        <f>IF('Données projet'!$A$62&gt;35,AI51+AH52-AQ51,IF(A52&lt;'Données projet'!$A$62,$AF$205^A52,IF(A52='Données projet'!$A$62,'Données projet'!$B$62,AI51+AH52-AQ51)))</f>
        <v>170.60000000000005</v>
      </c>
      <c r="AJ52" s="14">
        <f>AI52*VLOOKUP('Données projet'!$B$10,Paramètres!$A$1:$I$89,3,0)*VLOOKUP('Données projet'!$B$10,Paramètres!$A$1:$I$89,5,0)</f>
        <v>178.31112000000007</v>
      </c>
      <c r="AK52" s="14">
        <f t="shared" si="35"/>
        <v>44.946235578984847</v>
      </c>
      <c r="AL52" s="22">
        <f t="shared" si="4"/>
        <v>388.8398943000654</v>
      </c>
      <c r="AM52" s="62">
        <f t="shared" si="5"/>
        <v>682.17322763339871</v>
      </c>
      <c r="AN52" s="62">
        <f ca="1">AVERAGE(OFFSET($AM$3,0,0,'Données projet'!$E$10+1,1))-AVERAGE(OFFSET($H$3,0,0,'Données projet'!$E$10+1,1))</f>
        <v>320.63267332485663</v>
      </c>
      <c r="AO52" s="62">
        <f t="shared" si="36"/>
        <v>201.96012789473809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1.8410236249620044</v>
      </c>
      <c r="AW52" s="23">
        <f>EXP(-LN(2)/2)*AW51+(1-EXP(-LN(2)/2))/(LN(2)/2)*AQ52*AT52*VLOOKUP('Données projet'!$B$10,Paramètres!$A$1:$I$89,3,0)*0.475*44/12</f>
        <v>2.0021014038440216E-2</v>
      </c>
      <c r="AX52" s="23">
        <f t="shared" si="6"/>
        <v>1.8610446390004447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154.35888000000003</v>
      </c>
      <c r="BF52" s="14">
        <f t="shared" si="37"/>
        <v>39.567499286120309</v>
      </c>
      <c r="BG52" s="22">
        <f t="shared" si="7"/>
        <v>337.75511058999291</v>
      </c>
      <c r="BH52" s="62">
        <f t="shared" si="8"/>
        <v>631.08844392332617</v>
      </c>
      <c r="BI52" s="62">
        <f ca="1">AVERAGE(OFFSET($BH$3,0,0,'Données projet'!$E$11+1,1))-AVERAGE(OFFSET($H$3,0,0,'Données projet'!$E$11+1,1))</f>
        <v>267.00333505765792</v>
      </c>
      <c r="BJ52" s="62">
        <f t="shared" si="38"/>
        <v>172.25613380618557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1.5937219439969592</v>
      </c>
      <c r="BR52" s="23">
        <f>EXP(-LN(2)/2)*BR51+(1-EXP(-LN(2)/2))/(LN(2)/2)*BL52*BO52*VLOOKUP('Données projet'!$B$11,Paramètres!$A$1:$I$89,3,0)*0.475*44/12</f>
        <v>1.733162409297807E-2</v>
      </c>
      <c r="BS52" s="24">
        <f t="shared" si="9"/>
        <v>1.6110535680899374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8.4</v>
      </c>
      <c r="BY52" s="13">
        <f>IF('Données projet'!$A$114&gt;35,BY51+BX52-CG51,IF(A52&lt;'Données projet'!$A$114,$BV$205^A52,IF(A52='Données projet'!$A$114,'Données projet'!$B$114,BY51+BX52-CG51)))</f>
        <v>170.60000000000005</v>
      </c>
      <c r="BZ52" s="14">
        <f>BY52*VLOOKUP('Données projet'!$B$12,Paramètres!$A$1:$I$89,3,0)*VLOOKUP('Données projet'!$B$12,Paramètres!$A$1:$I$89,5,0)</f>
        <v>172.98840000000007</v>
      </c>
      <c r="CA52" s="14">
        <f t="shared" si="39"/>
        <v>43.758645457754092</v>
      </c>
      <c r="CB52" s="22">
        <f t="shared" si="10"/>
        <v>377.50110417225511</v>
      </c>
      <c r="CC52" s="62">
        <f t="shared" si="11"/>
        <v>670.83443750558843</v>
      </c>
      <c r="CD52" s="62">
        <f ca="1">AVERAGE(OFFSET($CC$3,0,0,'Données projet'!$E$12+1,1))-AVERAGE(OFFSET($H$3,0,0,'Données projet'!$E$12+1,1))</f>
        <v>308.72872453744998</v>
      </c>
      <c r="CE52" s="62">
        <f t="shared" si="40"/>
        <v>195.3674411454258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1.7860676958586614</v>
      </c>
      <c r="CM52" s="23">
        <f>EXP(-LN(2)/2)*CM51+(1-EXP(-LN(2)/2))/(LN(2)/2)*CG52*CJ52*VLOOKUP('Données projet'!$B$12,Paramètres!$A$1:$I$89,3,0)*0.475*44/12</f>
        <v>1.9423371828337494E-2</v>
      </c>
      <c r="CN52" s="24">
        <f t="shared" si="12"/>
        <v>1.8054910676869989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160.24926890971085</v>
      </c>
      <c r="T53" s="62">
        <f t="shared" si="34"/>
        <v>323.52368436151721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39.669531029376053</v>
      </c>
      <c r="AA53" s="23">
        <f>EXP(-LN(2)/25)*AA52+(1-EXP(-LN(2)/25))/(LN(2)/25)*Calculateur!V53*Calculateur!X53*VLOOKUP('Données projet'!$B$9,Paramètres!$A$1:$I$89,3,0)*0.475*44/12</f>
        <v>29.662848328363776</v>
      </c>
      <c r="AB53" s="23">
        <f>EXP(-LN(2)/2)*AB52+(1-EXP(-LN(2)/2))/(LN(2)/2)*V53*Y53*VLOOKUP('Données projet'!$B$9,Paramètres!$A$1:$I$89,3,0)*0.475*44/12</f>
        <v>0.17411871146812513</v>
      </c>
      <c r="AC53" s="24">
        <f t="shared" si="3"/>
        <v>69.50649806920795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179</v>
      </c>
      <c r="AG53" s="13">
        <f>VLOOKUP(A53,'Données projet'!$A$61:$I$81,9,0)</f>
        <v>8.4</v>
      </c>
      <c r="AH53" s="13">
        <f t="array" ref="AH53">INDEX(AG:AG,MIN(IF(ISNUMBER(AG53:AG249),ROW(AG53:AG249),"")))</f>
        <v>8.4</v>
      </c>
      <c r="AI53" s="14">
        <f>IF('Données projet'!$A$62&gt;35,AI52+AH53-AQ52,IF(A53&lt;'Données projet'!$A$62,$AF$205^A53,IF(A53='Données projet'!$A$62,'Données projet'!$B$62,AI52+AH53-AQ52)))</f>
        <v>179.00000000000006</v>
      </c>
      <c r="AJ53" s="14">
        <f>AI53*VLOOKUP('Données projet'!$B$10,Paramètres!$A$1:$I$89,3,0)*VLOOKUP('Données projet'!$B$10,Paramètres!$A$1:$I$89,5,0)</f>
        <v>187.09080000000009</v>
      </c>
      <c r="AK53" s="14">
        <f t="shared" si="35"/>
        <v>46.896193582104758</v>
      </c>
      <c r="AL53" s="22">
        <f t="shared" si="4"/>
        <v>407.52734715549929</v>
      </c>
      <c r="AM53" s="62">
        <f t="shared" si="5"/>
        <v>700.8606804888326</v>
      </c>
      <c r="AN53" s="62">
        <f ca="1">AVERAGE(OFFSET($AM$3,0,0,'Données projet'!$E$10+1,1))-AVERAGE(OFFSET($H$3,0,0,'Données projet'!$E$10+1,1))</f>
        <v>320.63267332485663</v>
      </c>
      <c r="AO53" s="62">
        <f t="shared" si="36"/>
        <v>201.96012789473809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1.7906807371221938</v>
      </c>
      <c r="AW53" s="23">
        <f>EXP(-LN(2)/2)*AW52+(1-EXP(-LN(2)/2))/(LN(2)/2)*AQ53*AT53*VLOOKUP('Données projet'!$B$10,Paramètres!$A$1:$I$89,3,0)*0.475*44/12</f>
        <v>1.4156994792812143E-2</v>
      </c>
      <c r="AX53" s="23">
        <f t="shared" si="6"/>
        <v>1.804837731915006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161.95920000000004</v>
      </c>
      <c r="BF53" s="14">
        <f t="shared" si="37"/>
        <v>41.284104935125725</v>
      </c>
      <c r="BG53" s="22">
        <f t="shared" si="7"/>
        <v>353.9820894286774</v>
      </c>
      <c r="BH53" s="62">
        <f t="shared" si="8"/>
        <v>647.31542276201071</v>
      </c>
      <c r="BI53" s="62">
        <f ca="1">AVERAGE(OFFSET($BH$3,0,0,'Données projet'!$E$11+1,1))-AVERAGE(OFFSET($H$3,0,0,'Données projet'!$E$11+1,1))</f>
        <v>267.00333505765792</v>
      </c>
      <c r="BJ53" s="62">
        <f t="shared" si="38"/>
        <v>172.25613380618557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1.5501415336281679</v>
      </c>
      <c r="BR53" s="23">
        <f>EXP(-LN(2)/2)*BR52+(1-EXP(-LN(2)/2))/(LN(2)/2)*BL53*BO53*VLOOKUP('Données projet'!$B$11,Paramètres!$A$1:$I$89,3,0)*0.475*44/12</f>
        <v>1.2255308925120939E-2</v>
      </c>
      <c r="BS53" s="24">
        <f t="shared" si="9"/>
        <v>1.5623968425532888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179</v>
      </c>
      <c r="BW53" s="13">
        <f>VLOOKUP(A53,'Données projet'!$A$113:$I$133,9,0)</f>
        <v>8.4</v>
      </c>
      <c r="BX53" s="13">
        <f t="array" ref="BX53">INDEX(BW:BW,MIN(IF(ISNUMBER(BW53:BW249),ROW(BW53:BW249),"")))</f>
        <v>8.4</v>
      </c>
      <c r="BY53" s="13">
        <f>IF('Données projet'!$A$114&gt;35,BY52+BX53-CG52,IF(A53&lt;'Données projet'!$A$114,$BV$205^A53,IF(A53='Données projet'!$A$114,'Données projet'!$B$114,BY52+BX53-CG52)))</f>
        <v>179.00000000000006</v>
      </c>
      <c r="BZ53" s="14">
        <f>BY53*VLOOKUP('Données projet'!$B$12,Paramètres!$A$1:$I$89,3,0)*VLOOKUP('Données projet'!$B$12,Paramètres!$A$1:$I$89,5,0)</f>
        <v>181.50600000000006</v>
      </c>
      <c r="CA53" s="14">
        <f t="shared" si="39"/>
        <v>45.657080773122978</v>
      </c>
      <c r="CB53" s="22">
        <f t="shared" si="10"/>
        <v>395.64236567985591</v>
      </c>
      <c r="CC53" s="62">
        <f t="shared" si="11"/>
        <v>688.97569901318923</v>
      </c>
      <c r="CD53" s="62">
        <f ca="1">AVERAGE(OFFSET($CC$3,0,0,'Données projet'!$E$12+1,1))-AVERAGE(OFFSET($H$3,0,0,'Données projet'!$E$12+1,1))</f>
        <v>308.72872453744998</v>
      </c>
      <c r="CE53" s="62">
        <f t="shared" si="40"/>
        <v>195.3674411454258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21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1.7372275807901882</v>
      </c>
      <c r="CM53" s="23">
        <f>EXP(-LN(2)/2)*CM52+(1-EXP(-LN(2)/2))/(LN(2)/2)*CG53*CJ53*VLOOKUP('Données projet'!$B$12,Paramètres!$A$1:$I$89,3,0)*0.475*44/12</f>
        <v>1.3734397933325192E-2</v>
      </c>
      <c r="CN53" s="24">
        <f t="shared" si="12"/>
        <v>1.7509619787235133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160.24926890971085</v>
      </c>
      <c r="T54" s="62">
        <f t="shared" si="34"/>
        <v>323.52368436151721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38.89163572191476</v>
      </c>
      <c r="AA54" s="23">
        <f>EXP(-LN(2)/25)*AA53+(1-EXP(-LN(2)/25))/(LN(2)/25)*Calculateur!V54*Calculateur!X54*VLOOKUP('Données projet'!$B$9,Paramètres!$A$1:$I$89,3,0)*0.475*44/12</f>
        <v>28.851716180923269</v>
      </c>
      <c r="AB54" s="23">
        <f>EXP(-LN(2)/2)*AB53+(1-EXP(-LN(2)/2))/(LN(2)/2)*V54*Y54*VLOOKUP('Données projet'!$B$9,Paramètres!$A$1:$I$89,3,0)*0.475*44/12</f>
        <v>0.12312052161057517</v>
      </c>
      <c r="AC54" s="24">
        <f t="shared" si="3"/>
        <v>67.866472424448602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166.00000000000006</v>
      </c>
      <c r="AJ54" s="14">
        <f>AI54*VLOOKUP('Données projet'!$B$10,Paramètres!$A$1:$I$89,3,0)*VLOOKUP('Données projet'!$B$10,Paramètres!$A$1:$I$89,5,0)</f>
        <v>173.50320000000008</v>
      </c>
      <c r="AK54" s="14">
        <f t="shared" si="35"/>
        <v>43.873689992225962</v>
      </c>
      <c r="AL54" s="22">
        <f t="shared" si="4"/>
        <v>378.59808340312702</v>
      </c>
      <c r="AM54" s="62">
        <f t="shared" si="5"/>
        <v>671.93141673646028</v>
      </c>
      <c r="AN54" s="62">
        <f ca="1">AVERAGE(OFFSET($AM$3,0,0,'Données projet'!$E$10+1,1))-AVERAGE(OFFSET($H$3,0,0,'Données projet'!$E$10+1,1))</f>
        <v>320.63267332485663</v>
      </c>
      <c r="AO54" s="62">
        <f t="shared" si="36"/>
        <v>201.96012789473809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1.74171447819778</v>
      </c>
      <c r="AW54" s="23">
        <f>EXP(-LN(2)/2)*AW53+(1-EXP(-LN(2)/2))/(LN(2)/2)*AQ54*AT54*VLOOKUP('Données projet'!$B$10,Paramètres!$A$1:$I$89,3,0)*0.475*44/12</f>
        <v>1.001050701922011E-2</v>
      </c>
      <c r="AX54" s="23">
        <f t="shared" si="6"/>
        <v>1.751724985217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150.19680000000005</v>
      </c>
      <c r="BF54" s="14">
        <f t="shared" si="37"/>
        <v>38.623305713694506</v>
      </c>
      <c r="BG54" s="22">
        <f t="shared" si="7"/>
        <v>328.86168411801799</v>
      </c>
      <c r="BH54" s="62">
        <f t="shared" si="8"/>
        <v>622.1950174513513</v>
      </c>
      <c r="BI54" s="62">
        <f ca="1">AVERAGE(OFFSET($BH$3,0,0,'Données projet'!$E$11+1,1))-AVERAGE(OFFSET($H$3,0,0,'Données projet'!$E$11+1,1))</f>
        <v>267.00333505765792</v>
      </c>
      <c r="BJ54" s="62">
        <f t="shared" si="38"/>
        <v>172.25613380618557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1.5077528318727054</v>
      </c>
      <c r="BR54" s="23">
        <f>EXP(-LN(2)/2)*BR53+(1-EXP(-LN(2)/2))/(LN(2)/2)*BL54*BO54*VLOOKUP('Données projet'!$B$11,Paramètres!$A$1:$I$89,3,0)*0.475*44/12</f>
        <v>8.665812046489035E-3</v>
      </c>
      <c r="BS54" s="24">
        <f t="shared" si="9"/>
        <v>1.5164186439191945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166.00000000000006</v>
      </c>
      <c r="BZ54" s="14">
        <f>BY54*VLOOKUP('Données projet'!$B$12,Paramètres!$A$1:$I$89,3,0)*VLOOKUP('Données projet'!$B$12,Paramètres!$A$1:$I$89,5,0)</f>
        <v>168.32400000000007</v>
      </c>
      <c r="CA54" s="14">
        <f t="shared" si="39"/>
        <v>42.71443916408608</v>
      </c>
      <c r="CB54" s="22">
        <f t="shared" si="10"/>
        <v>367.55861487745005</v>
      </c>
      <c r="CC54" s="62">
        <f t="shared" si="11"/>
        <v>660.89194821078331</v>
      </c>
      <c r="CD54" s="62">
        <f ca="1">AVERAGE(OFFSET($CC$3,0,0,'Données projet'!$E$12+1,1))-AVERAGE(OFFSET($H$3,0,0,'Données projet'!$E$12+1,1))</f>
        <v>308.72872453744998</v>
      </c>
      <c r="CE54" s="62">
        <f t="shared" si="40"/>
        <v>195.3674411454258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1.6897230012366526</v>
      </c>
      <c r="CM54" s="23">
        <f>EXP(-LN(2)/2)*CM53+(1-EXP(-LN(2)/2))/(LN(2)/2)*CG54*CJ54*VLOOKUP('Données projet'!$B$12,Paramètres!$A$1:$I$89,3,0)*0.475*44/12</f>
        <v>9.7116859141687471E-3</v>
      </c>
      <c r="CN54" s="24">
        <f t="shared" si="12"/>
        <v>1.6994346871508215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160.24926890971085</v>
      </c>
      <c r="T55" s="62">
        <f t="shared" si="34"/>
        <v>323.52368436151721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38.128994466963491</v>
      </c>
      <c r="AA55" s="23">
        <f>EXP(-LN(2)/25)*AA54+(1-EXP(-LN(2)/25))/(LN(2)/25)*Calculateur!V55*Calculateur!X55*VLOOKUP('Données projet'!$B$9,Paramètres!$A$1:$I$89,3,0)*0.475*44/12</f>
        <v>28.062764484710108</v>
      </c>
      <c r="AB55" s="23">
        <f>EXP(-LN(2)/2)*AB54+(1-EXP(-LN(2)/2))/(LN(2)/2)*V55*Y55*VLOOKUP('Données projet'!$B$9,Paramètres!$A$1:$I$89,3,0)*0.475*44/12</f>
        <v>8.705935573406258E-2</v>
      </c>
      <c r="AC55" s="24">
        <f t="shared" si="3"/>
        <v>66.278818307407647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174.00000000000006</v>
      </c>
      <c r="AJ55" s="14">
        <f>AI55*VLOOKUP('Données projet'!$B$10,Paramètres!$A$1:$I$89,3,0)*VLOOKUP('Données projet'!$B$10,Paramètres!$A$1:$I$89,5,0)</f>
        <v>181.86480000000006</v>
      </c>
      <c r="AK55" s="14">
        <f t="shared" si="35"/>
        <v>45.73682061391029</v>
      </c>
      <c r="AL55" s="22">
        <f t="shared" si="4"/>
        <v>396.40615590256056</v>
      </c>
      <c r="AM55" s="62">
        <f t="shared" si="5"/>
        <v>689.73948923589387</v>
      </c>
      <c r="AN55" s="62">
        <f ca="1">AVERAGE(OFFSET($AM$3,0,0,'Données projet'!$E$10+1,1))-AVERAGE(OFFSET($H$3,0,0,'Données projet'!$E$10+1,1))</f>
        <v>320.63267332485663</v>
      </c>
      <c r="AO55" s="62">
        <f t="shared" si="36"/>
        <v>201.96012789473809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1.6940872041986781</v>
      </c>
      <c r="AW55" s="23">
        <f>EXP(-LN(2)/2)*AW54+(1-EXP(-LN(2)/2))/(LN(2)/2)*AQ55*AT55*VLOOKUP('Données projet'!$B$10,Paramètres!$A$1:$I$89,3,0)*0.475*44/12</f>
        <v>7.0784973964060725E-3</v>
      </c>
      <c r="AX55" s="23">
        <f t="shared" si="6"/>
        <v>1.7011657015950841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157.43520000000007</v>
      </c>
      <c r="BF55" s="14">
        <f t="shared" si="37"/>
        <v>40.263474653179919</v>
      </c>
      <c r="BG55" s="22">
        <f t="shared" si="7"/>
        <v>344.32519168762178</v>
      </c>
      <c r="BH55" s="62">
        <f t="shared" si="8"/>
        <v>637.65852502095504</v>
      </c>
      <c r="BI55" s="62">
        <f ca="1">AVERAGE(OFFSET($BH$3,0,0,'Données projet'!$E$11+1,1))-AVERAGE(OFFSET($H$3,0,0,'Données projet'!$E$11+1,1))</f>
        <v>267.00333505765792</v>
      </c>
      <c r="BJ55" s="62">
        <f t="shared" si="38"/>
        <v>172.25613380618557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1.4665232513958708</v>
      </c>
      <c r="BR55" s="23">
        <f>EXP(-LN(2)/2)*BR54+(1-EXP(-LN(2)/2))/(LN(2)/2)*BL55*BO55*VLOOKUP('Données projet'!$B$11,Paramètres!$A$1:$I$89,3,0)*0.475*44/12</f>
        <v>6.1276544625604697E-3</v>
      </c>
      <c r="BS55" s="24">
        <f t="shared" si="9"/>
        <v>1.4726509058584312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174.00000000000006</v>
      </c>
      <c r="BZ55" s="14">
        <f>BY55*VLOOKUP('Données projet'!$B$12,Paramètres!$A$1:$I$89,3,0)*VLOOKUP('Données projet'!$B$12,Paramètres!$A$1:$I$89,5,0)</f>
        <v>176.43600000000006</v>
      </c>
      <c r="CA55" s="14">
        <f t="shared" si="39"/>
        <v>44.528341291050616</v>
      </c>
      <c r="CB55" s="22">
        <f t="shared" si="10"/>
        <v>384.84622774857991</v>
      </c>
      <c r="CC55" s="62">
        <f t="shared" si="11"/>
        <v>678.17956108191322</v>
      </c>
      <c r="CD55" s="62">
        <f ca="1">AVERAGE(OFFSET($CC$3,0,0,'Données projet'!$E$12+1,1))-AVERAGE(OFFSET($H$3,0,0,'Données projet'!$E$12+1,1))</f>
        <v>308.72872453744998</v>
      </c>
      <c r="CE55" s="62">
        <f t="shared" si="40"/>
        <v>195.3674411454258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1.6435174369091656</v>
      </c>
      <c r="CM55" s="23">
        <f>EXP(-LN(2)/2)*CM54+(1-EXP(-LN(2)/2))/(LN(2)/2)*CG55*CJ55*VLOOKUP('Données projet'!$B$12,Paramètres!$A$1:$I$89,3,0)*0.475*44/12</f>
        <v>6.867198966662596E-3</v>
      </c>
      <c r="CN55" s="24">
        <f t="shared" si="12"/>
        <v>1.6503846358758283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160.24926890971085</v>
      </c>
      <c r="T56" s="62">
        <f t="shared" si="34"/>
        <v>323.52368436151721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37.381308141856586</v>
      </c>
      <c r="AA56" s="23">
        <f>EXP(-LN(2)/25)*AA55+(1-EXP(-LN(2)/25))/(LN(2)/25)*Calculateur!V56*Calculateur!X56*VLOOKUP('Données projet'!$B$9,Paramètres!$A$1:$I$89,3,0)*0.475*44/12</f>
        <v>27.295386714119065</v>
      </c>
      <c r="AB56" s="23">
        <f>EXP(-LN(2)/2)*AB55+(1-EXP(-LN(2)/2))/(LN(2)/2)*V56*Y56*VLOOKUP('Données projet'!$B$9,Paramètres!$A$1:$I$89,3,0)*0.475*44/12</f>
        <v>6.1560260805287592E-2</v>
      </c>
      <c r="AC56" s="24">
        <f t="shared" si="3"/>
        <v>64.738255116780948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182.00000000000006</v>
      </c>
      <c r="AJ56" s="14">
        <f>AI56*VLOOKUP('Données projet'!$B$10,Paramètres!$A$1:$I$89,3,0)*VLOOKUP('Données projet'!$B$10,Paramètres!$A$1:$I$89,5,0)</f>
        <v>190.22640000000007</v>
      </c>
      <c r="AK56" s="14">
        <f t="shared" si="35"/>
        <v>47.590003207063162</v>
      </c>
      <c r="AL56" s="22">
        <f t="shared" si="4"/>
        <v>414.19690225230175</v>
      </c>
      <c r="AM56" s="62">
        <f t="shared" si="5"/>
        <v>707.53023558563507</v>
      </c>
      <c r="AN56" s="62">
        <f ca="1">AVERAGE(OFFSET($AM$3,0,0,'Données projet'!$E$10+1,1))-AVERAGE(OFFSET($H$3,0,0,'Données projet'!$E$10+1,1))</f>
        <v>320.63267332485663</v>
      </c>
      <c r="AO56" s="62">
        <f t="shared" si="36"/>
        <v>201.96012789473809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1.647762300511691</v>
      </c>
      <c r="AW56" s="23">
        <f>EXP(-LN(2)/2)*AW55+(1-EXP(-LN(2)/2))/(LN(2)/2)*AQ56*AT56*VLOOKUP('Données projet'!$B$10,Paramètres!$A$1:$I$89,3,0)*0.475*44/12</f>
        <v>5.005253509610055E-3</v>
      </c>
      <c r="AX56" s="23">
        <f t="shared" si="6"/>
        <v>1.6527675540213012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164.67360000000005</v>
      </c>
      <c r="BF56" s="14">
        <f t="shared" si="37"/>
        <v>41.894886049197019</v>
      </c>
      <c r="BG56" s="22">
        <f t="shared" si="7"/>
        <v>359.77344653568485</v>
      </c>
      <c r="BH56" s="62">
        <f t="shared" si="8"/>
        <v>653.10677986901817</v>
      </c>
      <c r="BI56" s="62">
        <f ca="1">AVERAGE(OFFSET($BH$3,0,0,'Données projet'!$E$11+1,1))-AVERAGE(OFFSET($H$3,0,0,'Données projet'!$E$11+1,1))</f>
        <v>267.00333505765792</v>
      </c>
      <c r="BJ56" s="62">
        <f t="shared" si="38"/>
        <v>172.25613380618557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1.4264210959653447</v>
      </c>
      <c r="BR56" s="23">
        <f>EXP(-LN(2)/2)*BR55+(1-EXP(-LN(2)/2))/(LN(2)/2)*BL56*BO56*VLOOKUP('Données projet'!$B$11,Paramètres!$A$1:$I$89,3,0)*0.475*44/12</f>
        <v>4.3329060232445175E-3</v>
      </c>
      <c r="BS56" s="24">
        <f t="shared" si="9"/>
        <v>1.4307540019885892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182.00000000000006</v>
      </c>
      <c r="BZ56" s="14">
        <f>BY56*VLOOKUP('Données projet'!$B$12,Paramètres!$A$1:$I$89,3,0)*VLOOKUP('Données projet'!$B$12,Paramètres!$A$1:$I$89,5,0)</f>
        <v>184.54800000000006</v>
      </c>
      <c r="CA56" s="14">
        <f t="shared" si="39"/>
        <v>46.332558240871698</v>
      </c>
      <c r="CB56" s="22">
        <f t="shared" si="10"/>
        <v>402.11697226951833</v>
      </c>
      <c r="CC56" s="62">
        <f t="shared" si="11"/>
        <v>695.45030560285159</v>
      </c>
      <c r="CD56" s="62">
        <f ca="1">AVERAGE(OFFSET($CC$3,0,0,'Données projet'!$E$12+1,1))-AVERAGE(OFFSET($H$3,0,0,'Données projet'!$E$12+1,1))</f>
        <v>308.72872453744998</v>
      </c>
      <c r="CE56" s="62">
        <f t="shared" si="40"/>
        <v>195.3674411454258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1.5985753661680588</v>
      </c>
      <c r="CM56" s="23">
        <f>EXP(-LN(2)/2)*CM55+(1-EXP(-LN(2)/2))/(LN(2)/2)*CG56*CJ56*VLOOKUP('Données projet'!$B$12,Paramètres!$A$1:$I$89,3,0)*0.475*44/12</f>
        <v>4.8558429570843735E-3</v>
      </c>
      <c r="CN56" s="24">
        <f t="shared" si="12"/>
        <v>1.6034312091251433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160.24926890971085</v>
      </c>
      <c r="T57" s="62">
        <f t="shared" si="34"/>
        <v>323.52368436151721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36.648283489541399</v>
      </c>
      <c r="AA57" s="23">
        <f>EXP(-LN(2)/25)*AA56+(1-EXP(-LN(2)/25))/(LN(2)/25)*Calculateur!V57*Calculateur!X57*VLOOKUP('Données projet'!$B$9,Paramètres!$A$1:$I$89,3,0)*0.475*44/12</f>
        <v>26.548992929019477</v>
      </c>
      <c r="AB57" s="23">
        <f>EXP(-LN(2)/2)*AB56+(1-EXP(-LN(2)/2))/(LN(2)/2)*V57*Y57*VLOOKUP('Données projet'!$B$9,Paramètres!$A$1:$I$89,3,0)*0.475*44/12</f>
        <v>4.3529677867031297E-2</v>
      </c>
      <c r="AC57" s="24">
        <f t="shared" si="3"/>
        <v>63.240806096427903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190.00000000000006</v>
      </c>
      <c r="AJ57" s="14">
        <f>AI57*VLOOKUP('Données projet'!$B$10,Paramètres!$A$1:$I$89,3,0)*VLOOKUP('Données projet'!$B$10,Paramètres!$A$1:$I$89,5,0)</f>
        <v>198.58800000000008</v>
      </c>
      <c r="AK57" s="14">
        <f t="shared" si="35"/>
        <v>49.433725020229176</v>
      </c>
      <c r="AL57" s="22">
        <f t="shared" si="4"/>
        <v>431.97117107689928</v>
      </c>
      <c r="AM57" s="62">
        <f t="shared" si="5"/>
        <v>725.30450441023254</v>
      </c>
      <c r="AN57" s="62">
        <f ca="1">AVERAGE(OFFSET($AM$3,0,0,'Données projet'!$E$10+1,1))-AVERAGE(OFFSET($H$3,0,0,'Données projet'!$E$10+1,1))</f>
        <v>320.63267332485663</v>
      </c>
      <c r="AO57" s="62">
        <f t="shared" si="36"/>
        <v>201.96012789473809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1.6027041537521454</v>
      </c>
      <c r="AW57" s="23">
        <f>EXP(-LN(2)/2)*AW56+(1-EXP(-LN(2)/2))/(LN(2)/2)*AQ57*AT57*VLOOKUP('Données projet'!$B$10,Paramètres!$A$1:$I$89,3,0)*0.475*44/12</f>
        <v>3.5392486982030362E-3</v>
      </c>
      <c r="AX57" s="23">
        <f t="shared" si="6"/>
        <v>1.6062434024503485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171.91200000000006</v>
      </c>
      <c r="BF57" s="14">
        <f t="shared" si="37"/>
        <v>43.51796884103733</v>
      </c>
      <c r="BG57" s="22">
        <f t="shared" si="7"/>
        <v>375.2071957314734</v>
      </c>
      <c r="BH57" s="62">
        <f t="shared" si="8"/>
        <v>668.54052906480672</v>
      </c>
      <c r="BI57" s="62">
        <f ca="1">AVERAGE(OFFSET($BH$3,0,0,'Données projet'!$E$11+1,1))-AVERAGE(OFFSET($H$3,0,0,'Données projet'!$E$11+1,1))</f>
        <v>267.00333505765792</v>
      </c>
      <c r="BJ57" s="62">
        <f t="shared" si="38"/>
        <v>172.25613380618557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1.3874155360839471</v>
      </c>
      <c r="BR57" s="23">
        <f>EXP(-LN(2)/2)*BR56+(1-EXP(-LN(2)/2))/(LN(2)/2)*BL57*BO57*VLOOKUP('Données projet'!$B$11,Paramètres!$A$1:$I$89,3,0)*0.475*44/12</f>
        <v>3.0638272312802349E-3</v>
      </c>
      <c r="BS57" s="24">
        <f t="shared" si="9"/>
        <v>1.3904793633152273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190.00000000000006</v>
      </c>
      <c r="BZ57" s="14">
        <f>BY57*VLOOKUP('Données projet'!$B$12,Paramètres!$A$1:$I$89,3,0)*VLOOKUP('Données projet'!$B$12,Paramètres!$A$1:$I$89,5,0)</f>
        <v>192.66000000000008</v>
      </c>
      <c r="CA57" s="14">
        <f t="shared" si="39"/>
        <v>48.127564387788738</v>
      </c>
      <c r="CB57" s="22">
        <f t="shared" si="10"/>
        <v>419.3716746420655</v>
      </c>
      <c r="CC57" s="62">
        <f t="shared" si="11"/>
        <v>712.70500797539876</v>
      </c>
      <c r="CD57" s="62">
        <f ca="1">AVERAGE(OFFSET($CC$3,0,0,'Données projet'!$E$12+1,1))-AVERAGE(OFFSET($H$3,0,0,'Données projet'!$E$12+1,1))</f>
        <v>308.72872453744998</v>
      </c>
      <c r="CE57" s="62">
        <f t="shared" si="40"/>
        <v>195.3674411454258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1.5548622387147684</v>
      </c>
      <c r="CM57" s="23">
        <f>EXP(-LN(2)/2)*CM56+(1-EXP(-LN(2)/2))/(LN(2)/2)*CG57*CJ57*VLOOKUP('Données projet'!$B$12,Paramètres!$A$1:$I$89,3,0)*0.475*44/12</f>
        <v>3.433599483331298E-3</v>
      </c>
      <c r="CN57" s="24">
        <f t="shared" si="12"/>
        <v>1.5582958381980996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160.24926890971085</v>
      </c>
      <c r="T58" s="62">
        <f t="shared" si="34"/>
        <v>323.52368436151721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35.929633003557221</v>
      </c>
      <c r="AA58" s="23">
        <f>EXP(-LN(2)/25)*AA57+(1-EXP(-LN(2)/25))/(LN(2)/25)*Calculateur!V58*Calculateur!X58*VLOOKUP('Données projet'!$B$9,Paramètres!$A$1:$I$89,3,0)*0.475*44/12</f>
        <v>25.823009321224578</v>
      </c>
      <c r="AB58" s="23">
        <f>EXP(-LN(2)/2)*AB57+(1-EXP(-LN(2)/2))/(LN(2)/2)*V58*Y58*VLOOKUP('Données projet'!$B$9,Paramètres!$A$1:$I$89,3,0)*0.475*44/12</f>
        <v>3.0780130402643803E-2</v>
      </c>
      <c r="AC58" s="24">
        <f t="shared" si="3"/>
        <v>61.78342245518445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198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198.00000000000006</v>
      </c>
      <c r="AJ58" s="14">
        <f>AI58*VLOOKUP('Données projet'!$B$10,Paramètres!$A$1:$I$89,3,0)*VLOOKUP('Données projet'!$B$10,Paramètres!$A$1:$I$89,5,0)</f>
        <v>206.94960000000009</v>
      </c>
      <c r="AK58" s="14">
        <f t="shared" si="35"/>
        <v>51.268429949375587</v>
      </c>
      <c r="AL58" s="22">
        <f t="shared" si="4"/>
        <v>449.72973549516269</v>
      </c>
      <c r="AM58" s="62">
        <f t="shared" si="5"/>
        <v>743.06306882849594</v>
      </c>
      <c r="AN58" s="62">
        <f ca="1">AVERAGE(OFFSET($AM$3,0,0,'Données projet'!$E$10+1,1))-AVERAGE(OFFSET($H$3,0,0,'Données projet'!$E$10+1,1))</f>
        <v>320.63267332485663</v>
      </c>
      <c r="AO58" s="62">
        <f t="shared" si="36"/>
        <v>201.96012789473809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1.5588781243852445</v>
      </c>
      <c r="AW58" s="23">
        <f>EXP(-LN(2)/2)*AW57+(1-EXP(-LN(2)/2))/(LN(2)/2)*AQ58*AT58*VLOOKUP('Données projet'!$B$10,Paramètres!$A$1:$I$89,3,0)*0.475*44/12</f>
        <v>2.5026267548050275E-3</v>
      </c>
      <c r="AX58" s="23">
        <f t="shared" si="6"/>
        <v>1.5613807511400495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179.15040000000005</v>
      </c>
      <c r="BF58" s="14">
        <f t="shared" si="37"/>
        <v>45.133113803437347</v>
      </c>
      <c r="BG58" s="22">
        <f t="shared" si="7"/>
        <v>390.62711987432004</v>
      </c>
      <c r="BH58" s="62">
        <f t="shared" si="8"/>
        <v>683.96045320765336</v>
      </c>
      <c r="BI58" s="62">
        <f ca="1">AVERAGE(OFFSET($BH$3,0,0,'Données projet'!$E$11+1,1))-AVERAGE(OFFSET($H$3,0,0,'Données projet'!$E$11+1,1))</f>
        <v>267.00333505765792</v>
      </c>
      <c r="BJ58" s="62">
        <f t="shared" si="38"/>
        <v>172.25613380618557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1.3494765852887194</v>
      </c>
      <c r="BR58" s="23">
        <f>EXP(-LN(2)/2)*BR57+(1-EXP(-LN(2)/2))/(LN(2)/2)*BL58*BO58*VLOOKUP('Données projet'!$B$11,Paramètres!$A$1:$I$89,3,0)*0.475*44/12</f>
        <v>2.1664530116222588E-3</v>
      </c>
      <c r="BS58" s="24">
        <f t="shared" si="9"/>
        <v>1.3516430383003417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198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198.00000000000006</v>
      </c>
      <c r="BZ58" s="14">
        <f>BY58*VLOOKUP('Données projet'!$B$12,Paramètres!$A$1:$I$89,3,0)*VLOOKUP('Données projet'!$B$12,Paramètres!$A$1:$I$89,5,0)</f>
        <v>200.77200000000008</v>
      </c>
      <c r="CA58" s="14">
        <f t="shared" si="39"/>
        <v>49.913791898945412</v>
      </c>
      <c r="CB58" s="22">
        <f t="shared" si="10"/>
        <v>436.61108755732999</v>
      </c>
      <c r="CC58" s="62">
        <f t="shared" si="11"/>
        <v>729.94442089066331</v>
      </c>
      <c r="CD58" s="62">
        <f ca="1">AVERAGE(OFFSET($CC$3,0,0,'Données projet'!$E$12+1,1))-AVERAGE(OFFSET($H$3,0,0,'Données projet'!$E$12+1,1))</f>
        <v>308.72872453744998</v>
      </c>
      <c r="CE58" s="62">
        <f t="shared" si="40"/>
        <v>195.3674411454258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21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1.5123444490304616</v>
      </c>
      <c r="CM58" s="23">
        <f>EXP(-LN(2)/2)*CM57+(1-EXP(-LN(2)/2))/(LN(2)/2)*CG58*CJ58*VLOOKUP('Données projet'!$B$12,Paramètres!$A$1:$I$89,3,0)*0.475*44/12</f>
        <v>2.4279214785421868E-3</v>
      </c>
      <c r="CN58" s="24">
        <f t="shared" si="12"/>
        <v>1.5147723705090037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160.24926890971085</v>
      </c>
      <c r="T59" s="62">
        <f t="shared" si="34"/>
        <v>323.52368436151721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35.225074815269679</v>
      </c>
      <c r="AA59" s="23">
        <f>EXP(-LN(2)/25)*AA58+(1-EXP(-LN(2)/25))/(LN(2)/25)*Calculateur!V59*Calculateur!X59*VLOOKUP('Données projet'!$B$9,Paramètres!$A$1:$I$89,3,0)*0.475*44/12</f>
        <v>25.116877773362653</v>
      </c>
      <c r="AB59" s="23">
        <f>EXP(-LN(2)/2)*AB58+(1-EXP(-LN(2)/2))/(LN(2)/2)*V59*Y59*VLOOKUP('Données projet'!$B$9,Paramètres!$A$1:$I$89,3,0)*0.475*44/12</f>
        <v>2.1764838933515652E-2</v>
      </c>
      <c r="AC59" s="24">
        <f t="shared" si="3"/>
        <v>60.363717427565845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184.60000000000005</v>
      </c>
      <c r="AJ59" s="14">
        <f>AI59*VLOOKUP('Données projet'!$B$10,Paramètres!$A$1:$I$89,3,0)*VLOOKUP('Données projet'!$B$10,Paramètres!$A$1:$I$89,5,0)</f>
        <v>192.94392000000008</v>
      </c>
      <c r="AK59" s="14">
        <f t="shared" si="35"/>
        <v>48.190228197013468</v>
      </c>
      <c r="AL59" s="22">
        <f t="shared" si="4"/>
        <v>419.97530810979856</v>
      </c>
      <c r="AM59" s="62">
        <f t="shared" si="5"/>
        <v>713.30864144313182</v>
      </c>
      <c r="AN59" s="62">
        <f ca="1">AVERAGE(OFFSET($AM$3,0,0,'Données projet'!$E$10+1,1))-AVERAGE(OFFSET($H$3,0,0,'Données projet'!$E$10+1,1))</f>
        <v>320.63267332485663</v>
      </c>
      <c r="AO59" s="62">
        <f t="shared" si="36"/>
        <v>201.96012789473809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1.5162505200960923</v>
      </c>
      <c r="AW59" s="23">
        <f>EXP(-LN(2)/2)*AW58+(1-EXP(-LN(2)/2))/(LN(2)/2)*AQ59*AT59*VLOOKUP('Données projet'!$B$10,Paramètres!$A$1:$I$89,3,0)*0.475*44/12</f>
        <v>1.7696243491015181E-3</v>
      </c>
      <c r="AX59" s="23">
        <f t="shared" si="6"/>
        <v>1.5180201444451937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184.60000000000005</v>
      </c>
      <c r="BE59" s="14">
        <f>BD59*VLOOKUP('Données projet'!$B$11,Paramètres!$A$1:$I$89,3,0)*VLOOKUP('Données projet'!$B$11,Paramètres!$A$1:$I$89,5,0)</f>
        <v>167.02608000000004</v>
      </c>
      <c r="BF59" s="14">
        <f t="shared" si="37"/>
        <v>42.423281843759995</v>
      </c>
      <c r="BG59" s="22">
        <f t="shared" si="7"/>
        <v>364.79097187788199</v>
      </c>
      <c r="BH59" s="62">
        <f t="shared" si="8"/>
        <v>658.1243052112153</v>
      </c>
      <c r="BI59" s="62">
        <f ca="1">AVERAGE(OFFSET($BH$3,0,0,'Données projet'!$E$11+1,1))-AVERAGE(OFFSET($H$3,0,0,'Données projet'!$E$11+1,1))</f>
        <v>267.00333505765792</v>
      </c>
      <c r="BJ59" s="62">
        <f t="shared" si="38"/>
        <v>172.25613380618557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1.3125750770981099</v>
      </c>
      <c r="BR59" s="23">
        <f>EXP(-LN(2)/2)*BR58+(1-EXP(-LN(2)/2))/(LN(2)/2)*BL59*BO59*VLOOKUP('Données projet'!$B$11,Paramètres!$A$1:$I$89,3,0)*0.475*44/12</f>
        <v>1.5319136156401174E-3</v>
      </c>
      <c r="BS59" s="24">
        <f t="shared" si="9"/>
        <v>1.3141069907137501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184.60000000000005</v>
      </c>
      <c r="BZ59" s="14">
        <f>BY59*VLOOKUP('Données projet'!$B$12,Paramètres!$A$1:$I$89,3,0)*VLOOKUP('Données projet'!$B$12,Paramètres!$A$1:$I$89,5,0)</f>
        <v>187.18440000000007</v>
      </c>
      <c r="CA59" s="14">
        <f t="shared" si="39"/>
        <v>46.916923809907296</v>
      </c>
      <c r="CB59" s="22">
        <f t="shared" si="10"/>
        <v>407.72647230225533</v>
      </c>
      <c r="CC59" s="62">
        <f t="shared" si="11"/>
        <v>701.05980563558865</v>
      </c>
      <c r="CD59" s="62">
        <f ca="1">AVERAGE(OFFSET($CC$3,0,0,'Données projet'!$E$12+1,1))-AVERAGE(OFFSET($H$3,0,0,'Données projet'!$E$12+1,1))</f>
        <v>308.72872453744998</v>
      </c>
      <c r="CE59" s="62">
        <f t="shared" si="40"/>
        <v>195.3674411454258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1.4709893105409855</v>
      </c>
      <c r="CM59" s="23">
        <f>EXP(-LN(2)/2)*CM58+(1-EXP(-LN(2)/2))/(LN(2)/2)*CG59*CJ59*VLOOKUP('Données projet'!$B$12,Paramètres!$A$1:$I$89,3,0)*0.475*44/12</f>
        <v>1.716799741665649E-3</v>
      </c>
      <c r="CN59" s="24">
        <f t="shared" si="12"/>
        <v>1.4727061102826511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160.24926890971085</v>
      </c>
      <c r="T60" s="62">
        <f t="shared" si="34"/>
        <v>323.52368436151721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34.534332583316392</v>
      </c>
      <c r="AA60" s="23">
        <f>EXP(-LN(2)/25)*AA59+(1-EXP(-LN(2)/25))/(LN(2)/25)*Calculateur!V60*Calculateur!X60*VLOOKUP('Données projet'!$B$9,Paramètres!$A$1:$I$89,3,0)*0.475*44/12</f>
        <v>24.430055429810853</v>
      </c>
      <c r="AB60" s="23">
        <f>EXP(-LN(2)/2)*AB59+(1-EXP(-LN(2)/2))/(LN(2)/2)*V60*Y60*VLOOKUP('Données projet'!$B$9,Paramètres!$A$1:$I$89,3,0)*0.475*44/12</f>
        <v>1.5390065201321903E-2</v>
      </c>
      <c r="AC60" s="24">
        <f t="shared" si="3"/>
        <v>58.979778078328572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192.20000000000005</v>
      </c>
      <c r="AJ60" s="14">
        <f>AI60*VLOOKUP('Données projet'!$B$10,Paramètres!$A$1:$I$89,3,0)*VLOOKUP('Données projet'!$B$10,Paramètres!$A$1:$I$89,5,0)</f>
        <v>200.88744000000005</v>
      </c>
      <c r="AK60" s="14">
        <f t="shared" si="35"/>
        <v>49.939149894054353</v>
      </c>
      <c r="AL60" s="22">
        <f t="shared" si="4"/>
        <v>436.85631073214472</v>
      </c>
      <c r="AM60" s="62">
        <f t="shared" si="5"/>
        <v>730.18964406547798</v>
      </c>
      <c r="AN60" s="62">
        <f ca="1">AVERAGE(OFFSET($AM$3,0,0,'Données projet'!$E$10+1,1))-AVERAGE(OFFSET($H$3,0,0,'Données projet'!$E$10+1,1))</f>
        <v>320.63267332485663</v>
      </c>
      <c r="AO60" s="62">
        <f t="shared" si="36"/>
        <v>201.96012789473809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1.4747885698879153</v>
      </c>
      <c r="AW60" s="23">
        <f>EXP(-LN(2)/2)*AW59+(1-EXP(-LN(2)/2))/(LN(2)/2)*AQ60*AT60*VLOOKUP('Données projet'!$B$10,Paramètres!$A$1:$I$89,3,0)*0.475*44/12</f>
        <v>1.2513133774025137E-3</v>
      </c>
      <c r="AX60" s="23">
        <f t="shared" si="6"/>
        <v>1.4760398832653179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192.20000000000005</v>
      </c>
      <c r="BE60" s="14">
        <f>BD60*VLOOKUP('Données projet'!$B$11,Paramètres!$A$1:$I$89,3,0)*VLOOKUP('Données projet'!$B$11,Paramètres!$A$1:$I$89,5,0)</f>
        <v>173.90256000000002</v>
      </c>
      <c r="BF60" s="14">
        <f t="shared" si="37"/>
        <v>43.962909292148517</v>
      </c>
      <c r="BG60" s="22">
        <f t="shared" si="7"/>
        <v>379.44902568382531</v>
      </c>
      <c r="BH60" s="62">
        <f t="shared" si="8"/>
        <v>672.78235901715857</v>
      </c>
      <c r="BI60" s="62">
        <f ca="1">AVERAGE(OFFSET($BH$3,0,0,'Données projet'!$E$11+1,1))-AVERAGE(OFFSET($H$3,0,0,'Données projet'!$E$11+1,1))</f>
        <v>267.00333505765792</v>
      </c>
      <c r="BJ60" s="62">
        <f t="shared" si="38"/>
        <v>172.25613380618557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1.2766826425895388</v>
      </c>
      <c r="BR60" s="23">
        <f>EXP(-LN(2)/2)*BR59+(1-EXP(-LN(2)/2))/(LN(2)/2)*BL60*BO60*VLOOKUP('Données projet'!$B$11,Paramètres!$A$1:$I$89,3,0)*0.475*44/12</f>
        <v>1.0832265058111294E-3</v>
      </c>
      <c r="BS60" s="24">
        <f t="shared" si="9"/>
        <v>1.2777658690953499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192.20000000000005</v>
      </c>
      <c r="BZ60" s="14">
        <f>BY60*VLOOKUP('Données projet'!$B$12,Paramètres!$A$1:$I$89,3,0)*VLOOKUP('Données projet'!$B$12,Paramètres!$A$1:$I$89,5,0)</f>
        <v>194.89080000000007</v>
      </c>
      <c r="CA60" s="14">
        <f t="shared" si="39"/>
        <v>48.619634692995497</v>
      </c>
      <c r="CB60" s="22">
        <f t="shared" si="10"/>
        <v>424.11400709030062</v>
      </c>
      <c r="CC60" s="62">
        <f t="shared" si="11"/>
        <v>717.44734042363393</v>
      </c>
      <c r="CD60" s="62">
        <f ca="1">AVERAGE(OFFSET($CC$3,0,0,'Données projet'!$E$12+1,1))-AVERAGE(OFFSET($H$3,0,0,'Données projet'!$E$12+1,1))</f>
        <v>308.72872453744998</v>
      </c>
      <c r="CE60" s="62">
        <f t="shared" si="40"/>
        <v>195.3674411454258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1.4307650304882764</v>
      </c>
      <c r="CM60" s="23">
        <f>EXP(-LN(2)/2)*CM59+(1-EXP(-LN(2)/2))/(LN(2)/2)*CG60*CJ60*VLOOKUP('Données projet'!$B$12,Paramètres!$A$1:$I$89,3,0)*0.475*44/12</f>
        <v>1.2139607392710934E-3</v>
      </c>
      <c r="CN60" s="24">
        <f t="shared" si="12"/>
        <v>1.4319789912275476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160.24926890971085</v>
      </c>
      <c r="T61" s="62">
        <f t="shared" si="34"/>
        <v>323.52368436151721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33.857135385220552</v>
      </c>
      <c r="AA61" s="23">
        <f>EXP(-LN(2)/25)*AA60+(1-EXP(-LN(2)/25))/(LN(2)/25)*Calculateur!V61*Calculateur!X61*VLOOKUP('Données projet'!$B$9,Paramètres!$A$1:$I$89,3,0)*0.475*44/12</f>
        <v>23.762014279361896</v>
      </c>
      <c r="AB61" s="23">
        <f>EXP(-LN(2)/2)*AB60+(1-EXP(-LN(2)/2))/(LN(2)/2)*V61*Y61*VLOOKUP('Données projet'!$B$9,Paramètres!$A$1:$I$89,3,0)*0.475*44/12</f>
        <v>1.0882419466757828E-2</v>
      </c>
      <c r="AC61" s="24">
        <f t="shared" si="3"/>
        <v>57.630032084049212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199.80000000000004</v>
      </c>
      <c r="AJ61" s="14">
        <f>AI61*VLOOKUP('Données projet'!$B$10,Paramètres!$A$1:$I$89,3,0)*VLOOKUP('Données projet'!$B$10,Paramètres!$A$1:$I$89,5,0)</f>
        <v>208.83096000000006</v>
      </c>
      <c r="AK61" s="14">
        <f t="shared" si="35"/>
        <v>51.680038105442279</v>
      </c>
      <c r="AL61" s="22">
        <f t="shared" si="4"/>
        <v>453.72332170031206</v>
      </c>
      <c r="AM61" s="62">
        <f t="shared" si="5"/>
        <v>747.05665503364537</v>
      </c>
      <c r="AN61" s="62">
        <f ca="1">AVERAGE(OFFSET($AM$3,0,0,'Données projet'!$E$10+1,1))-AVERAGE(OFFSET($H$3,0,0,'Données projet'!$E$10+1,1))</f>
        <v>320.63267332485663</v>
      </c>
      <c r="AO61" s="62">
        <f t="shared" si="36"/>
        <v>201.96012789473809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1.43446039888857</v>
      </c>
      <c r="AW61" s="23">
        <f>EXP(-LN(2)/2)*AW60+(1-EXP(-LN(2)/2))/(LN(2)/2)*AQ61*AT61*VLOOKUP('Données projet'!$B$10,Paramètres!$A$1:$I$89,3,0)*0.475*44/12</f>
        <v>8.8481217455075906E-4</v>
      </c>
      <c r="AX61" s="23">
        <f t="shared" si="6"/>
        <v>1.4353452110631209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199.80000000000004</v>
      </c>
      <c r="BE61" s="14">
        <f>BD61*VLOOKUP('Données projet'!$B$11,Paramètres!$A$1:$I$89,3,0)*VLOOKUP('Données projet'!$B$11,Paramètres!$A$1:$I$89,5,0)</f>
        <v>180.77904000000004</v>
      </c>
      <c r="BF61" s="14">
        <f t="shared" si="37"/>
        <v>45.495464625737284</v>
      </c>
      <c r="BG61" s="22">
        <f t="shared" si="7"/>
        <v>394.09476222315919</v>
      </c>
      <c r="BH61" s="62">
        <f t="shared" si="8"/>
        <v>687.42809555649251</v>
      </c>
      <c r="BI61" s="62">
        <f ca="1">AVERAGE(OFFSET($BH$3,0,0,'Données projet'!$E$11+1,1))-AVERAGE(OFFSET($H$3,0,0,'Données projet'!$E$11+1,1))</f>
        <v>267.00333505765792</v>
      </c>
      <c r="BJ61" s="62">
        <f t="shared" si="38"/>
        <v>172.25613380618557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1.2417716885901056</v>
      </c>
      <c r="BR61" s="23">
        <f>EXP(-LN(2)/2)*BR60+(1-EXP(-LN(2)/2))/(LN(2)/2)*BL61*BO61*VLOOKUP('Données projet'!$B$11,Paramètres!$A$1:$I$89,3,0)*0.475*44/12</f>
        <v>7.6595680782005871E-4</v>
      </c>
      <c r="BS61" s="24">
        <f t="shared" si="9"/>
        <v>1.2425376453979255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199.80000000000004</v>
      </c>
      <c r="BZ61" s="14">
        <f>BY61*VLOOKUP('Données projet'!$B$12,Paramètres!$A$1:$I$89,3,0)*VLOOKUP('Données projet'!$B$12,Paramètres!$A$1:$I$89,5,0)</f>
        <v>202.59720000000007</v>
      </c>
      <c r="CA61" s="14">
        <f t="shared" si="39"/>
        <v>50.314524354885847</v>
      </c>
      <c r="CB61" s="22">
        <f t="shared" si="10"/>
        <v>440.48791991809298</v>
      </c>
      <c r="CC61" s="62">
        <f t="shared" si="11"/>
        <v>733.82125325142624</v>
      </c>
      <c r="CD61" s="62">
        <f ca="1">AVERAGE(OFFSET($CC$3,0,0,'Données projet'!$E$12+1,1))-AVERAGE(OFFSET($H$3,0,0,'Données projet'!$E$12+1,1))</f>
        <v>308.72872453744998</v>
      </c>
      <c r="CE61" s="62">
        <f t="shared" si="40"/>
        <v>195.3674411454258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1.3916406854889116</v>
      </c>
      <c r="CM61" s="23">
        <f>EXP(-LN(2)/2)*CM60+(1-EXP(-LN(2)/2))/(LN(2)/2)*CG61*CJ61*VLOOKUP('Données projet'!$B$12,Paramètres!$A$1:$I$89,3,0)*0.475*44/12</f>
        <v>8.583998708328245E-4</v>
      </c>
      <c r="CN61" s="24">
        <f t="shared" si="12"/>
        <v>1.3924990853597445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160.24926890971085</v>
      </c>
      <c r="T62" s="62">
        <f t="shared" si="34"/>
        <v>323.52368436151721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33.19321761112986</v>
      </c>
      <c r="AA62" s="23">
        <f>EXP(-LN(2)/25)*AA61+(1-EXP(-LN(2)/25))/(LN(2)/25)*Calculateur!V62*Calculateur!X62*VLOOKUP('Données projet'!$B$9,Paramètres!$A$1:$I$89,3,0)*0.475*44/12</f>
        <v>23.112240749302721</v>
      </c>
      <c r="AB62" s="23">
        <f>EXP(-LN(2)/2)*AB61+(1-EXP(-LN(2)/2))/(LN(2)/2)*V62*Y62*VLOOKUP('Données projet'!$B$9,Paramètres!$A$1:$I$89,3,0)*0.475*44/12</f>
        <v>7.6950326006609534E-3</v>
      </c>
      <c r="AC62" s="24">
        <f t="shared" si="3"/>
        <v>56.31315339303324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207.40000000000003</v>
      </c>
      <c r="AJ62" s="14">
        <f>AI62*VLOOKUP('Données projet'!$B$10,Paramètres!$A$1:$I$89,3,0)*VLOOKUP('Données projet'!$B$10,Paramètres!$A$1:$I$89,5,0)</f>
        <v>216.77448000000004</v>
      </c>
      <c r="AK62" s="14">
        <f t="shared" si="35"/>
        <v>53.41323339156682</v>
      </c>
      <c r="AL62" s="22">
        <f t="shared" si="4"/>
        <v>470.57693415697889</v>
      </c>
      <c r="AM62" s="62">
        <f t="shared" si="5"/>
        <v>763.91026749031221</v>
      </c>
      <c r="AN62" s="62">
        <f ca="1">AVERAGE(OFFSET($AM$3,0,0,'Données projet'!$E$10+1,1))-AVERAGE(OFFSET($H$3,0,0,'Données projet'!$E$10+1,1))</f>
        <v>320.63267332485663</v>
      </c>
      <c r="AO62" s="62">
        <f t="shared" si="36"/>
        <v>201.96012789473809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1.3952350038459682</v>
      </c>
      <c r="AW62" s="23">
        <f>EXP(-LN(2)/2)*AW61+(1-EXP(-LN(2)/2))/(LN(2)/2)*AQ62*AT62*VLOOKUP('Données projet'!$B$10,Paramètres!$A$1:$I$89,3,0)*0.475*44/12</f>
        <v>6.2565668870125687E-4</v>
      </c>
      <c r="AX62" s="23">
        <f t="shared" si="6"/>
        <v>1.3958606605346695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207.40000000000003</v>
      </c>
      <c r="BE62" s="14">
        <f>BD62*VLOOKUP('Données projet'!$B$11,Paramètres!$A$1:$I$89,3,0)*VLOOKUP('Données projet'!$B$11,Paramètres!$A$1:$I$89,5,0)</f>
        <v>187.65552000000002</v>
      </c>
      <c r="BF62" s="14">
        <f t="shared" si="37"/>
        <v>47.021247649900147</v>
      </c>
      <c r="BG62" s="22">
        <f t="shared" si="7"/>
        <v>408.72870365690943</v>
      </c>
      <c r="BH62" s="62">
        <f t="shared" si="8"/>
        <v>702.06203699024275</v>
      </c>
      <c r="BI62" s="62">
        <f ca="1">AVERAGE(OFFSET($BH$3,0,0,'Données projet'!$E$11+1,1))-AVERAGE(OFFSET($H$3,0,0,'Données projet'!$E$11+1,1))</f>
        <v>267.00333505765792</v>
      </c>
      <c r="BJ62" s="62">
        <f t="shared" si="38"/>
        <v>172.25613380618557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1.2078153764636741</v>
      </c>
      <c r="BR62" s="23">
        <f>EXP(-LN(2)/2)*BR61+(1-EXP(-LN(2)/2))/(LN(2)/2)*BL62*BO62*VLOOKUP('Données projet'!$B$11,Paramètres!$A$1:$I$89,3,0)*0.475*44/12</f>
        <v>5.4161325290556469E-4</v>
      </c>
      <c r="BS62" s="24">
        <f t="shared" si="9"/>
        <v>1.2083569897165796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207.40000000000003</v>
      </c>
      <c r="BZ62" s="14">
        <f>BY62*VLOOKUP('Données projet'!$B$12,Paramètres!$A$1:$I$89,3,0)*VLOOKUP('Données projet'!$B$12,Paramètres!$A$1:$I$89,5,0)</f>
        <v>210.30360000000005</v>
      </c>
      <c r="CA62" s="14">
        <f t="shared" si="39"/>
        <v>52.001924357524459</v>
      </c>
      <c r="CB62" s="22">
        <f t="shared" si="10"/>
        <v>456.84878825602186</v>
      </c>
      <c r="CC62" s="62">
        <f t="shared" si="11"/>
        <v>750.18212158935512</v>
      </c>
      <c r="CD62" s="62">
        <f ca="1">AVERAGE(OFFSET($CC$3,0,0,'Données projet'!$E$12+1,1))-AVERAGE(OFFSET($H$3,0,0,'Données projet'!$E$12+1,1))</f>
        <v>308.72872453744998</v>
      </c>
      <c r="CE62" s="62">
        <f t="shared" si="40"/>
        <v>195.3674411454258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1.3535861977610144</v>
      </c>
      <c r="CM62" s="23">
        <f>EXP(-LN(2)/2)*CM61+(1-EXP(-LN(2)/2))/(LN(2)/2)*CG62*CJ62*VLOOKUP('Données projet'!$B$12,Paramètres!$A$1:$I$89,3,0)*0.475*44/12</f>
        <v>6.0698036963554669E-4</v>
      </c>
      <c r="CN62" s="24">
        <f t="shared" si="12"/>
        <v>1.35419317813065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160.24926890971085</v>
      </c>
      <c r="T63" s="62">
        <f t="shared" si="34"/>
        <v>323.52368436151721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32.542318859639231</v>
      </c>
      <c r="AA63" s="23">
        <f>EXP(-LN(2)/25)*AA62+(1-EXP(-LN(2)/25))/(LN(2)/25)*Calculateur!V63*Calculateur!X63*VLOOKUP('Données projet'!$B$9,Paramètres!$A$1:$I$89,3,0)*0.475*44/12</f>
        <v>22.48023531059312</v>
      </c>
      <c r="AB63" s="23">
        <f>EXP(-LN(2)/2)*AB62+(1-EXP(-LN(2)/2))/(LN(2)/2)*V63*Y63*VLOOKUP('Données projet'!$B$9,Paramètres!$A$1:$I$89,3,0)*0.475*44/12</f>
        <v>5.4412097333789147E-3</v>
      </c>
      <c r="AC63" s="24">
        <f t="shared" si="3"/>
        <v>55.027995379965731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215.00000000000003</v>
      </c>
      <c r="AJ63" s="14">
        <f>AI63*VLOOKUP('Données projet'!$B$10,Paramètres!$A$1:$I$89,3,0)*VLOOKUP('Données projet'!$B$10,Paramètres!$A$1:$I$89,5,0)</f>
        <v>224.71800000000007</v>
      </c>
      <c r="AK63" s="14">
        <f t="shared" si="35"/>
        <v>55.13904993933199</v>
      </c>
      <c r="AL63" s="22">
        <f t="shared" si="4"/>
        <v>487.41769531100323</v>
      </c>
      <c r="AM63" s="62">
        <f t="shared" si="5"/>
        <v>780.75102864433654</v>
      </c>
      <c r="AN63" s="62">
        <f ca="1">AVERAGE(OFFSET($AM$3,0,0,'Données projet'!$E$10+1,1))-AVERAGE(OFFSET($H$3,0,0,'Données projet'!$E$10+1,1))</f>
        <v>320.63267332485663</v>
      </c>
      <c r="AO63" s="62">
        <f t="shared" si="36"/>
        <v>201.96012789473809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1.3570822292935802</v>
      </c>
      <c r="AW63" s="23">
        <f>EXP(-LN(2)/2)*AW62+(1-EXP(-LN(2)/2))/(LN(2)/2)*AQ63*AT63*VLOOKUP('Données projet'!$B$10,Paramètres!$A$1:$I$89,3,0)*0.475*44/12</f>
        <v>4.4240608727537953E-4</v>
      </c>
      <c r="AX63" s="23">
        <f t="shared" si="6"/>
        <v>1.3575246353808557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215.00000000000003</v>
      </c>
      <c r="BE63" s="14">
        <f>BD63*VLOOKUP('Données projet'!$B$11,Paramètres!$A$1:$I$89,3,0)*VLOOKUP('Données projet'!$B$11,Paramètres!$A$1:$I$89,5,0)</f>
        <v>194.53200000000001</v>
      </c>
      <c r="BF63" s="14">
        <f t="shared" si="37"/>
        <v>48.540534952652621</v>
      </c>
      <c r="BG63" s="22">
        <f t="shared" si="7"/>
        <v>423.35133170920335</v>
      </c>
      <c r="BH63" s="62">
        <f t="shared" si="8"/>
        <v>716.68466504253661</v>
      </c>
      <c r="BI63" s="62">
        <f ca="1">AVERAGE(OFFSET($BH$3,0,0,'Données projet'!$E$11+1,1))-AVERAGE(OFFSET($H$3,0,0,'Données projet'!$E$11+1,1))</f>
        <v>267.00333505765792</v>
      </c>
      <c r="BJ63" s="62">
        <f t="shared" si="38"/>
        <v>172.25613380618557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1.1747876014780247</v>
      </c>
      <c r="BR63" s="23">
        <f>EXP(-LN(2)/2)*BR62+(1-EXP(-LN(2)/2))/(LN(2)/2)*BL63*BO63*VLOOKUP('Données projet'!$B$11,Paramètres!$A$1:$I$89,3,0)*0.475*44/12</f>
        <v>3.8297840391002936E-4</v>
      </c>
      <c r="BS63" s="24">
        <f t="shared" si="9"/>
        <v>1.1751705798819347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215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215.00000000000003</v>
      </c>
      <c r="BZ63" s="14">
        <f>BY63*VLOOKUP('Données projet'!$B$12,Paramètres!$A$1:$I$89,3,0)*VLOOKUP('Données projet'!$B$12,Paramètres!$A$1:$I$89,5,0)</f>
        <v>218.01000000000005</v>
      </c>
      <c r="CA63" s="14">
        <f t="shared" si="39"/>
        <v>53.682140586224406</v>
      </c>
      <c r="CB63" s="22">
        <f t="shared" si="10"/>
        <v>473.19714485434088</v>
      </c>
      <c r="CC63" s="62">
        <f t="shared" si="11"/>
        <v>766.53047818767413</v>
      </c>
      <c r="CD63" s="62">
        <f ca="1">AVERAGE(OFFSET($CC$3,0,0,'Données projet'!$E$12+1,1))-AVERAGE(OFFSET($H$3,0,0,'Données projet'!$E$12+1,1))</f>
        <v>308.72872453744998</v>
      </c>
      <c r="CE63" s="62">
        <f t="shared" si="40"/>
        <v>195.3674411454258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21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1.3165723120012349</v>
      </c>
      <c r="CM63" s="23">
        <f>EXP(-LN(2)/2)*CM62+(1-EXP(-LN(2)/2))/(LN(2)/2)*CG63*CJ63*VLOOKUP('Données projet'!$B$12,Paramètres!$A$1:$I$89,3,0)*0.475*44/12</f>
        <v>4.2919993541641225E-4</v>
      </c>
      <c r="CN63" s="24">
        <f t="shared" si="12"/>
        <v>1.3170015119366514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160.24926890971085</v>
      </c>
      <c r="T64" s="62">
        <f t="shared" si="34"/>
        <v>323.52368436151721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31.904183835656298</v>
      </c>
      <c r="AA64" s="23">
        <f>EXP(-LN(2)/25)*AA63+(1-EXP(-LN(2)/25))/(LN(2)/25)*Calculateur!V64*Calculateur!X64*VLOOKUP('Données projet'!$B$9,Paramètres!$A$1:$I$89,3,0)*0.475*44/12</f>
        <v>21.865512093840756</v>
      </c>
      <c r="AB64" s="23">
        <f>EXP(-LN(2)/2)*AB63+(1-EXP(-LN(2)/2))/(LN(2)/2)*V64*Y64*VLOOKUP('Données projet'!$B$9,Paramètres!$A$1:$I$89,3,0)*0.475*44/12</f>
        <v>3.8475163003304771E-3</v>
      </c>
      <c r="AC64" s="24">
        <f t="shared" si="3"/>
        <v>53.773543445797387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</v>
      </c>
      <c r="AI64" s="14">
        <f>IF('Données projet'!$A$62&gt;35,AI63+AH64-AQ63,IF(A64&lt;'Données projet'!$A$62,$AF$205^A64,IF(A64='Données projet'!$A$62,'Données projet'!$B$62,AI63+AH64-AQ63)))</f>
        <v>201.00000000000003</v>
      </c>
      <c r="AJ64" s="14">
        <f>AI64*VLOOKUP('Données projet'!$B$10,Paramètres!$A$1:$I$89,3,0)*VLOOKUP('Données projet'!$B$10,Paramètres!$A$1:$I$89,5,0)</f>
        <v>210.08520000000004</v>
      </c>
      <c r="AK64" s="14">
        <f t="shared" si="35"/>
        <v>51.954203602341138</v>
      </c>
      <c r="AL64" s="22">
        <f t="shared" si="4"/>
        <v>456.38529460741091</v>
      </c>
      <c r="AM64" s="62">
        <f t="shared" si="5"/>
        <v>749.71862794074423</v>
      </c>
      <c r="AN64" s="62">
        <f ca="1">AVERAGE(OFFSET($AM$3,0,0,'Données projet'!$E$10+1,1))-AVERAGE(OFFSET($H$3,0,0,'Données projet'!$E$10+1,1))</f>
        <v>320.63267332485663</v>
      </c>
      <c r="AO64" s="62">
        <f t="shared" si="36"/>
        <v>201.96012789473809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1.3199727443676945</v>
      </c>
      <c r="AW64" s="23">
        <f>EXP(-LN(2)/2)*AW63+(1-EXP(-LN(2)/2))/(LN(2)/2)*AQ64*AT64*VLOOKUP('Données projet'!$B$10,Paramètres!$A$1:$I$89,3,0)*0.475*44/12</f>
        <v>3.1282834435062844E-4</v>
      </c>
      <c r="AX64" s="23">
        <f t="shared" si="6"/>
        <v>1.3202855727120451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</v>
      </c>
      <c r="BD64" s="13">
        <f>IF('Données projet'!$A$88&gt;35,BD63+BC64-BL63,IF(A64&lt;'Données projet'!$A$88,$BA$205^A64,IF(A64='Données projet'!$A$88,'Données projet'!$B$88,BD63+BC64-BL63)))</f>
        <v>201.00000000000003</v>
      </c>
      <c r="BE64" s="14">
        <f>BD64*VLOOKUP('Données projet'!$B$11,Paramètres!$A$1:$I$89,3,0)*VLOOKUP('Données projet'!$B$11,Paramètres!$A$1:$I$89,5,0)</f>
        <v>181.86480000000003</v>
      </c>
      <c r="BF64" s="14">
        <f t="shared" si="37"/>
        <v>45.73682061391029</v>
      </c>
      <c r="BG64" s="22">
        <f t="shared" si="7"/>
        <v>396.40615590256044</v>
      </c>
      <c r="BH64" s="62">
        <f t="shared" si="8"/>
        <v>689.73948923589376</v>
      </c>
      <c r="BI64" s="62">
        <f ca="1">AVERAGE(OFFSET($BH$3,0,0,'Données projet'!$E$11+1,1))-AVERAGE(OFFSET($H$3,0,0,'Données projet'!$E$11+1,1))</f>
        <v>267.00333505765792</v>
      </c>
      <c r="BJ64" s="62">
        <f t="shared" si="38"/>
        <v>172.25613380618557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1.1426629727362132</v>
      </c>
      <c r="BR64" s="23">
        <f>EXP(-LN(2)/2)*BR63+(1-EXP(-LN(2)/2))/(LN(2)/2)*BL64*BO64*VLOOKUP('Données projet'!$B$11,Paramètres!$A$1:$I$89,3,0)*0.475*44/12</f>
        <v>2.7080662645278234E-4</v>
      </c>
      <c r="BS64" s="24">
        <f t="shared" si="9"/>
        <v>1.1429337793626659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</v>
      </c>
      <c r="BY64" s="13">
        <f>IF('Données projet'!$A$114&gt;35,BY63+BX64-CG63,IF(A64&lt;'Données projet'!$A$114,$BV$205^A64,IF(A64='Données projet'!$A$114,'Données projet'!$B$114,BY63+BX64-CG63)))</f>
        <v>201.00000000000003</v>
      </c>
      <c r="BZ64" s="14">
        <f>BY64*VLOOKUP('Données projet'!$B$12,Paramètres!$A$1:$I$89,3,0)*VLOOKUP('Données projet'!$B$12,Paramètres!$A$1:$I$89,5,0)</f>
        <v>203.81400000000005</v>
      </c>
      <c r="CA64" s="14">
        <f t="shared" si="39"/>
        <v>50.581445724851605</v>
      </c>
      <c r="CB64" s="22">
        <f t="shared" si="10"/>
        <v>443.07206797078328</v>
      </c>
      <c r="CC64" s="62">
        <f t="shared" si="11"/>
        <v>736.40540130411659</v>
      </c>
      <c r="CD64" s="62">
        <f ca="1">AVERAGE(OFFSET($CC$3,0,0,'Données projet'!$E$12+1,1))-AVERAGE(OFFSET($H$3,0,0,'Données projet'!$E$12+1,1))</f>
        <v>308.72872453744998</v>
      </c>
      <c r="CE64" s="62">
        <f t="shared" si="40"/>
        <v>195.3674411454258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1.2805705728940324</v>
      </c>
      <c r="CM64" s="23">
        <f>EXP(-LN(2)/2)*CM63+(1-EXP(-LN(2)/2))/(LN(2)/2)*CG64*CJ64*VLOOKUP('Données projet'!$B$12,Paramètres!$A$1:$I$89,3,0)*0.475*44/12</f>
        <v>3.0349018481777335E-4</v>
      </c>
      <c r="CN64" s="24">
        <f t="shared" si="12"/>
        <v>1.2808740630788502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160.24926890971085</v>
      </c>
      <c r="T65" s="62">
        <f t="shared" si="34"/>
        <v>323.52368436151721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31.27856225026974</v>
      </c>
      <c r="AA65" s="23">
        <f>EXP(-LN(2)/25)*AA64+(1-EXP(-LN(2)/25))/(LN(2)/25)*Calculateur!V65*Calculateur!X65*VLOOKUP('Données projet'!$B$9,Paramètres!$A$1:$I$89,3,0)*0.475*44/12</f>
        <v>21.267598515777372</v>
      </c>
      <c r="AB65" s="23">
        <f>EXP(-LN(2)/2)*AB64+(1-EXP(-LN(2)/2))/(LN(2)/2)*V65*Y65*VLOOKUP('Données projet'!$B$9,Paramètres!$A$1:$I$89,3,0)*0.475*44/12</f>
        <v>2.7206048666894578E-3</v>
      </c>
      <c r="AC65" s="24">
        <f t="shared" si="3"/>
        <v>52.548881370913797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</v>
      </c>
      <c r="AI65" s="14">
        <f>IF('Données projet'!$A$62&gt;35,AI64+AH65-AQ64,IF(A65&lt;'Données projet'!$A$62,$AF$205^A65,IF(A65='Données projet'!$A$62,'Données projet'!$B$62,AI64+AH65-AQ64)))</f>
        <v>208.00000000000003</v>
      </c>
      <c r="AJ65" s="14">
        <f>AI65*VLOOKUP('Données projet'!$B$10,Paramètres!$A$1:$I$89,3,0)*VLOOKUP('Données projet'!$B$10,Paramètres!$A$1:$I$89,5,0)</f>
        <v>217.40160000000003</v>
      </c>
      <c r="AK65" s="14">
        <f t="shared" si="35"/>
        <v>53.549746395925162</v>
      </c>
      <c r="AL65" s="22">
        <f t="shared" si="4"/>
        <v>471.90692830623647</v>
      </c>
      <c r="AM65" s="62">
        <f t="shared" si="5"/>
        <v>765.24026163956978</v>
      </c>
      <c r="AN65" s="62">
        <f ca="1">AVERAGE(OFFSET($AM$3,0,0,'Données projet'!$E$10+1,1))-AVERAGE(OFFSET($H$3,0,0,'Données projet'!$E$10+1,1))</f>
        <v>320.63267332485663</v>
      </c>
      <c r="AO65" s="62">
        <f t="shared" si="36"/>
        <v>201.96012789473809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1.2838780202586102</v>
      </c>
      <c r="AW65" s="23">
        <f>EXP(-LN(2)/2)*AW64+(1-EXP(-LN(2)/2))/(LN(2)/2)*AQ65*AT65*VLOOKUP('Données projet'!$B$10,Paramètres!$A$1:$I$89,3,0)*0.475*44/12</f>
        <v>2.2120304363768976E-4</v>
      </c>
      <c r="AX65" s="23">
        <f t="shared" si="6"/>
        <v>1.2840992233022479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</v>
      </c>
      <c r="BD65" s="13">
        <f>IF('Données projet'!$A$88&gt;35,BD64+BC65-BL64,IF(A65&lt;'Données projet'!$A$88,$BA$205^A65,IF(A65='Données projet'!$A$88,'Données projet'!$B$88,BD64+BC65-BL64)))</f>
        <v>208.00000000000003</v>
      </c>
      <c r="BE65" s="14">
        <f>BD65*VLOOKUP('Données projet'!$B$11,Paramètres!$A$1:$I$89,3,0)*VLOOKUP('Données projet'!$B$11,Paramètres!$A$1:$I$89,5,0)</f>
        <v>188.19840000000002</v>
      </c>
      <c r="BF65" s="14">
        <f t="shared" si="37"/>
        <v>47.141424081428013</v>
      </c>
      <c r="BG65" s="22">
        <f t="shared" si="7"/>
        <v>409.88352694182049</v>
      </c>
      <c r="BH65" s="62">
        <f t="shared" si="8"/>
        <v>703.21686027515375</v>
      </c>
      <c r="BI65" s="62">
        <f ca="1">AVERAGE(OFFSET($BH$3,0,0,'Données projet'!$E$11+1,1))-AVERAGE(OFFSET($H$3,0,0,'Données projet'!$E$11+1,1))</f>
        <v>267.00333505765792</v>
      </c>
      <c r="BJ65" s="62">
        <f t="shared" si="38"/>
        <v>172.25613380618557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1.1114167936567072</v>
      </c>
      <c r="BR65" s="23">
        <f>EXP(-LN(2)/2)*BR64+(1-EXP(-LN(2)/2))/(LN(2)/2)*BL65*BO65*VLOOKUP('Données projet'!$B$11,Paramètres!$A$1:$I$89,3,0)*0.475*44/12</f>
        <v>1.9148920195501468E-4</v>
      </c>
      <c r="BS65" s="24">
        <f t="shared" si="9"/>
        <v>1.1116082828586622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</v>
      </c>
      <c r="BY65" s="13">
        <f>IF('Données projet'!$A$114&gt;35,BY64+BX65-CG64,IF(A65&lt;'Données projet'!$A$114,$BV$205^A65,IF(A65='Données projet'!$A$114,'Données projet'!$B$114,BY64+BX65-CG64)))</f>
        <v>208.00000000000003</v>
      </c>
      <c r="BZ65" s="14">
        <f>BY65*VLOOKUP('Données projet'!$B$12,Paramètres!$A$1:$I$89,3,0)*VLOOKUP('Données projet'!$B$12,Paramètres!$A$1:$I$89,5,0)</f>
        <v>210.91200000000003</v>
      </c>
      <c r="CA65" s="14">
        <f t="shared" si="39"/>
        <v>52.134830352456831</v>
      </c>
      <c r="CB65" s="22">
        <f t="shared" si="10"/>
        <v>458.1398961971957</v>
      </c>
      <c r="CC65" s="62">
        <f t="shared" si="11"/>
        <v>751.47322953052901</v>
      </c>
      <c r="CD65" s="62">
        <f ca="1">AVERAGE(OFFSET($CC$3,0,0,'Données projet'!$E$12+1,1))-AVERAGE(OFFSET($H$3,0,0,'Données projet'!$E$12+1,1))</f>
        <v>308.72872453744998</v>
      </c>
      <c r="CE65" s="62">
        <f t="shared" si="40"/>
        <v>195.3674411454258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1.2455533032359654</v>
      </c>
      <c r="CM65" s="23">
        <f>EXP(-LN(2)/2)*CM64+(1-EXP(-LN(2)/2))/(LN(2)/2)*CG65*CJ65*VLOOKUP('Données projet'!$B$12,Paramètres!$A$1:$I$89,3,0)*0.475*44/12</f>
        <v>2.1459996770820613E-4</v>
      </c>
      <c r="CN65" s="24">
        <f t="shared" si="12"/>
        <v>1.2457679032036735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160.24926890971085</v>
      </c>
      <c r="T66" s="62">
        <f t="shared" si="34"/>
        <v>323.52368436151721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30.665208722581124</v>
      </c>
      <c r="AA66" s="23">
        <f>EXP(-LN(2)/25)*AA65+(1-EXP(-LN(2)/25))/(LN(2)/25)*Calculateur!V66*Calculateur!X66*VLOOKUP('Données projet'!$B$9,Paramètres!$A$1:$I$89,3,0)*0.475*44/12</f>
        <v>20.68603491594904</v>
      </c>
      <c r="AB66" s="23">
        <f>EXP(-LN(2)/2)*AB65+(1-EXP(-LN(2)/2))/(LN(2)/2)*V66*Y66*VLOOKUP('Données projet'!$B$9,Paramètres!$A$1:$I$89,3,0)*0.475*44/12</f>
        <v>1.9237581501652388E-3</v>
      </c>
      <c r="AC66" s="24">
        <f t="shared" si="3"/>
        <v>51.353167396680327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</v>
      </c>
      <c r="AI66" s="14">
        <f>IF('Données projet'!$A$62&gt;35,AI65+AH66-AQ65,IF(A66&lt;'Données projet'!$A$62,$AF$205^A66,IF(A66='Données projet'!$A$62,'Données projet'!$B$62,AI65+AH66-AQ65)))</f>
        <v>215.00000000000003</v>
      </c>
      <c r="AJ66" s="14">
        <f>AI66*VLOOKUP('Données projet'!$B$10,Paramètres!$A$1:$I$89,3,0)*VLOOKUP('Données projet'!$B$10,Paramètres!$A$1:$I$89,5,0)</f>
        <v>224.71800000000007</v>
      </c>
      <c r="AK66" s="14">
        <f t="shared" si="35"/>
        <v>55.13904993933199</v>
      </c>
      <c r="AL66" s="22">
        <f t="shared" si="4"/>
        <v>487.41769531100323</v>
      </c>
      <c r="AM66" s="62">
        <f t="shared" si="5"/>
        <v>780.75102864433654</v>
      </c>
      <c r="AN66" s="62">
        <f ca="1">AVERAGE(OFFSET($AM$3,0,0,'Données projet'!$E$10+1,1))-AVERAGE(OFFSET($H$3,0,0,'Données projet'!$E$10+1,1))</f>
        <v>320.63267332485663</v>
      </c>
      <c r="AO66" s="62">
        <f t="shared" si="36"/>
        <v>201.96012789473809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1.2487703082784278</v>
      </c>
      <c r="AW66" s="23">
        <f>EXP(-LN(2)/2)*AW65+(1-EXP(-LN(2)/2))/(LN(2)/2)*AQ66*AT66*VLOOKUP('Données projet'!$B$10,Paramètres!$A$1:$I$89,3,0)*0.475*44/12</f>
        <v>1.5641417217531422E-4</v>
      </c>
      <c r="AX66" s="23">
        <f t="shared" si="6"/>
        <v>1.2489267224506031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</v>
      </c>
      <c r="BD66" s="13">
        <f>IF('Données projet'!$A$88&gt;35,BD65+BC66-BL65,IF(A66&lt;'Données projet'!$A$88,$BA$205^A66,IF(A66='Données projet'!$A$88,'Données projet'!$B$88,BD65+BC66-BL65)))</f>
        <v>215.00000000000003</v>
      </c>
      <c r="BE66" s="14">
        <f>BD66*VLOOKUP('Données projet'!$B$11,Paramètres!$A$1:$I$89,3,0)*VLOOKUP('Données projet'!$B$11,Paramètres!$A$1:$I$89,5,0)</f>
        <v>194.53200000000001</v>
      </c>
      <c r="BF66" s="14">
        <f t="shared" si="37"/>
        <v>48.540534952652621</v>
      </c>
      <c r="BG66" s="22">
        <f t="shared" si="7"/>
        <v>423.35133170920335</v>
      </c>
      <c r="BH66" s="62">
        <f t="shared" si="8"/>
        <v>716.68466504253661</v>
      </c>
      <c r="BI66" s="62">
        <f ca="1">AVERAGE(OFFSET($BH$3,0,0,'Données projet'!$E$11+1,1))-AVERAGE(OFFSET($H$3,0,0,'Données projet'!$E$11+1,1))</f>
        <v>267.00333505765792</v>
      </c>
      <c r="BJ66" s="62">
        <f t="shared" si="38"/>
        <v>172.25613380618557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1.0810250429872956</v>
      </c>
      <c r="BR66" s="23">
        <f>EXP(-LN(2)/2)*BR65+(1-EXP(-LN(2)/2))/(LN(2)/2)*BL66*BO66*VLOOKUP('Données projet'!$B$11,Paramètres!$A$1:$I$89,3,0)*0.475*44/12</f>
        <v>1.3540331322639117E-4</v>
      </c>
      <c r="BS66" s="24">
        <f t="shared" si="9"/>
        <v>1.081160446300522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</v>
      </c>
      <c r="BY66" s="13">
        <f>IF('Données projet'!$A$114&gt;35,BY65+BX66-CG65,IF(A66&lt;'Données projet'!$A$114,$BV$205^A66,IF(A66='Données projet'!$A$114,'Données projet'!$B$114,BY65+BX66-CG65)))</f>
        <v>215.00000000000003</v>
      </c>
      <c r="BZ66" s="14">
        <f>BY66*VLOOKUP('Données projet'!$B$12,Paramètres!$A$1:$I$89,3,0)*VLOOKUP('Données projet'!$B$12,Paramètres!$A$1:$I$89,5,0)</f>
        <v>218.01000000000005</v>
      </c>
      <c r="CA66" s="14">
        <f t="shared" si="39"/>
        <v>53.682140586224406</v>
      </c>
      <c r="CB66" s="22">
        <f t="shared" si="10"/>
        <v>473.19714485434088</v>
      </c>
      <c r="CC66" s="62">
        <f t="shared" si="11"/>
        <v>766.53047818767413</v>
      </c>
      <c r="CD66" s="62">
        <f ca="1">AVERAGE(OFFSET($CC$3,0,0,'Données projet'!$E$12+1,1))-AVERAGE(OFFSET($H$3,0,0,'Données projet'!$E$12+1,1))</f>
        <v>308.72872453744998</v>
      </c>
      <c r="CE66" s="62">
        <f t="shared" si="40"/>
        <v>195.3674411454258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1.2114935826581765</v>
      </c>
      <c r="CM66" s="23">
        <f>EXP(-LN(2)/2)*CM65+(1-EXP(-LN(2)/2))/(LN(2)/2)*CG66*CJ66*VLOOKUP('Données projet'!$B$12,Paramètres!$A$1:$I$89,3,0)*0.475*44/12</f>
        <v>1.5174509240888667E-4</v>
      </c>
      <c r="CN66" s="24">
        <f t="shared" si="12"/>
        <v>1.2116453277505854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160.24926890971085</v>
      </c>
      <c r="T67" s="62">
        <f t="shared" si="34"/>
        <v>323.52368436151721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30.06388268346177</v>
      </c>
      <c r="AA67" s="23">
        <f>EXP(-LN(2)/25)*AA66+(1-EXP(-LN(2)/25))/(LN(2)/25)*Calculateur!V67*Calculateur!X67*VLOOKUP('Données projet'!$B$9,Paramètres!$A$1:$I$89,3,0)*0.475*44/12</f>
        <v>20.120374203341115</v>
      </c>
      <c r="AB67" s="23">
        <f>EXP(-LN(2)/2)*AB66+(1-EXP(-LN(2)/2))/(LN(2)/2)*V67*Y67*VLOOKUP('Données projet'!$B$9,Paramètres!$A$1:$I$89,3,0)*0.475*44/12</f>
        <v>1.3603024333447291E-3</v>
      </c>
      <c r="AC67" s="24">
        <f t="shared" si="3"/>
        <v>50.185617189236233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</v>
      </c>
      <c r="AI67" s="14">
        <f>IF('Données projet'!$A$62&gt;35,AI66+AH67-AQ66,IF(A67&lt;'Données projet'!$A$62,$AF$205^A67,IF(A67='Données projet'!$A$62,'Données projet'!$B$62,AI66+AH67-AQ66)))</f>
        <v>222.00000000000003</v>
      </c>
      <c r="AJ67" s="14">
        <f>AI67*VLOOKUP('Données projet'!$B$10,Paramètres!$A$1:$I$89,3,0)*VLOOKUP('Données projet'!$B$10,Paramètres!$A$1:$I$89,5,0)</f>
        <v>232.03440000000006</v>
      </c>
      <c r="AK67" s="14">
        <f t="shared" si="35"/>
        <v>56.722340668285831</v>
      </c>
      <c r="AL67" s="22">
        <f t="shared" si="4"/>
        <v>502.91798999726456</v>
      </c>
      <c r="AM67" s="62">
        <f t="shared" si="5"/>
        <v>796.25132333059787</v>
      </c>
      <c r="AN67" s="62">
        <f ca="1">AVERAGE(OFFSET($AM$3,0,0,'Données projet'!$E$10+1,1))-AVERAGE(OFFSET($H$3,0,0,'Données projet'!$E$10+1,1))</f>
        <v>320.63267332485663</v>
      </c>
      <c r="AO67" s="62">
        <f t="shared" si="36"/>
        <v>201.96012789473809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1.2146226185285778</v>
      </c>
      <c r="AW67" s="23">
        <f>EXP(-LN(2)/2)*AW66+(1-EXP(-LN(2)/2))/(LN(2)/2)*AQ67*AT67*VLOOKUP('Données projet'!$B$10,Paramètres!$A$1:$I$89,3,0)*0.475*44/12</f>
        <v>1.1060152181884488E-4</v>
      </c>
      <c r="AX67" s="23">
        <f t="shared" si="6"/>
        <v>1.2147332200503966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</v>
      </c>
      <c r="BD67" s="13">
        <f>IF('Données projet'!$A$88&gt;35,BD66+BC67-BL66,IF(A67&lt;'Données projet'!$A$88,$BA$205^A67,IF(A67='Données projet'!$A$88,'Données projet'!$B$88,BD66+BC67-BL66)))</f>
        <v>222.00000000000003</v>
      </c>
      <c r="BE67" s="14">
        <f>BD67*VLOOKUP('Données projet'!$B$11,Paramètres!$A$1:$I$89,3,0)*VLOOKUP('Données projet'!$B$11,Paramètres!$A$1:$I$89,5,0)</f>
        <v>200.86560000000003</v>
      </c>
      <c r="BF67" s="14">
        <f t="shared" si="37"/>
        <v>49.934352565642953</v>
      </c>
      <c r="BG67" s="22">
        <f t="shared" si="7"/>
        <v>436.8099173851615</v>
      </c>
      <c r="BH67" s="62">
        <f t="shared" si="8"/>
        <v>730.14325071849476</v>
      </c>
      <c r="BI67" s="62">
        <f ca="1">AVERAGE(OFFSET($BH$3,0,0,'Données projet'!$E$11+1,1))-AVERAGE(OFFSET($H$3,0,0,'Données projet'!$E$11+1,1))</f>
        <v>267.00333505765792</v>
      </c>
      <c r="BJ67" s="62">
        <f t="shared" si="38"/>
        <v>172.25613380618557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1.0514643563381718</v>
      </c>
      <c r="BR67" s="23">
        <f>EXP(-LN(2)/2)*BR66+(1-EXP(-LN(2)/2))/(LN(2)/2)*BL67*BO67*VLOOKUP('Données projet'!$B$11,Paramètres!$A$1:$I$89,3,0)*0.475*44/12</f>
        <v>9.5744600977507339E-5</v>
      </c>
      <c r="BS67" s="24">
        <f t="shared" si="9"/>
        <v>1.0515601009391493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</v>
      </c>
      <c r="BY67" s="13">
        <f>IF('Données projet'!$A$114&gt;35,BY66+BX67-CG66,IF(A67&lt;'Données projet'!$A$114,$BV$205^A67,IF(A67='Données projet'!$A$114,'Données projet'!$B$114,BY66+BX67-CG66)))</f>
        <v>222.00000000000003</v>
      </c>
      <c r="BZ67" s="14">
        <f>BY67*VLOOKUP('Données projet'!$B$12,Paramètres!$A$1:$I$89,3,0)*VLOOKUP('Données projet'!$B$12,Paramètres!$A$1:$I$89,5,0)</f>
        <v>225.10800000000003</v>
      </c>
      <c r="CA67" s="14">
        <f t="shared" si="39"/>
        <v>55.22359687888963</v>
      </c>
      <c r="CB67" s="22">
        <f t="shared" si="10"/>
        <v>488.24419789739949</v>
      </c>
      <c r="CC67" s="62">
        <f t="shared" si="11"/>
        <v>781.5775312307328</v>
      </c>
      <c r="CD67" s="62">
        <f ca="1">AVERAGE(OFFSET($CC$3,0,0,'Données projet'!$E$12+1,1))-AVERAGE(OFFSET($H$3,0,0,'Données projet'!$E$12+1,1))</f>
        <v>308.72872453744998</v>
      </c>
      <c r="CE67" s="62">
        <f t="shared" si="40"/>
        <v>195.3674411454258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1.1783652269307101</v>
      </c>
      <c r="CM67" s="23">
        <f>EXP(-LN(2)/2)*CM66+(1-EXP(-LN(2)/2))/(LN(2)/2)*CG67*CJ67*VLOOKUP('Données projet'!$B$12,Paramètres!$A$1:$I$89,3,0)*0.475*44/12</f>
        <v>1.0729998385410306E-4</v>
      </c>
      <c r="CN67" s="24">
        <f t="shared" si="12"/>
        <v>1.1784725269145642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160.24926890971085</v>
      </c>
      <c r="T68" s="62">
        <f t="shared" si="34"/>
        <v>323.52368436151721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29.474348281196878</v>
      </c>
      <c r="AA68" s="23">
        <f>EXP(-LN(2)/25)*AA67+(1-EXP(-LN(2)/25))/(LN(2)/25)*Calculateur!V68*Calculateur!X68*VLOOKUP('Données projet'!$B$9,Paramètres!$A$1:$I$89,3,0)*0.475*44/12</f>
        <v>19.570181512666259</v>
      </c>
      <c r="AB68" s="23">
        <f>EXP(-LN(2)/2)*AB67+(1-EXP(-LN(2)/2))/(LN(2)/2)*V68*Y68*VLOOKUP('Données projet'!$B$9,Paramètres!$A$1:$I$89,3,0)*0.475*44/12</f>
        <v>9.618790750826196E-4</v>
      </c>
      <c r="AC68" s="24">
        <f t="shared" ref="AC68:AC131" si="57">SUM(Z68:AB68)</f>
        <v>49.045491672938219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</v>
      </c>
      <c r="AH68" s="13">
        <f t="array" ref="AH68">INDEX(AG:AG,MIN(IF(ISNUMBER(AG68:AG264),ROW(AG68:AG264),"")))</f>
        <v>7</v>
      </c>
      <c r="AI68" s="14">
        <f>IF('Données projet'!$A$62&gt;35,AI67+AH68-AQ67,IF(A68&lt;'Données projet'!$A$62,$AF$205^A68,IF(A68='Données projet'!$A$62,'Données projet'!$B$62,AI67+AH68-AQ67)))</f>
        <v>229.00000000000003</v>
      </c>
      <c r="AJ68" s="14">
        <f>AI68*VLOOKUP('Données projet'!$B$10,Paramètres!$A$1:$I$89,3,0)*VLOOKUP('Données projet'!$B$10,Paramètres!$A$1:$I$89,5,0)</f>
        <v>239.35080000000005</v>
      </c>
      <c r="AK68" s="14">
        <f t="shared" si="35"/>
        <v>58.299829927807131</v>
      </c>
      <c r="AL68" s="22">
        <f t="shared" ref="AL68:AL131" si="58">(AJ68+AK68)*0.475*44/12</f>
        <v>518.4081804575975</v>
      </c>
      <c r="AM68" s="62">
        <f t="shared" ref="AM68:AM131" si="59">AL68+(AD68+AE68)*44/12</f>
        <v>811.74151379093087</v>
      </c>
      <c r="AN68" s="62">
        <f ca="1">AVERAGE(OFFSET($AM$3,0,0,'Données projet'!$E$10+1,1))-AVERAGE(OFFSET($H$3,0,0,'Données projet'!$E$10+1,1))</f>
        <v>320.63267332485663</v>
      </c>
      <c r="AO68" s="62">
        <f t="shared" si="36"/>
        <v>201.96012789473809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1.1814086991506865</v>
      </c>
      <c r="AW68" s="23">
        <f>EXP(-LN(2)/2)*AW67+(1-EXP(-LN(2)/2))/(LN(2)/2)*AQ68*AT68*VLOOKUP('Données projet'!$B$10,Paramètres!$A$1:$I$89,3,0)*0.475*44/12</f>
        <v>7.8207086087657109E-5</v>
      </c>
      <c r="AX68" s="23">
        <f t="shared" ref="AX68:AX131" si="60">SUM(AU68:AW68)</f>
        <v>1.1814869062367741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</v>
      </c>
      <c r="BC68" s="13">
        <f t="array" ref="BC68">INDEX(BB:BB,MIN(IF(ISNUMBER(BB68:BB264),ROW(BB68:BB264),"")))</f>
        <v>7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207.19919999999999</v>
      </c>
      <c r="BF68" s="14">
        <f t="shared" si="37"/>
        <v>51.32306297366555</v>
      </c>
      <c r="BG68" s="22">
        <f t="shared" ref="BG68:BG131" si="61">(BE68+BF68)*0.475*44/12</f>
        <v>450.25960801246742</v>
      </c>
      <c r="BH68" s="62">
        <f t="shared" ref="BH68:BH131" si="62">BG68+(AY68+AZ68)*44/12</f>
        <v>743.59294134580068</v>
      </c>
      <c r="BI68" s="62">
        <f ca="1">AVERAGE(OFFSET($BH$3,0,0,'Données projet'!$E$11+1,1))-AVERAGE(OFFSET($H$3,0,0,'Données projet'!$E$11+1,1))</f>
        <v>267.00333505765792</v>
      </c>
      <c r="BJ68" s="62">
        <f t="shared" si="38"/>
        <v>172.25613380618557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1.0227120082199972</v>
      </c>
      <c r="BR68" s="23">
        <f>EXP(-LN(2)/2)*BR67+(1-EXP(-LN(2)/2))/(LN(2)/2)*BL68*BO68*VLOOKUP('Données projet'!$B$11,Paramètres!$A$1:$I$89,3,0)*0.475*44/12</f>
        <v>6.7701656613195586E-5</v>
      </c>
      <c r="BS68" s="24">
        <f t="shared" ref="BS68:BS131" si="63">SUM(BP68:BR68)</f>
        <v>1.0227797098766105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</v>
      </c>
      <c r="BX68" s="13">
        <f t="array" ref="BX68">INDEX(BW:BW,MIN(IF(ISNUMBER(BW68:BW264),ROW(BW68:BW264),"")))</f>
        <v>7</v>
      </c>
      <c r="BY68" s="13">
        <f>IF('Données projet'!$A$114&gt;35,BY67+BX68-CG67,IF(A68&lt;'Données projet'!$A$114,$BV$205^A68,IF(A68='Données projet'!$A$114,'Données projet'!$B$114,BY67+BX68-CG67)))</f>
        <v>229.00000000000003</v>
      </c>
      <c r="BZ68" s="14">
        <f>BY68*VLOOKUP('Données projet'!$B$12,Paramètres!$A$1:$I$89,3,0)*VLOOKUP('Données projet'!$B$12,Paramètres!$A$1:$I$89,5,0)</f>
        <v>232.20600000000005</v>
      </c>
      <c r="CA68" s="14">
        <f t="shared" si="39"/>
        <v>56.759404991217572</v>
      </c>
      <c r="CB68" s="22">
        <f t="shared" ref="CB68:CB131" si="64">(BZ68+CA68)*0.475*44/12</f>
        <v>503.28141369303734</v>
      </c>
      <c r="CC68" s="62">
        <f t="shared" ref="CC68:CC131" si="65">CB68+(BT68+BU68)*44/12</f>
        <v>796.61474702637065</v>
      </c>
      <c r="CD68" s="62">
        <f ca="1">AVERAGE(OFFSET($CC$3,0,0,'Données projet'!$E$12+1,1))-AVERAGE(OFFSET($H$3,0,0,'Données projet'!$E$12+1,1))</f>
        <v>308.72872453744998</v>
      </c>
      <c r="CE68" s="62">
        <f t="shared" si="40"/>
        <v>195.3674411454258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21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1.1461427678327558</v>
      </c>
      <c r="CM68" s="23">
        <f>EXP(-LN(2)/2)*CM67+(1-EXP(-LN(2)/2))/(LN(2)/2)*CG68*CJ68*VLOOKUP('Données projet'!$B$12,Paramètres!$A$1:$I$89,3,0)*0.475*44/12</f>
        <v>7.5872546204443336E-5</v>
      </c>
      <c r="CN68" s="24">
        <f t="shared" ref="CN68:CN131" si="66">SUM(CK68:CM68)</f>
        <v>1.1462186403789603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160.24926890971085</v>
      </c>
      <c r="T69" s="62">
        <f t="shared" ref="T69:T132" si="88">$T$3</f>
        <v>323.52368436151721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28.896374288979921</v>
      </c>
      <c r="AA69" s="23">
        <f>EXP(-LN(2)/25)*AA68+(1-EXP(-LN(2)/25))/(LN(2)/25)*Calculateur!V69*Calculateur!X69*VLOOKUP('Données projet'!$B$9,Paramètres!$A$1:$I$89,3,0)*0.475*44/12</f>
        <v>19.035033870051283</v>
      </c>
      <c r="AB69" s="23">
        <f>EXP(-LN(2)/2)*AB68+(1-EXP(-LN(2)/2))/(LN(2)/2)*V69*Y69*VLOOKUP('Données projet'!$B$9,Paramètres!$A$1:$I$89,3,0)*0.475*44/12</f>
        <v>6.8015121667236466E-4</v>
      </c>
      <c r="AC69" s="24">
        <f t="shared" si="57"/>
        <v>47.932088310247877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214.80000000000004</v>
      </c>
      <c r="AJ69" s="14">
        <f>AI69*VLOOKUP('Données projet'!$B$10,Paramètres!$A$1:$I$89,3,0)*VLOOKUP('Données projet'!$B$10,Paramètres!$A$1:$I$89,5,0)</f>
        <v>224.50896000000006</v>
      </c>
      <c r="AK69" s="14">
        <f t="shared" ref="AK69:AK132" si="89">EXP(-1.0587+0.8836*LN(AJ69)+0.284)</f>
        <v>55.093725750341399</v>
      </c>
      <c r="AL69" s="22">
        <f t="shared" si="58"/>
        <v>486.97467768184464</v>
      </c>
      <c r="AM69" s="62">
        <f t="shared" si="59"/>
        <v>780.30801101517795</v>
      </c>
      <c r="AN69" s="62">
        <f ca="1">AVERAGE(OFFSET($AM$3,0,0,'Données projet'!$E$10+1,1))-AVERAGE(OFFSET($H$3,0,0,'Données projet'!$E$10+1,1))</f>
        <v>320.63267332485663</v>
      </c>
      <c r="AO69" s="62">
        <f t="shared" ref="AO69:AO132" si="90">$AO$3</f>
        <v>201.96012789473809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1.1491030161448277</v>
      </c>
      <c r="AW69" s="23">
        <f>EXP(-LN(2)/2)*AW68+(1-EXP(-LN(2)/2))/(LN(2)/2)*AQ69*AT69*VLOOKUP('Données projet'!$B$10,Paramètres!$A$1:$I$89,3,0)*0.475*44/12</f>
        <v>5.5300760909422441E-5</v>
      </c>
      <c r="AX69" s="23">
        <f t="shared" si="60"/>
        <v>1.1491583169057371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194.35104000000004</v>
      </c>
      <c r="BF69" s="14">
        <f t="shared" ref="BF69:BF132" si="91">EXP(-1.0587+0.8836*LN(BE69)+0.284)</f>
        <v>48.500634729810159</v>
      </c>
      <c r="BG69" s="22">
        <f t="shared" si="61"/>
        <v>422.96666682108616</v>
      </c>
      <c r="BH69" s="62">
        <f t="shared" si="62"/>
        <v>716.30000015441942</v>
      </c>
      <c r="BI69" s="62">
        <f ca="1">AVERAGE(OFFSET($BH$3,0,0,'Données projet'!$E$11+1,1))-AVERAGE(OFFSET($H$3,0,0,'Données projet'!$E$11+1,1))</f>
        <v>267.00333505765792</v>
      </c>
      <c r="BJ69" s="62">
        <f t="shared" ref="BJ69:BJ132" si="92">$BJ$3</f>
        <v>172.25613380618557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0.99474589457313434</v>
      </c>
      <c r="BR69" s="23">
        <f>EXP(-LN(2)/2)*BR68+(1-EXP(-LN(2)/2))/(LN(2)/2)*BL69*BO69*VLOOKUP('Données projet'!$B$11,Paramètres!$A$1:$I$89,3,0)*0.475*44/12</f>
        <v>4.787230048875367E-5</v>
      </c>
      <c r="BS69" s="24">
        <f t="shared" si="63"/>
        <v>0.99479376687362309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214.80000000000004</v>
      </c>
      <c r="BZ69" s="14">
        <f>BY69*VLOOKUP('Données projet'!$B$12,Paramètres!$A$1:$I$89,3,0)*VLOOKUP('Données projet'!$B$12,Paramètres!$A$1:$I$89,5,0)</f>
        <v>217.80720000000005</v>
      </c>
      <c r="CA69" s="14">
        <f t="shared" ref="CA69:CA132" si="93">EXP(-1.0587+0.8836*LN(BZ69)+0.284)</f>
        <v>53.638013973813976</v>
      </c>
      <c r="CB69" s="22">
        <f t="shared" si="64"/>
        <v>472.76708100439265</v>
      </c>
      <c r="CC69" s="62">
        <f t="shared" si="65"/>
        <v>766.10041433772597</v>
      </c>
      <c r="CD69" s="62">
        <f ca="1">AVERAGE(OFFSET($CC$3,0,0,'Données projet'!$E$12+1,1))-AVERAGE(OFFSET($H$3,0,0,'Données projet'!$E$12+1,1))</f>
        <v>308.72872453744998</v>
      </c>
      <c r="CE69" s="62">
        <f t="shared" ref="CE69:CE132" si="94">$CE$3</f>
        <v>195.3674411454258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1.1148014335733405</v>
      </c>
      <c r="CM69" s="23">
        <f>EXP(-LN(2)/2)*CM68+(1-EXP(-LN(2)/2))/(LN(2)/2)*CG69*CJ69*VLOOKUP('Données projet'!$B$12,Paramètres!$A$1:$I$89,3,0)*0.475*44/12</f>
        <v>5.3649991927051531E-5</v>
      </c>
      <c r="CN69" s="24">
        <f t="shared" si="66"/>
        <v>1.1148550835652675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160.24926890971085</v>
      </c>
      <c r="T70" s="62">
        <f t="shared" si="88"/>
        <v>323.52368436151721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28.32973401422101</v>
      </c>
      <c r="AA70" s="23">
        <f>EXP(-LN(2)/25)*AA69+(1-EXP(-LN(2)/25))/(LN(2)/25)*Calculateur!V70*Calculateur!X70*VLOOKUP('Données projet'!$B$9,Paramètres!$A$1:$I$89,3,0)*0.475*44/12</f>
        <v>18.514519867865804</v>
      </c>
      <c r="AB70" s="23">
        <f>EXP(-LN(2)/2)*AB69+(1-EXP(-LN(2)/2))/(LN(2)/2)*V70*Y70*VLOOKUP('Données projet'!$B$9,Paramètres!$A$1:$I$89,3,0)*0.475*44/12</f>
        <v>4.8093953754130986E-4</v>
      </c>
      <c r="AC70" s="24">
        <f t="shared" si="57"/>
        <v>46.844734821624357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221.60000000000005</v>
      </c>
      <c r="AJ70" s="14">
        <f>AI70*VLOOKUP('Données projet'!$B$10,Paramètres!$A$1:$I$89,3,0)*VLOOKUP('Données projet'!$B$10,Paramètres!$A$1:$I$89,5,0)</f>
        <v>231.61632000000006</v>
      </c>
      <c r="AK70" s="14">
        <f t="shared" si="89"/>
        <v>56.632025137557321</v>
      </c>
      <c r="AL70" s="22">
        <f t="shared" si="58"/>
        <v>502.0325344479125</v>
      </c>
      <c r="AM70" s="62">
        <f t="shared" si="59"/>
        <v>795.36586778124581</v>
      </c>
      <c r="AN70" s="62">
        <f ca="1">AVERAGE(OFFSET($AM$3,0,0,'Données projet'!$E$10+1,1))-AVERAGE(OFFSET($H$3,0,0,'Données projet'!$E$10+1,1))</f>
        <v>320.63267332485663</v>
      </c>
      <c r="AO70" s="62">
        <f t="shared" si="90"/>
        <v>201.96012789473809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1.1176807337396462</v>
      </c>
      <c r="AW70" s="23">
        <f>EXP(-LN(2)/2)*AW69+(1-EXP(-LN(2)/2))/(LN(2)/2)*AQ70*AT70*VLOOKUP('Données projet'!$B$10,Paramètres!$A$1:$I$89,3,0)*0.475*44/12</f>
        <v>3.9103543043828555E-5</v>
      </c>
      <c r="AX70" s="23">
        <f t="shared" si="60"/>
        <v>1.11771983728269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200.50368000000003</v>
      </c>
      <c r="BF70" s="14">
        <f t="shared" si="91"/>
        <v>49.854845135229887</v>
      </c>
      <c r="BG70" s="22">
        <f t="shared" si="61"/>
        <v>436.04109794385869</v>
      </c>
      <c r="BH70" s="62">
        <f t="shared" si="62"/>
        <v>729.374431277192</v>
      </c>
      <c r="BI70" s="62">
        <f ca="1">AVERAGE(OFFSET($BH$3,0,0,'Données projet'!$E$11+1,1))-AVERAGE(OFFSET($H$3,0,0,'Données projet'!$E$11+1,1))</f>
        <v>267.00333505765792</v>
      </c>
      <c r="BJ70" s="62">
        <f t="shared" si="92"/>
        <v>172.25613380618557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0.96754451577461886</v>
      </c>
      <c r="BR70" s="23">
        <f>EXP(-LN(2)/2)*BR69+(1-EXP(-LN(2)/2))/(LN(2)/2)*BL70*BO70*VLOOKUP('Données projet'!$B$11,Paramètres!$A$1:$I$89,3,0)*0.475*44/12</f>
        <v>3.3850828306597793E-5</v>
      </c>
      <c r="BS70" s="24">
        <f t="shared" si="63"/>
        <v>0.96757836660292551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221.60000000000005</v>
      </c>
      <c r="BZ70" s="14">
        <f>BY70*VLOOKUP('Données projet'!$B$12,Paramètres!$A$1:$I$89,3,0)*VLOOKUP('Données projet'!$B$12,Paramètres!$A$1:$I$89,5,0)</f>
        <v>224.7024000000001</v>
      </c>
      <c r="CA70" s="14">
        <f t="shared" si="93"/>
        <v>55.135667706678312</v>
      </c>
      <c r="CB70" s="22">
        <f t="shared" si="64"/>
        <v>487.38463458913157</v>
      </c>
      <c r="CC70" s="62">
        <f t="shared" si="65"/>
        <v>780.71796792246482</v>
      </c>
      <c r="CD70" s="62">
        <f ca="1">AVERAGE(OFFSET($CC$3,0,0,'Données projet'!$E$12+1,1))-AVERAGE(OFFSET($H$3,0,0,'Données projet'!$E$12+1,1))</f>
        <v>308.72872453744998</v>
      </c>
      <c r="CE70" s="62">
        <f t="shared" si="94"/>
        <v>195.3674411454258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1.0843171297474181</v>
      </c>
      <c r="CM70" s="23">
        <f>EXP(-LN(2)/2)*CM69+(1-EXP(-LN(2)/2))/(LN(2)/2)*CG70*CJ70*VLOOKUP('Données projet'!$B$12,Paramètres!$A$1:$I$89,3,0)*0.475*44/12</f>
        <v>3.7936273102221668E-5</v>
      </c>
      <c r="CN70" s="24">
        <f t="shared" si="66"/>
        <v>1.0843550660205203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160.24926890971085</v>
      </c>
      <c r="T71" s="62">
        <f t="shared" si="88"/>
        <v>323.52368436151721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27.774205209633681</v>
      </c>
      <c r="AA71" s="23">
        <f>EXP(-LN(2)/25)*AA70+(1-EXP(-LN(2)/25))/(LN(2)/25)*Calculateur!V71*Calculateur!X71*VLOOKUP('Données projet'!$B$9,Paramètres!$A$1:$I$89,3,0)*0.475*44/12</f>
        <v>18.008239348442729</v>
      </c>
      <c r="AB71" s="23">
        <f>EXP(-LN(2)/2)*AB70+(1-EXP(-LN(2)/2))/(LN(2)/2)*V71*Y71*VLOOKUP('Données projet'!$B$9,Paramètres!$A$1:$I$89,3,0)*0.475*44/12</f>
        <v>3.4007560833618239E-4</v>
      </c>
      <c r="AC71" s="24">
        <f t="shared" si="57"/>
        <v>45.782784633684741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228.40000000000006</v>
      </c>
      <c r="AJ71" s="14">
        <f>AI71*VLOOKUP('Données projet'!$B$10,Paramètres!$A$1:$I$89,3,0)*VLOOKUP('Données projet'!$B$10,Paramètres!$A$1:$I$89,5,0)</f>
        <v>238.72368000000009</v>
      </c>
      <c r="AK71" s="14">
        <f t="shared" si="89"/>
        <v>58.164838855295393</v>
      </c>
      <c r="AL71" s="22">
        <f t="shared" si="58"/>
        <v>517.0808370063063</v>
      </c>
      <c r="AM71" s="62">
        <f t="shared" si="59"/>
        <v>810.41417033963967</v>
      </c>
      <c r="AN71" s="62">
        <f ca="1">AVERAGE(OFFSET($AM$3,0,0,'Données projet'!$E$10+1,1))-AVERAGE(OFFSET($H$3,0,0,'Données projet'!$E$10+1,1))</f>
        <v>320.63267332485663</v>
      </c>
      <c r="AO71" s="62">
        <f t="shared" si="90"/>
        <v>201.96012789473809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1.0871176952992603</v>
      </c>
      <c r="AW71" s="23">
        <f>EXP(-LN(2)/2)*AW70+(1-EXP(-LN(2)/2))/(LN(2)/2)*AQ71*AT71*VLOOKUP('Données projet'!$B$10,Paramètres!$A$1:$I$89,3,0)*0.475*44/12</f>
        <v>2.7650380454711221E-5</v>
      </c>
      <c r="AX71" s="23">
        <f t="shared" si="60"/>
        <v>1.0871453456797149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206.65632000000005</v>
      </c>
      <c r="BF71" s="14">
        <f t="shared" si="91"/>
        <v>51.20422634371338</v>
      </c>
      <c r="BG71" s="22">
        <f t="shared" si="61"/>
        <v>449.10711821530089</v>
      </c>
      <c r="BH71" s="62">
        <f t="shared" si="62"/>
        <v>742.4404515486342</v>
      </c>
      <c r="BI71" s="62">
        <f ca="1">AVERAGE(OFFSET($BH$3,0,0,'Données projet'!$E$11+1,1))-AVERAGE(OFFSET($H$3,0,0,'Données projet'!$E$11+1,1))</f>
        <v>267.00333505765792</v>
      </c>
      <c r="BJ71" s="62">
        <f t="shared" si="92"/>
        <v>172.25613380618557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0.94108696010980719</v>
      </c>
      <c r="BR71" s="23">
        <f>EXP(-LN(2)/2)*BR70+(1-EXP(-LN(2)/2))/(LN(2)/2)*BL71*BO71*VLOOKUP('Données projet'!$B$11,Paramètres!$A$1:$I$89,3,0)*0.475*44/12</f>
        <v>2.3936150244376835E-5</v>
      </c>
      <c r="BS71" s="24">
        <f t="shared" si="63"/>
        <v>0.94111089626005162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228.40000000000006</v>
      </c>
      <c r="BZ71" s="14">
        <f>BY71*VLOOKUP('Données projet'!$B$12,Paramètres!$A$1:$I$89,3,0)*VLOOKUP('Données projet'!$B$12,Paramètres!$A$1:$I$89,5,0)</f>
        <v>231.59760000000006</v>
      </c>
      <c r="CA71" s="14">
        <f t="shared" si="93"/>
        <v>56.627980714948151</v>
      </c>
      <c r="CB71" s="22">
        <f t="shared" si="64"/>
        <v>501.99288641186803</v>
      </c>
      <c r="CC71" s="62">
        <f t="shared" si="65"/>
        <v>795.32621974520134</v>
      </c>
      <c r="CD71" s="62">
        <f ca="1">AVERAGE(OFFSET($CC$3,0,0,'Données projet'!$E$12+1,1))-AVERAGE(OFFSET($H$3,0,0,'Données projet'!$E$12+1,1))</f>
        <v>308.72872453744998</v>
      </c>
      <c r="CE71" s="62">
        <f t="shared" si="94"/>
        <v>195.3674411454258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1.0546664208127154</v>
      </c>
      <c r="CM71" s="23">
        <f>EXP(-LN(2)/2)*CM70+(1-EXP(-LN(2)/2))/(LN(2)/2)*CG71*CJ71*VLOOKUP('Données projet'!$B$12,Paramètres!$A$1:$I$89,3,0)*0.475*44/12</f>
        <v>2.6824995963525766E-5</v>
      </c>
      <c r="CN71" s="24">
        <f t="shared" si="66"/>
        <v>1.0546932458086791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160.24926890971085</v>
      </c>
      <c r="T72" s="62">
        <f t="shared" si="88"/>
        <v>323.52368436151721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27.229569986065197</v>
      </c>
      <c r="AA72" s="23">
        <f>EXP(-LN(2)/25)*AA71+(1-EXP(-LN(2)/25))/(LN(2)/25)*Calculateur!V72*Calculateur!X72*VLOOKUP('Données projet'!$B$9,Paramètres!$A$1:$I$89,3,0)*0.475*44/12</f>
        <v>17.515803096447414</v>
      </c>
      <c r="AB72" s="23">
        <f>EXP(-LN(2)/2)*AB71+(1-EXP(-LN(2)/2))/(LN(2)/2)*V72*Y72*VLOOKUP('Données projet'!$B$9,Paramètres!$A$1:$I$89,3,0)*0.475*44/12</f>
        <v>2.4046976877065498E-4</v>
      </c>
      <c r="AC72" s="24">
        <f t="shared" si="57"/>
        <v>44.745613552281384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235.20000000000007</v>
      </c>
      <c r="AJ72" s="14">
        <f>AI72*VLOOKUP('Données projet'!$B$10,Paramètres!$A$1:$I$89,3,0)*VLOOKUP('Données projet'!$B$10,Paramètres!$A$1:$I$89,5,0)</f>
        <v>245.83104000000012</v>
      </c>
      <c r="AK72" s="14">
        <f t="shared" si="89"/>
        <v>59.692348974264561</v>
      </c>
      <c r="AL72" s="22">
        <f t="shared" si="58"/>
        <v>532.11990246351093</v>
      </c>
      <c r="AM72" s="62">
        <f t="shared" si="59"/>
        <v>825.45323579684418</v>
      </c>
      <c r="AN72" s="62">
        <f ca="1">AVERAGE(OFFSET($AM$3,0,0,'Données projet'!$E$10+1,1))-AVERAGE(OFFSET($H$3,0,0,'Données projet'!$E$10+1,1))</f>
        <v>320.63267332485663</v>
      </c>
      <c r="AO72" s="62">
        <f t="shared" si="90"/>
        <v>201.96012789473809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1.0573904047522671</v>
      </c>
      <c r="AW72" s="23">
        <f>EXP(-LN(2)/2)*AW71+(1-EXP(-LN(2)/2))/(LN(2)/2)*AQ72*AT72*VLOOKUP('Données projet'!$B$10,Paramètres!$A$1:$I$89,3,0)*0.475*44/12</f>
        <v>1.9551771521914277E-5</v>
      </c>
      <c r="AX72" s="23">
        <f t="shared" si="60"/>
        <v>1.0574099565237891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212.80896000000004</v>
      </c>
      <c r="BF72" s="14">
        <f t="shared" si="91"/>
        <v>52.54893863748589</v>
      </c>
      <c r="BG72" s="22">
        <f t="shared" si="61"/>
        <v>462.16500679362139</v>
      </c>
      <c r="BH72" s="62">
        <f t="shared" si="62"/>
        <v>755.49834012695464</v>
      </c>
      <c r="BI72" s="62">
        <f ca="1">AVERAGE(OFFSET($BH$3,0,0,'Données projet'!$E$11+1,1))-AVERAGE(OFFSET($H$3,0,0,'Données projet'!$E$11+1,1))</f>
        <v>267.00333505765792</v>
      </c>
      <c r="BJ72" s="62">
        <f t="shared" si="92"/>
        <v>172.25613380618557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0.91535288769599221</v>
      </c>
      <c r="BR72" s="23">
        <f>EXP(-LN(2)/2)*BR71+(1-EXP(-LN(2)/2))/(LN(2)/2)*BL72*BO72*VLOOKUP('Données projet'!$B$11,Paramètres!$A$1:$I$89,3,0)*0.475*44/12</f>
        <v>1.6925414153298897E-5</v>
      </c>
      <c r="BS72" s="24">
        <f t="shared" si="63"/>
        <v>0.91536981311014554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235.20000000000007</v>
      </c>
      <c r="BZ72" s="14">
        <f>BY72*VLOOKUP('Données projet'!$B$12,Paramètres!$A$1:$I$89,3,0)*VLOOKUP('Données projet'!$B$12,Paramètres!$A$1:$I$89,5,0)</f>
        <v>238.4928000000001</v>
      </c>
      <c r="CA72" s="14">
        <f t="shared" si="93"/>
        <v>58.115130258576592</v>
      </c>
      <c r="CB72" s="22">
        <f t="shared" si="64"/>
        <v>516.59214520035437</v>
      </c>
      <c r="CC72" s="62">
        <f t="shared" si="65"/>
        <v>809.92547853368774</v>
      </c>
      <c r="CD72" s="62">
        <f ca="1">AVERAGE(OFFSET($CC$3,0,0,'Données projet'!$E$12+1,1))-AVERAGE(OFFSET($H$3,0,0,'Données projet'!$E$12+1,1))</f>
        <v>308.72872453744998</v>
      </c>
      <c r="CE72" s="62">
        <f t="shared" si="94"/>
        <v>195.3674411454258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1.0258265120730952</v>
      </c>
      <c r="CM72" s="23">
        <f>EXP(-LN(2)/2)*CM71+(1-EXP(-LN(2)/2))/(LN(2)/2)*CG72*CJ72*VLOOKUP('Données projet'!$B$12,Paramètres!$A$1:$I$89,3,0)*0.475*44/12</f>
        <v>1.8968136551110834E-5</v>
      </c>
      <c r="CN72" s="24">
        <f t="shared" si="66"/>
        <v>1.0258454802096462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160.24926890971085</v>
      </c>
      <c r="T73" s="62">
        <f t="shared" si="88"/>
        <v>323.52368436151721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26.695614727036208</v>
      </c>
      <c r="AA73" s="23">
        <f>EXP(-LN(2)/25)*AA72+(1-EXP(-LN(2)/25))/(LN(2)/25)*Calculateur!V73*Calculateur!X73*VLOOKUP('Données projet'!$B$9,Paramètres!$A$1:$I$89,3,0)*0.475*44/12</f>
        <v>17.036832539659006</v>
      </c>
      <c r="AB73" s="23">
        <f>EXP(-LN(2)/2)*AB72+(1-EXP(-LN(2)/2))/(LN(2)/2)*V73*Y73*VLOOKUP('Données projet'!$B$9,Paramètres!$A$1:$I$89,3,0)*0.475*44/12</f>
        <v>1.7003780416809122E-4</v>
      </c>
      <c r="AC73" s="24">
        <f t="shared" si="57"/>
        <v>43.732617304499385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242.00000000000009</v>
      </c>
      <c r="AJ73" s="14">
        <f>AI73*VLOOKUP('Données projet'!$B$10,Paramètres!$A$1:$I$89,3,0)*VLOOKUP('Données projet'!$B$10,Paramètres!$A$1:$I$89,5,0)</f>
        <v>252.93840000000012</v>
      </c>
      <c r="AK73" s="14">
        <f t="shared" si="89"/>
        <v>61.214726438585039</v>
      </c>
      <c r="AL73" s="22">
        <f t="shared" si="58"/>
        <v>547.1500285472024</v>
      </c>
      <c r="AM73" s="62">
        <f t="shared" si="59"/>
        <v>840.48336188053577</v>
      </c>
      <c r="AN73" s="62">
        <f ca="1">AVERAGE(OFFSET($AM$3,0,0,'Données projet'!$E$10+1,1))-AVERAGE(OFFSET($H$3,0,0,'Données projet'!$E$10+1,1))</f>
        <v>320.63267332485663</v>
      </c>
      <c r="AO73" s="62">
        <f t="shared" si="90"/>
        <v>201.96012789473809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1.0284760085285716</v>
      </c>
      <c r="AW73" s="23">
        <f>EXP(-LN(2)/2)*AW72+(1-EXP(-LN(2)/2))/(LN(2)/2)*AQ73*AT73*VLOOKUP('Données projet'!$B$10,Paramètres!$A$1:$I$89,3,0)*0.475*44/12</f>
        <v>1.382519022735561E-5</v>
      </c>
      <c r="AX73" s="23">
        <f t="shared" si="60"/>
        <v>1.0284898337187989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218.96160000000006</v>
      </c>
      <c r="BF73" s="14">
        <f t="shared" si="91"/>
        <v>53.88913250370743</v>
      </c>
      <c r="BG73" s="22">
        <f t="shared" si="61"/>
        <v>475.21502577729046</v>
      </c>
      <c r="BH73" s="62">
        <f t="shared" si="62"/>
        <v>768.54835911062378</v>
      </c>
      <c r="BI73" s="62">
        <f ca="1">AVERAGE(OFFSET($BH$3,0,0,'Données projet'!$E$11+1,1))-AVERAGE(OFFSET($H$3,0,0,'Données projet'!$E$11+1,1))</f>
        <v>267.00333505765792</v>
      </c>
      <c r="BJ73" s="62">
        <f t="shared" si="92"/>
        <v>172.25613380618557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0.89032251484562897</v>
      </c>
      <c r="BR73" s="23">
        <f>EXP(-LN(2)/2)*BR72+(1-EXP(-LN(2)/2))/(LN(2)/2)*BL73*BO73*VLOOKUP('Données projet'!$B$11,Paramètres!$A$1:$I$89,3,0)*0.475*44/12</f>
        <v>1.1968075122188417E-5</v>
      </c>
      <c r="BS73" s="24">
        <f t="shared" si="63"/>
        <v>0.89033448292075112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242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242.00000000000009</v>
      </c>
      <c r="BZ73" s="14">
        <f>BY73*VLOOKUP('Données projet'!$B$12,Paramètres!$A$1:$I$89,3,0)*VLOOKUP('Données projet'!$B$12,Paramètres!$A$1:$I$89,5,0)</f>
        <v>245.38800000000012</v>
      </c>
      <c r="CA73" s="14">
        <f t="shared" si="93"/>
        <v>59.597282764919569</v>
      </c>
      <c r="CB73" s="22">
        <f t="shared" si="64"/>
        <v>531.18270081556841</v>
      </c>
      <c r="CC73" s="62">
        <f t="shared" si="65"/>
        <v>824.51603414890178</v>
      </c>
      <c r="CD73" s="62">
        <f ca="1">AVERAGE(OFFSET($CC$3,0,0,'Données projet'!$E$12+1,1))-AVERAGE(OFFSET($H$3,0,0,'Données projet'!$E$12+1,1))</f>
        <v>308.72872453744998</v>
      </c>
      <c r="CE73" s="62">
        <f t="shared" si="94"/>
        <v>195.3674411454258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0.99777523215458463</v>
      </c>
      <c r="CM73" s="23">
        <f>EXP(-LN(2)/2)*CM72+(1-EXP(-LN(2)/2))/(LN(2)/2)*CG73*CJ73*VLOOKUP('Données projet'!$B$12,Paramètres!$A$1:$I$89,3,0)*0.475*44/12</f>
        <v>1.3412497981762883E-5</v>
      </c>
      <c r="CN73" s="24">
        <f t="shared" si="66"/>
        <v>0.99778864465256645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160.24926890971085</v>
      </c>
      <c r="T74" s="62">
        <f t="shared" si="88"/>
        <v>323.52368436151721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26.172130004956227</v>
      </c>
      <c r="AA74" s="23">
        <f>EXP(-LN(2)/25)*AA73+(1-EXP(-LN(2)/25))/(LN(2)/25)*Calculateur!V74*Calculateur!X74*VLOOKUP('Données projet'!$B$9,Paramètres!$A$1:$I$89,3,0)*0.475*44/12</f>
        <v>16.570959457933945</v>
      </c>
      <c r="AB74" s="23">
        <f>EXP(-LN(2)/2)*AB73+(1-EXP(-LN(2)/2))/(LN(2)/2)*V74*Y74*VLOOKUP('Données projet'!$B$9,Paramètres!$A$1:$I$89,3,0)*0.475*44/12</f>
        <v>1.202348843853275E-4</v>
      </c>
      <c r="AC74" s="24">
        <f t="shared" si="57"/>
        <v>42.743209697774553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6.4</v>
      </c>
      <c r="AI74" s="14">
        <f>IF('Données projet'!$A$62&gt;35,AI73+AH74-AQ73,IF(A74&lt;'Données projet'!$A$62,$AF$205^A74,IF(A74='Données projet'!$A$62,'Données projet'!$B$62,AI73+AH74-AQ73)))</f>
        <v>227.40000000000009</v>
      </c>
      <c r="AJ74" s="14">
        <f>AI74*VLOOKUP('Données projet'!$B$10,Paramètres!$A$1:$I$89,3,0)*VLOOKUP('Données projet'!$B$10,Paramètres!$A$1:$I$89,5,0)</f>
        <v>237.67848000000009</v>
      </c>
      <c r="AK74" s="14">
        <f t="shared" si="89"/>
        <v>57.939761932641979</v>
      </c>
      <c r="AL74" s="22">
        <f t="shared" si="58"/>
        <v>514.86843803268494</v>
      </c>
      <c r="AM74" s="62">
        <f t="shared" si="59"/>
        <v>808.20177136601819</v>
      </c>
      <c r="AN74" s="62">
        <f ca="1">AVERAGE(OFFSET($AM$3,0,0,'Données projet'!$E$10+1,1))-AVERAGE(OFFSET($H$3,0,0,'Données projet'!$E$10+1,1))</f>
        <v>320.63267332485663</v>
      </c>
      <c r="AO74" s="62">
        <f t="shared" si="90"/>
        <v>201.96012789473809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1.000352277990155</v>
      </c>
      <c r="AW74" s="23">
        <f>EXP(-LN(2)/2)*AW73+(1-EXP(-LN(2)/2))/(LN(2)/2)*AQ74*AT74*VLOOKUP('Données projet'!$B$10,Paramètres!$A$1:$I$89,3,0)*0.475*44/12</f>
        <v>9.7758857609571386E-6</v>
      </c>
      <c r="AX74" s="23">
        <f t="shared" si="60"/>
        <v>1.0003620538759159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205.75152000000008</v>
      </c>
      <c r="BF74" s="14">
        <f t="shared" si="91"/>
        <v>51.006084477955554</v>
      </c>
      <c r="BG74" s="22">
        <f t="shared" si="61"/>
        <v>447.18616113243934</v>
      </c>
      <c r="BH74" s="62">
        <f t="shared" si="62"/>
        <v>740.5194944657726</v>
      </c>
      <c r="BI74" s="62">
        <f ca="1">AVERAGE(OFFSET($BH$3,0,0,'Données projet'!$E$11+1,1))-AVERAGE(OFFSET($H$3,0,0,'Données projet'!$E$11+1,1))</f>
        <v>267.00333505765792</v>
      </c>
      <c r="BJ74" s="62">
        <f t="shared" si="92"/>
        <v>172.25613380618557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0.86597659885714906</v>
      </c>
      <c r="BR74" s="23">
        <f>EXP(-LN(2)/2)*BR73+(1-EXP(-LN(2)/2))/(LN(2)/2)*BL74*BO74*VLOOKUP('Données projet'!$B$11,Paramètres!$A$1:$I$89,3,0)*0.475*44/12</f>
        <v>8.4627070766494483E-6</v>
      </c>
      <c r="BS74" s="24">
        <f t="shared" si="63"/>
        <v>0.86598506156422572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6.4</v>
      </c>
      <c r="BY74" s="13">
        <f>IF('Données projet'!$A$114&gt;35,BY73+BX74-CG73,IF(A74&lt;'Données projet'!$A$114,$BV$205^A74,IF(A74='Données projet'!$A$114,'Données projet'!$B$114,BY73+BX74-CG73)))</f>
        <v>227.40000000000009</v>
      </c>
      <c r="BZ74" s="14">
        <f>BY74*VLOOKUP('Données projet'!$B$12,Paramètres!$A$1:$I$89,3,0)*VLOOKUP('Données projet'!$B$12,Paramètres!$A$1:$I$89,5,0)</f>
        <v>230.5836000000001</v>
      </c>
      <c r="CA74" s="14">
        <f t="shared" si="93"/>
        <v>56.408850878328018</v>
      </c>
      <c r="CB74" s="22">
        <f t="shared" si="64"/>
        <v>499.84518527975473</v>
      </c>
      <c r="CC74" s="62">
        <f t="shared" si="65"/>
        <v>793.17851861308804</v>
      </c>
      <c r="CD74" s="62">
        <f ca="1">AVERAGE(OFFSET($CC$3,0,0,'Données projet'!$E$12+1,1))-AVERAGE(OFFSET($H$3,0,0,'Données projet'!$E$12+1,1))</f>
        <v>308.72872453744998</v>
      </c>
      <c r="CE74" s="62">
        <f t="shared" si="94"/>
        <v>195.3674411454258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0.9704910159605985</v>
      </c>
      <c r="CM74" s="23">
        <f>EXP(-LN(2)/2)*CM73+(1-EXP(-LN(2)/2))/(LN(2)/2)*CG74*CJ74*VLOOKUP('Données projet'!$B$12,Paramètres!$A$1:$I$89,3,0)*0.475*44/12</f>
        <v>9.4840682755554171E-6</v>
      </c>
      <c r="CN74" s="24">
        <f t="shared" si="66"/>
        <v>0.970500500028874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160.24926890971085</v>
      </c>
      <c r="T75" s="62">
        <f t="shared" si="88"/>
        <v>323.52368436151721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25.658910498982081</v>
      </c>
      <c r="AA75" s="23">
        <f>EXP(-LN(2)/25)*AA74+(1-EXP(-LN(2)/25))/(LN(2)/25)*Calculateur!V75*Calculateur!X75*VLOOKUP('Données projet'!$B$9,Paramètres!$A$1:$I$89,3,0)*0.475*44/12</f>
        <v>16.117825700127856</v>
      </c>
      <c r="AB75" s="23">
        <f>EXP(-LN(2)/2)*AB74+(1-EXP(-LN(2)/2))/(LN(2)/2)*V75*Y75*VLOOKUP('Données projet'!$B$9,Paramètres!$A$1:$I$89,3,0)*0.475*44/12</f>
        <v>8.5018902084045623E-5</v>
      </c>
      <c r="AC75" s="24">
        <f t="shared" si="57"/>
        <v>41.776821218012017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6.4</v>
      </c>
      <c r="AI75" s="14">
        <f>IF('Données projet'!$A$62&gt;35,AI74+AH75-AQ74,IF(A75&lt;'Données projet'!$A$62,$AF$205^A75,IF(A75='Données projet'!$A$62,'Données projet'!$B$62,AI74+AH75-AQ74)))</f>
        <v>233.8000000000001</v>
      </c>
      <c r="AJ75" s="14">
        <f>AI75*VLOOKUP('Données projet'!$B$10,Paramètres!$A$1:$I$89,3,0)*VLOOKUP('Données projet'!$B$10,Paramètres!$A$1:$I$89,5,0)</f>
        <v>244.36776000000012</v>
      </c>
      <c r="AK75" s="14">
        <f t="shared" si="89"/>
        <v>59.378286639505248</v>
      </c>
      <c r="AL75" s="22">
        <f t="shared" si="58"/>
        <v>529.02436456380519</v>
      </c>
      <c r="AM75" s="62">
        <f t="shared" si="59"/>
        <v>822.35769789713845</v>
      </c>
      <c r="AN75" s="62">
        <f ca="1">AVERAGE(OFFSET($AM$3,0,0,'Données projet'!$E$10+1,1))-AVERAGE(OFFSET($H$3,0,0,'Données projet'!$E$10+1,1))</f>
        <v>320.63267332485663</v>
      </c>
      <c r="AO75" s="62">
        <f t="shared" si="90"/>
        <v>201.96012789473809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0.97299759234227423</v>
      </c>
      <c r="AW75" s="23">
        <f>EXP(-LN(2)/2)*AW74+(1-EXP(-LN(2)/2))/(LN(2)/2)*AQ75*AT75*VLOOKUP('Données projet'!$B$10,Paramètres!$A$1:$I$89,3,0)*0.475*44/12</f>
        <v>6.9125951136778051E-6</v>
      </c>
      <c r="AX75" s="23">
        <f t="shared" si="60"/>
        <v>0.97300450493738788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211.54224000000008</v>
      </c>
      <c r="BF75" s="14">
        <f t="shared" si="91"/>
        <v>52.272460284041784</v>
      </c>
      <c r="BG75" s="22">
        <f t="shared" si="61"/>
        <v>459.47726966137287</v>
      </c>
      <c r="BH75" s="62">
        <f t="shared" si="62"/>
        <v>752.81060299470619</v>
      </c>
      <c r="BI75" s="62">
        <f ca="1">AVERAGE(OFFSET($BH$3,0,0,'Données projet'!$E$11+1,1))-AVERAGE(OFFSET($H$3,0,0,'Données projet'!$E$11+1,1))</f>
        <v>267.00333505765792</v>
      </c>
      <c r="BJ75" s="62">
        <f t="shared" si="92"/>
        <v>172.25613380618557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0.8422964232216702</v>
      </c>
      <c r="BR75" s="23">
        <f>EXP(-LN(2)/2)*BR74+(1-EXP(-LN(2)/2))/(LN(2)/2)*BL75*BO75*VLOOKUP('Données projet'!$B$11,Paramètres!$A$1:$I$89,3,0)*0.475*44/12</f>
        <v>5.9840375610942087E-6</v>
      </c>
      <c r="BS75" s="24">
        <f t="shared" si="63"/>
        <v>0.84230240725923133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6.4</v>
      </c>
      <c r="BY75" s="13">
        <f>IF('Données projet'!$A$114&gt;35,BY74+BX75-CG74,IF(A75&lt;'Données projet'!$A$114,$BV$205^A75,IF(A75='Données projet'!$A$114,'Données projet'!$B$114,BY74+BX75-CG74)))</f>
        <v>233.8000000000001</v>
      </c>
      <c r="BZ75" s="14">
        <f>BY75*VLOOKUP('Données projet'!$B$12,Paramètres!$A$1:$I$89,3,0)*VLOOKUP('Données projet'!$B$12,Paramètres!$A$1:$I$89,5,0)</f>
        <v>237.0732000000001</v>
      </c>
      <c r="CA75" s="14">
        <f t="shared" si="93"/>
        <v>57.809366223361302</v>
      </c>
      <c r="CB75" s="22">
        <f t="shared" si="64"/>
        <v>513.58713617235435</v>
      </c>
      <c r="CC75" s="62">
        <f t="shared" si="65"/>
        <v>806.92046950568761</v>
      </c>
      <c r="CD75" s="62">
        <f ca="1">AVERAGE(OFFSET($CC$3,0,0,'Données projet'!$E$12+1,1))-AVERAGE(OFFSET($H$3,0,0,'Données projet'!$E$12+1,1))</f>
        <v>308.72872453744998</v>
      </c>
      <c r="CE75" s="62">
        <f t="shared" si="94"/>
        <v>195.3674411454258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0.94395288809325151</v>
      </c>
      <c r="CM75" s="23">
        <f>EXP(-LN(2)/2)*CM74+(1-EXP(-LN(2)/2))/(LN(2)/2)*CG75*CJ75*VLOOKUP('Données projet'!$B$12,Paramètres!$A$1:$I$89,3,0)*0.475*44/12</f>
        <v>6.7062489908814414E-6</v>
      </c>
      <c r="CN75" s="24">
        <f t="shared" si="66"/>
        <v>0.94395959434224241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160.24926890971085</v>
      </c>
      <c r="T76" s="62">
        <f t="shared" si="88"/>
        <v>323.52368436151721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25.155754914487098</v>
      </c>
      <c r="AA76" s="23">
        <f>EXP(-LN(2)/25)*AA75+(1-EXP(-LN(2)/25))/(LN(2)/25)*Calculateur!V76*Calculateur!X76*VLOOKUP('Données projet'!$B$9,Paramètres!$A$1:$I$89,3,0)*0.475*44/12</f>
        <v>15.677082908758244</v>
      </c>
      <c r="AB76" s="23">
        <f>EXP(-LN(2)/2)*AB75+(1-EXP(-LN(2)/2))/(LN(2)/2)*V76*Y76*VLOOKUP('Données projet'!$B$9,Paramètres!$A$1:$I$89,3,0)*0.475*44/12</f>
        <v>6.0117442192663759E-5</v>
      </c>
      <c r="AC76" s="24">
        <f t="shared" si="57"/>
        <v>40.832897940687538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6.4</v>
      </c>
      <c r="AI76" s="14">
        <f>IF('Données projet'!$A$62&gt;35,AI75+AH76-AQ75,IF(A76&lt;'Données projet'!$A$62,$AF$205^A76,IF(A76='Données projet'!$A$62,'Données projet'!$B$62,AI75+AH76-AQ75)))</f>
        <v>240.2000000000001</v>
      </c>
      <c r="AJ76" s="14">
        <f>AI76*VLOOKUP('Données projet'!$B$10,Paramètres!$A$1:$I$89,3,0)*VLOOKUP('Données projet'!$B$10,Paramètres!$A$1:$I$89,5,0)</f>
        <v>251.05704000000014</v>
      </c>
      <c r="AK76" s="14">
        <f t="shared" si="89"/>
        <v>60.812234446882229</v>
      </c>
      <c r="AL76" s="22">
        <f t="shared" si="58"/>
        <v>543.17231966165343</v>
      </c>
      <c r="AM76" s="62">
        <f t="shared" si="59"/>
        <v>836.5056529949868</v>
      </c>
      <c r="AN76" s="62">
        <f ca="1">AVERAGE(OFFSET($AM$3,0,0,'Données projet'!$E$10+1,1))-AVERAGE(OFFSET($H$3,0,0,'Données projet'!$E$10+1,1))</f>
        <v>320.63267332485663</v>
      </c>
      <c r="AO76" s="62">
        <f t="shared" si="90"/>
        <v>201.96012789473809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0.94639092201195518</v>
      </c>
      <c r="AW76" s="23">
        <f>EXP(-LN(2)/2)*AW75+(1-EXP(-LN(2)/2))/(LN(2)/2)*AQ76*AT76*VLOOKUP('Données projet'!$B$10,Paramètres!$A$1:$I$89,3,0)*0.475*44/12</f>
        <v>4.8879428804785693E-6</v>
      </c>
      <c r="AX76" s="23">
        <f t="shared" si="60"/>
        <v>0.94639580995483563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217.3329600000001</v>
      </c>
      <c r="BF76" s="14">
        <f t="shared" si="91"/>
        <v>53.53480691026855</v>
      </c>
      <c r="BG76" s="22">
        <f t="shared" si="61"/>
        <v>471.76136070205121</v>
      </c>
      <c r="BH76" s="62">
        <f t="shared" si="62"/>
        <v>765.09469403538446</v>
      </c>
      <c r="BI76" s="62">
        <f ca="1">AVERAGE(OFFSET($BH$3,0,0,'Données projet'!$E$11+1,1))-AVERAGE(OFFSET($H$3,0,0,'Données projet'!$E$11+1,1))</f>
        <v>267.00333505765792</v>
      </c>
      <c r="BJ76" s="62">
        <f t="shared" si="92"/>
        <v>172.25613380618557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0.81926378323422977</v>
      </c>
      <c r="BR76" s="23">
        <f>EXP(-LN(2)/2)*BR75+(1-EXP(-LN(2)/2))/(LN(2)/2)*BL76*BO76*VLOOKUP('Données projet'!$B$11,Paramètres!$A$1:$I$89,3,0)*0.475*44/12</f>
        <v>4.2313535383247241E-6</v>
      </c>
      <c r="BS76" s="24">
        <f t="shared" si="63"/>
        <v>0.8192680145877681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6.4</v>
      </c>
      <c r="BY76" s="13">
        <f>IF('Données projet'!$A$114&gt;35,BY75+BX76-CG75,IF(A76&lt;'Données projet'!$A$114,$BV$205^A76,IF(A76='Données projet'!$A$114,'Données projet'!$B$114,BY75+BX76-CG75)))</f>
        <v>240.2000000000001</v>
      </c>
      <c r="BZ76" s="14">
        <f>BY76*VLOOKUP('Données projet'!$B$12,Paramètres!$A$1:$I$89,3,0)*VLOOKUP('Données projet'!$B$12,Paramètres!$A$1:$I$89,5,0)</f>
        <v>243.56280000000012</v>
      </c>
      <c r="CA76" s="14">
        <f t="shared" si="93"/>
        <v>59.205425601852873</v>
      </c>
      <c r="CB76" s="22">
        <f t="shared" si="64"/>
        <v>527.32132625656061</v>
      </c>
      <c r="CC76" s="62">
        <f t="shared" si="65"/>
        <v>820.65465958989398</v>
      </c>
      <c r="CD76" s="62">
        <f ca="1">AVERAGE(OFFSET($CC$3,0,0,'Données projet'!$E$12+1,1))-AVERAGE(OFFSET($H$3,0,0,'Données projet'!$E$12+1,1))</f>
        <v>308.72872453744998</v>
      </c>
      <c r="CE76" s="62">
        <f t="shared" si="94"/>
        <v>195.3674411454258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0.91814044672801665</v>
      </c>
      <c r="CM76" s="23">
        <f>EXP(-LN(2)/2)*CM75+(1-EXP(-LN(2)/2))/(LN(2)/2)*CG76*CJ76*VLOOKUP('Données projet'!$B$12,Paramètres!$A$1:$I$89,3,0)*0.475*44/12</f>
        <v>4.7420341377777085E-6</v>
      </c>
      <c r="CN76" s="24">
        <f t="shared" si="66"/>
        <v>0.91814518876215445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160.24926890971085</v>
      </c>
      <c r="T77" s="62">
        <f t="shared" si="88"/>
        <v>323.52368436151721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24.66246590410946</v>
      </c>
      <c r="AA77" s="23">
        <f>EXP(-LN(2)/25)*AA76+(1-EXP(-LN(2)/25))/(LN(2)/25)*Calculateur!V77*Calculateur!X77*VLOOKUP('Données projet'!$B$9,Paramètres!$A$1:$I$89,3,0)*0.475*44/12</f>
        <v>15.24839225219629</v>
      </c>
      <c r="AB77" s="23">
        <f>EXP(-LN(2)/2)*AB76+(1-EXP(-LN(2)/2))/(LN(2)/2)*V77*Y77*VLOOKUP('Données projet'!$B$9,Paramètres!$A$1:$I$89,3,0)*0.475*44/12</f>
        <v>4.2509451042022818E-5</v>
      </c>
      <c r="AC77" s="24">
        <f t="shared" si="57"/>
        <v>39.910900665756792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6.4</v>
      </c>
      <c r="AI77" s="14">
        <f>IF('Données projet'!$A$62&gt;35,AI76+AH77-AQ76,IF(A77&lt;'Données projet'!$A$62,$AF$205^A77,IF(A77='Données projet'!$A$62,'Données projet'!$B$62,AI76+AH77-AQ76)))</f>
        <v>246.60000000000011</v>
      </c>
      <c r="AJ77" s="14">
        <f>AI77*VLOOKUP('Données projet'!$B$10,Paramètres!$A$1:$I$89,3,0)*VLOOKUP('Données projet'!$B$10,Paramètres!$A$1:$I$89,5,0)</f>
        <v>257.74632000000014</v>
      </c>
      <c r="AK77" s="14">
        <f t="shared" si="89"/>
        <v>62.24174132033847</v>
      </c>
      <c r="AL77" s="22">
        <f t="shared" si="58"/>
        <v>557.312540132923</v>
      </c>
      <c r="AM77" s="62">
        <f t="shared" si="59"/>
        <v>850.64587346625626</v>
      </c>
      <c r="AN77" s="62">
        <f ca="1">AVERAGE(OFFSET($AM$3,0,0,'Données projet'!$E$10+1,1))-AVERAGE(OFFSET($H$3,0,0,'Données projet'!$E$10+1,1))</f>
        <v>320.63267332485663</v>
      </c>
      <c r="AO77" s="62">
        <f t="shared" si="90"/>
        <v>201.96012789473809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0.92051181248100267</v>
      </c>
      <c r="AW77" s="23">
        <f>EXP(-LN(2)/2)*AW76+(1-EXP(-LN(2)/2))/(LN(2)/2)*AQ77*AT77*VLOOKUP('Données projet'!$B$10,Paramètres!$A$1:$I$89,3,0)*0.475*44/12</f>
        <v>3.4562975568389026E-6</v>
      </c>
      <c r="AX77" s="23">
        <f t="shared" si="60"/>
        <v>0.92051526877855949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223.12368000000009</v>
      </c>
      <c r="BF77" s="14">
        <f t="shared" si="91"/>
        <v>54.793244051140647</v>
      </c>
      <c r="BG77" s="22">
        <f t="shared" si="61"/>
        <v>484.03864272240349</v>
      </c>
      <c r="BH77" s="62">
        <f t="shared" si="62"/>
        <v>777.37197605573681</v>
      </c>
      <c r="BI77" s="62">
        <f ca="1">AVERAGE(OFFSET($BH$3,0,0,'Données projet'!$E$11+1,1))-AVERAGE(OFFSET($H$3,0,0,'Données projet'!$E$11+1,1))</f>
        <v>267.00333505765792</v>
      </c>
      <c r="BJ77" s="62">
        <f t="shared" si="92"/>
        <v>172.25613380618557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0.79686097199847983</v>
      </c>
      <c r="BR77" s="23">
        <f>EXP(-LN(2)/2)*BR76+(1-EXP(-LN(2)/2))/(LN(2)/2)*BL77*BO77*VLOOKUP('Données projet'!$B$11,Paramètres!$A$1:$I$89,3,0)*0.475*44/12</f>
        <v>2.9920187805471043E-6</v>
      </c>
      <c r="BS77" s="24">
        <f t="shared" si="63"/>
        <v>0.79686396401726034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6.4</v>
      </c>
      <c r="BY77" s="13">
        <f>IF('Données projet'!$A$114&gt;35,BY76+BX77-CG76,IF(A77&lt;'Données projet'!$A$114,$BV$205^A77,IF(A77='Données projet'!$A$114,'Données projet'!$B$114,BY76+BX77-CG76)))</f>
        <v>246.60000000000011</v>
      </c>
      <c r="BZ77" s="14">
        <f>BY77*VLOOKUP('Données projet'!$B$12,Paramètres!$A$1:$I$89,3,0)*VLOOKUP('Données projet'!$B$12,Paramètres!$A$1:$I$89,5,0)</f>
        <v>250.05240000000012</v>
      </c>
      <c r="CA77" s="14">
        <f t="shared" si="93"/>
        <v>60.597161386823522</v>
      </c>
      <c r="CB77" s="22">
        <f t="shared" si="64"/>
        <v>541.04798608205112</v>
      </c>
      <c r="CC77" s="62">
        <f t="shared" si="65"/>
        <v>834.3813194153845</v>
      </c>
      <c r="CD77" s="62">
        <f ca="1">AVERAGE(OFFSET($CC$3,0,0,'Données projet'!$E$12+1,1))-AVERAGE(OFFSET($H$3,0,0,'Données projet'!$E$12+1,1))</f>
        <v>308.72872453744998</v>
      </c>
      <c r="CE77" s="62">
        <f t="shared" si="94"/>
        <v>195.3674411454258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0.89303384792933138</v>
      </c>
      <c r="CM77" s="23">
        <f>EXP(-LN(2)/2)*CM76+(1-EXP(-LN(2)/2))/(LN(2)/2)*CG77*CJ77*VLOOKUP('Données projet'!$B$12,Paramètres!$A$1:$I$89,3,0)*0.475*44/12</f>
        <v>3.3531244954407207E-6</v>
      </c>
      <c r="CN77" s="24">
        <f t="shared" si="66"/>
        <v>0.89303720105382678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160.24926890971085</v>
      </c>
      <c r="T78" s="62">
        <f t="shared" si="88"/>
        <v>323.52368436151721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24.178849990348741</v>
      </c>
      <c r="AA78" s="23">
        <f>EXP(-LN(2)/25)*AA77+(1-EXP(-LN(2)/25))/(LN(2)/25)*Calculateur!V78*Calculateur!X78*VLOOKUP('Données projet'!$B$9,Paramètres!$A$1:$I$89,3,0)*0.475*44/12</f>
        <v>14.831424164181884</v>
      </c>
      <c r="AB78" s="23">
        <f>EXP(-LN(2)/2)*AB77+(1-EXP(-LN(2)/2))/(LN(2)/2)*V78*Y78*VLOOKUP('Données projet'!$B$9,Paramètres!$A$1:$I$89,3,0)*0.475*44/12</f>
        <v>3.0058721096331886E-5</v>
      </c>
      <c r="AC78" s="24">
        <f t="shared" si="57"/>
        <v>39.010304213251722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253</v>
      </c>
      <c r="AG78" s="13">
        <f>VLOOKUP(A78,'Données projet'!$A$61:$I$81,9,0)</f>
        <v>6.4</v>
      </c>
      <c r="AH78" s="13">
        <f t="array" ref="AH78">INDEX(AG:AG,MIN(IF(ISNUMBER(AG78:AG274),ROW(AG78:AG274),"")))</f>
        <v>6.4</v>
      </c>
      <c r="AI78" s="14">
        <f>IF('Données projet'!$A$62&gt;35,AI77+AH78-AQ77,IF(A78&lt;'Données projet'!$A$62,$AF$205^A78,IF(A78='Données projet'!$A$62,'Données projet'!$B$62,AI77+AH78-AQ77)))</f>
        <v>253.00000000000011</v>
      </c>
      <c r="AJ78" s="14">
        <f>AI78*VLOOKUP('Données projet'!$B$10,Paramètres!$A$1:$I$89,3,0)*VLOOKUP('Données projet'!$B$10,Paramètres!$A$1:$I$89,5,0)</f>
        <v>264.43560000000014</v>
      </c>
      <c r="AK78" s="14">
        <f t="shared" si="89"/>
        <v>63.666935766021915</v>
      </c>
      <c r="AL78" s="22">
        <f t="shared" si="58"/>
        <v>571.44524979248843</v>
      </c>
      <c r="AM78" s="62">
        <f t="shared" si="59"/>
        <v>864.7785831258218</v>
      </c>
      <c r="AN78" s="62">
        <f ca="1">AVERAGE(OFFSET($AM$3,0,0,'Données projet'!$E$10+1,1))-AVERAGE(OFFSET($H$3,0,0,'Données projet'!$E$10+1,1))</f>
        <v>320.63267332485663</v>
      </c>
      <c r="AO78" s="62">
        <f t="shared" si="90"/>
        <v>201.96012789473809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0.89534036856109733</v>
      </c>
      <c r="AW78" s="23">
        <f>EXP(-LN(2)/2)*AW77+(1-EXP(-LN(2)/2))/(LN(2)/2)*AQ78*AT78*VLOOKUP('Données projet'!$B$10,Paramètres!$A$1:$I$89,3,0)*0.475*44/12</f>
        <v>2.4439714402392847E-6</v>
      </c>
      <c r="AX78" s="23">
        <f t="shared" si="60"/>
        <v>0.89534281253253756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228.91440000000011</v>
      </c>
      <c r="BF78" s="14">
        <f t="shared" si="91"/>
        <v>56.047884834417474</v>
      </c>
      <c r="BG78" s="22">
        <f t="shared" si="61"/>
        <v>496.30931275327725</v>
      </c>
      <c r="BH78" s="62">
        <f t="shared" si="62"/>
        <v>789.64264608661051</v>
      </c>
      <c r="BI78" s="62">
        <f ca="1">AVERAGE(OFFSET($BH$3,0,0,'Données projet'!$E$11+1,1))-AVERAGE(OFFSET($H$3,0,0,'Données projet'!$E$11+1,1))</f>
        <v>267.00333505765792</v>
      </c>
      <c r="BJ78" s="62">
        <f t="shared" si="92"/>
        <v>172.25613380618557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0.77507076681408416</v>
      </c>
      <c r="BR78" s="23">
        <f>EXP(-LN(2)/2)*BR77+(1-EXP(-LN(2)/2))/(LN(2)/2)*BL78*BO78*VLOOKUP('Données projet'!$B$11,Paramètres!$A$1:$I$89,3,0)*0.475*44/12</f>
        <v>2.1156767691623621E-6</v>
      </c>
      <c r="BS78" s="24">
        <f t="shared" si="63"/>
        <v>0.77507288249085327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253</v>
      </c>
      <c r="BW78" s="13">
        <f>VLOOKUP(A78,'Données projet'!$A$113:$I$133,9,0)</f>
        <v>6.4</v>
      </c>
      <c r="BX78" s="13">
        <f t="array" ref="BX78">INDEX(BW:BW,MIN(IF(ISNUMBER(BW78:BW274),ROW(BW78:BW274),"")))</f>
        <v>6.4</v>
      </c>
      <c r="BY78" s="13">
        <f>IF('Données projet'!$A$114&gt;35,BY77+BX78-CG77,IF(A78&lt;'Données projet'!$A$114,$BV$205^A78,IF(A78='Données projet'!$A$114,'Données projet'!$B$114,BY77+BX78-CG77)))</f>
        <v>253.00000000000011</v>
      </c>
      <c r="BZ78" s="14">
        <f>BY78*VLOOKUP('Données projet'!$B$12,Paramètres!$A$1:$I$89,3,0)*VLOOKUP('Données projet'!$B$12,Paramètres!$A$1:$I$89,5,0)</f>
        <v>256.54200000000014</v>
      </c>
      <c r="CA78" s="14">
        <f t="shared" si="93"/>
        <v>61.984698688972557</v>
      </c>
      <c r="CB78" s="22">
        <f t="shared" si="64"/>
        <v>554.76733354996077</v>
      </c>
      <c r="CC78" s="62">
        <f t="shared" si="65"/>
        <v>848.10066688329402</v>
      </c>
      <c r="CD78" s="62">
        <f ca="1">AVERAGE(OFFSET($CC$3,0,0,'Données projet'!$E$12+1,1))-AVERAGE(OFFSET($H$3,0,0,'Données projet'!$E$12+1,1))</f>
        <v>308.72872453744998</v>
      </c>
      <c r="CE78" s="62">
        <f t="shared" si="94"/>
        <v>195.3674411454258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21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0.86861379039509479</v>
      </c>
      <c r="CM78" s="23">
        <f>EXP(-LN(2)/2)*CM77+(1-EXP(-LN(2)/2))/(LN(2)/2)*CG78*CJ78*VLOOKUP('Données projet'!$B$12,Paramètres!$A$1:$I$89,3,0)*0.475*44/12</f>
        <v>2.3710170688888543E-6</v>
      </c>
      <c r="CN78" s="24">
        <f t="shared" si="66"/>
        <v>0.86861616141216369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160.24926890971085</v>
      </c>
      <c r="T79" s="62">
        <f t="shared" si="88"/>
        <v>323.52368436151721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23.704717489680288</v>
      </c>
      <c r="AA79" s="23">
        <f>EXP(-LN(2)/25)*AA78+(1-EXP(-LN(2)/25))/(LN(2)/25)*Calculateur!V79*Calculateur!X79*VLOOKUP('Données projet'!$B$9,Paramètres!$A$1:$I$89,3,0)*0.475*44/12</f>
        <v>14.425858090461631</v>
      </c>
      <c r="AB79" s="23">
        <f>EXP(-LN(2)/2)*AB78+(1-EXP(-LN(2)/2))/(LN(2)/2)*V79*Y79*VLOOKUP('Données projet'!$B$9,Paramètres!$A$1:$I$89,3,0)*0.475*44/12</f>
        <v>2.1254725521011413E-5</v>
      </c>
      <c r="AC79" s="24">
        <f t="shared" si="57"/>
        <v>38.130596834867447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10.199999999999999</v>
      </c>
      <c r="AI79" s="14">
        <f>IF('Données projet'!$A$62&gt;35,AI78+AH79-AQ78,IF(A79&lt;'Données projet'!$A$62,$AF$205^A79,IF(A79='Données projet'!$A$62,'Données projet'!$B$62,AI78+AH79-AQ78)))</f>
        <v>242.2000000000001</v>
      </c>
      <c r="AJ79" s="14">
        <f>AI79*VLOOKUP('Données projet'!$B$10,Paramètres!$A$1:$I$89,3,0)*VLOOKUP('Données projet'!$B$10,Paramètres!$A$1:$I$89,5,0)</f>
        <v>253.14744000000013</v>
      </c>
      <c r="AK79" s="14">
        <f t="shared" si="89"/>
        <v>61.259426216625307</v>
      </c>
      <c r="AL79" s="22">
        <f t="shared" si="58"/>
        <v>547.59195866062248</v>
      </c>
      <c r="AM79" s="62">
        <f t="shared" si="59"/>
        <v>840.92529199395585</v>
      </c>
      <c r="AN79" s="62">
        <f ca="1">AVERAGE(OFFSET($AM$3,0,0,'Données projet'!$E$10+1,1))-AVERAGE(OFFSET($H$3,0,0,'Données projet'!$E$10+1,1))</f>
        <v>320.63267332485663</v>
      </c>
      <c r="AO79" s="62">
        <f t="shared" si="90"/>
        <v>201.96012789473809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0.87085723909889046</v>
      </c>
      <c r="AW79" s="23">
        <f>EXP(-LN(2)/2)*AW78+(1-EXP(-LN(2)/2))/(LN(2)/2)*AQ79*AT79*VLOOKUP('Données projet'!$B$10,Paramètres!$A$1:$I$89,3,0)*0.475*44/12</f>
        <v>1.7281487784194513E-6</v>
      </c>
      <c r="AX79" s="23">
        <f t="shared" si="60"/>
        <v>0.87085896724766887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10.199999999999999</v>
      </c>
      <c r="BD79" s="13">
        <f>IF('Données projet'!$A$88&gt;35,BD78+BC79-BL78,IF(A79&lt;'Données projet'!$A$88,$BA$205^A79,IF(A79='Données projet'!$A$88,'Données projet'!$B$88,BD78+BC79-BL78)))</f>
        <v>242.2000000000001</v>
      </c>
      <c r="BE79" s="14">
        <f>BD79*VLOOKUP('Données projet'!$B$11,Paramètres!$A$1:$I$89,3,0)*VLOOKUP('Données projet'!$B$11,Paramètres!$A$1:$I$89,5,0)</f>
        <v>219.14256000000009</v>
      </c>
      <c r="BF79" s="14">
        <f t="shared" si="91"/>
        <v>53.928483039139756</v>
      </c>
      <c r="BG79" s="22">
        <f t="shared" si="61"/>
        <v>475.59873329316855</v>
      </c>
      <c r="BH79" s="62">
        <f t="shared" si="62"/>
        <v>768.93206662650186</v>
      </c>
      <c r="BI79" s="62">
        <f ca="1">AVERAGE(OFFSET($BH$3,0,0,'Données projet'!$E$11+1,1))-AVERAGE(OFFSET($H$3,0,0,'Données projet'!$E$11+1,1))</f>
        <v>267.00333505765792</v>
      </c>
      <c r="BJ79" s="62">
        <f t="shared" si="92"/>
        <v>172.25613380618557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0.7538764159363528</v>
      </c>
      <c r="BR79" s="23">
        <f>EXP(-LN(2)/2)*BR78+(1-EXP(-LN(2)/2))/(LN(2)/2)*BL79*BO79*VLOOKUP('Données projet'!$B$11,Paramètres!$A$1:$I$89,3,0)*0.475*44/12</f>
        <v>1.4960093902735522E-6</v>
      </c>
      <c r="BS79" s="24">
        <f t="shared" si="63"/>
        <v>0.75387791194574305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10.199999999999999</v>
      </c>
      <c r="BY79" s="13">
        <f>IF('Données projet'!$A$114&gt;35,BY78+BX79-CG78,IF(A79&lt;'Données projet'!$A$114,$BV$205^A79,IF(A79='Données projet'!$A$114,'Données projet'!$B$114,BY78+BX79-CG78)))</f>
        <v>242.2000000000001</v>
      </c>
      <c r="BZ79" s="14">
        <f>BY79*VLOOKUP('Données projet'!$B$12,Paramètres!$A$1:$I$89,3,0)*VLOOKUP('Données projet'!$B$12,Paramètres!$A$1:$I$89,5,0)</f>
        <v>245.59080000000012</v>
      </c>
      <c r="CA79" s="14">
        <f t="shared" si="93"/>
        <v>59.640801464853126</v>
      </c>
      <c r="CB79" s="22">
        <f t="shared" si="64"/>
        <v>531.61170588461948</v>
      </c>
      <c r="CC79" s="62">
        <f t="shared" si="65"/>
        <v>824.94503921795285</v>
      </c>
      <c r="CD79" s="62">
        <f ca="1">AVERAGE(OFFSET($CC$3,0,0,'Données projet'!$E$12+1,1))-AVERAGE(OFFSET($H$3,0,0,'Données projet'!$E$12+1,1))</f>
        <v>308.72872453744998</v>
      </c>
      <c r="CE79" s="62">
        <f t="shared" si="94"/>
        <v>195.3674411454258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0.84486150061832688</v>
      </c>
      <c r="CM79" s="23">
        <f>EXP(-LN(2)/2)*CM78+(1-EXP(-LN(2)/2))/(LN(2)/2)*CG79*CJ79*VLOOKUP('Données projet'!$B$12,Paramètres!$A$1:$I$89,3,0)*0.475*44/12</f>
        <v>1.6765622477203604E-6</v>
      </c>
      <c r="CN79" s="24">
        <f t="shared" si="66"/>
        <v>0.84486317718057458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160.24926890971085</v>
      </c>
      <c r="T80" s="62">
        <f t="shared" si="88"/>
        <v>323.52368436151721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23.239882438157672</v>
      </c>
      <c r="AA80" s="23">
        <f>EXP(-LN(2)/25)*AA79+(1-EXP(-LN(2)/25))/(LN(2)/25)*Calculateur!V80*Calculateur!X80*VLOOKUP('Données projet'!$B$9,Paramètres!$A$1:$I$89,3,0)*0.475*44/12</f>
        <v>14.031382242355052</v>
      </c>
      <c r="AB80" s="23">
        <f>EXP(-LN(2)/2)*AB79+(1-EXP(-LN(2)/2))/(LN(2)/2)*V80*Y80*VLOOKUP('Données projet'!$B$9,Paramètres!$A$1:$I$89,3,0)*0.475*44/12</f>
        <v>1.5029360548165945E-5</v>
      </c>
      <c r="AC80" s="24">
        <f t="shared" si="57"/>
        <v>37.271279709873269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10.199999999999999</v>
      </c>
      <c r="AI80" s="14">
        <f>IF('Données projet'!$A$62&gt;35,AI79+AH80-AQ79,IF(A80&lt;'Données projet'!$A$62,$AF$205^A80,IF(A80='Données projet'!$A$62,'Données projet'!$B$62,AI79+AH80-AQ79)))</f>
        <v>252.40000000000009</v>
      </c>
      <c r="AJ80" s="14">
        <f>AI80*VLOOKUP('Données projet'!$B$10,Paramètres!$A$1:$I$89,3,0)*VLOOKUP('Données projet'!$B$10,Paramètres!$A$1:$I$89,5,0)</f>
        <v>263.80848000000009</v>
      </c>
      <c r="AK80" s="14">
        <f t="shared" si="89"/>
        <v>63.533503649071868</v>
      </c>
      <c r="AL80" s="22">
        <f t="shared" si="58"/>
        <v>570.12062152213355</v>
      </c>
      <c r="AM80" s="62">
        <f t="shared" si="59"/>
        <v>863.45395485546692</v>
      </c>
      <c r="AN80" s="62">
        <f ca="1">AVERAGE(OFFSET($AM$3,0,0,'Données projet'!$E$10+1,1))-AVERAGE(OFFSET($H$3,0,0,'Données projet'!$E$10+1,1))</f>
        <v>320.63267332485663</v>
      </c>
      <c r="AO80" s="62">
        <f t="shared" si="90"/>
        <v>201.96012789473809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0.84704360209933949</v>
      </c>
      <c r="AW80" s="23">
        <f>EXP(-LN(2)/2)*AW79+(1-EXP(-LN(2)/2))/(LN(2)/2)*AQ80*AT80*VLOOKUP('Données projet'!$B$10,Paramètres!$A$1:$I$89,3,0)*0.475*44/12</f>
        <v>1.2219857201196423E-6</v>
      </c>
      <c r="AX80" s="23">
        <f t="shared" si="60"/>
        <v>0.84704482408505966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10.199999999999999</v>
      </c>
      <c r="BD80" s="13">
        <f>IF('Données projet'!$A$88&gt;35,BD79+BC80-BL79,IF(A80&lt;'Données projet'!$A$88,$BA$205^A80,IF(A80='Données projet'!$A$88,'Données projet'!$B$88,BD79+BC80-BL79)))</f>
        <v>252.40000000000009</v>
      </c>
      <c r="BE80" s="14">
        <f>BD80*VLOOKUP('Données projet'!$B$11,Paramètres!$A$1:$I$89,3,0)*VLOOKUP('Données projet'!$B$11,Paramètres!$A$1:$I$89,5,0)</f>
        <v>228.37152000000009</v>
      </c>
      <c r="BF80" s="14">
        <f t="shared" si="91"/>
        <v>55.930420599111578</v>
      </c>
      <c r="BG80" s="22">
        <f t="shared" si="61"/>
        <v>495.1592132101195</v>
      </c>
      <c r="BH80" s="62">
        <f t="shared" si="62"/>
        <v>788.49254654345282</v>
      </c>
      <c r="BI80" s="62">
        <f ca="1">AVERAGE(OFFSET($BH$3,0,0,'Données projet'!$E$11+1,1))-AVERAGE(OFFSET($H$3,0,0,'Données projet'!$E$11+1,1))</f>
        <v>267.00333505765792</v>
      </c>
      <c r="BJ80" s="62">
        <f t="shared" si="92"/>
        <v>172.25613380618557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0.73326162569793552</v>
      </c>
      <c r="BR80" s="23">
        <f>EXP(-LN(2)/2)*BR79+(1-EXP(-LN(2)/2))/(LN(2)/2)*BL80*BO80*VLOOKUP('Données projet'!$B$11,Paramètres!$A$1:$I$89,3,0)*0.475*44/12</f>
        <v>1.057838384581181E-6</v>
      </c>
      <c r="BS80" s="24">
        <f t="shared" si="63"/>
        <v>0.73326268353632007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10.199999999999999</v>
      </c>
      <c r="BY80" s="13">
        <f>IF('Données projet'!$A$114&gt;35,BY79+BX80-CG79,IF(A80&lt;'Données projet'!$A$114,$BV$205^A80,IF(A80='Données projet'!$A$114,'Données projet'!$B$114,BY79+BX80-CG79)))</f>
        <v>252.40000000000009</v>
      </c>
      <c r="BZ80" s="14">
        <f>BY80*VLOOKUP('Données projet'!$B$12,Paramètres!$A$1:$I$89,3,0)*VLOOKUP('Données projet'!$B$12,Paramètres!$A$1:$I$89,5,0)</f>
        <v>255.9336000000001</v>
      </c>
      <c r="CA80" s="14">
        <f t="shared" si="93"/>
        <v>61.85479217682358</v>
      </c>
      <c r="CB80" s="22">
        <f t="shared" si="64"/>
        <v>553.48144970796784</v>
      </c>
      <c r="CC80" s="62">
        <f t="shared" si="65"/>
        <v>846.8147830413011</v>
      </c>
      <c r="CD80" s="62">
        <f ca="1">AVERAGE(OFFSET($CC$3,0,0,'Données projet'!$E$12+1,1))-AVERAGE(OFFSET($H$3,0,0,'Données projet'!$E$12+1,1))</f>
        <v>308.72872453744998</v>
      </c>
      <c r="CE80" s="62">
        <f t="shared" si="94"/>
        <v>195.3674411454258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0.82175871845458337</v>
      </c>
      <c r="CM80" s="23">
        <f>EXP(-LN(2)/2)*CM79+(1-EXP(-LN(2)/2))/(LN(2)/2)*CG80*CJ80*VLOOKUP('Données projet'!$B$12,Paramètres!$A$1:$I$89,3,0)*0.475*44/12</f>
        <v>1.1855085344444271E-6</v>
      </c>
      <c r="CN80" s="24">
        <f t="shared" si="66"/>
        <v>0.82175990396311782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160.24926890971085</v>
      </c>
      <c r="T81" s="62">
        <f t="shared" si="88"/>
        <v>323.52368436151721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22.78416251847403</v>
      </c>
      <c r="AA81" s="23">
        <f>EXP(-LN(2)/25)*AA80+(1-EXP(-LN(2)/25))/(LN(2)/25)*Calculateur!V81*Calculateur!X81*VLOOKUP('Données projet'!$B$9,Paramètres!$A$1:$I$89,3,0)*0.475*44/12</f>
        <v>13.647693357059531</v>
      </c>
      <c r="AB81" s="23">
        <f>EXP(-LN(2)/2)*AB80+(1-EXP(-LN(2)/2))/(LN(2)/2)*V81*Y81*VLOOKUP('Données projet'!$B$9,Paramètres!$A$1:$I$89,3,0)*0.475*44/12</f>
        <v>1.0627362760505708E-5</v>
      </c>
      <c r="AC81" s="24">
        <f t="shared" si="57"/>
        <v>36.43186650289632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10.199999999999999</v>
      </c>
      <c r="AI81" s="14">
        <f>IF('Données projet'!$A$62&gt;35,AI80+AH81-AQ80,IF(A81&lt;'Données projet'!$A$62,$AF$205^A81,IF(A81='Données projet'!$A$62,'Données projet'!$B$62,AI80+AH81-AQ80)))</f>
        <v>262.60000000000008</v>
      </c>
      <c r="AJ81" s="14">
        <f>AI81*VLOOKUP('Données projet'!$B$10,Paramètres!$A$1:$I$89,3,0)*VLOOKUP('Données projet'!$B$10,Paramètres!$A$1:$I$89,5,0)</f>
        <v>274.4695200000001</v>
      </c>
      <c r="AK81" s="14">
        <f t="shared" si="89"/>
        <v>65.796905959168583</v>
      </c>
      <c r="AL81" s="22">
        <f t="shared" si="58"/>
        <v>592.6306918788855</v>
      </c>
      <c r="AM81" s="62">
        <f t="shared" si="59"/>
        <v>885.96402521221876</v>
      </c>
      <c r="AN81" s="62">
        <f ca="1">AVERAGE(OFFSET($AM$3,0,0,'Données projet'!$E$10+1,1))-AVERAGE(OFFSET($H$3,0,0,'Données projet'!$E$10+1,1))</f>
        <v>320.63267332485663</v>
      </c>
      <c r="AO81" s="62">
        <f t="shared" si="90"/>
        <v>201.96012789473809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0.82388115025584596</v>
      </c>
      <c r="AW81" s="23">
        <f>EXP(-LN(2)/2)*AW80+(1-EXP(-LN(2)/2))/(LN(2)/2)*AQ81*AT81*VLOOKUP('Données projet'!$B$10,Paramètres!$A$1:$I$89,3,0)*0.475*44/12</f>
        <v>8.6407438920972564E-7</v>
      </c>
      <c r="AX81" s="23">
        <f t="shared" si="60"/>
        <v>0.82388201433023522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10.199999999999999</v>
      </c>
      <c r="BD81" s="13">
        <f>IF('Données projet'!$A$88&gt;35,BD80+BC81-BL80,IF(A81&lt;'Données projet'!$A$88,$BA$205^A81,IF(A81='Données projet'!$A$88,'Données projet'!$B$88,BD80+BC81-BL80)))</f>
        <v>262.60000000000008</v>
      </c>
      <c r="BE81" s="14">
        <f>BD81*VLOOKUP('Données projet'!$B$11,Paramètres!$A$1:$I$89,3,0)*VLOOKUP('Données projet'!$B$11,Paramètres!$A$1:$I$89,5,0)</f>
        <v>237.60048000000009</v>
      </c>
      <c r="BF81" s="14">
        <f t="shared" si="91"/>
        <v>57.922960533442108</v>
      </c>
      <c r="BG81" s="22">
        <f t="shared" si="61"/>
        <v>514.70332559574524</v>
      </c>
      <c r="BH81" s="62">
        <f t="shared" si="62"/>
        <v>808.03665892907861</v>
      </c>
      <c r="BI81" s="62">
        <f ca="1">AVERAGE(OFFSET($BH$3,0,0,'Données projet'!$E$11+1,1))-AVERAGE(OFFSET($H$3,0,0,'Données projet'!$E$11+1,1))</f>
        <v>267.00333505765792</v>
      </c>
      <c r="BJ81" s="62">
        <f t="shared" si="92"/>
        <v>172.25613380618557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0.71321054798267247</v>
      </c>
      <c r="BR81" s="23">
        <f>EXP(-LN(2)/2)*BR80+(1-EXP(-LN(2)/2))/(LN(2)/2)*BL81*BO81*VLOOKUP('Données projet'!$B$11,Paramètres!$A$1:$I$89,3,0)*0.475*44/12</f>
        <v>7.4800469513677609E-7</v>
      </c>
      <c r="BS81" s="24">
        <f t="shared" si="63"/>
        <v>0.71321129598736765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10.199999999999999</v>
      </c>
      <c r="BY81" s="13">
        <f>IF('Données projet'!$A$114&gt;35,BY80+BX81-CG80,IF(A81&lt;'Données projet'!$A$114,$BV$205^A81,IF(A81='Données projet'!$A$114,'Données projet'!$B$114,BY80+BX81-CG80)))</f>
        <v>262.60000000000008</v>
      </c>
      <c r="BZ81" s="14">
        <f>BY81*VLOOKUP('Données projet'!$B$12,Paramètres!$A$1:$I$89,3,0)*VLOOKUP('Données projet'!$B$12,Paramètres!$A$1:$I$89,5,0)</f>
        <v>266.27640000000008</v>
      </c>
      <c r="CA81" s="14">
        <f t="shared" si="93"/>
        <v>64.058389829439747</v>
      </c>
      <c r="CB81" s="22">
        <f t="shared" si="64"/>
        <v>575.33309228627434</v>
      </c>
      <c r="CC81" s="62">
        <f t="shared" si="65"/>
        <v>868.66642561960771</v>
      </c>
      <c r="CD81" s="62">
        <f ca="1">AVERAGE(OFFSET($CC$3,0,0,'Données projet'!$E$12+1,1))-AVERAGE(OFFSET($H$3,0,0,'Données projet'!$E$12+1,1))</f>
        <v>308.72872453744998</v>
      </c>
      <c r="CE81" s="62">
        <f t="shared" si="94"/>
        <v>195.3674411454258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0.79928768308402998</v>
      </c>
      <c r="CM81" s="23">
        <f>EXP(-LN(2)/2)*CM80+(1-EXP(-LN(2)/2))/(LN(2)/2)*CG81*CJ81*VLOOKUP('Données projet'!$B$12,Paramètres!$A$1:$I$89,3,0)*0.475*44/12</f>
        <v>8.3828112386018018E-7</v>
      </c>
      <c r="CN81" s="24">
        <f t="shared" si="66"/>
        <v>0.79928852136515383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160.24926890971085</v>
      </c>
      <c r="T82" s="62">
        <f t="shared" si="88"/>
        <v>323.52368436151721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22.337378988453679</v>
      </c>
      <c r="AA82" s="23">
        <f>EXP(-LN(2)/25)*AA81+(1-EXP(-LN(2)/25))/(LN(2)/25)*Calculateur!V82*Calculateur!X82*VLOOKUP('Données projet'!$B$9,Paramètres!$A$1:$I$89,3,0)*0.475*44/12</f>
        <v>13.274496464509737</v>
      </c>
      <c r="AB82" s="23">
        <f>EXP(-LN(2)/2)*AB81+(1-EXP(-LN(2)/2))/(LN(2)/2)*V82*Y82*VLOOKUP('Données projet'!$B$9,Paramètres!$A$1:$I$89,3,0)*0.475*44/12</f>
        <v>7.5146802740829741E-6</v>
      </c>
      <c r="AC82" s="24">
        <f t="shared" si="57"/>
        <v>35.611882967643695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10.199999999999999</v>
      </c>
      <c r="AI82" s="14">
        <f>IF('Données projet'!$A$62&gt;35,AI81+AH82-AQ81,IF(A82&lt;'Données projet'!$A$62,$AF$205^A82,IF(A82='Données projet'!$A$62,'Données projet'!$B$62,AI81+AH82-AQ81)))</f>
        <v>272.80000000000007</v>
      </c>
      <c r="AJ82" s="14">
        <f>AI82*VLOOKUP('Données projet'!$B$10,Paramètres!$A$1:$I$89,3,0)*VLOOKUP('Données projet'!$B$10,Paramètres!$A$1:$I$89,5,0)</f>
        <v>285.13056000000012</v>
      </c>
      <c r="AK82" s="14">
        <f t="shared" si="89"/>
        <v>68.050095250359291</v>
      </c>
      <c r="AL82" s="22">
        <f t="shared" si="58"/>
        <v>615.1229745610425</v>
      </c>
      <c r="AM82" s="62">
        <f t="shared" si="59"/>
        <v>908.45630789437587</v>
      </c>
      <c r="AN82" s="62">
        <f ca="1">AVERAGE(OFFSET($AM$3,0,0,'Données projet'!$E$10+1,1))-AVERAGE(OFFSET($H$3,0,0,'Données projet'!$E$10+1,1))</f>
        <v>320.63267332485663</v>
      </c>
      <c r="AO82" s="62">
        <f t="shared" si="90"/>
        <v>201.96012789473809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0.80135207687607313</v>
      </c>
      <c r="AW82" s="23">
        <f>EXP(-LN(2)/2)*AW81+(1-EXP(-LN(2)/2))/(LN(2)/2)*AQ82*AT82*VLOOKUP('Données projet'!$B$10,Paramètres!$A$1:$I$89,3,0)*0.475*44/12</f>
        <v>6.1099286005982116E-7</v>
      </c>
      <c r="AX82" s="23">
        <f t="shared" si="60"/>
        <v>0.80135268786893321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10.199999999999999</v>
      </c>
      <c r="BD82" s="13">
        <f>IF('Données projet'!$A$88&gt;35,BD81+BC82-BL81,IF(A82&lt;'Données projet'!$A$88,$BA$205^A82,IF(A82='Données projet'!$A$88,'Données projet'!$B$88,BD81+BC82-BL81)))</f>
        <v>272.80000000000007</v>
      </c>
      <c r="BE82" s="14">
        <f>BD82*VLOOKUP('Données projet'!$B$11,Paramètres!$A$1:$I$89,3,0)*VLOOKUP('Données projet'!$B$11,Paramètres!$A$1:$I$89,5,0)</f>
        <v>246.82944000000003</v>
      </c>
      <c r="BF82" s="14">
        <f t="shared" si="91"/>
        <v>59.906509645447485</v>
      </c>
      <c r="BG82" s="22">
        <f t="shared" si="61"/>
        <v>534.23177896582104</v>
      </c>
      <c r="BH82" s="62">
        <f t="shared" si="62"/>
        <v>827.56511229915441</v>
      </c>
      <c r="BI82" s="62">
        <f ca="1">AVERAGE(OFFSET($BH$3,0,0,'Données projet'!$E$11+1,1))-AVERAGE(OFFSET($H$3,0,0,'Données projet'!$E$11+1,1))</f>
        <v>267.00333505765792</v>
      </c>
      <c r="BJ82" s="62">
        <f t="shared" si="92"/>
        <v>172.25613380618557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0.69370776804197365</v>
      </c>
      <c r="BR82" s="23">
        <f>EXP(-LN(2)/2)*BR81+(1-EXP(-LN(2)/2))/(LN(2)/2)*BL82*BO82*VLOOKUP('Données projet'!$B$11,Paramètres!$A$1:$I$89,3,0)*0.475*44/12</f>
        <v>5.2891919229059052E-7</v>
      </c>
      <c r="BS82" s="24">
        <f t="shared" si="63"/>
        <v>0.69370829696116598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10.199999999999999</v>
      </c>
      <c r="BY82" s="13">
        <f>IF('Données projet'!$A$114&gt;35,BY81+BX82-CG81,IF(A82&lt;'Données projet'!$A$114,$BV$205^A82,IF(A82='Données projet'!$A$114,'Données projet'!$B$114,BY81+BX82-CG81)))</f>
        <v>272.80000000000007</v>
      </c>
      <c r="BZ82" s="14">
        <f>BY82*VLOOKUP('Données projet'!$B$12,Paramètres!$A$1:$I$89,3,0)*VLOOKUP('Données projet'!$B$12,Paramètres!$A$1:$I$89,5,0)</f>
        <v>276.61920000000009</v>
      </c>
      <c r="CA82" s="14">
        <f t="shared" si="93"/>
        <v>66.252044316235512</v>
      </c>
      <c r="CB82" s="22">
        <f t="shared" si="64"/>
        <v>597.16741718411038</v>
      </c>
      <c r="CC82" s="62">
        <f t="shared" si="65"/>
        <v>890.50075051744375</v>
      </c>
      <c r="CD82" s="62">
        <f ca="1">AVERAGE(OFFSET($CC$3,0,0,'Données projet'!$E$12+1,1))-AVERAGE(OFFSET($H$3,0,0,'Données projet'!$E$12+1,1))</f>
        <v>308.72872453744998</v>
      </c>
      <c r="CE82" s="62">
        <f t="shared" si="94"/>
        <v>195.3674411454258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0.77743111935738474</v>
      </c>
      <c r="CM82" s="23">
        <f>EXP(-LN(2)/2)*CM81+(1-EXP(-LN(2)/2))/(LN(2)/2)*CG82*CJ82*VLOOKUP('Données projet'!$B$12,Paramètres!$A$1:$I$89,3,0)*0.475*44/12</f>
        <v>5.9275426722221357E-7</v>
      </c>
      <c r="CN82" s="24">
        <f t="shared" si="66"/>
        <v>0.77743171211165196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160.24926890971085</v>
      </c>
      <c r="T83" s="62">
        <f t="shared" si="88"/>
        <v>323.52368436151721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21.899356610945983</v>
      </c>
      <c r="AA83" s="23">
        <f>EXP(-LN(2)/25)*AA82+(1-EXP(-LN(2)/25))/(LN(2)/25)*Calculateur!V83*Calculateur!X83*VLOOKUP('Données projet'!$B$9,Paramètres!$A$1:$I$89,3,0)*0.475*44/12</f>
        <v>12.911504660612287</v>
      </c>
      <c r="AB83" s="23">
        <f>EXP(-LN(2)/2)*AB82+(1-EXP(-LN(2)/2))/(LN(2)/2)*V83*Y83*VLOOKUP('Données projet'!$B$9,Paramètres!$A$1:$I$89,3,0)*0.475*44/12</f>
        <v>5.3136813802528548E-6</v>
      </c>
      <c r="AC83" s="24">
        <f t="shared" si="57"/>
        <v>34.810866585239644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283</v>
      </c>
      <c r="AG83" s="13">
        <f>VLOOKUP(A83,'Données projet'!$A$61:$I$81,9,0)</f>
        <v>10.199999999999999</v>
      </c>
      <c r="AH83" s="13">
        <f t="array" ref="AH83">INDEX(AG:AG,MIN(IF(ISNUMBER(AG83:AG279),ROW(AG83:AG279),"")))</f>
        <v>10.199999999999999</v>
      </c>
      <c r="AI83" s="14">
        <f>IF('Données projet'!$A$62&gt;35,AI82+AH83-AQ82,IF(A83&lt;'Données projet'!$A$62,$AF$205^A83,IF(A83='Données projet'!$A$62,'Données projet'!$B$62,AI82+AH83-AQ82)))</f>
        <v>283.00000000000006</v>
      </c>
      <c r="AJ83" s="14">
        <f>AI83*VLOOKUP('Données projet'!$B$10,Paramètres!$A$1:$I$89,3,0)*VLOOKUP('Données projet'!$B$10,Paramètres!$A$1:$I$89,5,0)</f>
        <v>295.79160000000007</v>
      </c>
      <c r="AK83" s="14">
        <f t="shared" si="89"/>
        <v>70.293497112275901</v>
      </c>
      <c r="AL83" s="22">
        <f t="shared" si="58"/>
        <v>637.59821080388076</v>
      </c>
      <c r="AM83" s="62">
        <f t="shared" si="59"/>
        <v>930.93154413721413</v>
      </c>
      <c r="AN83" s="62">
        <f ca="1">AVERAGE(OFFSET($AM$3,0,0,'Données projet'!$E$10+1,1))-AVERAGE(OFFSET($H$3,0,0,'Données projet'!$E$10+1,1))</f>
        <v>320.63267332485663</v>
      </c>
      <c r="AO83" s="62">
        <f t="shared" si="90"/>
        <v>201.96012789473809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0.77943906219262271</v>
      </c>
      <c r="AW83" s="23">
        <f>EXP(-LN(2)/2)*AW82+(1-EXP(-LN(2)/2))/(LN(2)/2)*AQ83*AT83*VLOOKUP('Données projet'!$B$10,Paramètres!$A$1:$I$89,3,0)*0.475*44/12</f>
        <v>4.3203719460486282E-7</v>
      </c>
      <c r="AX83" s="23">
        <f t="shared" si="60"/>
        <v>0.77943949422981729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283</v>
      </c>
      <c r="BB83" s="13">
        <f>VLOOKUP(A83,'Données projet'!$A$87:$I$107,9,0)</f>
        <v>10.199999999999999</v>
      </c>
      <c r="BC83" s="13">
        <f t="array" ref="BC83">INDEX(BB:BB,MIN(IF(ISNUMBER(BB83:BB279),ROW(BB83:BB279),"")))</f>
        <v>10.199999999999999</v>
      </c>
      <c r="BD83" s="13">
        <f>IF('Données projet'!$A$88&gt;35,BD82+BC83-BL82,IF(A83&lt;'Données projet'!$A$88,$BA$205^A83,IF(A83='Données projet'!$A$88,'Données projet'!$B$88,BD82+BC83-BL82)))</f>
        <v>283.00000000000006</v>
      </c>
      <c r="BE83" s="14">
        <f>BD83*VLOOKUP('Données projet'!$B$11,Paramètres!$A$1:$I$89,3,0)*VLOOKUP('Données projet'!$B$11,Paramètres!$A$1:$I$89,5,0)</f>
        <v>256.05840000000001</v>
      </c>
      <c r="BF83" s="14">
        <f t="shared" si="91"/>
        <v>61.881442594256484</v>
      </c>
      <c r="BG83" s="22">
        <f t="shared" si="61"/>
        <v>553.74522585166335</v>
      </c>
      <c r="BH83" s="62">
        <f t="shared" si="62"/>
        <v>847.07855918499672</v>
      </c>
      <c r="BI83" s="62">
        <f ca="1">AVERAGE(OFFSET($BH$3,0,0,'Données projet'!$E$11+1,1))-AVERAGE(OFFSET($H$3,0,0,'Données projet'!$E$11+1,1))</f>
        <v>267.00333505765792</v>
      </c>
      <c r="BJ83" s="62">
        <f t="shared" si="92"/>
        <v>172.25613380618557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0.67473829264435981</v>
      </c>
      <c r="BR83" s="23">
        <f>EXP(-LN(2)/2)*BR82+(1-EXP(-LN(2)/2))/(LN(2)/2)*BL83*BO83*VLOOKUP('Données projet'!$B$11,Paramètres!$A$1:$I$89,3,0)*0.475*44/12</f>
        <v>3.7400234756838804E-7</v>
      </c>
      <c r="BS83" s="24">
        <f t="shared" si="63"/>
        <v>0.67473866664670734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283</v>
      </c>
      <c r="BW83" s="13">
        <f>VLOOKUP(A83,'Données projet'!$A$113:$I$133,9,0)</f>
        <v>10.199999999999999</v>
      </c>
      <c r="BX83" s="13">
        <f t="array" ref="BX83">INDEX(BW:BW,MIN(IF(ISNUMBER(BW83:BW279),ROW(BW83:BW279),"")))</f>
        <v>10.199999999999999</v>
      </c>
      <c r="BY83" s="13">
        <f>IF('Données projet'!$A$114&gt;35,BY82+BX83-CG82,IF(A83&lt;'Données projet'!$A$114,$BV$205^A83,IF(A83='Données projet'!$A$114,'Données projet'!$B$114,BY82+BX83-CG82)))</f>
        <v>283.00000000000006</v>
      </c>
      <c r="BZ83" s="14">
        <f>BY83*VLOOKUP('Données projet'!$B$12,Paramètres!$A$1:$I$89,3,0)*VLOOKUP('Données projet'!$B$12,Paramètres!$A$1:$I$89,5,0)</f>
        <v>286.9620000000001</v>
      </c>
      <c r="CA83" s="14">
        <f t="shared" si="93"/>
        <v>68.436169981717924</v>
      </c>
      <c r="CB83" s="22">
        <f t="shared" si="64"/>
        <v>618.98514605149205</v>
      </c>
      <c r="CC83" s="62">
        <f t="shared" si="65"/>
        <v>912.31847938482542</v>
      </c>
      <c r="CD83" s="62">
        <f ca="1">AVERAGE(OFFSET($CC$3,0,0,'Données projet'!$E$12+1,1))-AVERAGE(OFFSET($H$3,0,0,'Données projet'!$E$12+1,1))</f>
        <v>308.72872453744998</v>
      </c>
      <c r="CE83" s="62">
        <f t="shared" si="94"/>
        <v>195.3674411454258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21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0.75617222451523136</v>
      </c>
      <c r="CM83" s="23">
        <f>EXP(-LN(2)/2)*CM82+(1-EXP(-LN(2)/2))/(LN(2)/2)*CG83*CJ83*VLOOKUP('Données projet'!$B$12,Paramètres!$A$1:$I$89,3,0)*0.475*44/12</f>
        <v>4.1914056193009009E-7</v>
      </c>
      <c r="CN83" s="24">
        <f t="shared" si="66"/>
        <v>0.75617264365579329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160.24926890971085</v>
      </c>
      <c r="T84" s="62">
        <f t="shared" si="88"/>
        <v>323.52368436151721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21.469923585093941</v>
      </c>
      <c r="AA84" s="23">
        <f>EXP(-LN(2)/25)*AA83+(1-EXP(-LN(2)/25))/(LN(2)/25)*Calculateur!V84*Calculateur!X84*VLOOKUP('Données projet'!$B$9,Paramètres!$A$1:$I$89,3,0)*0.475*44/12</f>
        <v>12.558438886681325</v>
      </c>
      <c r="AB84" s="23">
        <f>EXP(-LN(2)/2)*AB83+(1-EXP(-LN(2)/2))/(LN(2)/2)*V84*Y84*VLOOKUP('Données projet'!$B$9,Paramètres!$A$1:$I$89,3,0)*0.475*44/12</f>
        <v>3.7573401370414875E-6</v>
      </c>
      <c r="AC84" s="24">
        <f t="shared" si="57"/>
        <v>34.028366229115406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267.60000000000008</v>
      </c>
      <c r="AJ84" s="14">
        <f>AI84*VLOOKUP('Données projet'!$B$10,Paramètres!$A$1:$I$89,3,0)*VLOOKUP('Données projet'!$B$10,Paramètres!$A$1:$I$89,5,0)</f>
        <v>279.6955200000001</v>
      </c>
      <c r="AK84" s="14">
        <f t="shared" si="89"/>
        <v>66.902659430382812</v>
      </c>
      <c r="AL84" s="22">
        <f t="shared" si="58"/>
        <v>603.65849584125021</v>
      </c>
      <c r="AM84" s="62">
        <f t="shared" si="59"/>
        <v>896.99182917458347</v>
      </c>
      <c r="AN84" s="62">
        <f ca="1">AVERAGE(OFFSET($AM$3,0,0,'Données projet'!$E$10+1,1))-AVERAGE(OFFSET($H$3,0,0,'Données projet'!$E$10+1,1))</f>
        <v>320.63267332485663</v>
      </c>
      <c r="AO84" s="62">
        <f t="shared" si="90"/>
        <v>201.96012789473809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0.75812526004804659</v>
      </c>
      <c r="AW84" s="23">
        <f>EXP(-LN(2)/2)*AW83+(1-EXP(-LN(2)/2))/(LN(2)/2)*AQ84*AT84*VLOOKUP('Données projet'!$B$10,Paramètres!$A$1:$I$89,3,0)*0.475*44/12</f>
        <v>3.0549643002991058E-7</v>
      </c>
      <c r="AX84" s="23">
        <f t="shared" si="60"/>
        <v>0.75812556554447663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267.60000000000008</v>
      </c>
      <c r="BE84" s="14">
        <f>BD84*VLOOKUP('Données projet'!$B$11,Paramètres!$A$1:$I$89,3,0)*VLOOKUP('Données projet'!$B$11,Paramètres!$A$1:$I$89,5,0)</f>
        <v>242.12448000000006</v>
      </c>
      <c r="BF84" s="14">
        <f t="shared" si="91"/>
        <v>58.896387987806008</v>
      </c>
      <c r="BG84" s="22">
        <f t="shared" si="61"/>
        <v>524.2780117454289</v>
      </c>
      <c r="BH84" s="62">
        <f t="shared" si="62"/>
        <v>817.61134507876227</v>
      </c>
      <c r="BI84" s="62">
        <f ca="1">AVERAGE(OFFSET($BH$3,0,0,'Données projet'!$E$11+1,1))-AVERAGE(OFFSET($H$3,0,0,'Données projet'!$E$11+1,1))</f>
        <v>267.00333505765792</v>
      </c>
      <c r="BJ84" s="62">
        <f t="shared" si="92"/>
        <v>172.25613380618557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0.65628753854905508</v>
      </c>
      <c r="BR84" s="23">
        <f>EXP(-LN(2)/2)*BR83+(1-EXP(-LN(2)/2))/(LN(2)/2)*BL84*BO84*VLOOKUP('Données projet'!$B$11,Paramètres!$A$1:$I$89,3,0)*0.475*44/12</f>
        <v>2.6445959614529526E-7</v>
      </c>
      <c r="BS84" s="24">
        <f t="shared" si="63"/>
        <v>0.65628780300865119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267.60000000000008</v>
      </c>
      <c r="BZ84" s="14">
        <f>BY84*VLOOKUP('Données projet'!$B$12,Paramètres!$A$1:$I$89,3,0)*VLOOKUP('Données projet'!$B$12,Paramètres!$A$1:$I$89,5,0)</f>
        <v>271.34640000000007</v>
      </c>
      <c r="CA84" s="14">
        <f t="shared" si="93"/>
        <v>65.134926573557365</v>
      </c>
      <c r="CB84" s="22">
        <f t="shared" si="64"/>
        <v>586.03831044894594</v>
      </c>
      <c r="CC84" s="62">
        <f t="shared" si="65"/>
        <v>879.37164378227931</v>
      </c>
      <c r="CD84" s="62">
        <f ca="1">AVERAGE(OFFSET($CC$3,0,0,'Données projet'!$E$12+1,1))-AVERAGE(OFFSET($H$3,0,0,'Données projet'!$E$12+1,1))</f>
        <v>308.72872453744998</v>
      </c>
      <c r="CE84" s="62">
        <f t="shared" si="94"/>
        <v>195.3674411454258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0.73549465527049329</v>
      </c>
      <c r="CM84" s="23">
        <f>EXP(-LN(2)/2)*CM83+(1-EXP(-LN(2)/2))/(LN(2)/2)*CG84*CJ84*VLOOKUP('Données projet'!$B$12,Paramètres!$A$1:$I$89,3,0)*0.475*44/12</f>
        <v>2.9637713361110678E-7</v>
      </c>
      <c r="CN84" s="24">
        <f t="shared" si="66"/>
        <v>0.7354949516476269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160.24926890971085</v>
      </c>
      <c r="T85" s="62">
        <f t="shared" si="88"/>
        <v>323.52368436151721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21.048911478950576</v>
      </c>
      <c r="AA85" s="23">
        <f>EXP(-LN(2)/25)*AA84+(1-EXP(-LN(2)/25))/(LN(2)/25)*Calculateur!V85*Calculateur!X85*VLOOKUP('Données projet'!$B$9,Paramètres!$A$1:$I$89,3,0)*0.475*44/12</f>
        <v>12.215027714905425</v>
      </c>
      <c r="AB85" s="23">
        <f>EXP(-LN(2)/2)*AB84+(1-EXP(-LN(2)/2))/(LN(2)/2)*V85*Y85*VLOOKUP('Données projet'!$B$9,Paramètres!$A$1:$I$89,3,0)*0.475*44/12</f>
        <v>2.6568406901264278E-6</v>
      </c>
      <c r="AC85" s="24">
        <f t="shared" si="57"/>
        <v>33.263941850696696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273.2000000000001</v>
      </c>
      <c r="AJ85" s="14">
        <f>AI85*VLOOKUP('Données projet'!$B$10,Paramètres!$A$1:$I$89,3,0)*VLOOKUP('Données projet'!$B$10,Paramètres!$A$1:$I$89,5,0)</f>
        <v>285.54864000000009</v>
      </c>
      <c r="AK85" s="14">
        <f t="shared" si="89"/>
        <v>68.138253513867127</v>
      </c>
      <c r="AL85" s="22">
        <f t="shared" si="58"/>
        <v>616.00467286998548</v>
      </c>
      <c r="AM85" s="62">
        <f t="shared" si="59"/>
        <v>909.33800620331886</v>
      </c>
      <c r="AN85" s="62">
        <f ca="1">AVERAGE(OFFSET($AM$3,0,0,'Données projet'!$E$10+1,1))-AVERAGE(OFFSET($H$3,0,0,'Données projet'!$E$10+1,1))</f>
        <v>320.63267332485663</v>
      </c>
      <c r="AO85" s="62">
        <f t="shared" si="90"/>
        <v>201.96012789473809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0.73739428494395809</v>
      </c>
      <c r="AW85" s="23">
        <f>EXP(-LN(2)/2)*AW84+(1-EXP(-LN(2)/2))/(LN(2)/2)*AQ85*AT85*VLOOKUP('Données projet'!$B$10,Paramètres!$A$1:$I$89,3,0)*0.475*44/12</f>
        <v>2.1601859730243141E-7</v>
      </c>
      <c r="AX85" s="23">
        <f t="shared" si="60"/>
        <v>0.73739450096255543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273.2000000000001</v>
      </c>
      <c r="BE85" s="14">
        <f>BD85*VLOOKUP('Données projet'!$B$11,Paramètres!$A$1:$I$89,3,0)*VLOOKUP('Données projet'!$B$11,Paramètres!$A$1:$I$89,5,0)</f>
        <v>247.19136000000009</v>
      </c>
      <c r="BF85" s="14">
        <f t="shared" si="91"/>
        <v>59.984117969781614</v>
      </c>
      <c r="BG85" s="22">
        <f t="shared" si="61"/>
        <v>534.99729079736971</v>
      </c>
      <c r="BH85" s="62">
        <f t="shared" si="62"/>
        <v>828.33062413070297</v>
      </c>
      <c r="BI85" s="62">
        <f ca="1">AVERAGE(OFFSET($BH$3,0,0,'Données projet'!$E$11+1,1))-AVERAGE(OFFSET($H$3,0,0,'Données projet'!$E$11+1,1))</f>
        <v>267.00333505765792</v>
      </c>
      <c r="BJ85" s="62">
        <f t="shared" si="92"/>
        <v>172.25613380618557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0.6383413212947695</v>
      </c>
      <c r="BR85" s="23">
        <f>EXP(-LN(2)/2)*BR84+(1-EXP(-LN(2)/2))/(LN(2)/2)*BL85*BO85*VLOOKUP('Données projet'!$B$11,Paramètres!$A$1:$I$89,3,0)*0.475*44/12</f>
        <v>1.8700117378419402E-7</v>
      </c>
      <c r="BS85" s="24">
        <f t="shared" si="63"/>
        <v>0.63834150829594327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273.2000000000001</v>
      </c>
      <c r="BZ85" s="14">
        <f>BY85*VLOOKUP('Données projet'!$B$12,Paramètres!$A$1:$I$89,3,0)*VLOOKUP('Données projet'!$B$12,Paramètres!$A$1:$I$89,5,0)</f>
        <v>277.02480000000014</v>
      </c>
      <c r="CA85" s="14">
        <f t="shared" si="93"/>
        <v>66.337873221533528</v>
      </c>
      <c r="CB85" s="22">
        <f t="shared" si="64"/>
        <v>598.02332252750443</v>
      </c>
      <c r="CC85" s="62">
        <f t="shared" si="65"/>
        <v>891.35665586083769</v>
      </c>
      <c r="CD85" s="62">
        <f ca="1">AVERAGE(OFFSET($CC$3,0,0,'Données projet'!$E$12+1,1))-AVERAGE(OFFSET($H$3,0,0,'Données projet'!$E$12+1,1))</f>
        <v>308.72872453744998</v>
      </c>
      <c r="CE85" s="62">
        <f t="shared" si="94"/>
        <v>195.3674411454258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0.71538251524413876</v>
      </c>
      <c r="CM85" s="23">
        <f>EXP(-LN(2)/2)*CM84+(1-EXP(-LN(2)/2))/(LN(2)/2)*CG85*CJ85*VLOOKUP('Données projet'!$B$12,Paramètres!$A$1:$I$89,3,0)*0.475*44/12</f>
        <v>2.0957028096504504E-7</v>
      </c>
      <c r="CN85" s="24">
        <f t="shared" si="66"/>
        <v>0.71538272481441978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160.24926890971085</v>
      </c>
      <c r="T86" s="62">
        <f t="shared" si="88"/>
        <v>323.52368436151721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20.636155163416653</v>
      </c>
      <c r="AA86" s="23">
        <f>EXP(-LN(2)/25)*AA85+(1-EXP(-LN(2)/25))/(LN(2)/25)*Calculateur!V86*Calculateur!X86*VLOOKUP('Données projet'!$B$9,Paramètres!$A$1:$I$89,3,0)*0.475*44/12</f>
        <v>11.881007139680946</v>
      </c>
      <c r="AB86" s="23">
        <f>EXP(-LN(2)/2)*AB85+(1-EXP(-LN(2)/2))/(LN(2)/2)*V86*Y86*VLOOKUP('Données projet'!$B$9,Paramètres!$A$1:$I$89,3,0)*0.475*44/12</f>
        <v>1.8786700685207442E-6</v>
      </c>
      <c r="AC86" s="24">
        <f t="shared" si="57"/>
        <v>32.517164181767669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278.80000000000013</v>
      </c>
      <c r="AJ86" s="14">
        <f>AI86*VLOOKUP('Données projet'!$B$10,Paramètres!$A$1:$I$89,3,0)*VLOOKUP('Données projet'!$B$10,Paramètres!$A$1:$I$89,5,0)</f>
        <v>291.40176000000019</v>
      </c>
      <c r="AK86" s="14">
        <f t="shared" si="89"/>
        <v>69.370902834794066</v>
      </c>
      <c r="AL86" s="22">
        <f t="shared" si="58"/>
        <v>628.34572110393322</v>
      </c>
      <c r="AM86" s="62">
        <f t="shared" si="59"/>
        <v>921.67905443726659</v>
      </c>
      <c r="AN86" s="62">
        <f ca="1">AVERAGE(OFFSET($AM$3,0,0,'Données projet'!$E$10+1,1))-AVERAGE(OFFSET($H$3,0,0,'Données projet'!$E$10+1,1))</f>
        <v>320.63267332485663</v>
      </c>
      <c r="AO86" s="62">
        <f t="shared" si="90"/>
        <v>201.96012789473809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0.71723019944428545</v>
      </c>
      <c r="AW86" s="23">
        <f>EXP(-LN(2)/2)*AW85+(1-EXP(-LN(2)/2))/(LN(2)/2)*AQ86*AT86*VLOOKUP('Données projet'!$B$10,Paramètres!$A$1:$I$89,3,0)*0.475*44/12</f>
        <v>1.5274821501495529E-7</v>
      </c>
      <c r="AX86" s="23">
        <f t="shared" si="60"/>
        <v>0.71723035219250042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278.80000000000013</v>
      </c>
      <c r="BE86" s="14">
        <f>BD86*VLOOKUP('Données projet'!$B$11,Paramètres!$A$1:$I$89,3,0)*VLOOKUP('Données projet'!$B$11,Paramètres!$A$1:$I$89,5,0)</f>
        <v>252.25824000000011</v>
      </c>
      <c r="BF86" s="14">
        <f t="shared" si="91"/>
        <v>61.069255590263836</v>
      </c>
      <c r="BG86" s="22">
        <f t="shared" si="61"/>
        <v>545.71205481970969</v>
      </c>
      <c r="BH86" s="62">
        <f t="shared" si="62"/>
        <v>839.04538815304295</v>
      </c>
      <c r="BI86" s="62">
        <f ca="1">AVERAGE(OFFSET($BH$3,0,0,'Données projet'!$E$11+1,1))-AVERAGE(OFFSET($H$3,0,0,'Données projet'!$E$11+1,1))</f>
        <v>267.00333505765792</v>
      </c>
      <c r="BJ86" s="62">
        <f t="shared" si="92"/>
        <v>172.25613380618557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0.62088584429505289</v>
      </c>
      <c r="BR86" s="23">
        <f>EXP(-LN(2)/2)*BR85+(1-EXP(-LN(2)/2))/(LN(2)/2)*BL86*BO86*VLOOKUP('Données projet'!$B$11,Paramètres!$A$1:$I$89,3,0)*0.475*44/12</f>
        <v>1.3222979807264763E-7</v>
      </c>
      <c r="BS86" s="24">
        <f t="shared" si="63"/>
        <v>0.620885976524851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278.80000000000013</v>
      </c>
      <c r="BZ86" s="14">
        <f>BY86*VLOOKUP('Données projet'!$B$12,Paramètres!$A$1:$I$89,3,0)*VLOOKUP('Données projet'!$B$12,Paramètres!$A$1:$I$89,5,0)</f>
        <v>282.70320000000015</v>
      </c>
      <c r="CA86" s="14">
        <f t="shared" si="93"/>
        <v>67.537952914823904</v>
      </c>
      <c r="CB86" s="22">
        <f t="shared" si="64"/>
        <v>610.00334132665182</v>
      </c>
      <c r="CC86" s="62">
        <f t="shared" si="65"/>
        <v>903.33667465998519</v>
      </c>
      <c r="CD86" s="62">
        <f ca="1">AVERAGE(OFFSET($CC$3,0,0,'Données projet'!$E$12+1,1))-AVERAGE(OFFSET($H$3,0,0,'Données projet'!$E$12+1,1))</f>
        <v>308.72872453744998</v>
      </c>
      <c r="CE86" s="62">
        <f t="shared" si="94"/>
        <v>195.3674411454258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0.69582034274445637</v>
      </c>
      <c r="CM86" s="23">
        <f>EXP(-LN(2)/2)*CM85+(1-EXP(-LN(2)/2))/(LN(2)/2)*CG86*CJ86*VLOOKUP('Données projet'!$B$12,Paramètres!$A$1:$I$89,3,0)*0.475*44/12</f>
        <v>1.4818856680555339E-7</v>
      </c>
      <c r="CN86" s="24">
        <f t="shared" si="66"/>
        <v>0.69582049093302312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160.24926890971085</v>
      </c>
      <c r="T87" s="62">
        <f t="shared" si="88"/>
        <v>323.52368436151721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20.231492747473858</v>
      </c>
      <c r="AA87" s="23">
        <f>EXP(-LN(2)/25)*AA86+(1-EXP(-LN(2)/25))/(LN(2)/25)*Calculateur!V87*Calculateur!X87*VLOOKUP('Données projet'!$B$9,Paramètres!$A$1:$I$89,3,0)*0.475*44/12</f>
        <v>11.556120374651361</v>
      </c>
      <c r="AB87" s="23">
        <f>EXP(-LN(2)/2)*AB86+(1-EXP(-LN(2)/2))/(LN(2)/2)*V87*Y87*VLOOKUP('Données projet'!$B$9,Paramètres!$A$1:$I$89,3,0)*0.475*44/12</f>
        <v>1.3284203450632141E-6</v>
      </c>
      <c r="AC87" s="24">
        <f t="shared" si="57"/>
        <v>31.787614450545565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284.40000000000015</v>
      </c>
      <c r="AJ87" s="14">
        <f>AI87*VLOOKUP('Données projet'!$B$10,Paramètres!$A$1:$I$89,3,0)*VLOOKUP('Données projet'!$B$10,Paramètres!$A$1:$I$89,5,0)</f>
        <v>297.25488000000018</v>
      </c>
      <c r="AK87" s="14">
        <f t="shared" si="89"/>
        <v>70.600673358642155</v>
      </c>
      <c r="AL87" s="22">
        <f t="shared" si="58"/>
        <v>640.68175543296877</v>
      </c>
      <c r="AM87" s="62">
        <f t="shared" si="59"/>
        <v>934.01508876630214</v>
      </c>
      <c r="AN87" s="62">
        <f ca="1">AVERAGE(OFFSET($AM$3,0,0,'Données projet'!$E$10+1,1))-AVERAGE(OFFSET($H$3,0,0,'Données projet'!$E$10+1,1))</f>
        <v>320.63267332485663</v>
      </c>
      <c r="AO87" s="62">
        <f t="shared" si="90"/>
        <v>201.96012789473809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0.69761750192298455</v>
      </c>
      <c r="AW87" s="23">
        <f>EXP(-LN(2)/2)*AW86+(1-EXP(-LN(2)/2))/(LN(2)/2)*AQ87*AT87*VLOOKUP('Données projet'!$B$10,Paramètres!$A$1:$I$89,3,0)*0.475*44/12</f>
        <v>1.0800929865121571E-7</v>
      </c>
      <c r="AX87" s="23">
        <f t="shared" si="60"/>
        <v>0.69761760993228317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284.40000000000015</v>
      </c>
      <c r="BE87" s="14">
        <f>BD87*VLOOKUP('Données projet'!$B$11,Paramètres!$A$1:$I$89,3,0)*VLOOKUP('Données projet'!$B$11,Paramètres!$A$1:$I$89,5,0)</f>
        <v>257.32512000000014</v>
      </c>
      <c r="BF87" s="14">
        <f t="shared" si="91"/>
        <v>62.151858920612703</v>
      </c>
      <c r="BG87" s="22">
        <f t="shared" si="61"/>
        <v>556.42240495340059</v>
      </c>
      <c r="BH87" s="62">
        <f t="shared" si="62"/>
        <v>849.75573828673396</v>
      </c>
      <c r="BI87" s="62">
        <f ca="1">AVERAGE(OFFSET($BH$3,0,0,'Données projet'!$E$11+1,1))-AVERAGE(OFFSET($H$3,0,0,'Données projet'!$E$11+1,1))</f>
        <v>267.00333505765792</v>
      </c>
      <c r="BJ87" s="62">
        <f t="shared" si="92"/>
        <v>172.25613380618557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0.60390768823183716</v>
      </c>
      <c r="BR87" s="23">
        <f>EXP(-LN(2)/2)*BR86+(1-EXP(-LN(2)/2))/(LN(2)/2)*BL87*BO87*VLOOKUP('Données projet'!$B$11,Paramètres!$A$1:$I$89,3,0)*0.475*44/12</f>
        <v>9.3500586892097011E-8</v>
      </c>
      <c r="BS87" s="24">
        <f t="shared" si="63"/>
        <v>0.6039077817324241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284.40000000000015</v>
      </c>
      <c r="BZ87" s="14">
        <f>BY87*VLOOKUP('Données projet'!$B$12,Paramètres!$A$1:$I$89,3,0)*VLOOKUP('Données projet'!$B$12,Paramètres!$A$1:$I$89,5,0)</f>
        <v>288.38160000000016</v>
      </c>
      <c r="CA87" s="14">
        <f t="shared" si="93"/>
        <v>68.735229875936668</v>
      </c>
      <c r="CB87" s="22">
        <f t="shared" si="64"/>
        <v>621.97847870059002</v>
      </c>
      <c r="CC87" s="62">
        <f t="shared" si="65"/>
        <v>915.31181203392339</v>
      </c>
      <c r="CD87" s="62">
        <f ca="1">AVERAGE(OFFSET($CC$3,0,0,'Données projet'!$E$12+1,1))-AVERAGE(OFFSET($H$3,0,0,'Données projet'!$E$12+1,1))</f>
        <v>308.72872453744998</v>
      </c>
      <c r="CE87" s="62">
        <f t="shared" si="94"/>
        <v>195.3674411454258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0.67679309888050765</v>
      </c>
      <c r="CM87" s="23">
        <f>EXP(-LN(2)/2)*CM86+(1-EXP(-LN(2)/2))/(LN(2)/2)*CG87*CJ87*VLOOKUP('Données projet'!$B$12,Paramètres!$A$1:$I$89,3,0)*0.475*44/12</f>
        <v>1.0478514048252252E-7</v>
      </c>
      <c r="CN87" s="24">
        <f t="shared" si="66"/>
        <v>0.6767932036656481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160.24926890971085</v>
      </c>
      <c r="T88" s="62">
        <f t="shared" si="88"/>
        <v>323.52368436151721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19.834765514687998</v>
      </c>
      <c r="AA88" s="23">
        <f>EXP(-LN(2)/25)*AA87+(1-EXP(-LN(2)/25))/(LN(2)/25)*Calculateur!V88*Calculateur!X88*VLOOKUP('Données projet'!$B$9,Paramètres!$A$1:$I$89,3,0)*0.475*44/12</f>
        <v>11.24011765529656</v>
      </c>
      <c r="AB88" s="23">
        <f>EXP(-LN(2)/2)*AB87+(1-EXP(-LN(2)/2))/(LN(2)/2)*V88*Y88*VLOOKUP('Données projet'!$B$9,Paramètres!$A$1:$I$89,3,0)*0.475*44/12</f>
        <v>9.3933503426037219E-7</v>
      </c>
      <c r="AC88" s="24">
        <f t="shared" si="57"/>
        <v>31.074884109319594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290</v>
      </c>
      <c r="AG88" s="13">
        <f>VLOOKUP(A88,'Données projet'!$A$61:$I$81,9,0)</f>
        <v>5.6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290.00000000000017</v>
      </c>
      <c r="AJ88" s="14">
        <f>AI88*VLOOKUP('Données projet'!$B$10,Paramètres!$A$1:$I$89,3,0)*VLOOKUP('Données projet'!$B$10,Paramètres!$A$1:$I$89,5,0)</f>
        <v>303.10800000000023</v>
      </c>
      <c r="AK88" s="14">
        <f t="shared" si="89"/>
        <v>71.827628304517233</v>
      </c>
      <c r="AL88" s="22">
        <f t="shared" si="58"/>
        <v>653.01288596370125</v>
      </c>
      <c r="AM88" s="62">
        <f t="shared" si="59"/>
        <v>946.34621929703462</v>
      </c>
      <c r="AN88" s="62">
        <f ca="1">AVERAGE(OFFSET($AM$3,0,0,'Données projet'!$E$10+1,1))-AVERAGE(OFFSET($H$3,0,0,'Données projet'!$E$10+1,1))</f>
        <v>320.63267332485663</v>
      </c>
      <c r="AO88" s="62">
        <f t="shared" si="90"/>
        <v>201.96012789473809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0.67854111464679057</v>
      </c>
      <c r="AW88" s="23">
        <f>EXP(-LN(2)/2)*AW87+(1-EXP(-LN(2)/2))/(LN(2)/2)*AQ88*AT88*VLOOKUP('Données projet'!$B$10,Paramètres!$A$1:$I$89,3,0)*0.475*44/12</f>
        <v>7.6374107507477646E-8</v>
      </c>
      <c r="AX88" s="23">
        <f t="shared" si="60"/>
        <v>0.67854119102089805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290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290.00000000000017</v>
      </c>
      <c r="BE88" s="14">
        <f>BD88*VLOOKUP('Données projet'!$B$11,Paramètres!$A$1:$I$89,3,0)*VLOOKUP('Données projet'!$B$11,Paramètres!$A$1:$I$89,5,0)</f>
        <v>262.39200000000011</v>
      </c>
      <c r="BF88" s="14">
        <f t="shared" si="91"/>
        <v>63.231983614474998</v>
      </c>
      <c r="BG88" s="22">
        <f t="shared" si="61"/>
        <v>567.12843812854408</v>
      </c>
      <c r="BH88" s="62">
        <f t="shared" si="62"/>
        <v>860.46177146187733</v>
      </c>
      <c r="BI88" s="62">
        <f ca="1">AVERAGE(OFFSET($BH$3,0,0,'Données projet'!$E$11+1,1))-AVERAGE(OFFSET($H$3,0,0,'Données projet'!$E$11+1,1))</f>
        <v>267.00333505765792</v>
      </c>
      <c r="BJ88" s="62">
        <f t="shared" si="92"/>
        <v>172.25613380618557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0.58739380073901248</v>
      </c>
      <c r="BR88" s="23">
        <f>EXP(-LN(2)/2)*BR87+(1-EXP(-LN(2)/2))/(LN(2)/2)*BL88*BO88*VLOOKUP('Données projet'!$B$11,Paramètres!$A$1:$I$89,3,0)*0.475*44/12</f>
        <v>6.6114899036323814E-8</v>
      </c>
      <c r="BS88" s="24">
        <f t="shared" si="63"/>
        <v>0.58739386685391148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290</v>
      </c>
      <c r="BW88" s="13">
        <f>VLOOKUP(A88,'Données projet'!$A$113:$I$133,9,0)</f>
        <v>5.6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290.00000000000017</v>
      </c>
      <c r="BZ88" s="14">
        <f>BY88*VLOOKUP('Données projet'!$B$12,Paramètres!$A$1:$I$89,3,0)*VLOOKUP('Données projet'!$B$12,Paramètres!$A$1:$I$89,5,0)</f>
        <v>294.06000000000017</v>
      </c>
      <c r="CA88" s="14">
        <f t="shared" si="93"/>
        <v>69.929765653573369</v>
      </c>
      <c r="CB88" s="22">
        <f t="shared" si="64"/>
        <v>633.94884184664056</v>
      </c>
      <c r="CC88" s="62">
        <f t="shared" si="65"/>
        <v>927.28217517997382</v>
      </c>
      <c r="CD88" s="62">
        <f ca="1">AVERAGE(OFFSET($CC$3,0,0,'Données projet'!$E$12+1,1))-AVERAGE(OFFSET($H$3,0,0,'Données projet'!$E$12+1,1))</f>
        <v>308.72872453744998</v>
      </c>
      <c r="CE88" s="62">
        <f t="shared" si="94"/>
        <v>195.3674411454258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21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0.65828615600061791</v>
      </c>
      <c r="CM88" s="23">
        <f>EXP(-LN(2)/2)*CM87+(1-EXP(-LN(2)/2))/(LN(2)/2)*CG88*CJ88*VLOOKUP('Données projet'!$B$12,Paramètres!$A$1:$I$89,3,0)*0.475*44/12</f>
        <v>7.4094283402776696E-8</v>
      </c>
      <c r="CN88" s="24">
        <f t="shared" si="66"/>
        <v>0.65828623009490128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160.24926890971085</v>
      </c>
      <c r="T89" s="62">
        <f t="shared" si="88"/>
        <v>323.52368436151721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19.445817860957352</v>
      </c>
      <c r="AA89" s="23">
        <f>EXP(-LN(2)/25)*AA88+(1-EXP(-LN(2)/25))/(LN(2)/25)*Calculateur!V89*Calculateur!X89*VLOOKUP('Données projet'!$B$9,Paramètres!$A$1:$I$89,3,0)*0.475*44/12</f>
        <v>10.932756046920378</v>
      </c>
      <c r="AB89" s="23">
        <f>EXP(-LN(2)/2)*AB88+(1-EXP(-LN(2)/2))/(LN(2)/2)*V89*Y89*VLOOKUP('Données projet'!$B$9,Paramètres!$A$1:$I$89,3,0)*0.475*44/12</f>
        <v>6.6421017253160717E-7</v>
      </c>
      <c r="AC89" s="24">
        <f t="shared" si="57"/>
        <v>30.378574572087903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274.40000000000015</v>
      </c>
      <c r="AJ89" s="14">
        <f>AI89*VLOOKUP('Données projet'!$B$10,Paramètres!$A$1:$I$89,3,0)*VLOOKUP('Données projet'!$B$10,Paramètres!$A$1:$I$89,5,0)</f>
        <v>286.80288000000019</v>
      </c>
      <c r="AK89" s="14">
        <f t="shared" si="89"/>
        <v>68.402638264014584</v>
      </c>
      <c r="AL89" s="22">
        <f t="shared" si="58"/>
        <v>618.64961097649234</v>
      </c>
      <c r="AM89" s="62">
        <f t="shared" si="59"/>
        <v>911.9829443098256</v>
      </c>
      <c r="AN89" s="62">
        <f ca="1">AVERAGE(OFFSET($AM$3,0,0,'Données projet'!$E$10+1,1))-AVERAGE(OFFSET($H$3,0,0,'Données projet'!$E$10+1,1))</f>
        <v>320.63267332485663</v>
      </c>
      <c r="AO89" s="62">
        <f t="shared" si="90"/>
        <v>201.96012789473809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0.6599863721838477</v>
      </c>
      <c r="AW89" s="23">
        <f>EXP(-LN(2)/2)*AW88+(1-EXP(-LN(2)/2))/(LN(2)/2)*AQ89*AT89*VLOOKUP('Données projet'!$B$10,Paramètres!$A$1:$I$89,3,0)*0.475*44/12</f>
        <v>5.4004649325607853E-8</v>
      </c>
      <c r="AX89" s="23">
        <f t="shared" si="60"/>
        <v>0.65998642618849701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274.40000000000015</v>
      </c>
      <c r="BE89" s="14">
        <f>BD89*VLOOKUP('Données projet'!$B$11,Paramètres!$A$1:$I$89,3,0)*VLOOKUP('Données projet'!$B$11,Paramètres!$A$1:$I$89,5,0)</f>
        <v>248.27712000000011</v>
      </c>
      <c r="BF89" s="14">
        <f t="shared" si="91"/>
        <v>60.216863677580363</v>
      </c>
      <c r="BG89" s="22">
        <f t="shared" si="61"/>
        <v>537.29368823845255</v>
      </c>
      <c r="BH89" s="62">
        <f t="shared" si="62"/>
        <v>830.62702157178592</v>
      </c>
      <c r="BI89" s="62">
        <f ca="1">AVERAGE(OFFSET($BH$3,0,0,'Données projet'!$E$11+1,1))-AVERAGE(OFFSET($H$3,0,0,'Données projet'!$E$11+1,1))</f>
        <v>267.00333505765792</v>
      </c>
      <c r="BJ89" s="62">
        <f t="shared" si="92"/>
        <v>172.25613380618557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0.57133148636810671</v>
      </c>
      <c r="BR89" s="23">
        <f>EXP(-LN(2)/2)*BR88+(1-EXP(-LN(2)/2))/(LN(2)/2)*BL89*BO89*VLOOKUP('Données projet'!$B$11,Paramètres!$A$1:$I$89,3,0)*0.475*44/12</f>
        <v>4.6750293446048505E-8</v>
      </c>
      <c r="BS89" s="24">
        <f t="shared" si="63"/>
        <v>0.57133153311840013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5.4</v>
      </c>
      <c r="BY89" s="13">
        <f>IF('Données projet'!$A$114&gt;35,BY88+BX89-CG88,IF(A89&lt;'Données projet'!$A$114,$BV$205^A89,IF(A89='Données projet'!$A$114,'Données projet'!$B$114,BY88+BX89-CG88)))</f>
        <v>274.40000000000015</v>
      </c>
      <c r="BZ89" s="14">
        <f>BY89*VLOOKUP('Données projet'!$B$12,Paramètres!$A$1:$I$89,3,0)*VLOOKUP('Données projet'!$B$12,Paramètres!$A$1:$I$89,5,0)</f>
        <v>278.24160000000018</v>
      </c>
      <c r="CA89" s="14">
        <f t="shared" si="93"/>
        <v>66.595272276139795</v>
      </c>
      <c r="CB89" s="22">
        <f t="shared" si="64"/>
        <v>600.59088588094369</v>
      </c>
      <c r="CC89" s="62">
        <f t="shared" si="65"/>
        <v>893.92421921427695</v>
      </c>
      <c r="CD89" s="62">
        <f ca="1">AVERAGE(OFFSET($CC$3,0,0,'Données projet'!$E$12+1,1))-AVERAGE(OFFSET($H$3,0,0,'Données projet'!$E$12+1,1))</f>
        <v>308.72872453744998</v>
      </c>
      <c r="CE89" s="62">
        <f t="shared" si="94"/>
        <v>195.3674411454258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0.64028528644701654</v>
      </c>
      <c r="CM89" s="23">
        <f>EXP(-LN(2)/2)*CM88+(1-EXP(-LN(2)/2))/(LN(2)/2)*CG89*CJ89*VLOOKUP('Données projet'!$B$12,Paramètres!$A$1:$I$89,3,0)*0.475*44/12</f>
        <v>5.2392570241261261E-8</v>
      </c>
      <c r="CN89" s="24">
        <f t="shared" si="66"/>
        <v>0.64028533883958683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160.24926890971085</v>
      </c>
      <c r="T90" s="62">
        <f t="shared" si="88"/>
        <v>323.52368436151721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19.064497233481717</v>
      </c>
      <c r="AA90" s="23">
        <f>EXP(-LN(2)/25)*AA89+(1-EXP(-LN(2)/25))/(LN(2)/25)*Calculateur!V90*Calculateur!X90*VLOOKUP('Données projet'!$B$9,Paramètres!$A$1:$I$89,3,0)*0.475*44/12</f>
        <v>10.633799257888686</v>
      </c>
      <c r="AB90" s="23">
        <f>EXP(-LN(2)/2)*AB89+(1-EXP(-LN(2)/2))/(LN(2)/2)*V90*Y90*VLOOKUP('Données projet'!$B$9,Paramètres!$A$1:$I$89,3,0)*0.475*44/12</f>
        <v>4.6966751713018615E-7</v>
      </c>
      <c r="AC90" s="24">
        <f t="shared" si="57"/>
        <v>29.698296961037919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279.80000000000013</v>
      </c>
      <c r="AJ90" s="14">
        <f>AI90*VLOOKUP('Données projet'!$B$10,Paramètres!$A$1:$I$89,3,0)*VLOOKUP('Données projet'!$B$10,Paramètres!$A$1:$I$89,5,0)</f>
        <v>292.44696000000016</v>
      </c>
      <c r="AK90" s="14">
        <f t="shared" si="89"/>
        <v>69.590713993742213</v>
      </c>
      <c r="AL90" s="22">
        <f t="shared" si="58"/>
        <v>630.54894887243461</v>
      </c>
      <c r="AM90" s="62">
        <f t="shared" si="59"/>
        <v>923.88228220576798</v>
      </c>
      <c r="AN90" s="62">
        <f ca="1">AVERAGE(OFFSET($AM$3,0,0,'Données projet'!$E$10+1,1))-AVERAGE(OFFSET($H$3,0,0,'Données projet'!$E$10+1,1))</f>
        <v>320.63267332485663</v>
      </c>
      <c r="AO90" s="62">
        <f t="shared" si="90"/>
        <v>201.96012789473809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0.64193901012930554</v>
      </c>
      <c r="AW90" s="23">
        <f>EXP(-LN(2)/2)*AW89+(1-EXP(-LN(2)/2))/(LN(2)/2)*AQ90*AT90*VLOOKUP('Données projet'!$B$10,Paramètres!$A$1:$I$89,3,0)*0.475*44/12</f>
        <v>3.8187053753738823E-8</v>
      </c>
      <c r="AX90" s="23">
        <f t="shared" si="60"/>
        <v>0.64193904831635928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279.80000000000013</v>
      </c>
      <c r="BE90" s="14">
        <f>BD90*VLOOKUP('Données projet'!$B$11,Paramètres!$A$1:$I$89,3,0)*VLOOKUP('Données projet'!$B$11,Paramètres!$A$1:$I$89,5,0)</f>
        <v>253.16304000000008</v>
      </c>
      <c r="BF90" s="14">
        <f t="shared" si="91"/>
        <v>61.262761848635037</v>
      </c>
      <c r="BG90" s="22">
        <f t="shared" si="61"/>
        <v>547.62493821970611</v>
      </c>
      <c r="BH90" s="62">
        <f t="shared" si="62"/>
        <v>840.95827155303937</v>
      </c>
      <c r="BI90" s="62">
        <f ca="1">AVERAGE(OFFSET($BH$3,0,0,'Données projet'!$E$11+1,1))-AVERAGE(OFFSET($H$3,0,0,'Données projet'!$E$11+1,1))</f>
        <v>267.00333505765792</v>
      </c>
      <c r="BJ90" s="62">
        <f t="shared" si="92"/>
        <v>172.25613380618557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0.55570839682835371</v>
      </c>
      <c r="BR90" s="23">
        <f>EXP(-LN(2)/2)*BR89+(1-EXP(-LN(2)/2))/(LN(2)/2)*BL90*BO90*VLOOKUP('Données projet'!$B$11,Paramètres!$A$1:$I$89,3,0)*0.475*44/12</f>
        <v>3.3057449518161907E-8</v>
      </c>
      <c r="BS90" s="24">
        <f t="shared" si="63"/>
        <v>0.55570842988580327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5.4</v>
      </c>
      <c r="BY90" s="13">
        <f>IF('Données projet'!$A$114&gt;35,BY89+BX90-CG89,IF(A90&lt;'Données projet'!$A$114,$BV$205^A90,IF(A90='Données projet'!$A$114,'Données projet'!$B$114,BY89+BX90-CG89)))</f>
        <v>279.80000000000013</v>
      </c>
      <c r="BZ90" s="14">
        <f>BY90*VLOOKUP('Données projet'!$B$12,Paramètres!$A$1:$I$89,3,0)*VLOOKUP('Données projet'!$B$12,Paramètres!$A$1:$I$89,5,0)</f>
        <v>283.71720000000016</v>
      </c>
      <c r="CA90" s="14">
        <f t="shared" si="93"/>
        <v>67.751956122170768</v>
      </c>
      <c r="CB90" s="22">
        <f t="shared" si="64"/>
        <v>612.14211357944771</v>
      </c>
      <c r="CC90" s="62">
        <f t="shared" si="65"/>
        <v>905.47544691278108</v>
      </c>
      <c r="CD90" s="62">
        <f ca="1">AVERAGE(OFFSET($CC$3,0,0,'Données projet'!$E$12+1,1))-AVERAGE(OFFSET($H$3,0,0,'Données projet'!$E$12+1,1))</f>
        <v>308.72872453744998</v>
      </c>
      <c r="CE90" s="62">
        <f t="shared" si="94"/>
        <v>195.3674411454258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0.62277665161798301</v>
      </c>
      <c r="CM90" s="23">
        <f>EXP(-LN(2)/2)*CM89+(1-EXP(-LN(2)/2))/(LN(2)/2)*CG90*CJ90*VLOOKUP('Données projet'!$B$12,Paramètres!$A$1:$I$89,3,0)*0.475*44/12</f>
        <v>3.7047141701388348E-8</v>
      </c>
      <c r="CN90" s="24">
        <f t="shared" si="66"/>
        <v>0.6227766886651247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160.24926890971085</v>
      </c>
      <c r="T91" s="62">
        <f t="shared" si="88"/>
        <v>323.52368436151721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18.690654070928264</v>
      </c>
      <c r="AA91" s="23">
        <f>EXP(-LN(2)/25)*AA90+(1-EXP(-LN(2)/25))/(LN(2)/25)*Calculateur!V91*Calculateur!X91*VLOOKUP('Données projet'!$B$9,Paramètres!$A$1:$I$89,3,0)*0.475*44/12</f>
        <v>10.34301745797452</v>
      </c>
      <c r="AB91" s="23">
        <f>EXP(-LN(2)/2)*AB90+(1-EXP(-LN(2)/2))/(LN(2)/2)*V91*Y91*VLOOKUP('Données projet'!$B$9,Paramètres!$A$1:$I$89,3,0)*0.475*44/12</f>
        <v>3.3210508626580364E-7</v>
      </c>
      <c r="AC91" s="24">
        <f t="shared" si="57"/>
        <v>29.033671861007871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285.2000000000001</v>
      </c>
      <c r="AJ91" s="14">
        <f>AI91*VLOOKUP('Données projet'!$B$10,Paramètres!$A$1:$I$89,3,0)*VLOOKUP('Données projet'!$B$10,Paramètres!$A$1:$I$89,5,0)</f>
        <v>298.09104000000013</v>
      </c>
      <c r="AK91" s="14">
        <f t="shared" si="89"/>
        <v>70.776123577436991</v>
      </c>
      <c r="AL91" s="22">
        <f t="shared" si="58"/>
        <v>642.44364323070295</v>
      </c>
      <c r="AM91" s="62">
        <f t="shared" si="59"/>
        <v>935.7769765640362</v>
      </c>
      <c r="AN91" s="62">
        <f ca="1">AVERAGE(OFFSET($AM$3,0,0,'Données projet'!$E$10+1,1))-AVERAGE(OFFSET($H$3,0,0,'Données projet'!$E$10+1,1))</f>
        <v>320.63267332485663</v>
      </c>
      <c r="AO91" s="62">
        <f t="shared" si="90"/>
        <v>201.96012789473809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0.62438515413921436</v>
      </c>
      <c r="AW91" s="23">
        <f>EXP(-LN(2)/2)*AW90+(1-EXP(-LN(2)/2))/(LN(2)/2)*AQ91*AT91*VLOOKUP('Données projet'!$B$10,Paramètres!$A$1:$I$89,3,0)*0.475*44/12</f>
        <v>2.7002324662803926E-8</v>
      </c>
      <c r="AX91" s="23">
        <f t="shared" si="60"/>
        <v>0.62438518114153907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285.2000000000001</v>
      </c>
      <c r="BE91" s="14">
        <f>BD91*VLOOKUP('Données projet'!$B$11,Paramètres!$A$1:$I$89,3,0)*VLOOKUP('Données projet'!$B$11,Paramètres!$A$1:$I$89,5,0)</f>
        <v>258.04896000000008</v>
      </c>
      <c r="BF91" s="14">
        <f t="shared" si="91"/>
        <v>62.306312932555819</v>
      </c>
      <c r="BG91" s="22">
        <f t="shared" si="61"/>
        <v>557.95210035753485</v>
      </c>
      <c r="BH91" s="62">
        <f t="shared" si="62"/>
        <v>851.2854336908681</v>
      </c>
      <c r="BI91" s="62">
        <f ca="1">AVERAGE(OFFSET($BH$3,0,0,'Données projet'!$E$11+1,1))-AVERAGE(OFFSET($H$3,0,0,'Données projet'!$E$11+1,1))</f>
        <v>267.00333505765792</v>
      </c>
      <c r="BJ91" s="62">
        <f t="shared" si="92"/>
        <v>172.25613380618557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0.54051252149364792</v>
      </c>
      <c r="BR91" s="23">
        <f>EXP(-LN(2)/2)*BR90+(1-EXP(-LN(2)/2))/(LN(2)/2)*BL91*BO91*VLOOKUP('Données projet'!$B$11,Paramètres!$A$1:$I$89,3,0)*0.475*44/12</f>
        <v>2.3375146723024253E-8</v>
      </c>
      <c r="BS91" s="24">
        <f t="shared" si="63"/>
        <v>0.54051254486879463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5.4</v>
      </c>
      <c r="BY91" s="13">
        <f>IF('Données projet'!$A$114&gt;35,BY90+BX91-CG90,IF(A91&lt;'Données projet'!$A$114,$BV$205^A91,IF(A91='Données projet'!$A$114,'Données projet'!$B$114,BY90+BX91-CG90)))</f>
        <v>285.2000000000001</v>
      </c>
      <c r="BZ91" s="14">
        <f>BY91*VLOOKUP('Données projet'!$B$12,Paramètres!$A$1:$I$89,3,0)*VLOOKUP('Données projet'!$B$12,Paramètres!$A$1:$I$89,5,0)</f>
        <v>289.19280000000015</v>
      </c>
      <c r="CA91" s="14">
        <f t="shared" si="93"/>
        <v>68.906044268306346</v>
      </c>
      <c r="CB91" s="22">
        <f t="shared" si="64"/>
        <v>623.68882043396718</v>
      </c>
      <c r="CC91" s="62">
        <f t="shared" si="65"/>
        <v>917.02215376730055</v>
      </c>
      <c r="CD91" s="62">
        <f ca="1">AVERAGE(OFFSET($CC$3,0,0,'Données projet'!$E$12+1,1))-AVERAGE(OFFSET($H$3,0,0,'Données projet'!$E$12+1,1))</f>
        <v>308.72872453744998</v>
      </c>
      <c r="CE91" s="62">
        <f t="shared" si="94"/>
        <v>195.3674411454258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0.60574679132908849</v>
      </c>
      <c r="CM91" s="23">
        <f>EXP(-LN(2)/2)*CM90+(1-EXP(-LN(2)/2))/(LN(2)/2)*CG91*CJ91*VLOOKUP('Données projet'!$B$12,Paramètres!$A$1:$I$89,3,0)*0.475*44/12</f>
        <v>2.6196285120630631E-8</v>
      </c>
      <c r="CN91" s="24">
        <f t="shared" si="66"/>
        <v>0.60574681752537363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160.24926890971085</v>
      </c>
      <c r="T92" s="62">
        <f t="shared" si="88"/>
        <v>323.52368436151721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18.324141744770671</v>
      </c>
      <c r="AA92" s="23">
        <f>EXP(-LN(2)/25)*AA91+(1-EXP(-LN(2)/25))/(LN(2)/25)*Calculateur!V92*Calculateur!X92*VLOOKUP('Données projet'!$B$9,Paramètres!$A$1:$I$89,3,0)*0.475*44/12</f>
        <v>10.060187101670557</v>
      </c>
      <c r="AB92" s="23">
        <f>EXP(-LN(2)/2)*AB91+(1-EXP(-LN(2)/2))/(LN(2)/2)*V92*Y92*VLOOKUP('Données projet'!$B$9,Paramètres!$A$1:$I$89,3,0)*0.475*44/12</f>
        <v>2.3483375856509313E-7</v>
      </c>
      <c r="AC92" s="24">
        <f t="shared" si="57"/>
        <v>28.384329081274988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290.60000000000008</v>
      </c>
      <c r="AJ92" s="14">
        <f>AI92*VLOOKUP('Données projet'!$B$10,Paramètres!$A$1:$I$89,3,0)*VLOOKUP('Données projet'!$B$10,Paramètres!$A$1:$I$89,5,0)</f>
        <v>303.73512000000011</v>
      </c>
      <c r="AK92" s="14">
        <f t="shared" si="89"/>
        <v>71.958923316844619</v>
      </c>
      <c r="AL92" s="22">
        <f t="shared" si="58"/>
        <v>654.3337921101712</v>
      </c>
      <c r="AM92" s="62">
        <f t="shared" si="59"/>
        <v>947.66712544350457</v>
      </c>
      <c r="AN92" s="62">
        <f ca="1">AVERAGE(OFFSET($AM$3,0,0,'Données projet'!$E$10+1,1))-AVERAGE(OFFSET($H$3,0,0,'Données projet'!$E$10+1,1))</f>
        <v>320.63267332485663</v>
      </c>
      <c r="AO92" s="62">
        <f t="shared" si="90"/>
        <v>201.96012789473809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0.60731130926428933</v>
      </c>
      <c r="AW92" s="23">
        <f>EXP(-LN(2)/2)*AW91+(1-EXP(-LN(2)/2))/(LN(2)/2)*AQ92*AT92*VLOOKUP('Données projet'!$B$10,Paramètres!$A$1:$I$89,3,0)*0.475*44/12</f>
        <v>1.9093526876869411E-8</v>
      </c>
      <c r="AX92" s="23">
        <f t="shared" si="60"/>
        <v>0.6073113283578162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290.60000000000008</v>
      </c>
      <c r="BE92" s="14">
        <f>BD92*VLOOKUP('Données projet'!$B$11,Paramètres!$A$1:$I$89,3,0)*VLOOKUP('Données projet'!$B$11,Paramètres!$A$1:$I$89,5,0)</f>
        <v>262.93488000000008</v>
      </c>
      <c r="BF92" s="14">
        <f t="shared" si="91"/>
        <v>63.347566493432765</v>
      </c>
      <c r="BG92" s="22">
        <f t="shared" si="61"/>
        <v>568.27526097606221</v>
      </c>
      <c r="BH92" s="62">
        <f t="shared" si="62"/>
        <v>861.60859430939558</v>
      </c>
      <c r="BI92" s="62">
        <f ca="1">AVERAGE(OFFSET($BH$3,0,0,'Données projet'!$E$11+1,1))-AVERAGE(OFFSET($H$3,0,0,'Données projet'!$E$11+1,1))</f>
        <v>267.00333505765792</v>
      </c>
      <c r="BJ92" s="62">
        <f t="shared" si="92"/>
        <v>172.25613380618557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0.52573217816908602</v>
      </c>
      <c r="BR92" s="23">
        <f>EXP(-LN(2)/2)*BR91+(1-EXP(-LN(2)/2))/(LN(2)/2)*BL92*BO92*VLOOKUP('Données projet'!$B$11,Paramètres!$A$1:$I$89,3,0)*0.475*44/12</f>
        <v>1.6528724759080954E-8</v>
      </c>
      <c r="BS92" s="24">
        <f t="shared" si="63"/>
        <v>0.52573219469781074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5.4</v>
      </c>
      <c r="BY92" s="13">
        <f>IF('Données projet'!$A$114&gt;35,BY91+BX92-CG91,IF(A92&lt;'Données projet'!$A$114,$BV$205^A92,IF(A92='Données projet'!$A$114,'Données projet'!$B$114,BY91+BX92-CG91)))</f>
        <v>290.60000000000008</v>
      </c>
      <c r="BZ92" s="14">
        <f>BY92*VLOOKUP('Données projet'!$B$12,Paramètres!$A$1:$I$89,3,0)*VLOOKUP('Données projet'!$B$12,Paramètres!$A$1:$I$89,5,0)</f>
        <v>294.66840000000013</v>
      </c>
      <c r="CA92" s="14">
        <f t="shared" si="93"/>
        <v>70.057591528661547</v>
      </c>
      <c r="CB92" s="22">
        <f t="shared" si="64"/>
        <v>635.23110191241904</v>
      </c>
      <c r="CC92" s="62">
        <f t="shared" si="65"/>
        <v>928.56443524575229</v>
      </c>
      <c r="CD92" s="62">
        <f ca="1">AVERAGE(OFFSET($CC$3,0,0,'Données projet'!$E$12+1,1))-AVERAGE(OFFSET($H$3,0,0,'Données projet'!$E$12+1,1))</f>
        <v>308.72872453744998</v>
      </c>
      <c r="CE92" s="62">
        <f t="shared" si="94"/>
        <v>195.3674411454258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0.58918261346535528</v>
      </c>
      <c r="CM92" s="23">
        <f>EXP(-LN(2)/2)*CM91+(1-EXP(-LN(2)/2))/(LN(2)/2)*CG92*CJ92*VLOOKUP('Données projet'!$B$12,Paramètres!$A$1:$I$89,3,0)*0.475*44/12</f>
        <v>1.8523570850694174E-8</v>
      </c>
      <c r="CN92" s="24">
        <f t="shared" si="66"/>
        <v>0.58918263198892618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160.24926890971085</v>
      </c>
      <c r="T93" s="62">
        <f t="shared" si="88"/>
        <v>323.52368436151721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17.964816501778582</v>
      </c>
      <c r="AA93" s="23">
        <f>EXP(-LN(2)/25)*AA92+(1-EXP(-LN(2)/25))/(LN(2)/25)*Calculateur!V93*Calculateur!X93*VLOOKUP('Données projet'!$B$9,Paramètres!$A$1:$I$89,3,0)*0.475*44/12</f>
        <v>9.7850907563331297</v>
      </c>
      <c r="AB93" s="23">
        <f>EXP(-LN(2)/2)*AB92+(1-EXP(-LN(2)/2))/(LN(2)/2)*V93*Y93*VLOOKUP('Données projet'!$B$9,Paramètres!$A$1:$I$89,3,0)*0.475*44/12</f>
        <v>1.6605254313290185E-7</v>
      </c>
      <c r="AC93" s="24">
        <f t="shared" si="57"/>
        <v>27.749907424164256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309.37920000000008</v>
      </c>
      <c r="AK93" s="14">
        <f t="shared" si="89"/>
        <v>73.139167301517503</v>
      </c>
      <c r="AL93" s="22">
        <f t="shared" si="58"/>
        <v>666.21948971680979</v>
      </c>
      <c r="AM93" s="62">
        <f t="shared" si="59"/>
        <v>959.55282305014316</v>
      </c>
      <c r="AN93" s="62">
        <f ca="1">AVERAGE(OFFSET($AM$3,0,0,'Données projet'!$E$10+1,1))-AVERAGE(OFFSET($H$3,0,0,'Données projet'!$E$10+1,1))</f>
        <v>320.63267332485663</v>
      </c>
      <c r="AO93" s="62">
        <f t="shared" si="90"/>
        <v>201.96012789473809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0.59070434957534357</v>
      </c>
      <c r="AW93" s="23">
        <f>EXP(-LN(2)/2)*AW92+(1-EXP(-LN(2)/2))/(LN(2)/2)*AQ93*AT93*VLOOKUP('Données projet'!$B$10,Paramètres!$A$1:$I$89,3,0)*0.475*44/12</f>
        <v>1.3501162331401963E-8</v>
      </c>
      <c r="AX93" s="23">
        <f t="shared" si="60"/>
        <v>0.59070436307650587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267.82080000000008</v>
      </c>
      <c r="BF93" s="14">
        <f t="shared" si="91"/>
        <v>64.386570147897373</v>
      </c>
      <c r="BG93" s="22">
        <f t="shared" si="61"/>
        <v>578.59450300758806</v>
      </c>
      <c r="BH93" s="62">
        <f t="shared" si="62"/>
        <v>871.92783634092143</v>
      </c>
      <c r="BI93" s="62">
        <f ca="1">AVERAGE(OFFSET($BH$3,0,0,'Données projet'!$E$11+1,1))-AVERAGE(OFFSET($H$3,0,0,'Données projet'!$E$11+1,1))</f>
        <v>267.00333505765792</v>
      </c>
      <c r="BJ93" s="62">
        <f t="shared" si="92"/>
        <v>172.25613380618557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0.51135600410999871</v>
      </c>
      <c r="BR93" s="23">
        <f>EXP(-LN(2)/2)*BR92+(1-EXP(-LN(2)/2))/(LN(2)/2)*BL93*BO93*VLOOKUP('Données projet'!$B$11,Paramètres!$A$1:$I$89,3,0)*0.475*44/12</f>
        <v>1.1687573361512126E-8</v>
      </c>
      <c r="BS93" s="24">
        <f t="shared" si="63"/>
        <v>0.51135601579757206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5.4</v>
      </c>
      <c r="BX93" s="13">
        <f t="array" ref="BX93">INDEX(BW:BW,MIN(IF(ISNUMBER(BW93:BW289),ROW(BW93:BW289),"")))</f>
        <v>5.4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300.14400000000006</v>
      </c>
      <c r="CA93" s="14">
        <f t="shared" si="93"/>
        <v>71.206650563609855</v>
      </c>
      <c r="CB93" s="22">
        <f t="shared" si="64"/>
        <v>646.76904973162061</v>
      </c>
      <c r="CC93" s="62">
        <f t="shared" si="65"/>
        <v>940.10238306495398</v>
      </c>
      <c r="CD93" s="62">
        <f ca="1">AVERAGE(OFFSET($CC$3,0,0,'Données projet'!$E$12+1,1))-AVERAGE(OFFSET($H$3,0,0,'Données projet'!$E$12+1,1))</f>
        <v>308.72872453744998</v>
      </c>
      <c r="CE93" s="62">
        <f t="shared" si="94"/>
        <v>195.3674411454258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21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0.57307138391637813</v>
      </c>
      <c r="CM93" s="23">
        <f>EXP(-LN(2)/2)*CM92+(1-EXP(-LN(2)/2))/(LN(2)/2)*CG93*CJ93*VLOOKUP('Données projet'!$B$12,Paramètres!$A$1:$I$89,3,0)*0.475*44/12</f>
        <v>1.3098142560315315E-8</v>
      </c>
      <c r="CN93" s="24">
        <f t="shared" si="66"/>
        <v>0.5730713970145207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160.24926890971085</v>
      </c>
      <c r="T94" s="62">
        <f t="shared" si="88"/>
        <v>323.52368436151721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17.612537407634811</v>
      </c>
      <c r="AA94" s="23">
        <f>EXP(-LN(2)/25)*AA93+(1-EXP(-LN(2)/25))/(LN(2)/25)*Calculateur!V94*Calculateur!X94*VLOOKUP('Données projet'!$B$9,Paramètres!$A$1:$I$89,3,0)*0.475*44/12</f>
        <v>9.5175169350256414</v>
      </c>
      <c r="AB94" s="23">
        <f>EXP(-LN(2)/2)*AB93+(1-EXP(-LN(2)/2))/(LN(2)/2)*V94*Y94*VLOOKUP('Données projet'!$B$9,Paramètres!$A$1:$I$89,3,0)*0.475*44/12</f>
        <v>1.1741687928254658E-7</v>
      </c>
      <c r="AC94" s="24">
        <f t="shared" si="57"/>
        <v>27.130054460077329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280.00000000000006</v>
      </c>
      <c r="AJ94" s="14">
        <f>AI94*VLOOKUP('Données projet'!$B$10,Paramètres!$A$1:$I$89,3,0)*VLOOKUP('Données projet'!$B$10,Paramètres!$A$1:$I$89,5,0)</f>
        <v>292.65600000000006</v>
      </c>
      <c r="AK94" s="14">
        <f t="shared" si="89"/>
        <v>69.634665242845756</v>
      </c>
      <c r="AL94" s="22">
        <f t="shared" si="58"/>
        <v>630.98957529795643</v>
      </c>
      <c r="AM94" s="62">
        <f t="shared" si="59"/>
        <v>924.32290863128969</v>
      </c>
      <c r="AN94" s="62">
        <f ca="1">AVERAGE(OFFSET($AM$3,0,0,'Données projet'!$E$10+1,1))-AVERAGE(OFFSET($H$3,0,0,'Données projet'!$E$10+1,1))</f>
        <v>320.63267332485663</v>
      </c>
      <c r="AO94" s="62">
        <f t="shared" si="90"/>
        <v>201.96012789473809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0.57455150807241417</v>
      </c>
      <c r="AW94" s="23">
        <f>EXP(-LN(2)/2)*AW93+(1-EXP(-LN(2)/2))/(LN(2)/2)*AQ94*AT94*VLOOKUP('Données projet'!$B$10,Paramètres!$A$1:$I$89,3,0)*0.475*44/12</f>
        <v>9.5467634384347057E-9</v>
      </c>
      <c r="AX94" s="23">
        <f t="shared" si="60"/>
        <v>0.57455151761917767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280.00000000000006</v>
      </c>
      <c r="BE94" s="14">
        <f>BD94*VLOOKUP('Données projet'!$B$11,Paramètres!$A$1:$I$89,3,0)*VLOOKUP('Données projet'!$B$11,Paramètres!$A$1:$I$89,5,0)</f>
        <v>253.34400000000005</v>
      </c>
      <c r="BF94" s="14">
        <f t="shared" si="91"/>
        <v>61.301453431926305</v>
      </c>
      <c r="BG94" s="22">
        <f t="shared" si="61"/>
        <v>548.00749806060503</v>
      </c>
      <c r="BH94" s="62">
        <f t="shared" si="62"/>
        <v>841.34083139393829</v>
      </c>
      <c r="BI94" s="62">
        <f ca="1">AVERAGE(OFFSET($BH$3,0,0,'Données projet'!$E$11+1,1))-AVERAGE(OFFSET($H$3,0,0,'Données projet'!$E$11+1,1))</f>
        <v>267.00333505765792</v>
      </c>
      <c r="BJ94" s="62">
        <f t="shared" si="92"/>
        <v>172.25613380618557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0.49737294728656728</v>
      </c>
      <c r="BR94" s="23">
        <f>EXP(-LN(2)/2)*BR93+(1-EXP(-LN(2)/2))/(LN(2)/2)*BL94*BO94*VLOOKUP('Données projet'!$B$11,Paramètres!$A$1:$I$89,3,0)*0.475*44/12</f>
        <v>8.2643623795404768E-9</v>
      </c>
      <c r="BS94" s="24">
        <f t="shared" si="63"/>
        <v>0.49737295555092964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5</v>
      </c>
      <c r="BY94" s="13">
        <f>IF('Données projet'!$A$114&gt;35,BY93+BX94-CG93,IF(A94&lt;'Données projet'!$A$114,$BV$205^A94,IF(A94='Données projet'!$A$114,'Données projet'!$B$114,BY93+BX94-CG93)))</f>
        <v>280.00000000000006</v>
      </c>
      <c r="BZ94" s="14">
        <f>BY94*VLOOKUP('Données projet'!$B$12,Paramètres!$A$1:$I$89,3,0)*VLOOKUP('Données projet'!$B$12,Paramètres!$A$1:$I$89,5,0)</f>
        <v>283.92000000000007</v>
      </c>
      <c r="CA94" s="14">
        <f t="shared" si="93"/>
        <v>67.794746071143635</v>
      </c>
      <c r="CB94" s="22">
        <f t="shared" si="64"/>
        <v>612.56984940724203</v>
      </c>
      <c r="CC94" s="62">
        <f t="shared" si="65"/>
        <v>905.9031827405754</v>
      </c>
      <c r="CD94" s="62">
        <f ca="1">AVERAGE(OFFSET($CC$3,0,0,'Données projet'!$E$12+1,1))-AVERAGE(OFFSET($H$3,0,0,'Données projet'!$E$12+1,1))</f>
        <v>308.72872453744998</v>
      </c>
      <c r="CE94" s="62">
        <f t="shared" si="94"/>
        <v>195.3674411454258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0.55740071678667047</v>
      </c>
      <c r="CM94" s="23">
        <f>EXP(-LN(2)/2)*CM93+(1-EXP(-LN(2)/2))/(LN(2)/2)*CG94*CJ94*VLOOKUP('Données projet'!$B$12,Paramètres!$A$1:$I$89,3,0)*0.475*44/12</f>
        <v>9.261785425347087E-9</v>
      </c>
      <c r="CN94" s="24">
        <f t="shared" si="66"/>
        <v>0.55740072604845592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160.24926890971085</v>
      </c>
      <c r="T95" s="62">
        <f t="shared" si="88"/>
        <v>323.52368436151721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17.267166291658167</v>
      </c>
      <c r="AA95" s="23">
        <f>EXP(-LN(2)/25)*AA94+(1-EXP(-LN(2)/25))/(LN(2)/25)*Calculateur!V95*Calculateur!X95*VLOOKUP('Données projet'!$B$9,Paramètres!$A$1:$I$89,3,0)*0.475*44/12</f>
        <v>9.257259933932902</v>
      </c>
      <c r="AB95" s="23">
        <f>EXP(-LN(2)/2)*AB94+(1-EXP(-LN(2)/2))/(LN(2)/2)*V95*Y95*VLOOKUP('Données projet'!$B$9,Paramètres!$A$1:$I$89,3,0)*0.475*44/12</f>
        <v>8.3026271566450936E-8</v>
      </c>
      <c r="AC95" s="24">
        <f t="shared" si="57"/>
        <v>26.524426308617343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285.00000000000006</v>
      </c>
      <c r="AJ95" s="14">
        <f>AI95*VLOOKUP('Données projet'!$B$10,Paramètres!$A$1:$I$89,3,0)*VLOOKUP('Données projet'!$B$10,Paramètres!$A$1:$I$89,5,0)</f>
        <v>297.88200000000006</v>
      </c>
      <c r="AK95" s="14">
        <f t="shared" si="89"/>
        <v>70.732266399426535</v>
      </c>
      <c r="AL95" s="22">
        <f t="shared" si="58"/>
        <v>642.00318064566795</v>
      </c>
      <c r="AM95" s="62">
        <f t="shared" si="59"/>
        <v>935.33651397900121</v>
      </c>
      <c r="AN95" s="62">
        <f ca="1">AVERAGE(OFFSET($AM$3,0,0,'Données projet'!$E$10+1,1))-AVERAGE(OFFSET($H$3,0,0,'Données projet'!$E$10+1,1))</f>
        <v>320.63267332485663</v>
      </c>
      <c r="AO95" s="62">
        <f t="shared" si="90"/>
        <v>201.96012789473809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0.5588403668698233</v>
      </c>
      <c r="AW95" s="23">
        <f>EXP(-LN(2)/2)*AW94+(1-EXP(-LN(2)/2))/(LN(2)/2)*AQ95*AT95*VLOOKUP('Données projet'!$B$10,Paramètres!$A$1:$I$89,3,0)*0.475*44/12</f>
        <v>6.7505811657009816E-9</v>
      </c>
      <c r="AX95" s="23">
        <f t="shared" si="60"/>
        <v>0.55884037362040451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285.00000000000006</v>
      </c>
      <c r="BE95" s="14">
        <f>BD95*VLOOKUP('Données projet'!$B$11,Paramètres!$A$1:$I$89,3,0)*VLOOKUP('Données projet'!$B$11,Paramètres!$A$1:$I$89,5,0)</f>
        <v>257.86800000000005</v>
      </c>
      <c r="BF95" s="14">
        <f t="shared" si="91"/>
        <v>62.267704162827528</v>
      </c>
      <c r="BG95" s="22">
        <f t="shared" si="61"/>
        <v>557.56968475025803</v>
      </c>
      <c r="BH95" s="62">
        <f t="shared" si="62"/>
        <v>850.90301808359141</v>
      </c>
      <c r="BI95" s="62">
        <f ca="1">AVERAGE(OFFSET($BH$3,0,0,'Données projet'!$E$11+1,1))-AVERAGE(OFFSET($H$3,0,0,'Données projet'!$E$11+1,1))</f>
        <v>267.00333505765792</v>
      </c>
      <c r="BJ95" s="62">
        <f t="shared" si="92"/>
        <v>172.25613380618557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0.48377225788730954</v>
      </c>
      <c r="BR95" s="23">
        <f>EXP(-LN(2)/2)*BR94+(1-EXP(-LN(2)/2))/(LN(2)/2)*BL95*BO95*VLOOKUP('Données projet'!$B$11,Paramètres!$A$1:$I$89,3,0)*0.475*44/12</f>
        <v>5.8437866807560632E-9</v>
      </c>
      <c r="BS95" s="24">
        <f t="shared" si="63"/>
        <v>0.48377226373109622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5</v>
      </c>
      <c r="BY95" s="13">
        <f>IF('Données projet'!$A$114&gt;35,BY94+BX95-CG94,IF(A95&lt;'Données projet'!$A$114,$BV$205^A95,IF(A95='Données projet'!$A$114,'Données projet'!$B$114,BY94+BX95-CG94)))</f>
        <v>285.00000000000006</v>
      </c>
      <c r="BZ95" s="14">
        <f>BY95*VLOOKUP('Données projet'!$B$12,Paramètres!$A$1:$I$89,3,0)*VLOOKUP('Données projet'!$B$12,Paramètres!$A$1:$I$89,5,0)</f>
        <v>288.99000000000012</v>
      </c>
      <c r="CA95" s="14">
        <f t="shared" si="93"/>
        <v>68.863345904836791</v>
      </c>
      <c r="CB95" s="22">
        <f t="shared" si="64"/>
        <v>623.26124411759099</v>
      </c>
      <c r="CC95" s="62">
        <f t="shared" si="65"/>
        <v>916.59457745092436</v>
      </c>
      <c r="CD95" s="62">
        <f ca="1">AVERAGE(OFFSET($CC$3,0,0,'Données projet'!$E$12+1,1))-AVERAGE(OFFSET($H$3,0,0,'Données projet'!$E$12+1,1))</f>
        <v>308.72872453744998</v>
      </c>
      <c r="CE95" s="62">
        <f t="shared" si="94"/>
        <v>195.3674411454258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0.54215856487370928</v>
      </c>
      <c r="CM95" s="23">
        <f>EXP(-LN(2)/2)*CM94+(1-EXP(-LN(2)/2))/(LN(2)/2)*CG95*CJ95*VLOOKUP('Données projet'!$B$12,Paramètres!$A$1:$I$89,3,0)*0.475*44/12</f>
        <v>6.5490712801576577E-9</v>
      </c>
      <c r="CN95" s="24">
        <f t="shared" si="66"/>
        <v>0.54215857142278057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160.24926890971085</v>
      </c>
      <c r="T96" s="62">
        <f t="shared" si="88"/>
        <v>323.52368436151721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16.928567692610248</v>
      </c>
      <c r="AA96" s="23">
        <f>EXP(-LN(2)/25)*AA95+(1-EXP(-LN(2)/25))/(LN(2)/25)*Calculateur!V96*Calculateur!X96*VLOOKUP('Données projet'!$B$9,Paramètres!$A$1:$I$89,3,0)*0.475*44/12</f>
        <v>9.0041196742213643</v>
      </c>
      <c r="AB96" s="23">
        <f>EXP(-LN(2)/2)*AB95+(1-EXP(-LN(2)/2))/(LN(2)/2)*V96*Y96*VLOOKUP('Données projet'!$B$9,Paramètres!$A$1:$I$89,3,0)*0.475*44/12</f>
        <v>5.8708439641273301E-8</v>
      </c>
      <c r="AC96" s="24">
        <f t="shared" si="57"/>
        <v>25.932687425540053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290.00000000000006</v>
      </c>
      <c r="AJ96" s="14">
        <f>AI96*VLOOKUP('Données projet'!$B$10,Paramètres!$A$1:$I$89,3,0)*VLOOKUP('Données projet'!$B$10,Paramètres!$A$1:$I$89,5,0)</f>
        <v>303.10800000000006</v>
      </c>
      <c r="AK96" s="14">
        <f t="shared" si="89"/>
        <v>71.827628304517233</v>
      </c>
      <c r="AL96" s="22">
        <f t="shared" si="58"/>
        <v>653.01288596370102</v>
      </c>
      <c r="AM96" s="62">
        <f t="shared" si="59"/>
        <v>946.34621929703439</v>
      </c>
      <c r="AN96" s="62">
        <f ca="1">AVERAGE(OFFSET($AM$3,0,0,'Données projet'!$E$10+1,1))-AVERAGE(OFFSET($H$3,0,0,'Données projet'!$E$10+1,1))</f>
        <v>320.63267332485663</v>
      </c>
      <c r="AO96" s="62">
        <f t="shared" si="90"/>
        <v>201.96012789473809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0.54355884764963036</v>
      </c>
      <c r="AW96" s="23">
        <f>EXP(-LN(2)/2)*AW95+(1-EXP(-LN(2)/2))/(LN(2)/2)*AQ96*AT96*VLOOKUP('Données projet'!$B$10,Paramètres!$A$1:$I$89,3,0)*0.475*44/12</f>
        <v>4.7733817192173529E-9</v>
      </c>
      <c r="AX96" s="23">
        <f t="shared" si="60"/>
        <v>0.54355885242301205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290.00000000000006</v>
      </c>
      <c r="BE96" s="14">
        <f>BD96*VLOOKUP('Données projet'!$B$11,Paramètres!$A$1:$I$89,3,0)*VLOOKUP('Données projet'!$B$11,Paramètres!$A$1:$I$89,5,0)</f>
        <v>262.39200000000005</v>
      </c>
      <c r="BF96" s="14">
        <f t="shared" si="91"/>
        <v>63.231983614474998</v>
      </c>
      <c r="BG96" s="22">
        <f t="shared" si="61"/>
        <v>567.12843812854396</v>
      </c>
      <c r="BH96" s="62">
        <f t="shared" si="62"/>
        <v>860.46177146187733</v>
      </c>
      <c r="BI96" s="62">
        <f ca="1">AVERAGE(OFFSET($BH$3,0,0,'Données projet'!$E$11+1,1))-AVERAGE(OFFSET($H$3,0,0,'Données projet'!$E$11+1,1))</f>
        <v>267.00333505765792</v>
      </c>
      <c r="BJ96" s="62">
        <f t="shared" si="92"/>
        <v>172.25613380618557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0.47054348005490371</v>
      </c>
      <c r="BR96" s="23">
        <f>EXP(-LN(2)/2)*BR95+(1-EXP(-LN(2)/2))/(LN(2)/2)*BL96*BO96*VLOOKUP('Données projet'!$B$11,Paramètres!$A$1:$I$89,3,0)*0.475*44/12</f>
        <v>4.1321811897702384E-9</v>
      </c>
      <c r="BS96" s="24">
        <f t="shared" si="63"/>
        <v>0.47054348418708491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5</v>
      </c>
      <c r="BY96" s="13">
        <f>IF('Données projet'!$A$114&gt;35,BY95+BX96-CG95,IF(A96&lt;'Données projet'!$A$114,$BV$205^A96,IF(A96='Données projet'!$A$114,'Données projet'!$B$114,BY95+BX96-CG95)))</f>
        <v>290.00000000000006</v>
      </c>
      <c r="BZ96" s="14">
        <f>BY96*VLOOKUP('Données projet'!$B$12,Paramètres!$A$1:$I$89,3,0)*VLOOKUP('Données projet'!$B$12,Paramètres!$A$1:$I$89,5,0)</f>
        <v>294.06000000000012</v>
      </c>
      <c r="CA96" s="14">
        <f t="shared" si="93"/>
        <v>69.929765653573369</v>
      </c>
      <c r="CB96" s="22">
        <f t="shared" si="64"/>
        <v>633.94884184664045</v>
      </c>
      <c r="CC96" s="62">
        <f t="shared" si="65"/>
        <v>927.28217517997382</v>
      </c>
      <c r="CD96" s="62">
        <f ca="1">AVERAGE(OFFSET($CC$3,0,0,'Données projet'!$E$12+1,1))-AVERAGE(OFFSET($H$3,0,0,'Données projet'!$E$12+1,1))</f>
        <v>308.72872453744998</v>
      </c>
      <c r="CE96" s="62">
        <f t="shared" si="94"/>
        <v>195.3674411454258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0.52733321040635794</v>
      </c>
      <c r="CM96" s="23">
        <f>EXP(-LN(2)/2)*CM95+(1-EXP(-LN(2)/2))/(LN(2)/2)*CG96*CJ96*VLOOKUP('Données projet'!$B$12,Paramètres!$A$1:$I$89,3,0)*0.475*44/12</f>
        <v>4.6308927126735435E-9</v>
      </c>
      <c r="CN96" s="24">
        <f t="shared" si="66"/>
        <v>0.52733321503725061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160.24926890971085</v>
      </c>
      <c r="T97" s="62">
        <f t="shared" si="88"/>
        <v>323.52368436151721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16.596608805564905</v>
      </c>
      <c r="AA97" s="23">
        <f>EXP(-LN(2)/25)*AA96+(1-EXP(-LN(2)/25))/(LN(2)/25)*Calculateur!V97*Calculateur!X97*VLOOKUP('Données projet'!$B$9,Paramètres!$A$1:$I$89,3,0)*0.475*44/12</f>
        <v>8.7579015482237068</v>
      </c>
      <c r="AB97" s="23">
        <f>EXP(-LN(2)/2)*AB96+(1-EXP(-LN(2)/2))/(LN(2)/2)*V97*Y97*VLOOKUP('Données projet'!$B$9,Paramètres!$A$1:$I$89,3,0)*0.475*44/12</f>
        <v>4.1513135783225475E-8</v>
      </c>
      <c r="AC97" s="24">
        <f t="shared" si="57"/>
        <v>25.354510395301748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295.00000000000006</v>
      </c>
      <c r="AJ97" s="14">
        <f>AI97*VLOOKUP('Données projet'!$B$10,Paramètres!$A$1:$I$89,3,0)*VLOOKUP('Données projet'!$B$10,Paramètres!$A$1:$I$89,5,0)</f>
        <v>308.33400000000012</v>
      </c>
      <c r="AK97" s="14">
        <f t="shared" si="89"/>
        <v>72.920794020927275</v>
      </c>
      <c r="AL97" s="22">
        <f t="shared" si="58"/>
        <v>664.01876625311525</v>
      </c>
      <c r="AM97" s="62">
        <f t="shared" si="59"/>
        <v>957.3520995864485</v>
      </c>
      <c r="AN97" s="62">
        <f ca="1">AVERAGE(OFFSET($AM$3,0,0,'Données projet'!$E$10+1,1))-AVERAGE(OFFSET($H$3,0,0,'Données projet'!$E$10+1,1))</f>
        <v>320.63267332485663</v>
      </c>
      <c r="AO97" s="62">
        <f t="shared" si="90"/>
        <v>201.96012789473809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0.52869520237613377</v>
      </c>
      <c r="AW97" s="23">
        <f>EXP(-LN(2)/2)*AW96+(1-EXP(-LN(2)/2))/(LN(2)/2)*AQ97*AT97*VLOOKUP('Données projet'!$B$10,Paramètres!$A$1:$I$89,3,0)*0.475*44/12</f>
        <v>3.3752905828504908E-9</v>
      </c>
      <c r="AX97" s="23">
        <f t="shared" si="60"/>
        <v>0.52869520575142437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295.00000000000006</v>
      </c>
      <c r="BE97" s="14">
        <f>BD97*VLOOKUP('Données projet'!$B$11,Paramètres!$A$1:$I$89,3,0)*VLOOKUP('Données projet'!$B$11,Paramètres!$A$1:$I$89,5,0)</f>
        <v>266.91600000000005</v>
      </c>
      <c r="BF97" s="14">
        <f t="shared" si="91"/>
        <v>64.194329696332176</v>
      </c>
      <c r="BG97" s="22">
        <f t="shared" si="61"/>
        <v>576.68382422111188</v>
      </c>
      <c r="BH97" s="62">
        <f t="shared" si="62"/>
        <v>870.01715755444525</v>
      </c>
      <c r="BI97" s="62">
        <f ca="1">AVERAGE(OFFSET($BH$3,0,0,'Données projet'!$E$11+1,1))-AVERAGE(OFFSET($H$3,0,0,'Données projet'!$E$11+1,1))</f>
        <v>267.00333505765792</v>
      </c>
      <c r="BJ97" s="62">
        <f t="shared" si="92"/>
        <v>172.25613380618557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0.45767644384799622</v>
      </c>
      <c r="BR97" s="23">
        <f>EXP(-LN(2)/2)*BR96+(1-EXP(-LN(2)/2))/(LN(2)/2)*BL97*BO97*VLOOKUP('Données projet'!$B$11,Paramètres!$A$1:$I$89,3,0)*0.475*44/12</f>
        <v>2.9218933403780316E-9</v>
      </c>
      <c r="BS97" s="24">
        <f t="shared" si="63"/>
        <v>0.45767644676988956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5</v>
      </c>
      <c r="BY97" s="13">
        <f>IF('Données projet'!$A$114&gt;35,BY96+BX97-CG96,IF(A97&lt;'Données projet'!$A$114,$BV$205^A97,IF(A97='Données projet'!$A$114,'Données projet'!$B$114,BY96+BX97-CG96)))</f>
        <v>295.00000000000006</v>
      </c>
      <c r="BZ97" s="14">
        <f>BY97*VLOOKUP('Données projet'!$B$12,Paramètres!$A$1:$I$89,3,0)*VLOOKUP('Données projet'!$B$12,Paramètres!$A$1:$I$89,5,0)</f>
        <v>299.13000000000011</v>
      </c>
      <c r="CA97" s="14">
        <f t="shared" si="93"/>
        <v>70.994047242337274</v>
      </c>
      <c r="CB97" s="22">
        <f t="shared" si="64"/>
        <v>644.63271561373756</v>
      </c>
      <c r="CC97" s="62">
        <f t="shared" si="65"/>
        <v>937.96604894707093</v>
      </c>
      <c r="CD97" s="62">
        <f ca="1">AVERAGE(OFFSET($CC$3,0,0,'Données projet'!$E$12+1,1))-AVERAGE(OFFSET($H$3,0,0,'Données projet'!$E$12+1,1))</f>
        <v>308.72872453744998</v>
      </c>
      <c r="CE97" s="62">
        <f t="shared" si="94"/>
        <v>195.3674411454258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0.5129132560365478</v>
      </c>
      <c r="CM97" s="23">
        <f>EXP(-LN(2)/2)*CM96+(1-EXP(-LN(2)/2))/(LN(2)/2)*CG97*CJ97*VLOOKUP('Données projet'!$B$12,Paramètres!$A$1:$I$89,3,0)*0.475*44/12</f>
        <v>3.2745356400788288E-9</v>
      </c>
      <c r="CN97" s="24">
        <f t="shared" si="66"/>
        <v>0.51291325931108345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160.24926890971085</v>
      </c>
      <c r="T98" s="62">
        <f t="shared" si="88"/>
        <v>323.52368436151721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16.271159429819594</v>
      </c>
      <c r="AA98" s="23">
        <f>EXP(-LN(2)/25)*AA97+(1-EXP(-LN(2)/25))/(LN(2)/25)*Calculateur!V98*Calculateur!X98*VLOOKUP('Données projet'!$B$9,Paramètres!$A$1:$I$89,3,0)*0.475*44/12</f>
        <v>8.518416269829503</v>
      </c>
      <c r="AB98" s="23">
        <f>EXP(-LN(2)/2)*AB97+(1-EXP(-LN(2)/2))/(LN(2)/2)*V98*Y98*VLOOKUP('Données projet'!$B$9,Paramètres!$A$1:$I$89,3,0)*0.475*44/12</f>
        <v>2.9354219820636654E-8</v>
      </c>
      <c r="AC98" s="24">
        <f t="shared" si="57"/>
        <v>24.789575729003317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300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300.00000000000006</v>
      </c>
      <c r="AJ98" s="14">
        <f>AI98*VLOOKUP('Données projet'!$B$10,Paramètres!$A$1:$I$89,3,0)*VLOOKUP('Données projet'!$B$10,Paramètres!$A$1:$I$89,5,0)</f>
        <v>313.56000000000012</v>
      </c>
      <c r="AK98" s="14">
        <f t="shared" si="89"/>
        <v>74.011805068053846</v>
      </c>
      <c r="AL98" s="22">
        <f t="shared" si="58"/>
        <v>675.02089382686063</v>
      </c>
      <c r="AM98" s="62">
        <f t="shared" si="59"/>
        <v>968.35422716019389</v>
      </c>
      <c r="AN98" s="62">
        <f ca="1">AVERAGE(OFFSET($AM$3,0,0,'Données projet'!$E$10+1,1))-AVERAGE(OFFSET($H$3,0,0,'Données projet'!$E$10+1,1))</f>
        <v>320.63267332485663</v>
      </c>
      <c r="AO98" s="62">
        <f t="shared" si="90"/>
        <v>201.96012789473809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0.51423800426428601</v>
      </c>
      <c r="AW98" s="23">
        <f>EXP(-LN(2)/2)*AW97+(1-EXP(-LN(2)/2))/(LN(2)/2)*AQ98*AT98*VLOOKUP('Données projet'!$B$10,Paramètres!$A$1:$I$89,3,0)*0.475*44/12</f>
        <v>2.3866908596086764E-9</v>
      </c>
      <c r="AX98" s="23">
        <f t="shared" si="60"/>
        <v>0.51423800665097685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300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300.00000000000006</v>
      </c>
      <c r="BE98" s="14">
        <f>BD98*VLOOKUP('Données projet'!$B$11,Paramètres!$A$1:$I$89,3,0)*VLOOKUP('Données projet'!$B$11,Paramètres!$A$1:$I$89,5,0)</f>
        <v>271.44000000000005</v>
      </c>
      <c r="BF98" s="14">
        <f t="shared" si="91"/>
        <v>65.15477895915123</v>
      </c>
      <c r="BG98" s="22">
        <f t="shared" si="61"/>
        <v>586.2359066871885</v>
      </c>
      <c r="BH98" s="62">
        <f t="shared" si="62"/>
        <v>879.56924002052187</v>
      </c>
      <c r="BI98" s="62">
        <f ca="1">AVERAGE(OFFSET($BH$3,0,0,'Données projet'!$E$11+1,1))-AVERAGE(OFFSET($H$3,0,0,'Données projet'!$E$11+1,1))</f>
        <v>267.00333505765792</v>
      </c>
      <c r="BJ98" s="62">
        <f t="shared" si="92"/>
        <v>172.25613380618557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0.44516125742281459</v>
      </c>
      <c r="BR98" s="23">
        <f>EXP(-LN(2)/2)*BR97+(1-EXP(-LN(2)/2))/(LN(2)/2)*BL98*BO98*VLOOKUP('Données projet'!$B$11,Paramètres!$A$1:$I$89,3,0)*0.475*44/12</f>
        <v>2.0660905948851192E-9</v>
      </c>
      <c r="BS98" s="24">
        <f t="shared" si="63"/>
        <v>0.44516125948890517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300</v>
      </c>
      <c r="BW98" s="13">
        <f>VLOOKUP(A98,'Données projet'!$A$113:$I$133,9,0)</f>
        <v>5</v>
      </c>
      <c r="BX98" s="13">
        <f t="array" ref="BX98">INDEX(BW:BW,MIN(IF(ISNUMBER(BW98:BW294),ROW(BW98:BW294),"")))</f>
        <v>5</v>
      </c>
      <c r="BY98" s="13">
        <f>IF('Données projet'!$A$114&gt;35,BY97+BX98-CG97,IF(A98&lt;'Données projet'!$A$114,$BV$205^A98,IF(A98='Données projet'!$A$114,'Données projet'!$B$114,BY97+BX98-CG97)))</f>
        <v>300.00000000000006</v>
      </c>
      <c r="BZ98" s="14">
        <f>BY98*VLOOKUP('Données projet'!$B$12,Paramètres!$A$1:$I$89,3,0)*VLOOKUP('Données projet'!$B$12,Paramètres!$A$1:$I$89,5,0)</f>
        <v>304.2000000000001</v>
      </c>
      <c r="CA98" s="14">
        <f t="shared" si="93"/>
        <v>72.056231093481074</v>
      </c>
      <c r="CB98" s="22">
        <f t="shared" si="64"/>
        <v>655.31293582114643</v>
      </c>
      <c r="CC98" s="62">
        <f t="shared" si="65"/>
        <v>948.6462691544798</v>
      </c>
      <c r="CD98" s="62">
        <f ca="1">AVERAGE(OFFSET($CC$3,0,0,'Données projet'!$E$12+1,1))-AVERAGE(OFFSET($H$3,0,0,'Données projet'!$E$12+1,1))</f>
        <v>308.72872453744998</v>
      </c>
      <c r="CE98" s="62">
        <f t="shared" si="94"/>
        <v>195.3674411454258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21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0.49888761607729254</v>
      </c>
      <c r="CM98" s="23">
        <f>EXP(-LN(2)/2)*CM97+(1-EXP(-LN(2)/2))/(LN(2)/2)*CG98*CJ98*VLOOKUP('Données projet'!$B$12,Paramètres!$A$1:$I$89,3,0)*0.475*44/12</f>
        <v>2.3154463563367717E-9</v>
      </c>
      <c r="CN98" s="24">
        <f t="shared" si="66"/>
        <v>0.49888761839273887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160.24926890971085</v>
      </c>
      <c r="T99" s="62">
        <f t="shared" si="88"/>
        <v>323.52368436151721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15.952091917828128</v>
      </c>
      <c r="AA99" s="23">
        <f>EXP(-LN(2)/25)*AA98+(1-EXP(-LN(2)/25))/(LN(2)/25)*Calculateur!V99*Calculateur!X99*VLOOKUP('Données projet'!$B$9,Paramètres!$A$1:$I$89,3,0)*0.475*44/12</f>
        <v>8.2854797289669726</v>
      </c>
      <c r="AB99" s="23">
        <f>EXP(-LN(2)/2)*AB98+(1-EXP(-LN(2)/2))/(LN(2)/2)*V99*Y99*VLOOKUP('Données projet'!$B$9,Paramètres!$A$1:$I$89,3,0)*0.475*44/12</f>
        <v>2.0756567891612741E-8</v>
      </c>
      <c r="AC99" s="24">
        <f t="shared" si="57"/>
        <v>24.237571667551666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283.80000000000007</v>
      </c>
      <c r="AJ99" s="14">
        <f>AI99*VLOOKUP('Données projet'!$B$10,Paramètres!$A$1:$I$89,3,0)*VLOOKUP('Données projet'!$B$10,Paramètres!$A$1:$I$89,5,0)</f>
        <v>296.62776000000008</v>
      </c>
      <c r="AK99" s="14">
        <f t="shared" si="89"/>
        <v>70.469047998611202</v>
      </c>
      <c r="AL99" s="22">
        <f t="shared" si="58"/>
        <v>639.36027393091456</v>
      </c>
      <c r="AM99" s="62">
        <f t="shared" si="59"/>
        <v>932.69360726424793</v>
      </c>
      <c r="AN99" s="62">
        <f ca="1">AVERAGE(OFFSET($AM$3,0,0,'Données projet'!$E$10+1,1))-AVERAGE(OFFSET($H$3,0,0,'Données projet'!$E$10+1,1))</f>
        <v>320.63267332485663</v>
      </c>
      <c r="AO99" s="62">
        <f t="shared" si="90"/>
        <v>201.96012789473809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0.50017613899507773</v>
      </c>
      <c r="AW99" s="23">
        <f>EXP(-LN(2)/2)*AW98+(1-EXP(-LN(2)/2))/(LN(2)/2)*AQ99*AT99*VLOOKUP('Données projet'!$B$10,Paramètres!$A$1:$I$89,3,0)*0.475*44/12</f>
        <v>1.6876452914252454E-9</v>
      </c>
      <c r="AX99" s="23">
        <f t="shared" si="60"/>
        <v>0.50017614068272298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283.80000000000007</v>
      </c>
      <c r="BE99" s="14">
        <f>BD99*VLOOKUP('Données projet'!$B$11,Paramètres!$A$1:$I$89,3,0)*VLOOKUP('Données projet'!$B$11,Paramètres!$A$1:$I$89,5,0)</f>
        <v>256.78224000000006</v>
      </c>
      <c r="BF99" s="14">
        <f t="shared" si="91"/>
        <v>62.03598522681007</v>
      </c>
      <c r="BG99" s="22">
        <f t="shared" si="61"/>
        <v>555.27507560336085</v>
      </c>
      <c r="BH99" s="62">
        <f t="shared" si="62"/>
        <v>848.6084089366941</v>
      </c>
      <c r="BI99" s="62">
        <f ca="1">AVERAGE(OFFSET($BH$3,0,0,'Données projet'!$E$11+1,1))-AVERAGE(OFFSET($H$3,0,0,'Données projet'!$E$11+1,1))</f>
        <v>267.00333505765792</v>
      </c>
      <c r="BJ99" s="62">
        <f t="shared" si="92"/>
        <v>172.25613380618557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0.43298829942857464</v>
      </c>
      <c r="BR99" s="23">
        <f>EXP(-LN(2)/2)*BR98+(1-EXP(-LN(2)/2))/(LN(2)/2)*BL99*BO99*VLOOKUP('Données projet'!$B$11,Paramètres!$A$1:$I$89,3,0)*0.475*44/12</f>
        <v>1.4609466701890158E-9</v>
      </c>
      <c r="BS99" s="24">
        <f t="shared" si="63"/>
        <v>0.43298830088952134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4.8</v>
      </c>
      <c r="BY99" s="13">
        <f>IF('Données projet'!$A$114&gt;35,BY98+BX99-CG98,IF(A99&lt;'Données projet'!$A$114,$BV$205^A99,IF(A99='Données projet'!$A$114,'Données projet'!$B$114,BY98+BX99-CG98)))</f>
        <v>283.80000000000007</v>
      </c>
      <c r="BZ99" s="14">
        <f>BY99*VLOOKUP('Données projet'!$B$12,Paramètres!$A$1:$I$89,3,0)*VLOOKUP('Données projet'!$B$12,Paramètres!$A$1:$I$89,5,0)</f>
        <v>287.77320000000009</v>
      </c>
      <c r="CA99" s="14">
        <f t="shared" si="93"/>
        <v>68.607082381743922</v>
      </c>
      <c r="CB99" s="22">
        <f t="shared" si="64"/>
        <v>620.69565848153741</v>
      </c>
      <c r="CC99" s="62">
        <f t="shared" si="65"/>
        <v>914.02899181487078</v>
      </c>
      <c r="CD99" s="62">
        <f ca="1">AVERAGE(OFFSET($CC$3,0,0,'Données projet'!$E$12+1,1))-AVERAGE(OFFSET($H$3,0,0,'Données projet'!$E$12+1,1))</f>
        <v>308.72872453744998</v>
      </c>
      <c r="CE99" s="62">
        <f t="shared" si="94"/>
        <v>195.3674411454258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0.48524550798029947</v>
      </c>
      <c r="CM99" s="23">
        <f>EXP(-LN(2)/2)*CM98+(1-EXP(-LN(2)/2))/(LN(2)/2)*CG99*CJ99*VLOOKUP('Données projet'!$B$12,Paramètres!$A$1:$I$89,3,0)*0.475*44/12</f>
        <v>1.6372678200394144E-9</v>
      </c>
      <c r="CN99" s="24">
        <f t="shared" si="66"/>
        <v>0.48524550961756729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160.24926890971085</v>
      </c>
      <c r="T100" s="62">
        <f t="shared" si="88"/>
        <v>323.52368436151721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15.639281125134849</v>
      </c>
      <c r="AA100" s="23">
        <f>EXP(-LN(2)/25)*AA99+(1-EXP(-LN(2)/25))/(LN(2)/25)*Calculateur!V100*Calculateur!X100*VLOOKUP('Données projet'!$B$9,Paramètres!$A$1:$I$89,3,0)*0.475*44/12</f>
        <v>8.058912850063928</v>
      </c>
      <c r="AB100" s="23">
        <f>EXP(-LN(2)/2)*AB99+(1-EXP(-LN(2)/2))/(LN(2)/2)*V100*Y100*VLOOKUP('Données projet'!$B$9,Paramètres!$A$1:$I$89,3,0)*0.475*44/12</f>
        <v>1.4677109910318329E-8</v>
      </c>
      <c r="AC100" s="24">
        <f t="shared" si="57"/>
        <v>23.698193989875886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288.60000000000008</v>
      </c>
      <c r="AJ100" s="14">
        <f>AI100*VLOOKUP('Données projet'!$B$10,Paramètres!$A$1:$I$89,3,0)*VLOOKUP('Données projet'!$B$10,Paramètres!$A$1:$I$89,5,0)</f>
        <v>301.64472000000006</v>
      </c>
      <c r="AK100" s="14">
        <f t="shared" si="89"/>
        <v>71.521150169711404</v>
      </c>
      <c r="AL100" s="22">
        <f t="shared" si="58"/>
        <v>649.93055721224744</v>
      </c>
      <c r="AM100" s="62">
        <f t="shared" si="59"/>
        <v>943.26389054558081</v>
      </c>
      <c r="AN100" s="62">
        <f ca="1">AVERAGE(OFFSET($AM$3,0,0,'Données projet'!$E$10+1,1))-AVERAGE(OFFSET($H$3,0,0,'Données projet'!$E$10+1,1))</f>
        <v>320.63267332485663</v>
      </c>
      <c r="AO100" s="62">
        <f t="shared" si="90"/>
        <v>201.96012789473809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0.48649879617113734</v>
      </c>
      <c r="AW100" s="23">
        <f>EXP(-LN(2)/2)*AW99+(1-EXP(-LN(2)/2))/(LN(2)/2)*AQ100*AT100*VLOOKUP('Données projet'!$B$10,Paramètres!$A$1:$I$89,3,0)*0.475*44/12</f>
        <v>1.1933454298043382E-9</v>
      </c>
      <c r="AX100" s="23">
        <f t="shared" si="60"/>
        <v>0.48649879736448276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288.60000000000008</v>
      </c>
      <c r="BE100" s="14">
        <f>BD100*VLOOKUP('Données projet'!$B$11,Paramètres!$A$1:$I$89,3,0)*VLOOKUP('Données projet'!$B$11,Paramètres!$A$1:$I$89,5,0)</f>
        <v>261.12528000000009</v>
      </c>
      <c r="BF100" s="14">
        <f t="shared" si="91"/>
        <v>62.962181856353716</v>
      </c>
      <c r="BG100" s="22">
        <f t="shared" si="61"/>
        <v>564.45232939981622</v>
      </c>
      <c r="BH100" s="62">
        <f t="shared" si="62"/>
        <v>857.78566273314959</v>
      </c>
      <c r="BI100" s="62">
        <f ca="1">AVERAGE(OFFSET($BH$3,0,0,'Données projet'!$E$11+1,1))-AVERAGE(OFFSET($H$3,0,0,'Données projet'!$E$11+1,1))</f>
        <v>267.00333505765792</v>
      </c>
      <c r="BJ100" s="62">
        <f t="shared" si="92"/>
        <v>172.25613380618557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0.42114821161083521</v>
      </c>
      <c r="BR100" s="23">
        <f>EXP(-LN(2)/2)*BR99+(1-EXP(-LN(2)/2))/(LN(2)/2)*BL100*BO100*VLOOKUP('Données projet'!$B$11,Paramètres!$A$1:$I$89,3,0)*0.475*44/12</f>
        <v>1.0330452974425596E-9</v>
      </c>
      <c r="BS100" s="24">
        <f t="shared" si="63"/>
        <v>0.42114821264388053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4.8</v>
      </c>
      <c r="BY100" s="13">
        <f>IF('Données projet'!$A$114&gt;35,BY99+BX100-CG99,IF(A100&lt;'Données projet'!$A$114,$BV$205^A100,IF(A100='Données projet'!$A$114,'Données projet'!$B$114,BY99+BX100-CG99)))</f>
        <v>288.60000000000008</v>
      </c>
      <c r="BZ100" s="14">
        <f>BY100*VLOOKUP('Données projet'!$B$12,Paramètres!$A$1:$I$89,3,0)*VLOOKUP('Données projet'!$B$12,Paramètres!$A$1:$I$89,5,0)</f>
        <v>292.64040000000011</v>
      </c>
      <c r="CA100" s="14">
        <f t="shared" si="93"/>
        <v>69.631385425090059</v>
      </c>
      <c r="CB100" s="22">
        <f t="shared" si="64"/>
        <v>630.95669294869867</v>
      </c>
      <c r="CC100" s="62">
        <f t="shared" si="65"/>
        <v>924.29002628203193</v>
      </c>
      <c r="CD100" s="62">
        <f ca="1">AVERAGE(OFFSET($CC$3,0,0,'Données projet'!$E$12+1,1))-AVERAGE(OFFSET($H$3,0,0,'Données projet'!$E$12+1,1))</f>
        <v>308.72872453744998</v>
      </c>
      <c r="CE100" s="62">
        <f t="shared" si="94"/>
        <v>195.3674411454258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0.47197644404662598</v>
      </c>
      <c r="CM100" s="23">
        <f>EXP(-LN(2)/2)*CM99+(1-EXP(-LN(2)/2))/(LN(2)/2)*CG100*CJ100*VLOOKUP('Données projet'!$B$12,Paramètres!$A$1:$I$89,3,0)*0.475*44/12</f>
        <v>1.1577231781683859E-9</v>
      </c>
      <c r="CN100" s="24">
        <f t="shared" si="66"/>
        <v>0.47197644520434917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160.24926890971085</v>
      </c>
      <c r="T101" s="62">
        <f t="shared" si="88"/>
        <v>323.52368436151721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15.33260436129054</v>
      </c>
      <c r="AA101" s="23">
        <f>EXP(-LN(2)/25)*AA100+(1-EXP(-LN(2)/25))/(LN(2)/25)*Calculateur!V101*Calculateur!X101*VLOOKUP('Données projet'!$B$9,Paramètres!$A$1:$I$89,3,0)*0.475*44/12</f>
        <v>7.8385414543791221</v>
      </c>
      <c r="AB101" s="23">
        <f>EXP(-LN(2)/2)*AB100+(1-EXP(-LN(2)/2))/(LN(2)/2)*V101*Y101*VLOOKUP('Données projet'!$B$9,Paramètres!$A$1:$I$89,3,0)*0.475*44/12</f>
        <v>1.0378283945806372E-8</v>
      </c>
      <c r="AC101" s="24">
        <f t="shared" si="57"/>
        <v>23.171145826047944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293.40000000000009</v>
      </c>
      <c r="AJ101" s="14">
        <f>AI101*VLOOKUP('Données projet'!$B$10,Paramètres!$A$1:$I$89,3,0)*VLOOKUP('Données projet'!$B$10,Paramètres!$A$1:$I$89,5,0)</f>
        <v>306.6616800000001</v>
      </c>
      <c r="AK101" s="14">
        <f t="shared" si="89"/>
        <v>72.571217377165198</v>
      </c>
      <c r="AL101" s="22">
        <f t="shared" si="58"/>
        <v>660.49729626522947</v>
      </c>
      <c r="AM101" s="62">
        <f t="shared" si="59"/>
        <v>953.83062959856284</v>
      </c>
      <c r="AN101" s="62">
        <f ca="1">AVERAGE(OFFSET($AM$3,0,0,'Données projet'!$E$10+1,1))-AVERAGE(OFFSET($H$3,0,0,'Données projet'!$E$10+1,1))</f>
        <v>320.63267332485663</v>
      </c>
      <c r="AO101" s="62">
        <f t="shared" si="90"/>
        <v>201.96012789473809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0.47319546100597781</v>
      </c>
      <c r="AW101" s="23">
        <f>EXP(-LN(2)/2)*AW100+(1-EXP(-LN(2)/2))/(LN(2)/2)*AQ101*AT101*VLOOKUP('Données projet'!$B$10,Paramètres!$A$1:$I$89,3,0)*0.475*44/12</f>
        <v>8.438226457126227E-10</v>
      </c>
      <c r="AX101" s="23">
        <f t="shared" si="60"/>
        <v>0.47319546184980044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293.40000000000009</v>
      </c>
      <c r="BE101" s="14">
        <f>BD101*VLOOKUP('Données projet'!$B$11,Paramètres!$A$1:$I$89,3,0)*VLOOKUP('Données projet'!$B$11,Paramètres!$A$1:$I$89,5,0)</f>
        <v>265.46832000000012</v>
      </c>
      <c r="BF101" s="14">
        <f t="shared" si="91"/>
        <v>63.886587047268812</v>
      </c>
      <c r="BG101" s="22">
        <f t="shared" si="61"/>
        <v>573.62646310732669</v>
      </c>
      <c r="BH101" s="62">
        <f t="shared" si="62"/>
        <v>866.95979644066006</v>
      </c>
      <c r="BI101" s="62">
        <f ca="1">AVERAGE(OFFSET($BH$3,0,0,'Données projet'!$E$11+1,1))-AVERAGE(OFFSET($H$3,0,0,'Données projet'!$E$11+1,1))</f>
        <v>267.00333505765792</v>
      </c>
      <c r="BJ101" s="62">
        <f t="shared" si="92"/>
        <v>172.25613380618557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0.409631891617115</v>
      </c>
      <c r="BR101" s="23">
        <f>EXP(-LN(2)/2)*BR100+(1-EXP(-LN(2)/2))/(LN(2)/2)*BL101*BO101*VLOOKUP('Données projet'!$B$11,Paramètres!$A$1:$I$89,3,0)*0.475*44/12</f>
        <v>7.304733350945079E-10</v>
      </c>
      <c r="BS101" s="24">
        <f t="shared" si="63"/>
        <v>0.40963189234758834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4.8</v>
      </c>
      <c r="BY101" s="13">
        <f>IF('Données projet'!$A$114&gt;35,BY100+BX101-CG100,IF(A101&lt;'Données projet'!$A$114,$BV$205^A101,IF(A101='Données projet'!$A$114,'Données projet'!$B$114,BY100+BX101-CG100)))</f>
        <v>293.40000000000009</v>
      </c>
      <c r="BZ101" s="14">
        <f>BY101*VLOOKUP('Données projet'!$B$12,Paramètres!$A$1:$I$89,3,0)*VLOOKUP('Données projet'!$B$12,Paramètres!$A$1:$I$89,5,0)</f>
        <v>297.50760000000014</v>
      </c>
      <c r="CA101" s="14">
        <f t="shared" si="93"/>
        <v>70.653707273535787</v>
      </c>
      <c r="CB101" s="22">
        <f t="shared" si="64"/>
        <v>641.21427683474178</v>
      </c>
      <c r="CC101" s="62">
        <f t="shared" si="65"/>
        <v>934.54761016807515</v>
      </c>
      <c r="CD101" s="62">
        <f ca="1">AVERAGE(OFFSET($CC$3,0,0,'Données projet'!$E$12+1,1))-AVERAGE(OFFSET($H$3,0,0,'Données projet'!$E$12+1,1))</f>
        <v>308.72872453744998</v>
      </c>
      <c r="CE101" s="62">
        <f t="shared" si="94"/>
        <v>195.3674411454258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0.45907022336400849</v>
      </c>
      <c r="CM101" s="23">
        <f>EXP(-LN(2)/2)*CM100+(1-EXP(-LN(2)/2))/(LN(2)/2)*CG101*CJ101*VLOOKUP('Données projet'!$B$12,Paramètres!$A$1:$I$89,3,0)*0.475*44/12</f>
        <v>8.1863391001970721E-10</v>
      </c>
      <c r="CN101" s="24">
        <f t="shared" si="66"/>
        <v>0.45907022418264237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160.24926890971085</v>
      </c>
      <c r="T102" s="62">
        <f t="shared" si="88"/>
        <v>323.52368436151721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15.031941341730864</v>
      </c>
      <c r="AA102" s="23">
        <f>EXP(-LN(2)/25)*AA101+(1-EXP(-LN(2)/25))/(LN(2)/25)*Calculateur!V102*Calculateur!X102*VLOOKUP('Données projet'!$B$9,Paramètres!$A$1:$I$89,3,0)*0.475*44/12</f>
        <v>7.6241961260981448</v>
      </c>
      <c r="AB102" s="23">
        <f>EXP(-LN(2)/2)*AB101+(1-EXP(-LN(2)/2))/(LN(2)/2)*V102*Y102*VLOOKUP('Données projet'!$B$9,Paramètres!$A$1:$I$89,3,0)*0.475*44/12</f>
        <v>7.338554955159166E-9</v>
      </c>
      <c r="AC102" s="24">
        <f t="shared" si="57"/>
        <v>22.656137475167565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298.2000000000001</v>
      </c>
      <c r="AJ102" s="14">
        <f>AI102*VLOOKUP('Données projet'!$B$10,Paramètres!$A$1:$I$89,3,0)*VLOOKUP('Données projet'!$B$10,Paramètres!$A$1:$I$89,5,0)</f>
        <v>311.67864000000014</v>
      </c>
      <c r="AK102" s="14">
        <f t="shared" si="89"/>
        <v>73.619286755952913</v>
      </c>
      <c r="AL102" s="22">
        <f t="shared" si="58"/>
        <v>671.06055576661822</v>
      </c>
      <c r="AM102" s="62">
        <f t="shared" si="59"/>
        <v>964.39388909995159</v>
      </c>
      <c r="AN102" s="62">
        <f ca="1">AVERAGE(OFFSET($AM$3,0,0,'Données projet'!$E$10+1,1))-AVERAGE(OFFSET($H$3,0,0,'Données projet'!$E$10+1,1))</f>
        <v>320.63267332485663</v>
      </c>
      <c r="AO102" s="62">
        <f t="shared" si="90"/>
        <v>201.96012789473809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0.46025590624050156</v>
      </c>
      <c r="AW102" s="23">
        <f>EXP(-LN(2)/2)*AW101+(1-EXP(-LN(2)/2))/(LN(2)/2)*AQ102*AT102*VLOOKUP('Données projet'!$B$10,Paramètres!$A$1:$I$89,3,0)*0.475*44/12</f>
        <v>5.9667271490216911E-10</v>
      </c>
      <c r="AX102" s="23">
        <f t="shared" si="60"/>
        <v>0.46025590683717427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298.2000000000001</v>
      </c>
      <c r="BE102" s="14">
        <f>BD102*VLOOKUP('Données projet'!$B$11,Paramètres!$A$1:$I$89,3,0)*VLOOKUP('Données projet'!$B$11,Paramètres!$A$1:$I$89,5,0)</f>
        <v>269.81136000000009</v>
      </c>
      <c r="BF102" s="14">
        <f t="shared" si="91"/>
        <v>64.809233490575778</v>
      </c>
      <c r="BG102" s="22">
        <f t="shared" si="61"/>
        <v>582.79753366275293</v>
      </c>
      <c r="BH102" s="62">
        <f t="shared" si="62"/>
        <v>876.1308669960863</v>
      </c>
      <c r="BI102" s="62">
        <f ca="1">AVERAGE(OFFSET($BH$3,0,0,'Données projet'!$E$11+1,1))-AVERAGE(OFFSET($H$3,0,0,'Données projet'!$E$11+1,1))</f>
        <v>267.00333505765792</v>
      </c>
      <c r="BJ102" s="62">
        <f t="shared" si="92"/>
        <v>172.25613380618557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0.39843048599924002</v>
      </c>
      <c r="BR102" s="23">
        <f>EXP(-LN(2)/2)*BR101+(1-EXP(-LN(2)/2))/(LN(2)/2)*BL102*BO102*VLOOKUP('Données projet'!$B$11,Paramètres!$A$1:$I$89,3,0)*0.475*44/12</f>
        <v>5.165226487212798E-10</v>
      </c>
      <c r="BS102" s="24">
        <f t="shared" si="63"/>
        <v>0.39843048651576268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4.8</v>
      </c>
      <c r="BY102" s="13">
        <f>IF('Données projet'!$A$114&gt;35,BY101+BX102-CG101,IF(A102&lt;'Données projet'!$A$114,$BV$205^A102,IF(A102='Données projet'!$A$114,'Données projet'!$B$114,BY101+BX102-CG101)))</f>
        <v>298.2000000000001</v>
      </c>
      <c r="BZ102" s="14">
        <f>BY102*VLOOKUP('Données projet'!$B$12,Paramètres!$A$1:$I$89,3,0)*VLOOKUP('Données projet'!$B$12,Paramètres!$A$1:$I$89,5,0)</f>
        <v>302.37480000000011</v>
      </c>
      <c r="CA102" s="14">
        <f t="shared" si="93"/>
        <v>71.674084080863864</v>
      </c>
      <c r="CB102" s="22">
        <f t="shared" si="64"/>
        <v>651.46847310750468</v>
      </c>
      <c r="CC102" s="62">
        <f t="shared" si="65"/>
        <v>944.80180644083794</v>
      </c>
      <c r="CD102" s="62">
        <f ca="1">AVERAGE(OFFSET($CC$3,0,0,'Données projet'!$E$12+1,1))-AVERAGE(OFFSET($H$3,0,0,'Données projet'!$E$12+1,1))</f>
        <v>308.72872453744998</v>
      </c>
      <c r="CE102" s="62">
        <f t="shared" si="94"/>
        <v>195.3674411454258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0.44651692396466586</v>
      </c>
      <c r="CM102" s="23">
        <f>EXP(-LN(2)/2)*CM101+(1-EXP(-LN(2)/2))/(LN(2)/2)*CG102*CJ102*VLOOKUP('Données projet'!$B$12,Paramètres!$A$1:$I$89,3,0)*0.475*44/12</f>
        <v>5.7886158908419294E-10</v>
      </c>
      <c r="CN102" s="24">
        <f t="shared" si="66"/>
        <v>0.44651692454352743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160.24926890971085</v>
      </c>
      <c r="T103" s="62">
        <f t="shared" si="88"/>
        <v>323.52368436151721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14.737174140598418</v>
      </c>
      <c r="AA103" s="23">
        <f>EXP(-LN(2)/25)*AA102+(1-EXP(-LN(2)/25))/(LN(2)/25)*Calculateur!V103*Calculateur!X103*VLOOKUP('Données projet'!$B$9,Paramètres!$A$1:$I$89,3,0)*0.475*44/12</f>
        <v>7.4157120820909421</v>
      </c>
      <c r="AB103" s="23">
        <f>EXP(-LN(2)/2)*AB102+(1-EXP(-LN(2)/2))/(LN(2)/2)*V103*Y103*VLOOKUP('Données projet'!$B$9,Paramètres!$A$1:$I$89,3,0)*0.475*44/12</f>
        <v>5.1891419729031868E-9</v>
      </c>
      <c r="AC103" s="24">
        <f t="shared" si="57"/>
        <v>22.152886227878504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303.00000000000011</v>
      </c>
      <c r="AJ103" s="14">
        <f>AI103*VLOOKUP('Données projet'!$B$10,Paramètres!$A$1:$I$89,3,0)*VLOOKUP('Données projet'!$B$10,Paramètres!$A$1:$I$89,5,0)</f>
        <v>316.69560000000013</v>
      </c>
      <c r="AK103" s="14">
        <f t="shared" si="89"/>
        <v>74.665394177006362</v>
      </c>
      <c r="AL103" s="22">
        <f t="shared" si="58"/>
        <v>681.62039819161953</v>
      </c>
      <c r="AM103" s="62">
        <f t="shared" si="59"/>
        <v>974.9537315249529</v>
      </c>
      <c r="AN103" s="62">
        <f ca="1">AVERAGE(OFFSET($AM$3,0,0,'Données projet'!$E$10+1,1))-AVERAGE(OFFSET($H$3,0,0,'Données projet'!$E$10+1,1))</f>
        <v>320.63267332485663</v>
      </c>
      <c r="AO103" s="62">
        <f t="shared" si="90"/>
        <v>201.96012789473809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0.44767018428054883</v>
      </c>
      <c r="AW103" s="23">
        <f>EXP(-LN(2)/2)*AW102+(1-EXP(-LN(2)/2))/(LN(2)/2)*AQ103*AT103*VLOOKUP('Données projet'!$B$10,Paramètres!$A$1:$I$89,3,0)*0.475*44/12</f>
        <v>4.2191132285631135E-10</v>
      </c>
      <c r="AX103" s="23">
        <f t="shared" si="60"/>
        <v>0.44767018470246017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303.00000000000011</v>
      </c>
      <c r="BE103" s="14">
        <f>BD103*VLOOKUP('Données projet'!$B$11,Paramètres!$A$1:$I$89,3,0)*VLOOKUP('Données projet'!$B$11,Paramètres!$A$1:$I$89,5,0)</f>
        <v>274.15440000000012</v>
      </c>
      <c r="BF103" s="14">
        <f t="shared" si="91"/>
        <v>65.730152764515836</v>
      </c>
      <c r="BG103" s="22">
        <f t="shared" si="61"/>
        <v>591.96559606486528</v>
      </c>
      <c r="BH103" s="62">
        <f t="shared" si="62"/>
        <v>885.29892939819865</v>
      </c>
      <c r="BI103" s="62">
        <f ca="1">AVERAGE(OFFSET($BH$3,0,0,'Données projet'!$E$11+1,1))-AVERAGE(OFFSET($H$3,0,0,'Données projet'!$E$11+1,1))</f>
        <v>267.00333505765792</v>
      </c>
      <c r="BJ103" s="62">
        <f t="shared" si="92"/>
        <v>172.25613380618557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0.38753538340704219</v>
      </c>
      <c r="BR103" s="23">
        <f>EXP(-LN(2)/2)*BR102+(1-EXP(-LN(2)/2))/(LN(2)/2)*BL103*BO103*VLOOKUP('Données projet'!$B$11,Paramètres!$A$1:$I$89,3,0)*0.475*44/12</f>
        <v>3.6523666754725395E-10</v>
      </c>
      <c r="BS103" s="24">
        <f t="shared" si="63"/>
        <v>0.38753538377227886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4.8</v>
      </c>
      <c r="BX103" s="13">
        <f t="array" ref="BX103">INDEX(BW:BW,MIN(IF(ISNUMBER(BW103:BW299),ROW(BW103:BW299),"")))</f>
        <v>4.8</v>
      </c>
      <c r="BY103" s="13">
        <f>IF('Données projet'!$A$114&gt;35,BY102+BX103-CG102,IF(A103&lt;'Données projet'!$A$114,$BV$205^A103,IF(A103='Données projet'!$A$114,'Données projet'!$B$114,BY102+BX103-CG102)))</f>
        <v>303.00000000000011</v>
      </c>
      <c r="BZ103" s="14">
        <f>BY103*VLOOKUP('Données projet'!$B$12,Paramètres!$A$1:$I$89,3,0)*VLOOKUP('Données projet'!$B$12,Paramètres!$A$1:$I$89,5,0)</f>
        <v>307.24200000000013</v>
      </c>
      <c r="CA103" s="14">
        <f t="shared" si="93"/>
        <v>72.692550770207774</v>
      </c>
      <c r="CB103" s="22">
        <f t="shared" si="64"/>
        <v>661.71934259144541</v>
      </c>
      <c r="CC103" s="62">
        <f t="shared" si="65"/>
        <v>955.05267592477867</v>
      </c>
      <c r="CD103" s="62">
        <f ca="1">AVERAGE(OFFSET($CC$3,0,0,'Données projet'!$E$12+1,1))-AVERAGE(OFFSET($H$3,0,0,'Données projet'!$E$12+1,1))</f>
        <v>308.72872453744998</v>
      </c>
      <c r="CE103" s="62">
        <f t="shared" si="94"/>
        <v>195.3674411454258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21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0.43430689519754756</v>
      </c>
      <c r="CM103" s="23">
        <f>EXP(-LN(2)/2)*CM102+(1-EXP(-LN(2)/2))/(LN(2)/2)*CG103*CJ103*VLOOKUP('Données projet'!$B$12,Paramètres!$A$1:$I$89,3,0)*0.475*44/12</f>
        <v>4.093169550098536E-10</v>
      </c>
      <c r="CN103" s="24">
        <f t="shared" si="66"/>
        <v>0.43430689560686453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160.24926890971085</v>
      </c>
      <c r="T104" s="62">
        <f t="shared" si="88"/>
        <v>323.52368436151721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14.448187144489939</v>
      </c>
      <c r="AA104" s="23">
        <f>EXP(-LN(2)/25)*AA103+(1-EXP(-LN(2)/25))/(LN(2)/25)*Calculateur!V104*Calculateur!X104*VLOOKUP('Données projet'!$B$9,Paramètres!$A$1:$I$89,3,0)*0.475*44/12</f>
        <v>7.2129290452308155</v>
      </c>
      <c r="AB104" s="23">
        <f>EXP(-LN(2)/2)*AB103+(1-EXP(-LN(2)/2))/(LN(2)/2)*V104*Y104*VLOOKUP('Données projet'!$B$9,Paramètres!$A$1:$I$89,3,0)*0.475*44/12</f>
        <v>3.6692774775795834E-9</v>
      </c>
      <c r="AC104" s="24">
        <f t="shared" si="57"/>
        <v>21.661116193390033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286.40000000000009</v>
      </c>
      <c r="AJ104" s="14">
        <f>AI104*VLOOKUP('Données projet'!$B$10,Paramètres!$A$1:$I$89,3,0)*VLOOKUP('Données projet'!$B$10,Paramètres!$A$1:$I$89,5,0)</f>
        <v>299.34528000000012</v>
      </c>
      <c r="AK104" s="14">
        <f t="shared" si="89"/>
        <v>71.039191567972296</v>
      </c>
      <c r="AL104" s="22">
        <f t="shared" si="58"/>
        <v>645.08628798088523</v>
      </c>
      <c r="AM104" s="62">
        <f t="shared" si="59"/>
        <v>938.4196213142186</v>
      </c>
      <c r="AN104" s="62">
        <f ca="1">AVERAGE(OFFSET($AM$3,0,0,'Données projet'!$E$10+1,1))-AVERAGE(OFFSET($H$3,0,0,'Données projet'!$E$10+1,1))</f>
        <v>320.63267332485663</v>
      </c>
      <c r="AO104" s="62">
        <f t="shared" si="90"/>
        <v>201.96012789473809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0.43542861954944539</v>
      </c>
      <c r="AW104" s="23">
        <f>EXP(-LN(2)/2)*AW103+(1-EXP(-LN(2)/2))/(LN(2)/2)*AQ104*AT104*VLOOKUP('Données projet'!$B$10,Paramètres!$A$1:$I$89,3,0)*0.475*44/12</f>
        <v>2.9833635745108455E-10</v>
      </c>
      <c r="AX104" s="23">
        <f t="shared" si="60"/>
        <v>0.43542861984778175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286.40000000000009</v>
      </c>
      <c r="BE104" s="14">
        <f>BD104*VLOOKUP('Données projet'!$B$11,Paramètres!$A$1:$I$89,3,0)*VLOOKUP('Données projet'!$B$11,Paramètres!$A$1:$I$89,5,0)</f>
        <v>259.13472000000007</v>
      </c>
      <c r="BF104" s="14">
        <f t="shared" si="91"/>
        <v>62.537899457959263</v>
      </c>
      <c r="BG104" s="22">
        <f t="shared" si="61"/>
        <v>560.24647888927916</v>
      </c>
      <c r="BH104" s="62">
        <f t="shared" si="62"/>
        <v>853.57981222261242</v>
      </c>
      <c r="BI104" s="62">
        <f ca="1">AVERAGE(OFFSET($BH$3,0,0,'Données projet'!$E$11+1,1))-AVERAGE(OFFSET($H$3,0,0,'Données projet'!$E$11+1,1))</f>
        <v>267.00333505765792</v>
      </c>
      <c r="BJ104" s="62">
        <f t="shared" si="92"/>
        <v>172.25613380618557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0.37693820796817651</v>
      </c>
      <c r="BR104" s="23">
        <f>EXP(-LN(2)/2)*BR103+(1-EXP(-LN(2)/2))/(LN(2)/2)*BL104*BO104*VLOOKUP('Données projet'!$B$11,Paramètres!$A$1:$I$89,3,0)*0.475*44/12</f>
        <v>2.582613243606399E-10</v>
      </c>
      <c r="BS104" s="24">
        <f t="shared" si="63"/>
        <v>0.37693820822643781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286.40000000000009</v>
      </c>
      <c r="BZ104" s="14">
        <f>BY104*VLOOKUP('Données projet'!$B$12,Paramètres!$A$1:$I$89,3,0)*VLOOKUP('Données projet'!$B$12,Paramètres!$A$1:$I$89,5,0)</f>
        <v>290.40960000000007</v>
      </c>
      <c r="CA104" s="14">
        <f t="shared" si="93"/>
        <v>69.16216135532882</v>
      </c>
      <c r="CB104" s="22">
        <f t="shared" si="64"/>
        <v>626.25415102719774</v>
      </c>
      <c r="CC104" s="62">
        <f t="shared" si="65"/>
        <v>919.58748436053111</v>
      </c>
      <c r="CD104" s="62">
        <f ca="1">AVERAGE(OFFSET($CC$3,0,0,'Données projet'!$E$12+1,1))-AVERAGE(OFFSET($H$3,0,0,'Données projet'!$E$12+1,1))</f>
        <v>308.72872453744998</v>
      </c>
      <c r="CE104" s="62">
        <f t="shared" si="94"/>
        <v>195.3674411454258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0.42243075030916361</v>
      </c>
      <c r="CM104" s="23">
        <f>EXP(-LN(2)/2)*CM103+(1-EXP(-LN(2)/2))/(LN(2)/2)*CG104*CJ104*VLOOKUP('Données projet'!$B$12,Paramètres!$A$1:$I$89,3,0)*0.475*44/12</f>
        <v>2.8943079454209647E-10</v>
      </c>
      <c r="CN104" s="24">
        <f t="shared" si="66"/>
        <v>0.42243075059859442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160.24926890971085</v>
      </c>
      <c r="T105" s="62">
        <f t="shared" si="88"/>
        <v>323.52368436151721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14.164867007110486</v>
      </c>
      <c r="AA105" s="23">
        <f>EXP(-LN(2)/25)*AA104+(1-EXP(-LN(2)/25))/(LN(2)/25)*Calculateur!V105*Calculateur!X105*VLOOKUP('Données projet'!$B$9,Paramètres!$A$1:$I$89,3,0)*0.475*44/12</f>
        <v>7.0156911211775261</v>
      </c>
      <c r="AB105" s="23">
        <f>EXP(-LN(2)/2)*AB104+(1-EXP(-LN(2)/2))/(LN(2)/2)*V105*Y105*VLOOKUP('Données projet'!$B$9,Paramètres!$A$1:$I$89,3,0)*0.475*44/12</f>
        <v>2.5945709864515938E-9</v>
      </c>
      <c r="AC105" s="24">
        <f t="shared" si="57"/>
        <v>21.180558130882584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290.80000000000007</v>
      </c>
      <c r="AJ105" s="14">
        <f>AI105*VLOOKUP('Données projet'!$B$10,Paramètres!$A$1:$I$89,3,0)*VLOOKUP('Données projet'!$B$10,Paramètres!$A$1:$I$89,5,0)</f>
        <v>303.94416000000012</v>
      </c>
      <c r="AK105" s="14">
        <f t="shared" si="89"/>
        <v>72.00268130616179</v>
      </c>
      <c r="AL105" s="22">
        <f t="shared" si="58"/>
        <v>654.77408194156533</v>
      </c>
      <c r="AM105" s="62">
        <f t="shared" si="59"/>
        <v>948.10741527489859</v>
      </c>
      <c r="AN105" s="62">
        <f ca="1">AVERAGE(OFFSET($AM$3,0,0,'Données projet'!$E$10+1,1))-AVERAGE(OFFSET($H$3,0,0,'Données projet'!$E$10+1,1))</f>
        <v>320.63267332485663</v>
      </c>
      <c r="AO105" s="62">
        <f t="shared" si="90"/>
        <v>201.96012789473809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0.42352180104966991</v>
      </c>
      <c r="AW105" s="23">
        <f>EXP(-LN(2)/2)*AW104+(1-EXP(-LN(2)/2))/(LN(2)/2)*AQ105*AT105*VLOOKUP('Données projet'!$B$10,Paramètres!$A$1:$I$89,3,0)*0.475*44/12</f>
        <v>2.1095566142815567E-10</v>
      </c>
      <c r="AX105" s="23">
        <f t="shared" si="60"/>
        <v>0.42352180126062555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290.80000000000007</v>
      </c>
      <c r="BE105" s="14">
        <f>BD105*VLOOKUP('Données projet'!$B$11,Paramètres!$A$1:$I$89,3,0)*VLOOKUP('Données projet'!$B$11,Paramètres!$A$1:$I$89,5,0)</f>
        <v>263.11584000000005</v>
      </c>
      <c r="BF105" s="14">
        <f t="shared" si="91"/>
        <v>63.386087944423444</v>
      </c>
      <c r="BG105" s="22">
        <f t="shared" si="61"/>
        <v>568.65752450320417</v>
      </c>
      <c r="BH105" s="62">
        <f t="shared" si="62"/>
        <v>861.99085783653754</v>
      </c>
      <c r="BI105" s="62">
        <f ca="1">AVERAGE(OFFSET($BH$3,0,0,'Données projet'!$E$11+1,1))-AVERAGE(OFFSET($H$3,0,0,'Données projet'!$E$11+1,1))</f>
        <v>267.00333505765792</v>
      </c>
      <c r="BJ105" s="62">
        <f t="shared" si="92"/>
        <v>172.25613380618557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0.36663081284896787</v>
      </c>
      <c r="BR105" s="23">
        <f>EXP(-LN(2)/2)*BR104+(1-EXP(-LN(2)/2))/(LN(2)/2)*BL105*BO105*VLOOKUP('Données projet'!$B$11,Paramètres!$A$1:$I$89,3,0)*0.475*44/12</f>
        <v>1.8261833377362697E-10</v>
      </c>
      <c r="BS105" s="24">
        <f t="shared" si="63"/>
        <v>0.36663081303158618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290.80000000000007</v>
      </c>
      <c r="BZ105" s="14">
        <f>BY105*VLOOKUP('Données projet'!$B$12,Paramètres!$A$1:$I$89,3,0)*VLOOKUP('Données projet'!$B$12,Paramètres!$A$1:$I$89,5,0)</f>
        <v>294.87120000000004</v>
      </c>
      <c r="CA105" s="14">
        <f t="shared" si="93"/>
        <v>70.100193324247115</v>
      </c>
      <c r="CB105" s="22">
        <f t="shared" si="64"/>
        <v>635.65851003973046</v>
      </c>
      <c r="CC105" s="62">
        <f t="shared" si="65"/>
        <v>928.99184337306383</v>
      </c>
      <c r="CD105" s="62">
        <f ca="1">AVERAGE(OFFSET($CC$3,0,0,'Données projet'!$E$12+1,1))-AVERAGE(OFFSET($H$3,0,0,'Données projet'!$E$12+1,1))</f>
        <v>308.72872453744998</v>
      </c>
      <c r="CE105" s="62">
        <f t="shared" si="94"/>
        <v>195.3674411454258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0.41087935922729185</v>
      </c>
      <c r="CM105" s="23">
        <f>EXP(-LN(2)/2)*CM104+(1-EXP(-LN(2)/2))/(LN(2)/2)*CG105*CJ105*VLOOKUP('Données projet'!$B$12,Paramètres!$A$1:$I$89,3,0)*0.475*44/12</f>
        <v>2.046584775049268E-10</v>
      </c>
      <c r="CN105" s="24">
        <f t="shared" si="66"/>
        <v>0.41087935943195031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160.24926890971085</v>
      </c>
      <c r="T106" s="62">
        <f t="shared" si="88"/>
        <v>323.52368436151721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13.887102604816823</v>
      </c>
      <c r="AA106" s="23">
        <f>EXP(-LN(2)/25)*AA105+(1-EXP(-LN(2)/25))/(LN(2)/25)*Calculateur!V106*Calculateur!X106*VLOOKUP('Données projet'!$B$9,Paramètres!$A$1:$I$89,3,0)*0.475*44/12</f>
        <v>6.8238466785297653</v>
      </c>
      <c r="AB106" s="23">
        <f>EXP(-LN(2)/2)*AB105+(1-EXP(-LN(2)/2))/(LN(2)/2)*V106*Y106*VLOOKUP('Données projet'!$B$9,Paramètres!$A$1:$I$89,3,0)*0.475*44/12</f>
        <v>1.8346387387897921E-9</v>
      </c>
      <c r="AC106" s="24">
        <f t="shared" si="57"/>
        <v>20.710949285181226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295.20000000000005</v>
      </c>
      <c r="AJ106" s="14">
        <f>AI106*VLOOKUP('Données projet'!$B$10,Paramètres!$A$1:$I$89,3,0)*VLOOKUP('Données projet'!$B$10,Paramètres!$A$1:$I$89,5,0)</f>
        <v>308.54304000000008</v>
      </c>
      <c r="AK106" s="14">
        <f t="shared" si="89"/>
        <v>72.964475561179654</v>
      </c>
      <c r="AL106" s="22">
        <f t="shared" si="58"/>
        <v>664.45892293572126</v>
      </c>
      <c r="AM106" s="62">
        <f t="shared" si="59"/>
        <v>957.79225626905463</v>
      </c>
      <c r="AN106" s="62">
        <f ca="1">AVERAGE(OFFSET($AM$3,0,0,'Données projet'!$E$10+1,1))-AVERAGE(OFFSET($H$3,0,0,'Données projet'!$E$10+1,1))</f>
        <v>320.63267332485663</v>
      </c>
      <c r="AO106" s="62">
        <f t="shared" si="90"/>
        <v>201.96012789473809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0.41194057512792315</v>
      </c>
      <c r="AW106" s="23">
        <f>EXP(-LN(2)/2)*AW105+(1-EXP(-LN(2)/2))/(LN(2)/2)*AQ106*AT106*VLOOKUP('Données projet'!$B$10,Paramètres!$A$1:$I$89,3,0)*0.475*44/12</f>
        <v>1.4916817872554228E-10</v>
      </c>
      <c r="AX106" s="23">
        <f t="shared" si="60"/>
        <v>0.41194057527709133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295.20000000000005</v>
      </c>
      <c r="BE106" s="14">
        <f>BD106*VLOOKUP('Données projet'!$B$11,Paramètres!$A$1:$I$89,3,0)*VLOOKUP('Données projet'!$B$11,Paramètres!$A$1:$I$89,5,0)</f>
        <v>267.09696000000002</v>
      </c>
      <c r="BF106" s="14">
        <f t="shared" si="91"/>
        <v>64.232783846951989</v>
      </c>
      <c r="BG106" s="22">
        <f t="shared" si="61"/>
        <v>577.06597053344137</v>
      </c>
      <c r="BH106" s="62">
        <f t="shared" si="62"/>
        <v>870.39930386677474</v>
      </c>
      <c r="BI106" s="62">
        <f ca="1">AVERAGE(OFFSET($BH$3,0,0,'Données projet'!$E$11+1,1))-AVERAGE(OFFSET($H$3,0,0,'Données projet'!$E$11+1,1))</f>
        <v>267.00333505765792</v>
      </c>
      <c r="BJ106" s="62">
        <f t="shared" si="92"/>
        <v>172.25613380618557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0.35660527399133635</v>
      </c>
      <c r="BR106" s="23">
        <f>EXP(-LN(2)/2)*BR105+(1-EXP(-LN(2)/2))/(LN(2)/2)*BL106*BO106*VLOOKUP('Données projet'!$B$11,Paramètres!$A$1:$I$89,3,0)*0.475*44/12</f>
        <v>1.2913066218031995E-10</v>
      </c>
      <c r="BS106" s="24">
        <f t="shared" si="63"/>
        <v>0.356605274120467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295.20000000000005</v>
      </c>
      <c r="BZ106" s="14">
        <f>BY106*VLOOKUP('Données projet'!$B$12,Paramètres!$A$1:$I$89,3,0)*VLOOKUP('Données projet'!$B$12,Paramètres!$A$1:$I$89,5,0)</f>
        <v>299.33280000000002</v>
      </c>
      <c r="CA106" s="14">
        <f t="shared" si="93"/>
        <v>71.03657460883025</v>
      </c>
      <c r="CB106" s="22">
        <f t="shared" si="64"/>
        <v>645.05999411037931</v>
      </c>
      <c r="CC106" s="62">
        <f t="shared" si="65"/>
        <v>938.39332744371268</v>
      </c>
      <c r="CD106" s="62">
        <f ca="1">AVERAGE(OFFSET($CC$3,0,0,'Données projet'!$E$12+1,1))-AVERAGE(OFFSET($H$3,0,0,'Données projet'!$E$12+1,1))</f>
        <v>308.72872453744998</v>
      </c>
      <c r="CE106" s="62">
        <f t="shared" si="94"/>
        <v>195.3674411454258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0.39964384154201515</v>
      </c>
      <c r="CM106" s="23">
        <f>EXP(-LN(2)/2)*CM105+(1-EXP(-LN(2)/2))/(LN(2)/2)*CG106*CJ106*VLOOKUP('Données projet'!$B$12,Paramètres!$A$1:$I$89,3,0)*0.475*44/12</f>
        <v>1.4471539727104823E-10</v>
      </c>
      <c r="CN106" s="24">
        <f t="shared" si="66"/>
        <v>0.39964384168673056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160.24926890971085</v>
      </c>
      <c r="T107" s="62">
        <f t="shared" si="88"/>
        <v>323.52368436151721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13.614784993032581</v>
      </c>
      <c r="AA107" s="23">
        <f>EXP(-LN(2)/25)*AA106+(1-EXP(-LN(2)/25))/(LN(2)/25)*Calculateur!V107*Calculateur!X107*VLOOKUP('Données projet'!$B$9,Paramètres!$A$1:$I$89,3,0)*0.475*44/12</f>
        <v>6.6372482322548683</v>
      </c>
      <c r="AB107" s="23">
        <f>EXP(-LN(2)/2)*AB106+(1-EXP(-LN(2)/2))/(LN(2)/2)*V107*Y107*VLOOKUP('Données projet'!$B$9,Paramètres!$A$1:$I$89,3,0)*0.475*44/12</f>
        <v>1.2972854932257971E-9</v>
      </c>
      <c r="AC107" s="24">
        <f t="shared" si="57"/>
        <v>20.252033226584732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299.60000000000002</v>
      </c>
      <c r="AJ107" s="14">
        <f>AI107*VLOOKUP('Données projet'!$B$10,Paramètres!$A$1:$I$89,3,0)*VLOOKUP('Données projet'!$B$10,Paramètres!$A$1:$I$89,5,0)</f>
        <v>313.14192000000003</v>
      </c>
      <c r="AK107" s="14">
        <f t="shared" si="89"/>
        <v>73.924602523691163</v>
      </c>
      <c r="AL107" s="22">
        <f t="shared" si="58"/>
        <v>674.1408600620955</v>
      </c>
      <c r="AM107" s="62">
        <f t="shared" si="59"/>
        <v>967.47419339542876</v>
      </c>
      <c r="AN107" s="62">
        <f ca="1">AVERAGE(OFFSET($AM$3,0,0,'Données projet'!$E$10+1,1))-AVERAGE(OFFSET($H$3,0,0,'Données projet'!$E$10+1,1))</f>
        <v>320.63267332485663</v>
      </c>
      <c r="AO107" s="62">
        <f t="shared" si="90"/>
        <v>201.96012789473809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0.40067603843803673</v>
      </c>
      <c r="AW107" s="23">
        <f>EXP(-LN(2)/2)*AW106+(1-EXP(-LN(2)/2))/(LN(2)/2)*AQ107*AT107*VLOOKUP('Données projet'!$B$10,Paramètres!$A$1:$I$89,3,0)*0.475*44/12</f>
        <v>1.0547783071407784E-10</v>
      </c>
      <c r="AX107" s="23">
        <f t="shared" si="60"/>
        <v>0.40067603854351458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299.60000000000002</v>
      </c>
      <c r="BE107" s="14">
        <f>BD107*VLOOKUP('Données projet'!$B$11,Paramètres!$A$1:$I$89,3,0)*VLOOKUP('Données projet'!$B$11,Paramètres!$A$1:$I$89,5,0)</f>
        <v>271.07808</v>
      </c>
      <c r="BF107" s="14">
        <f t="shared" si="91"/>
        <v>65.078011982620964</v>
      </c>
      <c r="BG107" s="22">
        <f t="shared" si="61"/>
        <v>585.47186020306481</v>
      </c>
      <c r="BH107" s="62">
        <f t="shared" si="62"/>
        <v>878.80519353639806</v>
      </c>
      <c r="BI107" s="62">
        <f ca="1">AVERAGE(OFFSET($BH$3,0,0,'Données projet'!$E$11+1,1))-AVERAGE(OFFSET($H$3,0,0,'Données projet'!$E$11+1,1))</f>
        <v>267.00333505765792</v>
      </c>
      <c r="BJ107" s="62">
        <f t="shared" si="92"/>
        <v>172.25613380618557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0.34685388402098694</v>
      </c>
      <c r="BR107" s="23">
        <f>EXP(-LN(2)/2)*BR106+(1-EXP(-LN(2)/2))/(LN(2)/2)*BL107*BO107*VLOOKUP('Données projet'!$B$11,Paramètres!$A$1:$I$89,3,0)*0.475*44/12</f>
        <v>9.1309166886813487E-11</v>
      </c>
      <c r="BS107" s="24">
        <f t="shared" si="63"/>
        <v>0.34685388411229612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299.60000000000002</v>
      </c>
      <c r="BZ107" s="14">
        <f>BY107*VLOOKUP('Données projet'!$B$12,Paramètres!$A$1:$I$89,3,0)*VLOOKUP('Données projet'!$B$12,Paramètres!$A$1:$I$89,5,0)</f>
        <v>303.79440000000005</v>
      </c>
      <c r="CA107" s="14">
        <f t="shared" si="93"/>
        <v>71.971332654877173</v>
      </c>
      <c r="CB107" s="22">
        <f t="shared" si="64"/>
        <v>654.45865104057782</v>
      </c>
      <c r="CC107" s="62">
        <f t="shared" si="65"/>
        <v>947.79198437391119</v>
      </c>
      <c r="CD107" s="62">
        <f ca="1">AVERAGE(OFFSET($CC$3,0,0,'Données projet'!$E$12+1,1))-AVERAGE(OFFSET($H$3,0,0,'Données projet'!$E$12+1,1))</f>
        <v>308.72872453744998</v>
      </c>
      <c r="CE107" s="62">
        <f t="shared" si="94"/>
        <v>195.3674411454258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0.38871555967869253</v>
      </c>
      <c r="CM107" s="23">
        <f>EXP(-LN(2)/2)*CM106+(1-EXP(-LN(2)/2))/(LN(2)/2)*CG107*CJ107*VLOOKUP('Données projet'!$B$12,Paramètres!$A$1:$I$89,3,0)*0.475*44/12</f>
        <v>1.023292387524634E-10</v>
      </c>
      <c r="CN107" s="24">
        <f t="shared" si="66"/>
        <v>0.38871555978102179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160.24926890971085</v>
      </c>
      <c r="T108" s="62">
        <f t="shared" si="88"/>
        <v>323.52368436151721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13.347807363518086</v>
      </c>
      <c r="AA108" s="23">
        <f>EXP(-LN(2)/25)*AA107+(1-EXP(-LN(2)/25))/(LN(2)/25)*Calculateur!V108*Calculateur!X108*VLOOKUP('Données projet'!$B$9,Paramètres!$A$1:$I$89,3,0)*0.475*44/12</f>
        <v>6.4557523303061437</v>
      </c>
      <c r="AB108" s="23">
        <f>EXP(-LN(2)/2)*AB107+(1-EXP(-LN(2)/2))/(LN(2)/2)*V108*Y108*VLOOKUP('Données projet'!$B$9,Paramètres!$A$1:$I$89,3,0)*0.475*44/12</f>
        <v>9.1731936939489616E-10</v>
      </c>
      <c r="AC108" s="24">
        <f t="shared" si="57"/>
        <v>19.803559694741548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304</v>
      </c>
      <c r="AG108" s="13">
        <f>VLOOKUP(A108,'Données projet'!$A$61:$I$81,9,0)</f>
        <v>4.4000000000000004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304</v>
      </c>
      <c r="AJ108" s="14">
        <f>AI108*VLOOKUP('Données projet'!$B$10,Paramètres!$A$1:$I$89,3,0)*VLOOKUP('Données projet'!$B$10,Paramètres!$A$1:$I$89,5,0)</f>
        <v>317.74080000000004</v>
      </c>
      <c r="AK108" s="14">
        <f t="shared" si="89"/>
        <v>74.883089508794825</v>
      </c>
      <c r="AL108" s="22">
        <f t="shared" si="58"/>
        <v>683.81994089448426</v>
      </c>
      <c r="AM108" s="62">
        <f t="shared" si="59"/>
        <v>977.15327422781752</v>
      </c>
      <c r="AN108" s="62">
        <f ca="1">AVERAGE(OFFSET($AM$3,0,0,'Données projet'!$E$10+1,1))-AVERAGE(OFFSET($H$3,0,0,'Données projet'!$E$10+1,1))</f>
        <v>320.63267332485663</v>
      </c>
      <c r="AO108" s="62">
        <f t="shared" si="90"/>
        <v>201.96012789473809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0.38971953109631152</v>
      </c>
      <c r="AW108" s="23">
        <f>EXP(-LN(2)/2)*AW107+(1-EXP(-LN(2)/2))/(LN(2)/2)*AQ108*AT108*VLOOKUP('Données projet'!$B$10,Paramètres!$A$1:$I$89,3,0)*0.475*44/12</f>
        <v>7.4584089362771138E-11</v>
      </c>
      <c r="AX108" s="23">
        <f t="shared" si="60"/>
        <v>0.38971953117089564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304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304</v>
      </c>
      <c r="BE108" s="14">
        <f>BD108*VLOOKUP('Données projet'!$B$11,Paramètres!$A$1:$I$89,3,0)*VLOOKUP('Données projet'!$B$11,Paramètres!$A$1:$I$89,5,0)</f>
        <v>275.05919999999998</v>
      </c>
      <c r="BF108" s="14">
        <f t="shared" si="91"/>
        <v>65.921796397718381</v>
      </c>
      <c r="BG108" s="22">
        <f t="shared" si="61"/>
        <v>593.87523539269284</v>
      </c>
      <c r="BH108" s="62">
        <f t="shared" si="62"/>
        <v>887.20856872602621</v>
      </c>
      <c r="BI108" s="62">
        <f ca="1">AVERAGE(OFFSET($BH$3,0,0,'Données projet'!$E$11+1,1))-AVERAGE(OFFSET($H$3,0,0,'Données projet'!$E$11+1,1))</f>
        <v>267.00333505765792</v>
      </c>
      <c r="BJ108" s="62">
        <f t="shared" si="92"/>
        <v>172.25613380618557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0.33736914632218001</v>
      </c>
      <c r="BR108" s="23">
        <f>EXP(-LN(2)/2)*BR107+(1-EXP(-LN(2)/2))/(LN(2)/2)*BL108*BO108*VLOOKUP('Données projet'!$B$11,Paramètres!$A$1:$I$89,3,0)*0.475*44/12</f>
        <v>6.4565331090159975E-11</v>
      </c>
      <c r="BS108" s="24">
        <f t="shared" si="63"/>
        <v>0.33736914638674537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304</v>
      </c>
      <c r="BW108" s="13">
        <f>VLOOKUP(A108,'Données projet'!$A$113:$I$133,9,0)</f>
        <v>4.4000000000000004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304</v>
      </c>
      <c r="BZ108" s="14">
        <f>BY108*VLOOKUP('Données projet'!$B$12,Paramètres!$A$1:$I$89,3,0)*VLOOKUP('Données projet'!$B$12,Paramètres!$A$1:$I$89,5,0)</f>
        <v>308.25600000000003</v>
      </c>
      <c r="CA108" s="14">
        <f t="shared" si="93"/>
        <v>72.904494055753943</v>
      </c>
      <c r="CB108" s="22">
        <f t="shared" si="64"/>
        <v>663.85452714710493</v>
      </c>
      <c r="CC108" s="62">
        <f t="shared" si="65"/>
        <v>957.1878604804383</v>
      </c>
      <c r="CD108" s="62">
        <f ca="1">AVERAGE(OFFSET($CC$3,0,0,'Données projet'!$E$12+1,1))-AVERAGE(OFFSET($H$3,0,0,'Données projet'!$E$12+1,1))</f>
        <v>308.72872453744998</v>
      </c>
      <c r="CE108" s="62">
        <f t="shared" si="94"/>
        <v>195.3674411454258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20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0.37808611225761585</v>
      </c>
      <c r="CM108" s="23">
        <f>EXP(-LN(2)/2)*CM107+(1-EXP(-LN(2)/2))/(LN(2)/2)*CG108*CJ108*VLOOKUP('Données projet'!$B$12,Paramètres!$A$1:$I$89,3,0)*0.475*44/12</f>
        <v>7.2357698635524117E-11</v>
      </c>
      <c r="CN108" s="24">
        <f t="shared" si="66"/>
        <v>0.37808611232997352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160.24926890971085</v>
      </c>
      <c r="T109" s="62">
        <f t="shared" si="88"/>
        <v>323.52368436151721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13.086065002478096</v>
      </c>
      <c r="AA109" s="23">
        <f>EXP(-LN(2)/25)*AA108+(1-EXP(-LN(2)/25))/(LN(2)/25)*Calculateur!V109*Calculateur!X109*VLOOKUP('Données projet'!$B$9,Paramètres!$A$1:$I$89,3,0)*0.475*44/12</f>
        <v>6.2792194433406623</v>
      </c>
      <c r="AB109" s="23">
        <f>EXP(-LN(2)/2)*AB108+(1-EXP(-LN(2)/2))/(LN(2)/2)*V109*Y109*VLOOKUP('Données projet'!$B$9,Paramètres!$A$1:$I$89,3,0)*0.475*44/12</f>
        <v>6.4864274661289866E-10</v>
      </c>
      <c r="AC109" s="24">
        <f t="shared" si="57"/>
        <v>19.365284446467403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288.2</v>
      </c>
      <c r="AJ109" s="14">
        <f>AI109*VLOOKUP('Données projet'!$B$10,Paramètres!$A$1:$I$89,3,0)*VLOOKUP('Données projet'!$B$10,Paramètres!$A$1:$I$89,5,0)</f>
        <v>301.22663999999997</v>
      </c>
      <c r="AK109" s="14">
        <f t="shared" si="89"/>
        <v>71.433553234643639</v>
      </c>
      <c r="AL109" s="22">
        <f t="shared" si="58"/>
        <v>649.04983655033755</v>
      </c>
      <c r="AM109" s="62">
        <f t="shared" si="59"/>
        <v>942.38316988367092</v>
      </c>
      <c r="AN109" s="62">
        <f ca="1">AVERAGE(OFFSET($AM$3,0,0,'Données projet'!$E$10+1,1))-AVERAGE(OFFSET($H$3,0,0,'Données projet'!$E$10+1,1))</f>
        <v>320.63267332485663</v>
      </c>
      <c r="AO109" s="62">
        <f t="shared" si="90"/>
        <v>201.96012789473809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0.37906263002402346</v>
      </c>
      <c r="AW109" s="23">
        <f>EXP(-LN(2)/2)*AW108+(1-EXP(-LN(2)/2))/(LN(2)/2)*AQ109*AT109*VLOOKUP('Données projet'!$B$10,Paramètres!$A$1:$I$89,3,0)*0.475*44/12</f>
        <v>5.2738915357038919E-11</v>
      </c>
      <c r="AX109" s="23">
        <f t="shared" si="60"/>
        <v>0.37906263007676239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288.2</v>
      </c>
      <c r="BE109" s="14">
        <f>BD109*VLOOKUP('Données projet'!$B$11,Paramètres!$A$1:$I$89,3,0)*VLOOKUP('Données projet'!$B$11,Paramètres!$A$1:$I$89,5,0)</f>
        <v>260.76335999999998</v>
      </c>
      <c r="BF109" s="14">
        <f t="shared" si="91"/>
        <v>62.885067686032009</v>
      </c>
      <c r="BG109" s="22">
        <f t="shared" si="61"/>
        <v>563.68767821983909</v>
      </c>
      <c r="BH109" s="62">
        <f t="shared" si="62"/>
        <v>857.02101155317246</v>
      </c>
      <c r="BI109" s="62">
        <f ca="1">AVERAGE(OFFSET($BH$3,0,0,'Données projet'!$E$11+1,1))-AVERAGE(OFFSET($H$3,0,0,'Données projet'!$E$11+1,1))</f>
        <v>267.00333505765792</v>
      </c>
      <c r="BJ109" s="62">
        <f t="shared" si="92"/>
        <v>172.25613380618557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0.32814376927452765</v>
      </c>
      <c r="BR109" s="23">
        <f>EXP(-LN(2)/2)*BR108+(1-EXP(-LN(2)/2))/(LN(2)/2)*BL109*BO109*VLOOKUP('Données projet'!$B$11,Paramètres!$A$1:$I$89,3,0)*0.475*44/12</f>
        <v>4.5654583443406744E-11</v>
      </c>
      <c r="BS109" s="24">
        <f t="shared" si="63"/>
        <v>0.32814376932018224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4.2</v>
      </c>
      <c r="BY109" s="13">
        <f>IF('Données projet'!$A$114&gt;35,BY108+BX109-CG108,IF(A109&lt;'Données projet'!$A$114,$BV$205^A109,IF(A109='Données projet'!$A$114,'Données projet'!$B$114,BY108+BX109-CG108)))</f>
        <v>288.2</v>
      </c>
      <c r="BZ109" s="14">
        <f>BY109*VLOOKUP('Données projet'!$B$12,Paramètres!$A$1:$I$89,3,0)*VLOOKUP('Données projet'!$B$12,Paramètres!$A$1:$I$89,5,0)</f>
        <v>292.23480000000001</v>
      </c>
      <c r="CA109" s="14">
        <f t="shared" si="93"/>
        <v>69.546103016553758</v>
      </c>
      <c r="CB109" s="22">
        <f t="shared" si="64"/>
        <v>630.10173942049789</v>
      </c>
      <c r="CC109" s="62">
        <f t="shared" si="65"/>
        <v>923.43507275383126</v>
      </c>
      <c r="CD109" s="62">
        <f ca="1">AVERAGE(OFFSET($CC$3,0,0,'Données projet'!$E$12+1,1))-AVERAGE(OFFSET($H$3,0,0,'Données projet'!$E$12+1,1))</f>
        <v>308.72872453744998</v>
      </c>
      <c r="CE109" s="62">
        <f t="shared" si="94"/>
        <v>195.3674411454258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0.36774732763524681</v>
      </c>
      <c r="CM109" s="23">
        <f>EXP(-LN(2)/2)*CM108+(1-EXP(-LN(2)/2))/(LN(2)/2)*CG109*CJ109*VLOOKUP('Données projet'!$B$12,Paramètres!$A$1:$I$89,3,0)*0.475*44/12</f>
        <v>5.11646193762317E-11</v>
      </c>
      <c r="CN109" s="24">
        <f t="shared" si="66"/>
        <v>0.36774732768641144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160.24926890971085</v>
      </c>
      <c r="T110" s="62">
        <f t="shared" si="88"/>
        <v>323.52368436151721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12.829455249491023</v>
      </c>
      <c r="AA110" s="23">
        <f>EXP(-LN(2)/25)*AA109+(1-EXP(-LN(2)/25))/(LN(2)/25)*Calculateur!V110*Calculateur!X110*VLOOKUP('Données projet'!$B$9,Paramètres!$A$1:$I$89,3,0)*0.475*44/12</f>
        <v>6.1075138574527124</v>
      </c>
      <c r="AB110" s="23">
        <f>EXP(-LN(2)/2)*AB109+(1-EXP(-LN(2)/2))/(LN(2)/2)*V110*Y110*VLOOKUP('Données projet'!$B$9,Paramètres!$A$1:$I$89,3,0)*0.475*44/12</f>
        <v>4.5865968469744813E-10</v>
      </c>
      <c r="AC110" s="24">
        <f t="shared" si="57"/>
        <v>18.936969107402394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292.39999999999998</v>
      </c>
      <c r="AJ110" s="14">
        <f>AI110*VLOOKUP('Données projet'!$B$10,Paramètres!$A$1:$I$89,3,0)*VLOOKUP('Données projet'!$B$10,Paramètres!$A$1:$I$89,5,0)</f>
        <v>305.61647999999997</v>
      </c>
      <c r="AK110" s="14">
        <f t="shared" si="89"/>
        <v>72.35261934132275</v>
      </c>
      <c r="AL110" s="22">
        <f t="shared" si="58"/>
        <v>658.29618135280373</v>
      </c>
      <c r="AM110" s="62">
        <f t="shared" si="59"/>
        <v>951.6295146861371</v>
      </c>
      <c r="AN110" s="62">
        <f ca="1">AVERAGE(OFFSET($AM$3,0,0,'Données projet'!$E$10+1,1))-AVERAGE(OFFSET($H$3,0,0,'Données projet'!$E$10+1,1))</f>
        <v>320.63267332485663</v>
      </c>
      <c r="AO110" s="62">
        <f t="shared" si="90"/>
        <v>201.96012789473809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0.36869714247197921</v>
      </c>
      <c r="AW110" s="23">
        <f>EXP(-LN(2)/2)*AW109+(1-EXP(-LN(2)/2))/(LN(2)/2)*AQ110*AT110*VLOOKUP('Données projet'!$B$10,Paramètres!$A$1:$I$89,3,0)*0.475*44/12</f>
        <v>3.7292044681385569E-11</v>
      </c>
      <c r="AX110" s="23">
        <f t="shared" si="60"/>
        <v>0.36869714250927127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292.39999999999998</v>
      </c>
      <c r="BE110" s="14">
        <f>BD110*VLOOKUP('Données projet'!$B$11,Paramètres!$A$1:$I$89,3,0)*VLOOKUP('Données projet'!$B$11,Paramètres!$A$1:$I$89,5,0)</f>
        <v>264.56351999999998</v>
      </c>
      <c r="BF110" s="14">
        <f t="shared" si="91"/>
        <v>63.694148737013862</v>
      </c>
      <c r="BG110" s="22">
        <f t="shared" si="61"/>
        <v>571.71543971696565</v>
      </c>
      <c r="BH110" s="62">
        <f t="shared" si="62"/>
        <v>865.04877305029891</v>
      </c>
      <c r="BI110" s="62">
        <f ca="1">AVERAGE(OFFSET($BH$3,0,0,'Données projet'!$E$11+1,1))-AVERAGE(OFFSET($H$3,0,0,'Données projet'!$E$11+1,1))</f>
        <v>267.00333505765792</v>
      </c>
      <c r="BJ110" s="62">
        <f t="shared" si="92"/>
        <v>172.25613380618557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0.31917066064738486</v>
      </c>
      <c r="BR110" s="23">
        <f>EXP(-LN(2)/2)*BR109+(1-EXP(-LN(2)/2))/(LN(2)/2)*BL110*BO110*VLOOKUP('Données projet'!$B$11,Paramètres!$A$1:$I$89,3,0)*0.475*44/12</f>
        <v>3.2282665545079988E-11</v>
      </c>
      <c r="BS110" s="24">
        <f t="shared" si="63"/>
        <v>0.31917066067966754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4.2</v>
      </c>
      <c r="BY110" s="13">
        <f>IF('Données projet'!$A$114&gt;35,BY109+BX110-CG109,IF(A110&lt;'Données projet'!$A$114,$BV$205^A110,IF(A110='Données projet'!$A$114,'Données projet'!$B$114,BY109+BX110-CG109)))</f>
        <v>292.39999999999998</v>
      </c>
      <c r="BZ110" s="14">
        <f>BY110*VLOOKUP('Données projet'!$B$12,Paramètres!$A$1:$I$89,3,0)*VLOOKUP('Données projet'!$B$12,Paramètres!$A$1:$I$89,5,0)</f>
        <v>296.49360000000001</v>
      </c>
      <c r="CA110" s="14">
        <f t="shared" si="93"/>
        <v>70.44088513559764</v>
      </c>
      <c r="CB110" s="22">
        <f t="shared" si="64"/>
        <v>639.07756161116583</v>
      </c>
      <c r="CC110" s="62">
        <f t="shared" si="65"/>
        <v>932.4108949444992</v>
      </c>
      <c r="CD110" s="62">
        <f ca="1">AVERAGE(OFFSET($CC$3,0,0,'Données projet'!$E$12+1,1))-AVERAGE(OFFSET($H$3,0,0,'Données projet'!$E$12+1,1))</f>
        <v>308.72872453744998</v>
      </c>
      <c r="CE110" s="62">
        <f t="shared" si="94"/>
        <v>195.3674411454258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0.35769125762206955</v>
      </c>
      <c r="CM110" s="23">
        <f>EXP(-LN(2)/2)*CM109+(1-EXP(-LN(2)/2))/(LN(2)/2)*CG110*CJ110*VLOOKUP('Données projet'!$B$12,Paramètres!$A$1:$I$89,3,0)*0.475*44/12</f>
        <v>3.6178849317762058E-11</v>
      </c>
      <c r="CN110" s="24">
        <f t="shared" si="66"/>
        <v>0.35769125765824838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160.24926890971085</v>
      </c>
      <c r="T111" s="62">
        <f t="shared" si="88"/>
        <v>323.52368436151721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12.577877457243533</v>
      </c>
      <c r="AA111" s="23">
        <f>EXP(-LN(2)/25)*AA110+(1-EXP(-LN(2)/25))/(LN(2)/25)*Calculateur!V111*Calculateur!X111*VLOOKUP('Données projet'!$B$9,Paramètres!$A$1:$I$89,3,0)*0.475*44/12</f>
        <v>5.9405035698404731</v>
      </c>
      <c r="AB111" s="23">
        <f>EXP(-LN(2)/2)*AB110+(1-EXP(-LN(2)/2))/(LN(2)/2)*V111*Y111*VLOOKUP('Données projet'!$B$9,Paramètres!$A$1:$I$89,3,0)*0.475*44/12</f>
        <v>3.2432137330644938E-10</v>
      </c>
      <c r="AC111" s="24">
        <f t="shared" si="57"/>
        <v>18.518381027408324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296.59999999999997</v>
      </c>
      <c r="AJ111" s="14">
        <f>AI111*VLOOKUP('Données projet'!$B$10,Paramètres!$A$1:$I$89,3,0)*VLOOKUP('Données projet'!$B$10,Paramètres!$A$1:$I$89,5,0)</f>
        <v>310.00631999999996</v>
      </c>
      <c r="AK111" s="14">
        <f t="shared" si="89"/>
        <v>73.270150037757688</v>
      </c>
      <c r="AL111" s="22">
        <f t="shared" si="58"/>
        <v>667.53985198242788</v>
      </c>
      <c r="AM111" s="62">
        <f t="shared" si="59"/>
        <v>960.87318531576125</v>
      </c>
      <c r="AN111" s="62">
        <f ca="1">AVERAGE(OFFSET($AM$3,0,0,'Données projet'!$E$10+1,1))-AVERAGE(OFFSET($H$3,0,0,'Données projet'!$E$10+1,1))</f>
        <v>320.63267332485663</v>
      </c>
      <c r="AO111" s="62">
        <f t="shared" si="90"/>
        <v>201.96012789473809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0.35861509972214289</v>
      </c>
      <c r="AW111" s="23">
        <f>EXP(-LN(2)/2)*AW110+(1-EXP(-LN(2)/2))/(LN(2)/2)*AQ111*AT111*VLOOKUP('Données projet'!$B$10,Paramètres!$A$1:$I$89,3,0)*0.475*44/12</f>
        <v>2.6369457678519459E-11</v>
      </c>
      <c r="AX111" s="23">
        <f t="shared" si="60"/>
        <v>0.35861509974851236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296.59999999999997</v>
      </c>
      <c r="BE111" s="14">
        <f>BD111*VLOOKUP('Données projet'!$B$11,Paramètres!$A$1:$I$89,3,0)*VLOOKUP('Données projet'!$B$11,Paramètres!$A$1:$I$89,5,0)</f>
        <v>268.36367999999993</v>
      </c>
      <c r="BF111" s="14">
        <f t="shared" si="91"/>
        <v>64.501878120988167</v>
      </c>
      <c r="BG111" s="22">
        <f t="shared" si="61"/>
        <v>579.74084706072097</v>
      </c>
      <c r="BH111" s="62">
        <f t="shared" si="62"/>
        <v>873.07418039405434</v>
      </c>
      <c r="BI111" s="62">
        <f ca="1">AVERAGE(OFFSET($BH$3,0,0,'Données projet'!$E$11+1,1))-AVERAGE(OFFSET($H$3,0,0,'Données projet'!$E$11+1,1))</f>
        <v>267.00333505765792</v>
      </c>
      <c r="BJ111" s="62">
        <f t="shared" si="92"/>
        <v>172.25613380618557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0.31044292214752656</v>
      </c>
      <c r="BR111" s="23">
        <f>EXP(-LN(2)/2)*BR110+(1-EXP(-LN(2)/2))/(LN(2)/2)*BL111*BO111*VLOOKUP('Données projet'!$B$11,Paramètres!$A$1:$I$89,3,0)*0.475*44/12</f>
        <v>2.2827291721703372E-11</v>
      </c>
      <c r="BS111" s="24">
        <f t="shared" si="63"/>
        <v>0.31044292217035385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4.2</v>
      </c>
      <c r="BY111" s="13">
        <f>IF('Données projet'!$A$114&gt;35,BY110+BX111-CG110,IF(A111&lt;'Données projet'!$A$114,$BV$205^A111,IF(A111='Données projet'!$A$114,'Données projet'!$B$114,BY110+BX111-CG110)))</f>
        <v>296.59999999999997</v>
      </c>
      <c r="BZ111" s="14">
        <f>BY111*VLOOKUP('Données projet'!$B$12,Paramètres!$A$1:$I$89,3,0)*VLOOKUP('Données projet'!$B$12,Paramètres!$A$1:$I$89,5,0)</f>
        <v>300.75240000000002</v>
      </c>
      <c r="CA111" s="14">
        <f t="shared" si="93"/>
        <v>71.334172413713375</v>
      </c>
      <c r="CB111" s="22">
        <f t="shared" si="64"/>
        <v>648.05078028721744</v>
      </c>
      <c r="CC111" s="62">
        <f t="shared" si="65"/>
        <v>941.38411362055081</v>
      </c>
      <c r="CD111" s="62">
        <f ca="1">AVERAGE(OFFSET($CC$3,0,0,'Données projet'!$E$12+1,1))-AVERAGE(OFFSET($H$3,0,0,'Données projet'!$E$12+1,1))</f>
        <v>308.72872453744998</v>
      </c>
      <c r="CE111" s="62">
        <f t="shared" si="94"/>
        <v>195.3674411454258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0.34791017137222835</v>
      </c>
      <c r="CM111" s="23">
        <f>EXP(-LN(2)/2)*CM110+(1-EXP(-LN(2)/2))/(LN(2)/2)*CG111*CJ111*VLOOKUP('Données projet'!$B$12,Paramètres!$A$1:$I$89,3,0)*0.475*44/12</f>
        <v>2.558230968811585E-11</v>
      </c>
      <c r="CN111" s="24">
        <f t="shared" si="66"/>
        <v>0.34791017139781066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160.24926890971085</v>
      </c>
      <c r="T112" s="62">
        <f t="shared" si="88"/>
        <v>323.52368436151721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12.331232952054714</v>
      </c>
      <c r="AA112" s="23">
        <f>EXP(-LN(2)/25)*AA111+(1-EXP(-LN(2)/25))/(LN(2)/25)*Calculateur!V112*Calculateur!X112*VLOOKUP('Données projet'!$B$9,Paramètres!$A$1:$I$89,3,0)*0.475*44/12</f>
        <v>5.7780601873256803</v>
      </c>
      <c r="AB112" s="23">
        <f>EXP(-LN(2)/2)*AB111+(1-EXP(-LN(2)/2))/(LN(2)/2)*V112*Y112*VLOOKUP('Données projet'!$B$9,Paramètres!$A$1:$I$89,3,0)*0.475*44/12</f>
        <v>2.2932984234872412E-10</v>
      </c>
      <c r="AC112" s="24">
        <f t="shared" si="57"/>
        <v>18.109293139609726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300.79999999999995</v>
      </c>
      <c r="AJ112" s="14">
        <f>AI112*VLOOKUP('Données projet'!$B$10,Paramètres!$A$1:$I$89,3,0)*VLOOKUP('Données projet'!$B$10,Paramètres!$A$1:$I$89,5,0)</f>
        <v>314.39615999999995</v>
      </c>
      <c r="AK112" s="14">
        <f t="shared" si="89"/>
        <v>74.186169578527867</v>
      </c>
      <c r="AL112" s="22">
        <f t="shared" si="58"/>
        <v>676.7808906826026</v>
      </c>
      <c r="AM112" s="62">
        <f t="shared" si="59"/>
        <v>970.11422401593586</v>
      </c>
      <c r="AN112" s="62">
        <f ca="1">AVERAGE(OFFSET($AM$3,0,0,'Données projet'!$E$10+1,1))-AVERAGE(OFFSET($H$3,0,0,'Données projet'!$E$10+1,1))</f>
        <v>320.63267332485663</v>
      </c>
      <c r="AO112" s="62">
        <f t="shared" si="90"/>
        <v>201.96012789473809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0.34880875096149244</v>
      </c>
      <c r="AW112" s="23">
        <f>EXP(-LN(2)/2)*AW111+(1-EXP(-LN(2)/2))/(LN(2)/2)*AQ112*AT112*VLOOKUP('Données projet'!$B$10,Paramètres!$A$1:$I$89,3,0)*0.475*44/12</f>
        <v>1.8646022340692785E-11</v>
      </c>
      <c r="AX112" s="23">
        <f t="shared" si="60"/>
        <v>0.34880875098013847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300.79999999999995</v>
      </c>
      <c r="BE112" s="14">
        <f>BD112*VLOOKUP('Données projet'!$B$11,Paramètres!$A$1:$I$89,3,0)*VLOOKUP('Données projet'!$B$11,Paramètres!$A$1:$I$89,5,0)</f>
        <v>272.16383999999994</v>
      </c>
      <c r="BF112" s="14">
        <f t="shared" si="91"/>
        <v>65.308277189978241</v>
      </c>
      <c r="BG112" s="22">
        <f t="shared" si="61"/>
        <v>587.76393743921199</v>
      </c>
      <c r="BH112" s="62">
        <f t="shared" si="62"/>
        <v>881.09727077254524</v>
      </c>
      <c r="BI112" s="62">
        <f ca="1">AVERAGE(OFFSET($BH$3,0,0,'Données projet'!$E$11+1,1))-AVERAGE(OFFSET($H$3,0,0,'Données projet'!$E$11+1,1))</f>
        <v>267.00333505765792</v>
      </c>
      <c r="BJ112" s="62">
        <f t="shared" si="92"/>
        <v>172.25613380618557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0.30195384411591869</v>
      </c>
      <c r="BR112" s="23">
        <f>EXP(-LN(2)/2)*BR111+(1-EXP(-LN(2)/2))/(LN(2)/2)*BL112*BO112*VLOOKUP('Données projet'!$B$11,Paramètres!$A$1:$I$89,3,0)*0.475*44/12</f>
        <v>1.6141332772539994E-11</v>
      </c>
      <c r="BS112" s="24">
        <f t="shared" si="63"/>
        <v>0.30195384413206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4.2</v>
      </c>
      <c r="BY112" s="13">
        <f>IF('Données projet'!$A$114&gt;35,BY111+BX112-CG111,IF(A112&lt;'Données projet'!$A$114,$BV$205^A112,IF(A112='Données projet'!$A$114,'Données projet'!$B$114,BY111+BX112-CG111)))</f>
        <v>300.79999999999995</v>
      </c>
      <c r="BZ112" s="14">
        <f>BY112*VLOOKUP('Données projet'!$B$12,Paramètres!$A$1:$I$89,3,0)*VLOOKUP('Données projet'!$B$12,Paramètres!$A$1:$I$89,5,0)</f>
        <v>305.01119999999997</v>
      </c>
      <c r="CA112" s="14">
        <f t="shared" si="93"/>
        <v>72.2259884646149</v>
      </c>
      <c r="CB112" s="22">
        <f t="shared" si="64"/>
        <v>657.02143657587078</v>
      </c>
      <c r="CC112" s="62">
        <f t="shared" si="65"/>
        <v>950.35476990920415</v>
      </c>
      <c r="CD112" s="62">
        <f ca="1">AVERAGE(OFFSET($CC$3,0,0,'Données projet'!$E$12+1,1))-AVERAGE(OFFSET($H$3,0,0,'Données projet'!$E$12+1,1))</f>
        <v>308.72872453744998</v>
      </c>
      <c r="CE112" s="62">
        <f t="shared" si="94"/>
        <v>195.3674411454258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0.33839654944025399</v>
      </c>
      <c r="CM112" s="23">
        <f>EXP(-LN(2)/2)*CM111+(1-EXP(-LN(2)/2))/(LN(2)/2)*CG112*CJ112*VLOOKUP('Données projet'!$B$12,Paramètres!$A$1:$I$89,3,0)*0.475*44/12</f>
        <v>1.8089424658881029E-11</v>
      </c>
      <c r="CN112" s="24">
        <f t="shared" si="66"/>
        <v>0.33839654945834341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160.24926890971085</v>
      </c>
      <c r="T113" s="62">
        <f t="shared" si="88"/>
        <v>323.52368436151721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12.089424995174355</v>
      </c>
      <c r="AA113" s="23">
        <f>EXP(-LN(2)/25)*AA112+(1-EXP(-LN(2)/25))/(LN(2)/25)*Calculateur!V113*Calculateur!X113*VLOOKUP('Données projet'!$B$9,Paramètres!$A$1:$I$89,3,0)*0.475*44/12</f>
        <v>5.6200588276482799</v>
      </c>
      <c r="AB113" s="23">
        <f>EXP(-LN(2)/2)*AB112+(1-EXP(-LN(2)/2))/(LN(2)/2)*V113*Y113*VLOOKUP('Données projet'!$B$9,Paramètres!$A$1:$I$89,3,0)*0.475*44/12</f>
        <v>1.6216068665322472E-10</v>
      </c>
      <c r="AC113" s="24">
        <f t="shared" si="57"/>
        <v>17.709483822984794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304.99999999999994</v>
      </c>
      <c r="AJ113" s="14">
        <f>AI113*VLOOKUP('Données projet'!$B$10,Paramètres!$A$1:$I$89,3,0)*VLOOKUP('Données projet'!$B$10,Paramètres!$A$1:$I$89,5,0)</f>
        <v>318.78599999999994</v>
      </c>
      <c r="AK113" s="14">
        <f t="shared" si="89"/>
        <v>75.10070150198348</v>
      </c>
      <c r="AL113" s="22">
        <f t="shared" si="58"/>
        <v>686.01933844928772</v>
      </c>
      <c r="AM113" s="62">
        <f t="shared" si="59"/>
        <v>979.35267178262097</v>
      </c>
      <c r="AN113" s="62">
        <f ca="1">AVERAGE(OFFSET($AM$3,0,0,'Données projet'!$E$10+1,1))-AVERAGE(OFFSET($H$3,0,0,'Données projet'!$E$10+1,1))</f>
        <v>320.63267332485663</v>
      </c>
      <c r="AO113" s="62">
        <f t="shared" si="90"/>
        <v>201.96012789473809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0.33927055732339545</v>
      </c>
      <c r="AW113" s="23">
        <f>EXP(-LN(2)/2)*AW112+(1-EXP(-LN(2)/2))/(LN(2)/2)*AQ113*AT113*VLOOKUP('Données projet'!$B$10,Paramètres!$A$1:$I$89,3,0)*0.475*44/12</f>
        <v>1.318472883925973E-11</v>
      </c>
      <c r="AX113" s="23">
        <f t="shared" si="60"/>
        <v>0.33927055733658018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304.99999999999994</v>
      </c>
      <c r="BE113" s="14">
        <f>BD113*VLOOKUP('Données projet'!$B$11,Paramètres!$A$1:$I$89,3,0)*VLOOKUP('Données projet'!$B$11,Paramètres!$A$1:$I$89,5,0)</f>
        <v>275.96399999999994</v>
      </c>
      <c r="BF113" s="14">
        <f t="shared" si="91"/>
        <v>66.113366665488911</v>
      </c>
      <c r="BG113" s="22">
        <f t="shared" si="61"/>
        <v>595.7847469423931</v>
      </c>
      <c r="BH113" s="62">
        <f t="shared" si="62"/>
        <v>889.11808027572647</v>
      </c>
      <c r="BI113" s="62">
        <f ca="1">AVERAGE(OFFSET($BH$3,0,0,'Données projet'!$E$11+1,1))-AVERAGE(OFFSET($H$3,0,0,'Données projet'!$E$11+1,1))</f>
        <v>267.00333505765792</v>
      </c>
      <c r="BJ113" s="62">
        <f t="shared" si="92"/>
        <v>172.25613380618557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0.29369690036950635</v>
      </c>
      <c r="BR113" s="23">
        <f>EXP(-LN(2)/2)*BR112+(1-EXP(-LN(2)/2))/(LN(2)/2)*BL113*BO113*VLOOKUP('Données projet'!$B$11,Paramètres!$A$1:$I$89,3,0)*0.475*44/12</f>
        <v>1.1413645860851686E-11</v>
      </c>
      <c r="BS113" s="24">
        <f t="shared" si="63"/>
        <v>0.29369690038092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4.2</v>
      </c>
      <c r="BX113" s="13">
        <f t="array" ref="BX113">INDEX(BW:BW,MIN(IF(ISNUMBER(BW113:BW309),ROW(BW113:BW309),"")))</f>
        <v>4.2</v>
      </c>
      <c r="BY113" s="13">
        <f>IF('Données projet'!$A$114&gt;35,BY112+BX113-CG112,IF(A113&lt;'Données projet'!$A$114,$BV$205^A113,IF(A113='Données projet'!$A$114,'Données projet'!$B$114,BY112+BX113-CG112)))</f>
        <v>304.99999999999994</v>
      </c>
      <c r="BZ113" s="14">
        <f>BY113*VLOOKUP('Données projet'!$B$12,Paramètres!$A$1:$I$89,3,0)*VLOOKUP('Données projet'!$B$12,Paramètres!$A$1:$I$89,5,0)</f>
        <v>309.27</v>
      </c>
      <c r="CA113" s="14">
        <f t="shared" si="93"/>
        <v>73.116356204711096</v>
      </c>
      <c r="CB113" s="22">
        <f t="shared" si="64"/>
        <v>665.9895703898718</v>
      </c>
      <c r="CC113" s="62">
        <f t="shared" si="65"/>
        <v>959.32290372320517</v>
      </c>
      <c r="CD113" s="62">
        <f ca="1">AVERAGE(OFFSET($CC$3,0,0,'Données projet'!$E$12+1,1))-AVERAGE(OFFSET($H$3,0,0,'Données projet'!$E$12+1,1))</f>
        <v>308.72872453744998</v>
      </c>
      <c r="CE113" s="62">
        <f t="shared" si="94"/>
        <v>195.3674411454258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19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0.32914307800030912</v>
      </c>
      <c r="CM113" s="23">
        <f>EXP(-LN(2)/2)*CM112+(1-EXP(-LN(2)/2))/(LN(2)/2)*CG113*CJ113*VLOOKUP('Données projet'!$B$12,Paramètres!$A$1:$I$89,3,0)*0.475*44/12</f>
        <v>1.2791154844057925E-11</v>
      </c>
      <c r="CN113" s="24">
        <f t="shared" si="66"/>
        <v>0.32914307801310028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160.24926890971085</v>
      </c>
      <c r="T114" s="62">
        <f t="shared" si="88"/>
        <v>323.52368436151721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11.852358744840128</v>
      </c>
      <c r="AA114" s="23">
        <f>EXP(-LN(2)/25)*AA113+(1-EXP(-LN(2)/25))/(LN(2)/25)*Calculateur!V114*Calculateur!X114*VLOOKUP('Données projet'!$B$9,Paramètres!$A$1:$I$89,3,0)*0.475*44/12</f>
        <v>5.4663780234601891</v>
      </c>
      <c r="AB114" s="23">
        <f>EXP(-LN(2)/2)*AB113+(1-EXP(-LN(2)/2))/(LN(2)/2)*V114*Y114*VLOOKUP('Données projet'!$B$9,Paramètres!$A$1:$I$89,3,0)*0.475*44/12</f>
        <v>1.1466492117436207E-10</v>
      </c>
      <c r="AC114" s="24">
        <f t="shared" si="57"/>
        <v>17.318736768414983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289.79999999999995</v>
      </c>
      <c r="AJ114" s="14">
        <f>AI114*VLOOKUP('Données projet'!$B$10,Paramètres!$A$1:$I$89,3,0)*VLOOKUP('Données projet'!$B$10,Paramètres!$A$1:$I$89,5,0)</f>
        <v>302.89895999999999</v>
      </c>
      <c r="AK114" s="14">
        <f t="shared" si="89"/>
        <v>71.783856276618167</v>
      </c>
      <c r="AL114" s="22">
        <f t="shared" si="58"/>
        <v>652.57257168177659</v>
      </c>
      <c r="AM114" s="62">
        <f t="shared" si="59"/>
        <v>945.90590501510997</v>
      </c>
      <c r="AN114" s="62">
        <f ca="1">AVERAGE(OFFSET($AM$3,0,0,'Données projet'!$E$10+1,1))-AVERAGE(OFFSET($H$3,0,0,'Données projet'!$E$10+1,1))</f>
        <v>320.63267332485663</v>
      </c>
      <c r="AO114" s="62">
        <f t="shared" si="90"/>
        <v>201.96012789473809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0.32999318609192402</v>
      </c>
      <c r="AW114" s="23">
        <f>EXP(-LN(2)/2)*AW113+(1-EXP(-LN(2)/2))/(LN(2)/2)*AQ114*AT114*VLOOKUP('Données projet'!$B$10,Paramètres!$A$1:$I$89,3,0)*0.475*44/12</f>
        <v>9.3230111703463923E-12</v>
      </c>
      <c r="AX114" s="23">
        <f t="shared" si="60"/>
        <v>0.329993186101247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289.79999999999995</v>
      </c>
      <c r="BE114" s="14">
        <f>BD114*VLOOKUP('Données projet'!$B$11,Paramètres!$A$1:$I$89,3,0)*VLOOKUP('Données projet'!$B$11,Paramètres!$A$1:$I$89,5,0)</f>
        <v>262.21103999999997</v>
      </c>
      <c r="BF114" s="14">
        <f t="shared" si="91"/>
        <v>63.193449804905853</v>
      </c>
      <c r="BG114" s="22">
        <f t="shared" si="61"/>
        <v>566.7461530768777</v>
      </c>
      <c r="BH114" s="62">
        <f t="shared" si="62"/>
        <v>860.07948641021108</v>
      </c>
      <c r="BI114" s="62">
        <f ca="1">AVERAGE(OFFSET($BH$3,0,0,'Données projet'!$E$11+1,1))-AVERAGE(OFFSET($H$3,0,0,'Données projet'!$E$11+1,1))</f>
        <v>267.00333505765792</v>
      </c>
      <c r="BJ114" s="62">
        <f t="shared" si="92"/>
        <v>172.25613380618557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0.28566574318405347</v>
      </c>
      <c r="BR114" s="23">
        <f>EXP(-LN(2)/2)*BR113+(1-EXP(-LN(2)/2))/(LN(2)/2)*BL114*BO114*VLOOKUP('Données projet'!$B$11,Paramètres!$A$1:$I$89,3,0)*0.475*44/12</f>
        <v>8.0706663862699969E-12</v>
      </c>
      <c r="BS114" s="24">
        <f t="shared" si="63"/>
        <v>0.28566574319212412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3.8</v>
      </c>
      <c r="BY114" s="13">
        <f>IF('Données projet'!$A$114&gt;35,BY113+BX114-CG113,IF(A114&lt;'Données projet'!$A$114,$BV$205^A114,IF(A114='Données projet'!$A$114,'Données projet'!$B$114,BY113+BX114-CG113)))</f>
        <v>289.79999999999995</v>
      </c>
      <c r="BZ114" s="14">
        <f>BY114*VLOOKUP('Données projet'!$B$12,Paramètres!$A$1:$I$89,3,0)*VLOOKUP('Données projet'!$B$12,Paramètres!$A$1:$I$89,5,0)</f>
        <v>293.85719999999998</v>
      </c>
      <c r="CA114" s="14">
        <f t="shared" si="93"/>
        <v>69.887150190339781</v>
      </c>
      <c r="CB114" s="22">
        <f t="shared" si="64"/>
        <v>633.5214099148418</v>
      </c>
      <c r="CC114" s="62">
        <f t="shared" si="65"/>
        <v>926.85474324817505</v>
      </c>
      <c r="CD114" s="62">
        <f ca="1">AVERAGE(OFFSET($CC$3,0,0,'Données projet'!$E$12+1,1))-AVERAGE(OFFSET($H$3,0,0,'Données projet'!$E$12+1,1))</f>
        <v>308.72872453744998</v>
      </c>
      <c r="CE114" s="62">
        <f t="shared" si="94"/>
        <v>195.3674411454258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0.32014264322350844</v>
      </c>
      <c r="CM114" s="23">
        <f>EXP(-LN(2)/2)*CM113+(1-EXP(-LN(2)/2))/(LN(2)/2)*CG114*CJ114*VLOOKUP('Données projet'!$B$12,Paramètres!$A$1:$I$89,3,0)*0.475*44/12</f>
        <v>9.0447123294405146E-12</v>
      </c>
      <c r="CN114" s="24">
        <f t="shared" si="66"/>
        <v>0.32014264323255315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160.24926890971085</v>
      </c>
      <c r="T115" s="62">
        <f t="shared" si="88"/>
        <v>323.52368436151721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11.619941219078822</v>
      </c>
      <c r="AA115" s="23">
        <f>EXP(-LN(2)/25)*AA114+(1-EXP(-LN(2)/25))/(LN(2)/25)*Calculateur!V115*Calculateur!X115*VLOOKUP('Données projet'!$B$9,Paramètres!$A$1:$I$89,3,0)*0.475*44/12</f>
        <v>5.3168996289443431</v>
      </c>
      <c r="AB115" s="23">
        <f>EXP(-LN(2)/2)*AB114+(1-EXP(-LN(2)/2))/(LN(2)/2)*V115*Y115*VLOOKUP('Données projet'!$B$9,Paramètres!$A$1:$I$89,3,0)*0.475*44/12</f>
        <v>8.1080343326612372E-11</v>
      </c>
      <c r="AC115" s="24">
        <f t="shared" si="57"/>
        <v>16.936840848104247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293.59999999999997</v>
      </c>
      <c r="AJ115" s="14">
        <f>AI115*VLOOKUP('Données projet'!$B$10,Paramètres!$A$1:$I$89,3,0)*VLOOKUP('Données projet'!$B$10,Paramètres!$A$1:$I$89,5,0)</f>
        <v>306.87072000000001</v>
      </c>
      <c r="AK115" s="14">
        <f t="shared" si="89"/>
        <v>72.614926568946842</v>
      </c>
      <c r="AL115" s="22">
        <f t="shared" si="58"/>
        <v>660.93750110758231</v>
      </c>
      <c r="AM115" s="62">
        <f t="shared" si="59"/>
        <v>954.27083444091568</v>
      </c>
      <c r="AN115" s="62">
        <f ca="1">AVERAGE(OFFSET($AM$3,0,0,'Données projet'!$E$10+1,1))-AVERAGE(OFFSET($H$3,0,0,'Données projet'!$E$10+1,1))</f>
        <v>320.63267332485663</v>
      </c>
      <c r="AO115" s="62">
        <f t="shared" si="90"/>
        <v>201.96012789473809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0.32096950506465288</v>
      </c>
      <c r="AW115" s="23">
        <f>EXP(-LN(2)/2)*AW114+(1-EXP(-LN(2)/2))/(LN(2)/2)*AQ115*AT115*VLOOKUP('Données projet'!$B$10,Paramètres!$A$1:$I$89,3,0)*0.475*44/12</f>
        <v>6.5923644196298648E-12</v>
      </c>
      <c r="AX115" s="23">
        <f t="shared" si="60"/>
        <v>0.32096950507124522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293.59999999999997</v>
      </c>
      <c r="BE115" s="14">
        <f>BD115*VLOOKUP('Données projet'!$B$11,Paramètres!$A$1:$I$89,3,0)*VLOOKUP('Données projet'!$B$11,Paramètres!$A$1:$I$89,5,0)</f>
        <v>265.64927999999998</v>
      </c>
      <c r="BF115" s="14">
        <f t="shared" si="91"/>
        <v>63.92506554034702</v>
      </c>
      <c r="BG115" s="22">
        <f t="shared" si="61"/>
        <v>574.00865181610436</v>
      </c>
      <c r="BH115" s="62">
        <f t="shared" si="62"/>
        <v>867.34198514943773</v>
      </c>
      <c r="BI115" s="62">
        <f ca="1">AVERAGE(OFFSET($BH$3,0,0,'Données projet'!$E$11+1,1))-AVERAGE(OFFSET($H$3,0,0,'Données projet'!$E$11+1,1))</f>
        <v>267.00333505765792</v>
      </c>
      <c r="BJ115" s="62">
        <f t="shared" si="92"/>
        <v>172.25613380618557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0.27785419841417697</v>
      </c>
      <c r="BR115" s="23">
        <f>EXP(-LN(2)/2)*BR114+(1-EXP(-LN(2)/2))/(LN(2)/2)*BL115*BO115*VLOOKUP('Données projet'!$B$11,Paramètres!$A$1:$I$89,3,0)*0.475*44/12</f>
        <v>5.7068229304258429E-12</v>
      </c>
      <c r="BS115" s="24">
        <f t="shared" si="63"/>
        <v>0.27785419841988379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3.8</v>
      </c>
      <c r="BY115" s="13">
        <f>IF('Données projet'!$A$114&gt;35,BY114+BX115-CG114,IF(A115&lt;'Données projet'!$A$114,$BV$205^A115,IF(A115='Données projet'!$A$114,'Données projet'!$B$114,BY114+BX115-CG114)))</f>
        <v>293.59999999999997</v>
      </c>
      <c r="BZ115" s="14">
        <f>BY115*VLOOKUP('Données projet'!$B$12,Paramètres!$A$1:$I$89,3,0)*VLOOKUP('Données projet'!$B$12,Paramètres!$A$1:$I$89,5,0)</f>
        <v>297.71039999999999</v>
      </c>
      <c r="CA115" s="14">
        <f t="shared" si="93"/>
        <v>70.696261560936719</v>
      </c>
      <c r="CB115" s="22">
        <f t="shared" si="64"/>
        <v>641.64160221863142</v>
      </c>
      <c r="CC115" s="62">
        <f t="shared" si="65"/>
        <v>934.97493555196479</v>
      </c>
      <c r="CD115" s="62">
        <f ca="1">AVERAGE(OFFSET($CC$3,0,0,'Données projet'!$E$12+1,1))-AVERAGE(OFFSET($H$3,0,0,'Données projet'!$E$12+1,1))</f>
        <v>308.72872453744998</v>
      </c>
      <c r="CE115" s="62">
        <f t="shared" si="94"/>
        <v>195.3674411454258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0.31138832580899167</v>
      </c>
      <c r="CM115" s="23">
        <f>EXP(-LN(2)/2)*CM114+(1-EXP(-LN(2)/2))/(LN(2)/2)*CG115*CJ115*VLOOKUP('Données projet'!$B$12,Paramètres!$A$1:$I$89,3,0)*0.475*44/12</f>
        <v>6.3955774220289625E-12</v>
      </c>
      <c r="CN115" s="24">
        <f t="shared" si="66"/>
        <v>0.31138832581538722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160.24926890971085</v>
      </c>
      <c r="T116" s="62">
        <f t="shared" si="88"/>
        <v>323.52368436151721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11.392081259237001</v>
      </c>
      <c r="AA116" s="23">
        <f>EXP(-LN(2)/25)*AA115+(1-EXP(-LN(2)/25))/(LN(2)/25)*Calculateur!V116*Calculateur!X116*VLOOKUP('Données projet'!$B$9,Paramètres!$A$1:$I$89,3,0)*0.475*44/12</f>
        <v>5.1715087289872601</v>
      </c>
      <c r="AB116" s="23">
        <f>EXP(-LN(2)/2)*AB115+(1-EXP(-LN(2)/2))/(LN(2)/2)*V116*Y116*VLOOKUP('Données projet'!$B$9,Paramètres!$A$1:$I$89,3,0)*0.475*44/12</f>
        <v>5.7332460587181049E-11</v>
      </c>
      <c r="AC116" s="24">
        <f t="shared" si="57"/>
        <v>16.563589988281596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297.39999999999998</v>
      </c>
      <c r="AJ116" s="14">
        <f>AI116*VLOOKUP('Données projet'!$B$10,Paramètres!$A$1:$I$89,3,0)*VLOOKUP('Données projet'!$B$10,Paramètres!$A$1:$I$89,5,0)</f>
        <v>310.84248000000002</v>
      </c>
      <c r="AK116" s="14">
        <f t="shared" si="89"/>
        <v>73.444745726758157</v>
      </c>
      <c r="AL116" s="22">
        <f t="shared" si="58"/>
        <v>669.30025147410379</v>
      </c>
      <c r="AM116" s="62">
        <f t="shared" si="59"/>
        <v>962.63358480743705</v>
      </c>
      <c r="AN116" s="62">
        <f ca="1">AVERAGE(OFFSET($AM$3,0,0,'Données projet'!$E$10+1,1))-AVERAGE(OFFSET($H$3,0,0,'Données projet'!$E$10+1,1))</f>
        <v>320.63267332485663</v>
      </c>
      <c r="AO116" s="62">
        <f t="shared" si="90"/>
        <v>201.96012789473809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0.31219257706960729</v>
      </c>
      <c r="AW116" s="23">
        <f>EXP(-LN(2)/2)*AW115+(1-EXP(-LN(2)/2))/(LN(2)/2)*AQ116*AT116*VLOOKUP('Données projet'!$B$10,Paramètres!$A$1:$I$89,3,0)*0.475*44/12</f>
        <v>4.6615055851731961E-12</v>
      </c>
      <c r="AX116" s="23">
        <f t="shared" si="60"/>
        <v>0.31219257707426878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297.39999999999998</v>
      </c>
      <c r="BE116" s="14">
        <f>BD116*VLOOKUP('Données projet'!$B$11,Paramètres!$A$1:$I$89,3,0)*VLOOKUP('Données projet'!$B$11,Paramètres!$A$1:$I$89,5,0)</f>
        <v>269.08751999999993</v>
      </c>
      <c r="BF116" s="14">
        <f t="shared" si="91"/>
        <v>64.65557986510305</v>
      </c>
      <c r="BG116" s="22">
        <f t="shared" si="61"/>
        <v>581.26923226505437</v>
      </c>
      <c r="BH116" s="62">
        <f t="shared" si="62"/>
        <v>874.60256559838763</v>
      </c>
      <c r="BI116" s="62">
        <f ca="1">AVERAGE(OFFSET($BH$3,0,0,'Données projet'!$E$11+1,1))-AVERAGE(OFFSET($H$3,0,0,'Données projet'!$E$11+1,1))</f>
        <v>267.00333505765792</v>
      </c>
      <c r="BJ116" s="62">
        <f t="shared" si="92"/>
        <v>172.25613380618557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0.27025626074682407</v>
      </c>
      <c r="BR116" s="23">
        <f>EXP(-LN(2)/2)*BR115+(1-EXP(-LN(2)/2))/(LN(2)/2)*BL116*BO116*VLOOKUP('Données projet'!$B$11,Paramètres!$A$1:$I$89,3,0)*0.475*44/12</f>
        <v>4.0353331931349984E-12</v>
      </c>
      <c r="BS116" s="24">
        <f t="shared" si="63"/>
        <v>0.2702562607508594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3.8</v>
      </c>
      <c r="BY116" s="13">
        <f>IF('Données projet'!$A$114&gt;35,BY115+BX116-CG115,IF(A116&lt;'Données projet'!$A$114,$BV$205^A116,IF(A116='Données projet'!$A$114,'Données projet'!$B$114,BY115+BX116-CG115)))</f>
        <v>297.39999999999998</v>
      </c>
      <c r="BZ116" s="14">
        <f>BY116*VLOOKUP('Données projet'!$B$12,Paramètres!$A$1:$I$89,3,0)*VLOOKUP('Données projet'!$B$12,Paramètres!$A$1:$I$89,5,0)</f>
        <v>301.56360000000001</v>
      </c>
      <c r="CA116" s="14">
        <f t="shared" si="93"/>
        <v>71.504154855068236</v>
      </c>
      <c r="CB116" s="22">
        <f t="shared" si="64"/>
        <v>649.75967303924392</v>
      </c>
      <c r="CC116" s="62">
        <f t="shared" si="65"/>
        <v>943.09300637257729</v>
      </c>
      <c r="CD116" s="62">
        <f ca="1">AVERAGE(OFFSET($CC$3,0,0,'Données projet'!$E$12+1,1))-AVERAGE(OFFSET($H$3,0,0,'Données projet'!$E$12+1,1))</f>
        <v>308.72872453744998</v>
      </c>
      <c r="CE116" s="62">
        <f t="shared" si="94"/>
        <v>195.3674411454258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0.30287339566454441</v>
      </c>
      <c r="CM116" s="23">
        <f>EXP(-LN(2)/2)*CM115+(1-EXP(-LN(2)/2))/(LN(2)/2)*CG116*CJ116*VLOOKUP('Données projet'!$B$12,Paramètres!$A$1:$I$89,3,0)*0.475*44/12</f>
        <v>4.5223561647202573E-12</v>
      </c>
      <c r="CN116" s="24">
        <f t="shared" si="66"/>
        <v>0.30287339566906679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160.24926890971085</v>
      </c>
      <c r="T117" s="62">
        <f t="shared" si="88"/>
        <v>323.52368436151721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11.168689494226825</v>
      </c>
      <c r="AA117" s="23">
        <f>EXP(-LN(2)/25)*AA116+(1-EXP(-LN(2)/25))/(LN(2)/25)*Calculateur!V117*Calculateur!X117*VLOOKUP('Données projet'!$B$9,Paramètres!$A$1:$I$89,3,0)*0.475*44/12</f>
        <v>5.0300935508352786</v>
      </c>
      <c r="AB117" s="23">
        <f>EXP(-LN(2)/2)*AB116+(1-EXP(-LN(2)/2))/(LN(2)/2)*V117*Y117*VLOOKUP('Données projet'!$B$9,Paramètres!$A$1:$I$89,3,0)*0.475*44/12</f>
        <v>4.0540171663306192E-11</v>
      </c>
      <c r="AC117" s="24">
        <f t="shared" si="57"/>
        <v>16.198783045102644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301.2</v>
      </c>
      <c r="AJ117" s="14">
        <f>AI117*VLOOKUP('Données projet'!$B$10,Paramètres!$A$1:$I$89,3,0)*VLOOKUP('Données projet'!$B$10,Paramètres!$A$1:$I$89,5,0)</f>
        <v>314.81424000000004</v>
      </c>
      <c r="AK117" s="14">
        <f t="shared" si="89"/>
        <v>74.273331584814002</v>
      </c>
      <c r="AL117" s="22">
        <f t="shared" si="58"/>
        <v>677.66085384355108</v>
      </c>
      <c r="AM117" s="62">
        <f t="shared" si="59"/>
        <v>970.99418717688445</v>
      </c>
      <c r="AN117" s="62">
        <f ca="1">AVERAGE(OFFSET($AM$3,0,0,'Données projet'!$E$10+1,1))-AVERAGE(OFFSET($H$3,0,0,'Données projet'!$E$10+1,1))</f>
        <v>320.63267332485663</v>
      </c>
      <c r="AO117" s="62">
        <f t="shared" si="90"/>
        <v>201.96012789473809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0.30365565463214478</v>
      </c>
      <c r="AW117" s="23">
        <f>EXP(-LN(2)/2)*AW116+(1-EXP(-LN(2)/2))/(LN(2)/2)*AQ117*AT117*VLOOKUP('Données projet'!$B$10,Paramètres!$A$1:$I$89,3,0)*0.475*44/12</f>
        <v>3.2961822098149324E-12</v>
      </c>
      <c r="AX117" s="23">
        <f t="shared" si="60"/>
        <v>0.30365565463544097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301.2</v>
      </c>
      <c r="BE117" s="14">
        <f>BD117*VLOOKUP('Données projet'!$B$11,Paramètres!$A$1:$I$89,3,0)*VLOOKUP('Données projet'!$B$11,Paramètres!$A$1:$I$89,5,0)</f>
        <v>272.52575999999993</v>
      </c>
      <c r="BF117" s="14">
        <f t="shared" si="91"/>
        <v>65.385008479641868</v>
      </c>
      <c r="BG117" s="22">
        <f t="shared" si="61"/>
        <v>588.52792176870946</v>
      </c>
      <c r="BH117" s="62">
        <f t="shared" si="62"/>
        <v>881.86125510204283</v>
      </c>
      <c r="BI117" s="62">
        <f ca="1">AVERAGE(OFFSET($BH$3,0,0,'Données projet'!$E$11+1,1))-AVERAGE(OFFSET($H$3,0,0,'Données projet'!$E$11+1,1))</f>
        <v>267.00333505765792</v>
      </c>
      <c r="BJ117" s="62">
        <f t="shared" si="92"/>
        <v>172.25613380618557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0.26286608908454312</v>
      </c>
      <c r="BR117" s="23">
        <f>EXP(-LN(2)/2)*BR116+(1-EXP(-LN(2)/2))/(LN(2)/2)*BL117*BO117*VLOOKUP('Données projet'!$B$11,Paramètres!$A$1:$I$89,3,0)*0.475*44/12</f>
        <v>2.8534114652129215E-12</v>
      </c>
      <c r="BS117" s="24">
        <f t="shared" si="63"/>
        <v>0.2628660890873965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3.8</v>
      </c>
      <c r="BY117" s="13">
        <f>IF('Données projet'!$A$114&gt;35,BY116+BX117-CG116,IF(A117&lt;'Données projet'!$A$114,$BV$205^A117,IF(A117='Données projet'!$A$114,'Données projet'!$B$114,BY116+BX117-CG116)))</f>
        <v>301.2</v>
      </c>
      <c r="BZ117" s="14">
        <f>BY117*VLOOKUP('Données projet'!$B$12,Paramètres!$A$1:$I$89,3,0)*VLOOKUP('Données projet'!$B$12,Paramètres!$A$1:$I$89,5,0)</f>
        <v>305.41680000000002</v>
      </c>
      <c r="CA117" s="14">
        <f t="shared" si="93"/>
        <v>72.310847436258001</v>
      </c>
      <c r="CB117" s="22">
        <f t="shared" si="64"/>
        <v>657.87565261814939</v>
      </c>
      <c r="CC117" s="62">
        <f t="shared" si="65"/>
        <v>951.20898595148265</v>
      </c>
      <c r="CD117" s="62">
        <f ca="1">AVERAGE(OFFSET($CC$3,0,0,'Données projet'!$E$12+1,1))-AVERAGE(OFFSET($H$3,0,0,'Données projet'!$E$12+1,1))</f>
        <v>308.72872453744998</v>
      </c>
      <c r="CE117" s="62">
        <f t="shared" si="94"/>
        <v>195.3674411454258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0.2945913067326778</v>
      </c>
      <c r="CM117" s="23">
        <f>EXP(-LN(2)/2)*CM116+(1-EXP(-LN(2)/2))/(LN(2)/2)*CG117*CJ117*VLOOKUP('Données projet'!$B$12,Paramètres!$A$1:$I$89,3,0)*0.475*44/12</f>
        <v>3.1977887110144813E-12</v>
      </c>
      <c r="CN117" s="24">
        <f t="shared" si="66"/>
        <v>0.29459130673587558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160.24926890971085</v>
      </c>
      <c r="T118" s="62">
        <f t="shared" si="88"/>
        <v>323.52368436151721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10.949678305472977</v>
      </c>
      <c r="AA118" s="23">
        <f>EXP(-LN(2)/25)*AA117+(1-EXP(-LN(2)/25))/(LN(2)/25)*Calculateur!V118*Calculateur!X118*VLOOKUP('Données projet'!$B$9,Paramètres!$A$1:$I$89,3,0)*0.475*44/12</f>
        <v>4.8925453781665649</v>
      </c>
      <c r="AB118" s="23">
        <f>EXP(-LN(2)/2)*AB117+(1-EXP(-LN(2)/2))/(LN(2)/2)*V118*Y118*VLOOKUP('Données projet'!$B$9,Paramètres!$A$1:$I$89,3,0)*0.475*44/12</f>
        <v>2.8666230293590528E-11</v>
      </c>
      <c r="AC118" s="24">
        <f t="shared" si="57"/>
        <v>15.842223683668209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305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305</v>
      </c>
      <c r="AJ118" s="14">
        <f>AI118*VLOOKUP('Données projet'!$B$10,Paramètres!$A$1:$I$89,3,0)*VLOOKUP('Données projet'!$B$10,Paramètres!$A$1:$I$89,5,0)</f>
        <v>318.78600000000006</v>
      </c>
      <c r="AK118" s="14">
        <f t="shared" si="89"/>
        <v>75.10070150198348</v>
      </c>
      <c r="AL118" s="22">
        <f t="shared" si="58"/>
        <v>686.01933844928806</v>
      </c>
      <c r="AM118" s="62">
        <f t="shared" si="59"/>
        <v>979.35267178262143</v>
      </c>
      <c r="AN118" s="62">
        <f ca="1">AVERAGE(OFFSET($AM$3,0,0,'Données projet'!$E$10+1,1))-AVERAGE(OFFSET($H$3,0,0,'Données projet'!$E$10+1,1))</f>
        <v>320.63267332485663</v>
      </c>
      <c r="AO118" s="62">
        <f t="shared" si="90"/>
        <v>201.96012789473809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18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0.2953521747876719</v>
      </c>
      <c r="AW118" s="23">
        <f>EXP(-LN(2)/2)*AW117+(1-EXP(-LN(2)/2))/(LN(2)/2)*AQ118*AT118*VLOOKUP('Données projet'!$B$10,Paramètres!$A$1:$I$89,3,0)*0.475*44/12</f>
        <v>2.3307527925865981E-12</v>
      </c>
      <c r="AX118" s="23">
        <f t="shared" si="60"/>
        <v>0.29535217479000264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305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305</v>
      </c>
      <c r="BE118" s="14">
        <f>BD118*VLOOKUP('Données projet'!$B$11,Paramètres!$A$1:$I$89,3,0)*VLOOKUP('Données projet'!$B$11,Paramètres!$A$1:$I$89,5,0)</f>
        <v>275.964</v>
      </c>
      <c r="BF118" s="14">
        <f t="shared" si="91"/>
        <v>66.113366665488911</v>
      </c>
      <c r="BG118" s="22">
        <f t="shared" si="61"/>
        <v>595.7847469423931</v>
      </c>
      <c r="BH118" s="62">
        <f t="shared" si="62"/>
        <v>889.11808027572647</v>
      </c>
      <c r="BI118" s="62">
        <f ca="1">AVERAGE(OFFSET($BH$3,0,0,'Données projet'!$E$11+1,1))-AVERAGE(OFFSET($H$3,0,0,'Données projet'!$E$11+1,1))</f>
        <v>267.00333505765792</v>
      </c>
      <c r="BJ118" s="62">
        <f t="shared" si="92"/>
        <v>172.25613380618557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0.25567800205499946</v>
      </c>
      <c r="BR118" s="23">
        <f>EXP(-LN(2)/2)*BR117+(1-EXP(-LN(2)/2))/(LN(2)/2)*BL118*BO118*VLOOKUP('Données projet'!$B$11,Paramètres!$A$1:$I$89,3,0)*0.475*44/12</f>
        <v>2.0176665965674992E-12</v>
      </c>
      <c r="BS118" s="24">
        <f t="shared" si="63"/>
        <v>0.25567800205701713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305</v>
      </c>
      <c r="BW118" s="13">
        <f>VLOOKUP(A118,'Données projet'!$A$113:$I$133,9,0)</f>
        <v>3.8</v>
      </c>
      <c r="BX118" s="13">
        <f t="array" ref="BX118">INDEX(BW:BW,MIN(IF(ISNUMBER(BW118:BW314),ROW(BW118:BW314),"")))</f>
        <v>3.8</v>
      </c>
      <c r="BY118" s="13">
        <f>IF('Données projet'!$A$114&gt;35,BY117+BX118-CG117,IF(A118&lt;'Données projet'!$A$114,$BV$205^A118,IF(A118='Données projet'!$A$114,'Données projet'!$B$114,BY117+BX118-CG117)))</f>
        <v>305</v>
      </c>
      <c r="BZ118" s="14">
        <f>BY118*VLOOKUP('Données projet'!$B$12,Paramètres!$A$1:$I$89,3,0)*VLOOKUP('Données projet'!$B$12,Paramètres!$A$1:$I$89,5,0)</f>
        <v>309.27000000000004</v>
      </c>
      <c r="CA118" s="14">
        <f t="shared" si="93"/>
        <v>73.116356204711096</v>
      </c>
      <c r="CB118" s="22">
        <f t="shared" si="64"/>
        <v>665.9895703898718</v>
      </c>
      <c r="CC118" s="62">
        <f t="shared" si="65"/>
        <v>959.32290372320517</v>
      </c>
      <c r="CD118" s="62">
        <f ca="1">AVERAGE(OFFSET($CC$3,0,0,'Données projet'!$E$12+1,1))-AVERAGE(OFFSET($H$3,0,0,'Données projet'!$E$12+1,1))</f>
        <v>308.72872453744998</v>
      </c>
      <c r="CE118" s="62">
        <f t="shared" si="94"/>
        <v>195.3674411454258</v>
      </c>
      <c r="CF118" s="16">
        <f>IF(ISNA(VLOOKUP(A118,'Données projet'!$A$113:$I$133,3,0)),0,VLOOKUP(A118,'Données projet'!$A$113:$I$133,3,0))</f>
        <v>19</v>
      </c>
      <c r="CG118" s="16">
        <f>IF(ISNA(VLOOKUP(A118,'Données projet'!$A$113:$I$133,4,0)),0,VLOOKUP(A118,'Données projet'!$A$113:$I$133,4,0))</f>
        <v>18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0.28653569195818923</v>
      </c>
      <c r="CM118" s="23">
        <f>EXP(-LN(2)/2)*CM117+(1-EXP(-LN(2)/2))/(LN(2)/2)*CG118*CJ118*VLOOKUP('Données projet'!$B$12,Paramètres!$A$1:$I$89,3,0)*0.475*44/12</f>
        <v>2.2611780823601287E-12</v>
      </c>
      <c r="CN118" s="24">
        <f t="shared" si="66"/>
        <v>0.28653569196045042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160.24926890971085</v>
      </c>
      <c r="T119" s="62">
        <f t="shared" si="88"/>
        <v>323.52368436151721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10.734961792546956</v>
      </c>
      <c r="AA119" s="23">
        <f>EXP(-LN(2)/25)*AA118+(1-EXP(-LN(2)/25))/(LN(2)/25)*Calculateur!V119*Calculateur!X119*VLOOKUP('Données projet'!$B$9,Paramètres!$A$1:$I$89,3,0)*0.475*44/12</f>
        <v>4.7587584675128207</v>
      </c>
      <c r="AB119" s="23">
        <f>EXP(-LN(2)/2)*AB118+(1-EXP(-LN(2)/2))/(LN(2)/2)*V119*Y119*VLOOKUP('Données projet'!$B$9,Paramètres!$A$1:$I$89,3,0)*0.475*44/12</f>
        <v>2.0270085831653099E-11</v>
      </c>
      <c r="AC119" s="24">
        <f t="shared" si="57"/>
        <v>15.493720260080048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3.6</v>
      </c>
      <c r="AI119" s="14">
        <f>IF('Données projet'!$A$62&gt;35,AI118+AH119-AQ118,IF(A119&lt;'Données projet'!$A$62,$AF$205^A119,IF(A119='Données projet'!$A$62,'Données projet'!$B$62,AI118+AH119-AQ118)))</f>
        <v>290.60000000000002</v>
      </c>
      <c r="AJ119" s="14">
        <f>AI119*VLOOKUP('Données projet'!$B$10,Paramètres!$A$1:$I$89,3,0)*VLOOKUP('Données projet'!$B$10,Paramètres!$A$1:$I$89,5,0)</f>
        <v>303.73512000000005</v>
      </c>
      <c r="AK119" s="14">
        <f t="shared" si="89"/>
        <v>71.958923316844619</v>
      </c>
      <c r="AL119" s="22">
        <f t="shared" si="58"/>
        <v>654.33379211017109</v>
      </c>
      <c r="AM119" s="62">
        <f t="shared" si="59"/>
        <v>947.66712544350435</v>
      </c>
      <c r="AN119" s="62">
        <f ca="1">AVERAGE(OFFSET($AM$3,0,0,'Données projet'!$E$10+1,1))-AVERAGE(OFFSET($H$3,0,0,'Données projet'!$E$10+1,1))</f>
        <v>320.63267332485663</v>
      </c>
      <c r="AO119" s="62">
        <f t="shared" si="90"/>
        <v>201.96012789473809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0.2872757540362072</v>
      </c>
      <c r="AW119" s="23">
        <f>EXP(-LN(2)/2)*AW118+(1-EXP(-LN(2)/2))/(LN(2)/2)*AQ119*AT119*VLOOKUP('Données projet'!$B$10,Paramètres!$A$1:$I$89,3,0)*0.475*44/12</f>
        <v>1.6480911049074662E-12</v>
      </c>
      <c r="AX119" s="23">
        <f t="shared" si="60"/>
        <v>0.28727575403785527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290.60000000000002</v>
      </c>
      <c r="BE119" s="14">
        <f>BD119*VLOOKUP('Données projet'!$B$11,Paramètres!$A$1:$I$89,3,0)*VLOOKUP('Données projet'!$B$11,Paramètres!$A$1:$I$89,5,0)</f>
        <v>262.93488000000002</v>
      </c>
      <c r="BF119" s="14">
        <f t="shared" si="91"/>
        <v>63.347566493432765</v>
      </c>
      <c r="BG119" s="22">
        <f t="shared" si="61"/>
        <v>568.27526097606199</v>
      </c>
      <c r="BH119" s="62">
        <f t="shared" si="62"/>
        <v>861.60859430939536</v>
      </c>
      <c r="BI119" s="62">
        <f ca="1">AVERAGE(OFFSET($BH$3,0,0,'Données projet'!$E$11+1,1))-AVERAGE(OFFSET($H$3,0,0,'Données projet'!$E$11+1,1))</f>
        <v>267.00333505765792</v>
      </c>
      <c r="BJ119" s="62">
        <f t="shared" si="92"/>
        <v>172.25613380618557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0.24868647364328372</v>
      </c>
      <c r="BR119" s="23">
        <f>EXP(-LN(2)/2)*BR118+(1-EXP(-LN(2)/2))/(LN(2)/2)*BL119*BO119*VLOOKUP('Données projet'!$B$11,Paramètres!$A$1:$I$89,3,0)*0.475*44/12</f>
        <v>1.4267057326064607E-12</v>
      </c>
      <c r="BS119" s="24">
        <f t="shared" si="63"/>
        <v>0.24868647364471042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3.6</v>
      </c>
      <c r="BY119" s="13">
        <f>IF('Données projet'!$A$114&gt;35,BY118+BX119-CG118,IF(A119&lt;'Données projet'!$A$114,$BV$205^A119,IF(A119='Données projet'!$A$114,'Données projet'!$B$114,BY118+BX119-CG118)))</f>
        <v>290.60000000000002</v>
      </c>
      <c r="BZ119" s="14">
        <f>BY119*VLOOKUP('Données projet'!$B$12,Paramètres!$A$1:$I$89,3,0)*VLOOKUP('Données projet'!$B$12,Paramètres!$A$1:$I$89,5,0)</f>
        <v>294.66840000000002</v>
      </c>
      <c r="CA119" s="14">
        <f t="shared" si="93"/>
        <v>70.057591528661547</v>
      </c>
      <c r="CB119" s="22">
        <f t="shared" si="64"/>
        <v>635.23110191241881</v>
      </c>
      <c r="CC119" s="62">
        <f t="shared" si="65"/>
        <v>928.56443524575207</v>
      </c>
      <c r="CD119" s="62">
        <f ca="1">AVERAGE(OFFSET($CC$3,0,0,'Données projet'!$E$12+1,1))-AVERAGE(OFFSET($H$3,0,0,'Données projet'!$E$12+1,1))</f>
        <v>308.72872453744998</v>
      </c>
      <c r="CE119" s="62">
        <f t="shared" si="94"/>
        <v>195.3674411454258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0.2787003583933354</v>
      </c>
      <c r="CM119" s="23">
        <f>EXP(-LN(2)/2)*CM118+(1-EXP(-LN(2)/2))/(LN(2)/2)*CG119*CJ119*VLOOKUP('Données projet'!$B$12,Paramètres!$A$1:$I$89,3,0)*0.475*44/12</f>
        <v>1.5988943555072406E-12</v>
      </c>
      <c r="CN119" s="24">
        <f t="shared" si="66"/>
        <v>0.27870035839493429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160.24926890971085</v>
      </c>
      <c r="T120" s="62">
        <f t="shared" si="88"/>
        <v>323.52368436151721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10.524455739475274</v>
      </c>
      <c r="AA120" s="23">
        <f>EXP(-LN(2)/25)*AA119+(1-EXP(-LN(2)/25))/(LN(2)/25)*Calculateur!V120*Calculateur!X120*VLOOKUP('Données projet'!$B$9,Paramètres!$A$1:$I$89,3,0)*0.475*44/12</f>
        <v>4.628629966966451</v>
      </c>
      <c r="AB120" s="23">
        <f>EXP(-LN(2)/2)*AB119+(1-EXP(-LN(2)/2))/(LN(2)/2)*V120*Y120*VLOOKUP('Données projet'!$B$9,Paramètres!$A$1:$I$89,3,0)*0.475*44/12</f>
        <v>1.4333115146795267E-11</v>
      </c>
      <c r="AC120" s="24">
        <f t="shared" si="57"/>
        <v>15.153085706456059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3.6</v>
      </c>
      <c r="AI120" s="14">
        <f>IF('Données projet'!$A$62&gt;35,AI119+AH120-AQ119,IF(A120&lt;'Données projet'!$A$62,$AF$205^A120,IF(A120='Données projet'!$A$62,'Données projet'!$B$62,AI119+AH120-AQ119)))</f>
        <v>294.20000000000005</v>
      </c>
      <c r="AJ120" s="14">
        <f>AI120*VLOOKUP('Données projet'!$B$10,Paramètres!$A$1:$I$89,3,0)*VLOOKUP('Données projet'!$B$10,Paramètres!$A$1:$I$89,5,0)</f>
        <v>307.49784000000005</v>
      </c>
      <c r="AK120" s="14">
        <f t="shared" si="89"/>
        <v>72.746033361027216</v>
      </c>
      <c r="AL120" s="22">
        <f t="shared" si="58"/>
        <v>662.25807943712243</v>
      </c>
      <c r="AM120" s="62">
        <f t="shared" si="59"/>
        <v>955.59141277045569</v>
      </c>
      <c r="AN120" s="62">
        <f ca="1">AVERAGE(OFFSET($AM$3,0,0,'Données projet'!$E$10+1,1))-AVERAGE(OFFSET($H$3,0,0,'Données projet'!$E$10+1,1))</f>
        <v>320.63267332485663</v>
      </c>
      <c r="AO120" s="62">
        <f t="shared" si="90"/>
        <v>201.96012789473809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0.27942018343491176</v>
      </c>
      <c r="AW120" s="23">
        <f>EXP(-LN(2)/2)*AW119+(1-EXP(-LN(2)/2))/(LN(2)/2)*AQ120*AT120*VLOOKUP('Données projet'!$B$10,Paramètres!$A$1:$I$89,3,0)*0.475*44/12</f>
        <v>1.165376396293299E-12</v>
      </c>
      <c r="AX120" s="23">
        <f t="shared" si="60"/>
        <v>0.27942018343607716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294.20000000000005</v>
      </c>
      <c r="BE120" s="14">
        <f>BD120*VLOOKUP('Données projet'!$B$11,Paramètres!$A$1:$I$89,3,0)*VLOOKUP('Données projet'!$B$11,Paramètres!$A$1:$I$89,5,0)</f>
        <v>266.19216000000006</v>
      </c>
      <c r="BF120" s="14">
        <f t="shared" si="91"/>
        <v>64.04048272345976</v>
      </c>
      <c r="BG120" s="22">
        <f t="shared" si="61"/>
        <v>575.15518607669253</v>
      </c>
      <c r="BH120" s="62">
        <f t="shared" si="62"/>
        <v>868.4885194100259</v>
      </c>
      <c r="BI120" s="62">
        <f ca="1">AVERAGE(OFFSET($BH$3,0,0,'Données projet'!$E$11+1,1))-AVERAGE(OFFSET($H$3,0,0,'Données projet'!$E$11+1,1))</f>
        <v>267.00333505765792</v>
      </c>
      <c r="BJ120" s="62">
        <f t="shared" si="92"/>
        <v>172.25613380618557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0.24188612894365485</v>
      </c>
      <c r="BR120" s="23">
        <f>EXP(-LN(2)/2)*BR119+(1-EXP(-LN(2)/2))/(LN(2)/2)*BL120*BO120*VLOOKUP('Données projet'!$B$11,Paramètres!$A$1:$I$89,3,0)*0.475*44/12</f>
        <v>1.0088332982837496E-12</v>
      </c>
      <c r="BS120" s="24">
        <f t="shared" si="63"/>
        <v>0.24188612894466369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3.6</v>
      </c>
      <c r="BY120" s="13">
        <f>IF('Données projet'!$A$114&gt;35,BY119+BX120-CG119,IF(A120&lt;'Données projet'!$A$114,$BV$205^A120,IF(A120='Données projet'!$A$114,'Données projet'!$B$114,BY119+BX120-CG119)))</f>
        <v>294.20000000000005</v>
      </c>
      <c r="BZ120" s="14">
        <f>BY120*VLOOKUP('Données projet'!$B$12,Paramètres!$A$1:$I$89,3,0)*VLOOKUP('Données projet'!$B$12,Paramètres!$A$1:$I$89,5,0)</f>
        <v>298.31880000000007</v>
      </c>
      <c r="CA120" s="14">
        <f t="shared" si="93"/>
        <v>70.823904189019913</v>
      </c>
      <c r="CB120" s="22">
        <f t="shared" si="64"/>
        <v>642.92354312920986</v>
      </c>
      <c r="CC120" s="62">
        <f t="shared" si="65"/>
        <v>936.25687646254323</v>
      </c>
      <c r="CD120" s="62">
        <f ca="1">AVERAGE(OFFSET($CC$3,0,0,'Données projet'!$E$12+1,1))-AVERAGE(OFFSET($H$3,0,0,'Données projet'!$E$12+1,1))</f>
        <v>308.72872453744998</v>
      </c>
      <c r="CE120" s="62">
        <f t="shared" si="94"/>
        <v>195.3674411454258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0.27107928243685475</v>
      </c>
      <c r="CM120" s="23">
        <f>EXP(-LN(2)/2)*CM119+(1-EXP(-LN(2)/2))/(LN(2)/2)*CG120*CJ120*VLOOKUP('Données projet'!$B$12,Paramètres!$A$1:$I$89,3,0)*0.475*44/12</f>
        <v>1.1305890411800643E-12</v>
      </c>
      <c r="CN120" s="24">
        <f t="shared" si="66"/>
        <v>0.27107928243798535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160.24926890971085</v>
      </c>
      <c r="T121" s="62">
        <f t="shared" si="88"/>
        <v>323.52368436151721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10.318077581708312</v>
      </c>
      <c r="AA121" s="23">
        <f>EXP(-LN(2)/25)*AA120+(1-EXP(-LN(2)/25))/(LN(2)/25)*Calculateur!V121*Calculateur!X121*VLOOKUP('Données projet'!$B$9,Paramètres!$A$1:$I$89,3,0)*0.475*44/12</f>
        <v>4.5020598371106821</v>
      </c>
      <c r="AB121" s="23">
        <f>EXP(-LN(2)/2)*AB120+(1-EXP(-LN(2)/2))/(LN(2)/2)*V121*Y121*VLOOKUP('Données projet'!$B$9,Paramètres!$A$1:$I$89,3,0)*0.475*44/12</f>
        <v>1.0135042915826551E-11</v>
      </c>
      <c r="AC121" s="24">
        <f t="shared" si="57"/>
        <v>14.82013741882913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3.6</v>
      </c>
      <c r="AI121" s="14">
        <f>IF('Données projet'!$A$62&gt;35,AI120+AH121-AQ120,IF(A121&lt;'Données projet'!$A$62,$AF$205^A121,IF(A121='Données projet'!$A$62,'Données projet'!$B$62,AI120+AH121-AQ120)))</f>
        <v>297.80000000000007</v>
      </c>
      <c r="AJ121" s="14">
        <f>AI121*VLOOKUP('Données projet'!$B$10,Paramètres!$A$1:$I$89,3,0)*VLOOKUP('Données projet'!$B$10,Paramètres!$A$1:$I$89,5,0)</f>
        <v>311.26056000000011</v>
      </c>
      <c r="AK121" s="14">
        <f t="shared" si="89"/>
        <v>73.532023063579274</v>
      </c>
      <c r="AL121" s="22">
        <f t="shared" si="58"/>
        <v>670.18041550240071</v>
      </c>
      <c r="AM121" s="62">
        <f t="shared" si="59"/>
        <v>963.51374883573408</v>
      </c>
      <c r="AN121" s="62">
        <f ca="1">AVERAGE(OFFSET($AM$3,0,0,'Données projet'!$E$10+1,1))-AVERAGE(OFFSET($H$3,0,0,'Données projet'!$E$10+1,1))</f>
        <v>320.63267332485663</v>
      </c>
      <c r="AO121" s="62">
        <f t="shared" si="90"/>
        <v>201.96012789473809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0.27177942382481529</v>
      </c>
      <c r="AW121" s="23">
        <f>EXP(-LN(2)/2)*AW120+(1-EXP(-LN(2)/2))/(LN(2)/2)*AQ121*AT121*VLOOKUP('Données projet'!$B$10,Paramètres!$A$1:$I$89,3,0)*0.475*44/12</f>
        <v>8.240455524537331E-13</v>
      </c>
      <c r="AX121" s="23">
        <f t="shared" si="60"/>
        <v>0.27177942382563935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297.80000000000007</v>
      </c>
      <c r="BE121" s="14">
        <f>BD121*VLOOKUP('Données projet'!$B$11,Paramètres!$A$1:$I$89,3,0)*VLOOKUP('Données projet'!$B$11,Paramètres!$A$1:$I$89,5,0)</f>
        <v>269.44944000000004</v>
      </c>
      <c r="BF121" s="14">
        <f t="shared" si="91"/>
        <v>64.732412683644569</v>
      </c>
      <c r="BG121" s="22">
        <f t="shared" si="61"/>
        <v>582.03339342401432</v>
      </c>
      <c r="BH121" s="62">
        <f t="shared" si="62"/>
        <v>875.36672675734758</v>
      </c>
      <c r="BI121" s="62">
        <f ca="1">AVERAGE(OFFSET($BH$3,0,0,'Données projet'!$E$11+1,1))-AVERAGE(OFFSET($H$3,0,0,'Données projet'!$E$11+1,1))</f>
        <v>267.00333505765792</v>
      </c>
      <c r="BJ121" s="62">
        <f t="shared" si="92"/>
        <v>172.25613380618557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0.23527174002745194</v>
      </c>
      <c r="BR121" s="23">
        <f>EXP(-LN(2)/2)*BR120+(1-EXP(-LN(2)/2))/(LN(2)/2)*BL121*BO121*VLOOKUP('Données projet'!$B$11,Paramètres!$A$1:$I$89,3,0)*0.475*44/12</f>
        <v>7.1335286630323037E-13</v>
      </c>
      <c r="BS121" s="24">
        <f t="shared" si="63"/>
        <v>0.23527174002816528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3.6</v>
      </c>
      <c r="BY121" s="13">
        <f>IF('Données projet'!$A$114&gt;35,BY120+BX121-CG120,IF(A121&lt;'Données projet'!$A$114,$BV$205^A121,IF(A121='Données projet'!$A$114,'Données projet'!$B$114,BY120+BX121-CG120)))</f>
        <v>297.80000000000007</v>
      </c>
      <c r="BZ121" s="14">
        <f>BY121*VLOOKUP('Données projet'!$B$12,Paramètres!$A$1:$I$89,3,0)*VLOOKUP('Données projet'!$B$12,Paramètres!$A$1:$I$89,5,0)</f>
        <v>301.96920000000011</v>
      </c>
      <c r="CA121" s="14">
        <f t="shared" si="93"/>
        <v>71.589126109929794</v>
      </c>
      <c r="CB121" s="22">
        <f t="shared" si="64"/>
        <v>650.6140846414612</v>
      </c>
      <c r="CC121" s="62">
        <f t="shared" si="65"/>
        <v>943.94741797479446</v>
      </c>
      <c r="CD121" s="62">
        <f ca="1">AVERAGE(OFFSET($CC$3,0,0,'Données projet'!$E$12+1,1))-AVERAGE(OFFSET($H$3,0,0,'Données projet'!$E$12+1,1))</f>
        <v>308.72872453744998</v>
      </c>
      <c r="CE121" s="62">
        <f t="shared" si="94"/>
        <v>195.3674411454258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0.26366660520317903</v>
      </c>
      <c r="CM121" s="23">
        <f>EXP(-LN(2)/2)*CM120+(1-EXP(-LN(2)/2))/(LN(2)/2)*CG121*CJ121*VLOOKUP('Données projet'!$B$12,Paramètres!$A$1:$I$89,3,0)*0.475*44/12</f>
        <v>7.9944717775362032E-13</v>
      </c>
      <c r="CN121" s="24">
        <f t="shared" si="66"/>
        <v>0.2636666052039785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160.24926890971085</v>
      </c>
      <c r="T122" s="62">
        <f t="shared" si="88"/>
        <v>323.52368436151721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10.115746373736915</v>
      </c>
      <c r="AA122" s="23">
        <f>EXP(-LN(2)/25)*AA121+(1-EXP(-LN(2)/25))/(LN(2)/25)*Calculateur!V122*Calculateur!X122*VLOOKUP('Données projet'!$B$9,Paramètres!$A$1:$I$89,3,0)*0.475*44/12</f>
        <v>4.3789507741118534</v>
      </c>
      <c r="AB122" s="23">
        <f>EXP(-LN(2)/2)*AB121+(1-EXP(-LN(2)/2))/(LN(2)/2)*V122*Y122*VLOOKUP('Données projet'!$B$9,Paramètres!$A$1:$I$89,3,0)*0.475*44/12</f>
        <v>7.1665575733976343E-12</v>
      </c>
      <c r="AC122" s="24">
        <f t="shared" si="57"/>
        <v>14.494697147855934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3.6</v>
      </c>
      <c r="AI122" s="14">
        <f>IF('Données projet'!$A$62&gt;35,AI121+AH122-AQ121,IF(A122&lt;'Données projet'!$A$62,$AF$205^A122,IF(A122='Données projet'!$A$62,'Données projet'!$B$62,AI121+AH122-AQ121)))</f>
        <v>301.40000000000009</v>
      </c>
      <c r="AJ122" s="14">
        <f>AI122*VLOOKUP('Données projet'!$B$10,Paramètres!$A$1:$I$89,3,0)*VLOOKUP('Données projet'!$B$10,Paramètres!$A$1:$I$89,5,0)</f>
        <v>315.02328000000011</v>
      </c>
      <c r="AK122" s="14">
        <f t="shared" si="89"/>
        <v>74.316907534479739</v>
      </c>
      <c r="AL122" s="22">
        <f t="shared" si="58"/>
        <v>678.10082662255229</v>
      </c>
      <c r="AM122" s="62">
        <f t="shared" si="59"/>
        <v>971.43415995588566</v>
      </c>
      <c r="AN122" s="62">
        <f ca="1">AVERAGE(OFFSET($AM$3,0,0,'Données projet'!$E$10+1,1))-AVERAGE(OFFSET($H$3,0,0,'Données projet'!$E$10+1,1))</f>
        <v>320.63267332485663</v>
      </c>
      <c r="AO122" s="62">
        <f t="shared" si="90"/>
        <v>201.96012789473809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0.26434760118806699</v>
      </c>
      <c r="AW122" s="23">
        <f>EXP(-LN(2)/2)*AW121+(1-EXP(-LN(2)/2))/(LN(2)/2)*AQ122*AT122*VLOOKUP('Données projet'!$B$10,Paramètres!$A$1:$I$89,3,0)*0.475*44/12</f>
        <v>5.8268819814664952E-13</v>
      </c>
      <c r="AX122" s="23">
        <f t="shared" si="60"/>
        <v>0.26434760118864969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301.40000000000009</v>
      </c>
      <c r="BE122" s="14">
        <f>BD122*VLOOKUP('Données projet'!$B$11,Paramètres!$A$1:$I$89,3,0)*VLOOKUP('Données projet'!$B$11,Paramètres!$A$1:$I$89,5,0)</f>
        <v>272.70672000000008</v>
      </c>
      <c r="BF122" s="14">
        <f t="shared" si="91"/>
        <v>65.423369675748305</v>
      </c>
      <c r="BG122" s="22">
        <f t="shared" si="61"/>
        <v>588.90990618526166</v>
      </c>
      <c r="BH122" s="62">
        <f t="shared" si="62"/>
        <v>882.24323951859492</v>
      </c>
      <c r="BI122" s="62">
        <f ca="1">AVERAGE(OFFSET($BH$3,0,0,'Données projet'!$E$11+1,1))-AVERAGE(OFFSET($H$3,0,0,'Données projet'!$E$11+1,1))</f>
        <v>267.00333505765792</v>
      </c>
      <c r="BJ122" s="62">
        <f t="shared" si="92"/>
        <v>172.25613380618557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0.22883822192399816</v>
      </c>
      <c r="BR122" s="23">
        <f>EXP(-LN(2)/2)*BR121+(1-EXP(-LN(2)/2))/(LN(2)/2)*BL122*BO122*VLOOKUP('Données projet'!$B$11,Paramètres!$A$1:$I$89,3,0)*0.475*44/12</f>
        <v>5.0441664914187481E-13</v>
      </c>
      <c r="BS122" s="24">
        <f t="shared" si="63"/>
        <v>0.22883822192450259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3.6</v>
      </c>
      <c r="BY122" s="13">
        <f>IF('Données projet'!$A$114&gt;35,BY121+BX122-CG121,IF(A122&lt;'Données projet'!$A$114,$BV$205^A122,IF(A122='Données projet'!$A$114,'Données projet'!$B$114,BY121+BX122-CG121)))</f>
        <v>301.40000000000009</v>
      </c>
      <c r="BZ122" s="14">
        <f>BY122*VLOOKUP('Données projet'!$B$12,Paramètres!$A$1:$I$89,3,0)*VLOOKUP('Données projet'!$B$12,Paramètres!$A$1:$I$89,5,0)</f>
        <v>305.6196000000001</v>
      </c>
      <c r="CA122" s="14">
        <f t="shared" si="93"/>
        <v>72.353272002127468</v>
      </c>
      <c r="CB122" s="22">
        <f t="shared" si="64"/>
        <v>658.30275207037221</v>
      </c>
      <c r="CC122" s="62">
        <f t="shared" si="65"/>
        <v>951.63608540370547</v>
      </c>
      <c r="CD122" s="62">
        <f ca="1">AVERAGE(OFFSET($CC$3,0,0,'Données projet'!$E$12+1,1))-AVERAGE(OFFSET($H$3,0,0,'Données projet'!$E$12+1,1))</f>
        <v>308.72872453744998</v>
      </c>
      <c r="CE122" s="62">
        <f t="shared" si="94"/>
        <v>195.3674411454258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0.25645662801827396</v>
      </c>
      <c r="CM122" s="23">
        <f>EXP(-LN(2)/2)*CM121+(1-EXP(-LN(2)/2))/(LN(2)/2)*CG122*CJ122*VLOOKUP('Données projet'!$B$12,Paramètres!$A$1:$I$89,3,0)*0.475*44/12</f>
        <v>5.6529452059003216E-13</v>
      </c>
      <c r="CN122" s="24">
        <f t="shared" si="66"/>
        <v>0.25645662801883923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160.24926890971085</v>
      </c>
      <c r="T123" s="62">
        <f t="shared" si="88"/>
        <v>323.52368436151721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9.9173827573439848</v>
      </c>
      <c r="AA123" s="23">
        <f>EXP(-LN(2)/25)*AA122+(1-EXP(-LN(2)/25))/(LN(2)/25)*Calculateur!V123*Calculateur!X123*VLOOKUP('Données projet'!$B$9,Paramètres!$A$1:$I$89,3,0)*0.475*44/12</f>
        <v>4.2592081349147515</v>
      </c>
      <c r="AB123" s="23">
        <f>EXP(-LN(2)/2)*AB122+(1-EXP(-LN(2)/2))/(LN(2)/2)*V123*Y123*VLOOKUP('Données projet'!$B$9,Paramètres!$A$1:$I$89,3,0)*0.475*44/12</f>
        <v>5.0675214579132765E-12</v>
      </c>
      <c r="AC123" s="24">
        <f t="shared" si="57"/>
        <v>14.176590892263805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305</v>
      </c>
      <c r="AG123" s="13">
        <f>VLOOKUP(A123,'Données projet'!$A$61:$I$81,9,0)</f>
        <v>3.6</v>
      </c>
      <c r="AH123" s="13">
        <f t="array" ref="AH123">INDEX(AG:AG,MIN(IF(ISNUMBER(AG123:AG319),ROW(AG123:AG319),"")))</f>
        <v>3.6</v>
      </c>
      <c r="AI123" s="14">
        <f>IF('Données projet'!$A$62&gt;35,AI122+AH123-AQ122,IF(A123&lt;'Données projet'!$A$62,$AF$205^A123,IF(A123='Données projet'!$A$62,'Données projet'!$B$62,AI122+AH123-AQ122)))</f>
        <v>305.00000000000011</v>
      </c>
      <c r="AJ123" s="14">
        <f>AI123*VLOOKUP('Données projet'!$B$10,Paramètres!$A$1:$I$89,3,0)*VLOOKUP('Données projet'!$B$10,Paramètres!$A$1:$I$89,5,0)</f>
        <v>318.78600000000012</v>
      </c>
      <c r="AK123" s="14">
        <f t="shared" si="89"/>
        <v>75.10070150198348</v>
      </c>
      <c r="AL123" s="22">
        <f t="shared" si="58"/>
        <v>686.01933844928806</v>
      </c>
      <c r="AM123" s="62">
        <f t="shared" si="59"/>
        <v>979.35267178262143</v>
      </c>
      <c r="AN123" s="62">
        <f ca="1">AVERAGE(OFFSET($AM$3,0,0,'Données projet'!$E$10+1,1))-AVERAGE(OFFSET($H$3,0,0,'Données projet'!$E$10+1,1))</f>
        <v>320.63267332485663</v>
      </c>
      <c r="AO123" s="62">
        <f t="shared" si="90"/>
        <v>201.96012789473809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305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0.25711900213214312</v>
      </c>
      <c r="AW123" s="23">
        <f>EXP(-LN(2)/2)*AW122+(1-EXP(-LN(2)/2))/(LN(2)/2)*AQ123*AT123*VLOOKUP('Données projet'!$B$10,Paramètres!$A$1:$I$89,3,0)*0.475*44/12</f>
        <v>4.1202277622686655E-13</v>
      </c>
      <c r="AX123" s="23">
        <f t="shared" si="60"/>
        <v>0.25711900213255512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305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305.00000000000011</v>
      </c>
      <c r="BE123" s="14">
        <f>BD123*VLOOKUP('Données projet'!$B$11,Paramètres!$A$1:$I$89,3,0)*VLOOKUP('Données projet'!$B$11,Paramètres!$A$1:$I$89,5,0)</f>
        <v>275.96400000000011</v>
      </c>
      <c r="BF123" s="14">
        <f t="shared" si="91"/>
        <v>66.113366665488911</v>
      </c>
      <c r="BG123" s="22">
        <f t="shared" si="61"/>
        <v>595.78474694239333</v>
      </c>
      <c r="BH123" s="62">
        <f t="shared" si="62"/>
        <v>889.1180802757267</v>
      </c>
      <c r="BI123" s="62">
        <f ca="1">AVERAGE(OFFSET($BH$3,0,0,'Données projet'!$E$11+1,1))-AVERAGE(OFFSET($H$3,0,0,'Données projet'!$E$11+1,1))</f>
        <v>267.00333505765792</v>
      </c>
      <c r="BJ123" s="62">
        <f t="shared" si="92"/>
        <v>172.25613380618557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305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0.22258062871140735</v>
      </c>
      <c r="BR123" s="23">
        <f>EXP(-LN(2)/2)*BR122+(1-EXP(-LN(2)/2))/(LN(2)/2)*BL123*BO123*VLOOKUP('Données projet'!$B$11,Paramètres!$A$1:$I$89,3,0)*0.475*44/12</f>
        <v>3.5667643315161518E-13</v>
      </c>
      <c r="BS123" s="24">
        <f t="shared" si="63"/>
        <v>0.22258062871176404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305</v>
      </c>
      <c r="BW123" s="13">
        <f>VLOOKUP(A123,'Données projet'!$A$113:$I$133,9,0)</f>
        <v>3.6</v>
      </c>
      <c r="BX123" s="13">
        <f t="array" ref="BX123">INDEX(BW:BW,MIN(IF(ISNUMBER(BW123:BW319),ROW(BW123:BW319),"")))</f>
        <v>3.6</v>
      </c>
      <c r="BY123" s="13">
        <f>IF('Données projet'!$A$114&gt;35,BY122+BX123-CG122,IF(A123&lt;'Données projet'!$A$114,$BV$205^A123,IF(A123='Données projet'!$A$114,'Données projet'!$B$114,BY122+BX123-CG122)))</f>
        <v>305.00000000000011</v>
      </c>
      <c r="BZ123" s="14">
        <f>BY123*VLOOKUP('Données projet'!$B$12,Paramètres!$A$1:$I$89,3,0)*VLOOKUP('Données projet'!$B$12,Paramètres!$A$1:$I$89,5,0)</f>
        <v>309.27000000000015</v>
      </c>
      <c r="CA123" s="14">
        <f t="shared" si="93"/>
        <v>73.116356204711153</v>
      </c>
      <c r="CB123" s="22">
        <f t="shared" si="64"/>
        <v>665.98957038987214</v>
      </c>
      <c r="CC123" s="62">
        <f t="shared" si="65"/>
        <v>959.3229037232054</v>
      </c>
      <c r="CD123" s="62">
        <f ca="1">AVERAGE(OFFSET($CC$3,0,0,'Données projet'!$E$12+1,1))-AVERAGE(OFFSET($H$3,0,0,'Données projet'!$E$12+1,1))</f>
        <v>308.72872453744998</v>
      </c>
      <c r="CE123" s="62">
        <f t="shared" si="94"/>
        <v>195.3674411454258</v>
      </c>
      <c r="CF123" s="16">
        <f>IF(ISNA(VLOOKUP(A123,'Données projet'!$A$113:$I$133,3,0)),0,VLOOKUP(A123,'Données projet'!$A$113:$I$133,3,0))</f>
        <v>20</v>
      </c>
      <c r="CG123" s="16">
        <f>IF(ISNA(VLOOKUP(A123,'Données projet'!$A$113:$I$133,4,0)),0,VLOOKUP(A123,'Données projet'!$A$113:$I$133,4,0))</f>
        <v>305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0.24944380803864633</v>
      </c>
      <c r="CM123" s="23">
        <f>EXP(-LN(2)/2)*CM122+(1-EXP(-LN(2)/2))/(LN(2)/2)*CG123*CJ123*VLOOKUP('Données projet'!$B$12,Paramètres!$A$1:$I$89,3,0)*0.475*44/12</f>
        <v>3.9972358887681016E-13</v>
      </c>
      <c r="CN123" s="24">
        <f t="shared" si="66"/>
        <v>0.24944380803904606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160.24926890971085</v>
      </c>
      <c r="T124" s="62">
        <f t="shared" si="88"/>
        <v>323.52368436151721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9.7229089304786616</v>
      </c>
      <c r="AA124" s="23">
        <f>EXP(-LN(2)/25)*AA123+(1-EXP(-LN(2)/25))/(LN(2)/25)*Calculateur!V124*Calculateur!X124*VLOOKUP('Données projet'!$B$9,Paramètres!$A$1:$I$89,3,0)*0.475*44/12</f>
        <v>4.1427398644834863</v>
      </c>
      <c r="AB124" s="23">
        <f>EXP(-LN(2)/2)*AB123+(1-EXP(-LN(2)/2))/(LN(2)/2)*V124*Y124*VLOOKUP('Données projet'!$B$9,Paramètres!$A$1:$I$89,3,0)*0.475*44/12</f>
        <v>3.5832787866988176E-12</v>
      </c>
      <c r="AC124" s="24">
        <f t="shared" si="57"/>
        <v>13.865648794965731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1.1882548278663309E-13</v>
      </c>
      <c r="AK124" s="14">
        <f t="shared" si="89"/>
        <v>1.7496137229198366E-12</v>
      </c>
      <c r="AL124" s="22">
        <f t="shared" si="58"/>
        <v>3.2541982832721012E-12</v>
      </c>
      <c r="AM124" s="62">
        <f t="shared" si="59"/>
        <v>293.33333333333655</v>
      </c>
      <c r="AN124" s="62">
        <f ca="1">AVERAGE(OFFSET($AM$3,0,0,'Données projet'!$E$10+1,1))-AVERAGE(OFFSET($H$3,0,0,'Données projet'!$E$10+1,1))</f>
        <v>320.63267332485663</v>
      </c>
      <c r="AO124" s="62">
        <f t="shared" si="90"/>
        <v>201.96012789473809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0.25008806949753898</v>
      </c>
      <c r="AW124" s="23">
        <f>EXP(-LN(2)/2)*AW123+(1-EXP(-LN(2)/2))/(LN(2)/2)*AQ124*AT124*VLOOKUP('Données projet'!$B$10,Paramètres!$A$1:$I$89,3,0)*0.475*44/12</f>
        <v>2.9134409907332476E-13</v>
      </c>
      <c r="AX124" s="23">
        <f t="shared" si="60"/>
        <v>0.2500880694978303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1.0286385077051818E-13</v>
      </c>
      <c r="BF124" s="14">
        <f t="shared" si="91"/>
        <v>1.5402366592183556E-12</v>
      </c>
      <c r="BG124" s="22">
        <f t="shared" si="61"/>
        <v>2.8617333882306215E-12</v>
      </c>
      <c r="BH124" s="62">
        <f t="shared" si="62"/>
        <v>293.33333333333616</v>
      </c>
      <c r="BI124" s="62">
        <f ca="1">AVERAGE(OFFSET($BH$3,0,0,'Données projet'!$E$11+1,1))-AVERAGE(OFFSET($H$3,0,0,'Données projet'!$E$11+1,1))</f>
        <v>267.00333505765792</v>
      </c>
      <c r="BJ124" s="62">
        <f t="shared" si="92"/>
        <v>172.25613380618557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0.21649414971428738</v>
      </c>
      <c r="BR124" s="23">
        <f>EXP(-LN(2)/2)*BR123+(1-EXP(-LN(2)/2))/(LN(2)/2)*BL124*BO124*VLOOKUP('Données projet'!$B$11,Paramètres!$A$1:$I$89,3,0)*0.475*44/12</f>
        <v>2.522083245709374E-13</v>
      </c>
      <c r="BS124" s="24">
        <f t="shared" si="63"/>
        <v>0.21649414971453959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1.1368683772161603E-13</v>
      </c>
      <c r="BZ124" s="14">
        <f>BY124*VLOOKUP('Données projet'!$B$12,Paramètres!$A$1:$I$89,3,0)*VLOOKUP('Données projet'!$B$12,Paramètres!$A$1:$I$89,5,0)</f>
        <v>1.1527845344971866E-13</v>
      </c>
      <c r="CA124" s="14">
        <f t="shared" si="93"/>
        <v>1.7033846239409443E-12</v>
      </c>
      <c r="CB124" s="22">
        <f t="shared" si="64"/>
        <v>3.1675048597887374E-12</v>
      </c>
      <c r="CC124" s="62">
        <f t="shared" si="65"/>
        <v>293.3333333333365</v>
      </c>
      <c r="CD124" s="62">
        <f ca="1">AVERAGE(OFFSET($CC$3,0,0,'Données projet'!$E$12+1,1))-AVERAGE(OFFSET($H$3,0,0,'Données projet'!$E$12+1,1))</f>
        <v>308.72872453744998</v>
      </c>
      <c r="CE124" s="62">
        <f t="shared" si="94"/>
        <v>195.3674411454258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0.24262275399014979</v>
      </c>
      <c r="CM124" s="23">
        <f>EXP(-LN(2)/2)*CM123+(1-EXP(-LN(2)/2))/(LN(2)/2)*CG124*CJ124*VLOOKUP('Données projet'!$B$12,Paramètres!$A$1:$I$89,3,0)*0.475*44/12</f>
        <v>2.8264726029501608E-13</v>
      </c>
      <c r="CN124" s="24">
        <f t="shared" si="66"/>
        <v>0.24262275399043243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160.24926890971085</v>
      </c>
      <c r="T125" s="62">
        <f t="shared" si="88"/>
        <v>323.52368436151721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9.532248616740846</v>
      </c>
      <c r="AA125" s="23">
        <f>EXP(-LN(2)/25)*AA124+(1-EXP(-LN(2)/25))/(LN(2)/25)*Calculateur!V125*Calculateur!X125*VLOOKUP('Données projet'!$B$9,Paramètres!$A$1:$I$89,3,0)*0.475*44/12</f>
        <v>4.029456425031964</v>
      </c>
      <c r="AB125" s="23">
        <f>EXP(-LN(2)/2)*AB124+(1-EXP(-LN(2)/2))/(LN(2)/2)*V125*Y125*VLOOKUP('Données projet'!$B$9,Paramètres!$A$1:$I$89,3,0)*0.475*44/12</f>
        <v>2.5337607289566386E-12</v>
      </c>
      <c r="AC125" s="24">
        <f t="shared" si="57"/>
        <v>13.561705041775344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1.1882548278663309E-13</v>
      </c>
      <c r="AK125" s="14">
        <f t="shared" si="89"/>
        <v>1.7496137229198366E-12</v>
      </c>
      <c r="AL125" s="22">
        <f t="shared" si="58"/>
        <v>3.2541982832721012E-12</v>
      </c>
      <c r="AM125" s="62">
        <f t="shared" si="59"/>
        <v>293.33333333333655</v>
      </c>
      <c r="AN125" s="62">
        <f ca="1">AVERAGE(OFFSET($AM$3,0,0,'Données projet'!$E$10+1,1))-AVERAGE(OFFSET($H$3,0,0,'Données projet'!$E$10+1,1))</f>
        <v>320.63267332485663</v>
      </c>
      <c r="AO125" s="62">
        <f t="shared" si="90"/>
        <v>201.96012789473809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0.24324939808556878</v>
      </c>
      <c r="AW125" s="23">
        <f>EXP(-LN(2)/2)*AW124+(1-EXP(-LN(2)/2))/(LN(2)/2)*AQ125*AT125*VLOOKUP('Données projet'!$B$10,Paramètres!$A$1:$I$89,3,0)*0.475*44/12</f>
        <v>2.0601138811343328E-13</v>
      </c>
      <c r="AX125" s="23">
        <f t="shared" si="60"/>
        <v>0.24324939808577478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1.0286385077051818E-13</v>
      </c>
      <c r="BF125" s="14">
        <f t="shared" si="91"/>
        <v>1.5402366592183556E-12</v>
      </c>
      <c r="BG125" s="22">
        <f t="shared" si="61"/>
        <v>2.8617333882306215E-12</v>
      </c>
      <c r="BH125" s="62">
        <f t="shared" si="62"/>
        <v>293.33333333333616</v>
      </c>
      <c r="BI125" s="62">
        <f ca="1">AVERAGE(OFFSET($BH$3,0,0,'Données projet'!$E$11+1,1))-AVERAGE(OFFSET($H$3,0,0,'Données projet'!$E$11+1,1))</f>
        <v>267.00333505765792</v>
      </c>
      <c r="BJ125" s="62">
        <f t="shared" si="92"/>
        <v>172.25613380618557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0.21057410580541766</v>
      </c>
      <c r="BR125" s="23">
        <f>EXP(-LN(2)/2)*BR124+(1-EXP(-LN(2)/2))/(LN(2)/2)*BL125*BO125*VLOOKUP('Données projet'!$B$11,Paramètres!$A$1:$I$89,3,0)*0.475*44/12</f>
        <v>1.7833821657580759E-13</v>
      </c>
      <c r="BS125" s="24">
        <f t="shared" si="63"/>
        <v>0.21057410580559599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1.1368683772161603E-13</v>
      </c>
      <c r="BZ125" s="14">
        <f>BY125*VLOOKUP('Données projet'!$B$12,Paramètres!$A$1:$I$89,3,0)*VLOOKUP('Données projet'!$B$12,Paramètres!$A$1:$I$89,5,0)</f>
        <v>1.1527845344971866E-13</v>
      </c>
      <c r="CA125" s="14">
        <f t="shared" si="93"/>
        <v>1.7033846239409443E-12</v>
      </c>
      <c r="CB125" s="22">
        <f t="shared" si="64"/>
        <v>3.1675048597887374E-12</v>
      </c>
      <c r="CC125" s="62">
        <f t="shared" si="65"/>
        <v>293.3333333333365</v>
      </c>
      <c r="CD125" s="62">
        <f ca="1">AVERAGE(OFFSET($CC$3,0,0,'Données projet'!$E$12+1,1))-AVERAGE(OFFSET($H$3,0,0,'Données projet'!$E$12+1,1))</f>
        <v>308.72872453744998</v>
      </c>
      <c r="CE125" s="62">
        <f t="shared" si="94"/>
        <v>195.3674411454258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0.23598822202331304</v>
      </c>
      <c r="CM125" s="23">
        <f>EXP(-LN(2)/2)*CM124+(1-EXP(-LN(2)/2))/(LN(2)/2)*CG125*CJ125*VLOOKUP('Données projet'!$B$12,Paramètres!$A$1:$I$89,3,0)*0.475*44/12</f>
        <v>1.9986179443840508E-13</v>
      </c>
      <c r="CN125" s="24">
        <f t="shared" si="66"/>
        <v>0.23598822202351291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160.24926890971085</v>
      </c>
      <c r="T126" s="62">
        <f t="shared" si="88"/>
        <v>323.52368436151721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9.3453270354641198</v>
      </c>
      <c r="AA126" s="23">
        <f>EXP(-LN(2)/25)*AA125+(1-EXP(-LN(2)/25))/(LN(2)/25)*Calculateur!V126*Calculateur!X126*VLOOKUP('Données projet'!$B$9,Paramètres!$A$1:$I$89,3,0)*0.475*44/12</f>
        <v>3.919270727189561</v>
      </c>
      <c r="AB126" s="23">
        <f>EXP(-LN(2)/2)*AB125+(1-EXP(-LN(2)/2))/(LN(2)/2)*V126*Y126*VLOOKUP('Données projet'!$B$9,Paramètres!$A$1:$I$89,3,0)*0.475*44/12</f>
        <v>1.7916393933494092E-12</v>
      </c>
      <c r="AC126" s="24">
        <f t="shared" si="57"/>
        <v>13.264597762655473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1.1882548278663309E-13</v>
      </c>
      <c r="AK126" s="14">
        <f t="shared" si="89"/>
        <v>1.7496137229198366E-12</v>
      </c>
      <c r="AL126" s="22">
        <f t="shared" si="58"/>
        <v>3.2541982832721012E-12</v>
      </c>
      <c r="AM126" s="62">
        <f t="shared" si="59"/>
        <v>293.33333333333655</v>
      </c>
      <c r="AN126" s="62">
        <f ca="1">AVERAGE(OFFSET($AM$3,0,0,'Données projet'!$E$10+1,1))-AVERAGE(OFFSET($H$3,0,0,'Données projet'!$E$10+1,1))</f>
        <v>320.63267332485663</v>
      </c>
      <c r="AO126" s="62">
        <f t="shared" si="90"/>
        <v>201.96012789473809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0.23659773050298902</v>
      </c>
      <c r="AW126" s="23">
        <f>EXP(-LN(2)/2)*AW125+(1-EXP(-LN(2)/2))/(LN(2)/2)*AQ126*AT126*VLOOKUP('Données projet'!$B$10,Paramètres!$A$1:$I$89,3,0)*0.475*44/12</f>
        <v>1.4567204953666238E-13</v>
      </c>
      <c r="AX126" s="23">
        <f t="shared" si="60"/>
        <v>0.23659773050313468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1.0286385077051818E-13</v>
      </c>
      <c r="BF126" s="14">
        <f t="shared" si="91"/>
        <v>1.5402366592183556E-12</v>
      </c>
      <c r="BG126" s="22">
        <f t="shared" si="61"/>
        <v>2.8617333882306215E-12</v>
      </c>
      <c r="BH126" s="62">
        <f t="shared" si="62"/>
        <v>293.33333333333616</v>
      </c>
      <c r="BI126" s="62">
        <f ca="1">AVERAGE(OFFSET($BH$3,0,0,'Données projet'!$E$11+1,1))-AVERAGE(OFFSET($H$3,0,0,'Données projet'!$E$11+1,1))</f>
        <v>267.00333505765792</v>
      </c>
      <c r="BJ126" s="62">
        <f t="shared" si="92"/>
        <v>172.25613380618557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0.20481594580855755</v>
      </c>
      <c r="BR126" s="23">
        <f>EXP(-LN(2)/2)*BR125+(1-EXP(-LN(2)/2))/(LN(2)/2)*BL126*BO126*VLOOKUP('Données projet'!$B$11,Paramètres!$A$1:$I$89,3,0)*0.475*44/12</f>
        <v>1.261041622854687E-13</v>
      </c>
      <c r="BS126" s="24">
        <f t="shared" si="63"/>
        <v>0.20481594580868365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1.1368683772161603E-13</v>
      </c>
      <c r="BZ126" s="14">
        <f>BY126*VLOOKUP('Données projet'!$B$12,Paramètres!$A$1:$I$89,3,0)*VLOOKUP('Données projet'!$B$12,Paramètres!$A$1:$I$89,5,0)</f>
        <v>1.1527845344971866E-13</v>
      </c>
      <c r="CA126" s="14">
        <f t="shared" si="93"/>
        <v>1.7033846239409443E-12</v>
      </c>
      <c r="CB126" s="22">
        <f t="shared" si="64"/>
        <v>3.1675048597887374E-12</v>
      </c>
      <c r="CC126" s="62">
        <f t="shared" si="65"/>
        <v>293.3333333333365</v>
      </c>
      <c r="CD126" s="62">
        <f ca="1">AVERAGE(OFFSET($CC$3,0,0,'Données projet'!$E$12+1,1))-AVERAGE(OFFSET($H$3,0,0,'Données projet'!$E$12+1,1))</f>
        <v>308.72872453744998</v>
      </c>
      <c r="CE126" s="62">
        <f t="shared" si="94"/>
        <v>195.3674411454258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0.2295351116820043</v>
      </c>
      <c r="CM126" s="23">
        <f>EXP(-LN(2)/2)*CM125+(1-EXP(-LN(2)/2))/(LN(2)/2)*CG126*CJ126*VLOOKUP('Données projet'!$B$12,Paramètres!$A$1:$I$89,3,0)*0.475*44/12</f>
        <v>1.4132363014750804E-13</v>
      </c>
      <c r="CN126" s="24">
        <f t="shared" si="66"/>
        <v>0.22953511168214563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160.24926890971085</v>
      </c>
      <c r="T127" s="62">
        <f t="shared" si="88"/>
        <v>323.52368436151721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9.162070872385323</v>
      </c>
      <c r="AA127" s="23">
        <f>EXP(-LN(2)/25)*AA126+(1-EXP(-LN(2)/25))/(LN(2)/25)*Calculateur!V127*Calculateur!X127*VLOOKUP('Données projet'!$B$9,Paramètres!$A$1:$I$89,3,0)*0.475*44/12</f>
        <v>3.8120980630490724</v>
      </c>
      <c r="AB127" s="23">
        <f>EXP(-LN(2)/2)*AB126+(1-EXP(-LN(2)/2))/(LN(2)/2)*V127*Y127*VLOOKUP('Données projet'!$B$9,Paramètres!$A$1:$I$89,3,0)*0.475*44/12</f>
        <v>1.2668803644783195E-12</v>
      </c>
      <c r="AC127" s="24">
        <f t="shared" si="57"/>
        <v>12.974168935435662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1.1882548278663309E-13</v>
      </c>
      <c r="AK127" s="14">
        <f t="shared" si="89"/>
        <v>1.7496137229198366E-12</v>
      </c>
      <c r="AL127" s="22">
        <f t="shared" si="58"/>
        <v>3.2541982832721012E-12</v>
      </c>
      <c r="AM127" s="62">
        <f t="shared" si="59"/>
        <v>293.33333333333655</v>
      </c>
      <c r="AN127" s="62">
        <f ca="1">AVERAGE(OFFSET($AM$3,0,0,'Données projet'!$E$10+1,1))-AVERAGE(OFFSET($H$3,0,0,'Données projet'!$E$10+1,1))</f>
        <v>320.63267332485663</v>
      </c>
      <c r="AO127" s="62">
        <f t="shared" si="90"/>
        <v>201.96012789473809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0.23012795312025089</v>
      </c>
      <c r="AW127" s="23">
        <f>EXP(-LN(2)/2)*AW126+(1-EXP(-LN(2)/2))/(LN(2)/2)*AQ127*AT127*VLOOKUP('Données projet'!$B$10,Paramètres!$A$1:$I$89,3,0)*0.475*44/12</f>
        <v>1.0300569405671664E-13</v>
      </c>
      <c r="AX127" s="23">
        <f t="shared" si="60"/>
        <v>0.23012795312035389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1.0286385077051818E-13</v>
      </c>
      <c r="BF127" s="14">
        <f t="shared" si="91"/>
        <v>1.5402366592183556E-12</v>
      </c>
      <c r="BG127" s="22">
        <f t="shared" si="61"/>
        <v>2.8617333882306215E-12</v>
      </c>
      <c r="BH127" s="62">
        <f t="shared" si="62"/>
        <v>293.33333333333616</v>
      </c>
      <c r="BI127" s="62">
        <f ca="1">AVERAGE(OFFSET($BH$3,0,0,'Données projet'!$E$11+1,1))-AVERAGE(OFFSET($H$3,0,0,'Données projet'!$E$11+1,1))</f>
        <v>267.00333505765792</v>
      </c>
      <c r="BJ127" s="62">
        <f t="shared" si="92"/>
        <v>172.25613380618557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0.19921524299962007</v>
      </c>
      <c r="BR127" s="23">
        <f>EXP(-LN(2)/2)*BR126+(1-EXP(-LN(2)/2))/(LN(2)/2)*BL127*BO127*VLOOKUP('Données projet'!$B$11,Paramètres!$A$1:$I$89,3,0)*0.475*44/12</f>
        <v>8.9169108287903796E-14</v>
      </c>
      <c r="BS127" s="24">
        <f t="shared" si="63"/>
        <v>0.19921524299970925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1.1368683772161603E-13</v>
      </c>
      <c r="BZ127" s="14">
        <f>BY127*VLOOKUP('Données projet'!$B$12,Paramètres!$A$1:$I$89,3,0)*VLOOKUP('Données projet'!$B$12,Paramètres!$A$1:$I$89,5,0)</f>
        <v>1.1527845344971866E-13</v>
      </c>
      <c r="CA127" s="14">
        <f t="shared" si="93"/>
        <v>1.7033846239409443E-12</v>
      </c>
      <c r="CB127" s="22">
        <f t="shared" si="64"/>
        <v>3.1675048597887374E-12</v>
      </c>
      <c r="CC127" s="62">
        <f t="shared" si="65"/>
        <v>293.3333333333365</v>
      </c>
      <c r="CD127" s="62">
        <f ca="1">AVERAGE(OFFSET($CC$3,0,0,'Données projet'!$E$12+1,1))-AVERAGE(OFFSET($H$3,0,0,'Données projet'!$E$12+1,1))</f>
        <v>308.72872453744998</v>
      </c>
      <c r="CE127" s="62">
        <f t="shared" si="94"/>
        <v>195.3674411454258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0.22325846198233298</v>
      </c>
      <c r="CM127" s="23">
        <f>EXP(-LN(2)/2)*CM126+(1-EXP(-LN(2)/2))/(LN(2)/2)*CG127*CJ127*VLOOKUP('Données projet'!$B$12,Paramètres!$A$1:$I$89,3,0)*0.475*44/12</f>
        <v>9.993089721920254E-14</v>
      </c>
      <c r="CN127" s="24">
        <f t="shared" si="66"/>
        <v>0.2232584619824329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160.24926890971085</v>
      </c>
      <c r="T128" s="62">
        <f t="shared" si="88"/>
        <v>323.52368436151721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8.9824082508892786</v>
      </c>
      <c r="AA128" s="23">
        <f>EXP(-LN(2)/25)*AA127+(1-EXP(-LN(2)/25))/(LN(2)/25)*Calculateur!V128*Calculateur!X128*VLOOKUP('Données projet'!$B$9,Paramètres!$A$1:$I$89,3,0)*0.475*44/12</f>
        <v>3.7078560410454711</v>
      </c>
      <c r="AB128" s="23">
        <f>EXP(-LN(2)/2)*AB127+(1-EXP(-LN(2)/2))/(LN(2)/2)*V128*Y128*VLOOKUP('Données projet'!$B$9,Paramètres!$A$1:$I$89,3,0)*0.475*44/12</f>
        <v>8.958196966747047E-13</v>
      </c>
      <c r="AC128" s="24">
        <f t="shared" si="57"/>
        <v>12.690264291935645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1.1882548278663309E-13</v>
      </c>
      <c r="AK128" s="14">
        <f t="shared" si="89"/>
        <v>1.7496137229198366E-12</v>
      </c>
      <c r="AL128" s="22">
        <f t="shared" si="58"/>
        <v>3.2541982832721012E-12</v>
      </c>
      <c r="AM128" s="62">
        <f t="shared" si="59"/>
        <v>293.33333333333655</v>
      </c>
      <c r="AN128" s="62">
        <f ca="1">AVERAGE(OFFSET($AM$3,0,0,'Données projet'!$E$10+1,1))-AVERAGE(OFFSET($H$3,0,0,'Données projet'!$E$10+1,1))</f>
        <v>320.63267332485663</v>
      </c>
      <c r="AO128" s="62">
        <f t="shared" si="90"/>
        <v>201.96012789473809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0.22383509214027453</v>
      </c>
      <c r="AW128" s="23">
        <f>EXP(-LN(2)/2)*AW127+(1-EXP(-LN(2)/2))/(LN(2)/2)*AQ128*AT128*VLOOKUP('Données projet'!$B$10,Paramètres!$A$1:$I$89,3,0)*0.475*44/12</f>
        <v>7.283602476833119E-14</v>
      </c>
      <c r="AX128" s="23">
        <f t="shared" si="60"/>
        <v>0.22383509214034736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1.0286385077051818E-13</v>
      </c>
      <c r="BF128" s="14">
        <f t="shared" si="91"/>
        <v>1.5402366592183556E-12</v>
      </c>
      <c r="BG128" s="22">
        <f t="shared" si="61"/>
        <v>2.8617333882306215E-12</v>
      </c>
      <c r="BH128" s="62">
        <f t="shared" si="62"/>
        <v>293.33333333333616</v>
      </c>
      <c r="BI128" s="62">
        <f ca="1">AVERAGE(OFFSET($BH$3,0,0,'Données projet'!$E$11+1,1))-AVERAGE(OFFSET($H$3,0,0,'Données projet'!$E$11+1,1))</f>
        <v>267.00333505765792</v>
      </c>
      <c r="BJ128" s="62">
        <f t="shared" si="92"/>
        <v>172.25613380618557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0.19376769170352115</v>
      </c>
      <c r="BR128" s="23">
        <f>EXP(-LN(2)/2)*BR127+(1-EXP(-LN(2)/2))/(LN(2)/2)*BL128*BO128*VLOOKUP('Données projet'!$B$11,Paramètres!$A$1:$I$89,3,0)*0.475*44/12</f>
        <v>6.3052081142734351E-14</v>
      </c>
      <c r="BS128" s="24">
        <f t="shared" si="63"/>
        <v>0.19376769170358421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1.1368683772161603E-13</v>
      </c>
      <c r="BZ128" s="14">
        <f>BY128*VLOOKUP('Données projet'!$B$12,Paramètres!$A$1:$I$89,3,0)*VLOOKUP('Données projet'!$B$12,Paramètres!$A$1:$I$89,5,0)</f>
        <v>1.1527845344971866E-13</v>
      </c>
      <c r="CA128" s="14">
        <f t="shared" si="93"/>
        <v>1.7033846239409443E-12</v>
      </c>
      <c r="CB128" s="22">
        <f t="shared" si="64"/>
        <v>3.1675048597887374E-12</v>
      </c>
      <c r="CC128" s="62">
        <f t="shared" si="65"/>
        <v>293.3333333333365</v>
      </c>
      <c r="CD128" s="62">
        <f ca="1">AVERAGE(OFFSET($CC$3,0,0,'Données projet'!$E$12+1,1))-AVERAGE(OFFSET($H$3,0,0,'Données projet'!$E$12+1,1))</f>
        <v>308.72872453744998</v>
      </c>
      <c r="CE128" s="62">
        <f t="shared" si="94"/>
        <v>195.3674411454258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0.21715344759877384</v>
      </c>
      <c r="CM128" s="23">
        <f>EXP(-LN(2)/2)*CM127+(1-EXP(-LN(2)/2))/(LN(2)/2)*CG128*CJ128*VLOOKUP('Données projet'!$B$12,Paramètres!$A$1:$I$89,3,0)*0.475*44/12</f>
        <v>7.066181507375402E-14</v>
      </c>
      <c r="CN128" s="24">
        <f t="shared" si="66"/>
        <v>0.2171534475988445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160.24926890971085</v>
      </c>
      <c r="T129" s="62">
        <f t="shared" si="88"/>
        <v>323.52368436151721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8.806268703817393</v>
      </c>
      <c r="AA129" s="23">
        <f>EXP(-LN(2)/25)*AA128+(1-EXP(-LN(2)/25))/(LN(2)/25)*Calculateur!V129*Calculateur!X129*VLOOKUP('Données projet'!$B$9,Paramètres!$A$1:$I$89,3,0)*0.475*44/12</f>
        <v>3.6064645226154077</v>
      </c>
      <c r="AB129" s="23">
        <f>EXP(-LN(2)/2)*AB128+(1-EXP(-LN(2)/2))/(LN(2)/2)*V129*Y129*VLOOKUP('Données projet'!$B$9,Paramètres!$A$1:$I$89,3,0)*0.475*44/12</f>
        <v>6.3344018223915986E-13</v>
      </c>
      <c r="AC129" s="24">
        <f t="shared" si="57"/>
        <v>12.412733226433435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1.1882548278663309E-13</v>
      </c>
      <c r="AK129" s="14">
        <f t="shared" si="89"/>
        <v>1.7496137229198366E-12</v>
      </c>
      <c r="AL129" s="22">
        <f t="shared" si="58"/>
        <v>3.2541982832721012E-12</v>
      </c>
      <c r="AM129" s="62">
        <f t="shared" si="59"/>
        <v>293.33333333333655</v>
      </c>
      <c r="AN129" s="62">
        <f ca="1">AVERAGE(OFFSET($AM$3,0,0,'Données projet'!$E$10+1,1))-AVERAGE(OFFSET($H$3,0,0,'Données projet'!$E$10+1,1))</f>
        <v>320.63267332485663</v>
      </c>
      <c r="AO129" s="62">
        <f t="shared" si="90"/>
        <v>201.96012789473809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0.21771430977472281</v>
      </c>
      <c r="AW129" s="23">
        <f>EXP(-LN(2)/2)*AW128+(1-EXP(-LN(2)/2))/(LN(2)/2)*AQ129*AT129*VLOOKUP('Données projet'!$B$10,Paramètres!$A$1:$I$89,3,0)*0.475*44/12</f>
        <v>5.1502847028358319E-14</v>
      </c>
      <c r="AX129" s="23">
        <f t="shared" si="60"/>
        <v>0.21771430977477432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1.0286385077051818E-13</v>
      </c>
      <c r="BF129" s="14">
        <f t="shared" si="91"/>
        <v>1.5402366592183556E-12</v>
      </c>
      <c r="BG129" s="22">
        <f t="shared" si="61"/>
        <v>2.8617333882306215E-12</v>
      </c>
      <c r="BH129" s="62">
        <f t="shared" si="62"/>
        <v>293.33333333333616</v>
      </c>
      <c r="BI129" s="62">
        <f ca="1">AVERAGE(OFFSET($BH$3,0,0,'Données projet'!$E$11+1,1))-AVERAGE(OFFSET($H$3,0,0,'Données projet'!$E$11+1,1))</f>
        <v>267.00333505765792</v>
      </c>
      <c r="BJ129" s="62">
        <f t="shared" si="92"/>
        <v>172.25613380618557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0.18846910398408831</v>
      </c>
      <c r="BR129" s="23">
        <f>EXP(-LN(2)/2)*BR128+(1-EXP(-LN(2)/2))/(LN(2)/2)*BL129*BO129*VLOOKUP('Données projet'!$B$11,Paramètres!$A$1:$I$89,3,0)*0.475*44/12</f>
        <v>4.4584554143951898E-14</v>
      </c>
      <c r="BS129" s="24">
        <f t="shared" si="63"/>
        <v>0.18846910398413289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1.1368683772161603E-13</v>
      </c>
      <c r="BZ129" s="14">
        <f>BY129*VLOOKUP('Données projet'!$B$12,Paramètres!$A$1:$I$89,3,0)*VLOOKUP('Données projet'!$B$12,Paramètres!$A$1:$I$89,5,0)</f>
        <v>1.1527845344971866E-13</v>
      </c>
      <c r="CA129" s="14">
        <f t="shared" si="93"/>
        <v>1.7033846239409443E-12</v>
      </c>
      <c r="CB129" s="22">
        <f t="shared" si="64"/>
        <v>3.1675048597887374E-12</v>
      </c>
      <c r="CC129" s="62">
        <f t="shared" si="65"/>
        <v>293.3333333333365</v>
      </c>
      <c r="CD129" s="62">
        <f ca="1">AVERAGE(OFFSET($CC$3,0,0,'Données projet'!$E$12+1,1))-AVERAGE(OFFSET($H$3,0,0,'Données projet'!$E$12+1,1))</f>
        <v>308.72872453744998</v>
      </c>
      <c r="CE129" s="62">
        <f t="shared" si="94"/>
        <v>195.3674411454258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0.21121537515458186</v>
      </c>
      <c r="CM129" s="23">
        <f>EXP(-LN(2)/2)*CM128+(1-EXP(-LN(2)/2))/(LN(2)/2)*CG129*CJ129*VLOOKUP('Données projet'!$B$12,Paramètres!$A$1:$I$89,3,0)*0.475*44/12</f>
        <v>4.996544860960127E-14</v>
      </c>
      <c r="CN129" s="24">
        <f t="shared" si="66"/>
        <v>0.21121537515463182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160.24926890971085</v>
      </c>
      <c r="T130" s="62">
        <f t="shared" si="88"/>
        <v>323.52368436151721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8.6335831458290713</v>
      </c>
      <c r="AA130" s="23">
        <f>EXP(-LN(2)/25)*AA129+(1-EXP(-LN(2)/25))/(LN(2)/25)*Calculateur!V130*Calculateur!X130*VLOOKUP('Données projet'!$B$9,Paramètres!$A$1:$I$89,3,0)*0.475*44/12</f>
        <v>3.5078455605887631</v>
      </c>
      <c r="AB130" s="23">
        <f>EXP(-LN(2)/2)*AB129+(1-EXP(-LN(2)/2))/(LN(2)/2)*V130*Y130*VLOOKUP('Données projet'!$B$9,Paramètres!$A$1:$I$89,3,0)*0.475*44/12</f>
        <v>4.4790984833735245E-13</v>
      </c>
      <c r="AC130" s="24">
        <f t="shared" si="57"/>
        <v>12.141428706418282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1.1882548278663309E-13</v>
      </c>
      <c r="AK130" s="14">
        <f t="shared" si="89"/>
        <v>1.7496137229198366E-12</v>
      </c>
      <c r="AL130" s="22">
        <f t="shared" si="58"/>
        <v>3.2541982832721012E-12</v>
      </c>
      <c r="AM130" s="62">
        <f t="shared" si="59"/>
        <v>293.33333333333655</v>
      </c>
      <c r="AN130" s="62">
        <f ca="1">AVERAGE(OFFSET($AM$3,0,0,'Données projet'!$E$10+1,1))-AVERAGE(OFFSET($H$3,0,0,'Données projet'!$E$10+1,1))</f>
        <v>320.63267332485663</v>
      </c>
      <c r="AO130" s="62">
        <f t="shared" si="90"/>
        <v>201.96012789473809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0.21176090052483507</v>
      </c>
      <c r="AW130" s="23">
        <f>EXP(-LN(2)/2)*AW129+(1-EXP(-LN(2)/2))/(LN(2)/2)*AQ130*AT130*VLOOKUP('Données projet'!$B$10,Paramètres!$A$1:$I$89,3,0)*0.475*44/12</f>
        <v>3.6418012384165595E-14</v>
      </c>
      <c r="AX130" s="23">
        <f t="shared" si="60"/>
        <v>0.21176090052487148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1.0286385077051818E-13</v>
      </c>
      <c r="BF130" s="14">
        <f t="shared" si="91"/>
        <v>1.5402366592183556E-12</v>
      </c>
      <c r="BG130" s="22">
        <f t="shared" si="61"/>
        <v>2.8617333882306215E-12</v>
      </c>
      <c r="BH130" s="62">
        <f t="shared" si="62"/>
        <v>293.33333333333616</v>
      </c>
      <c r="BI130" s="62">
        <f ca="1">AVERAGE(OFFSET($BH$3,0,0,'Données projet'!$E$11+1,1))-AVERAGE(OFFSET($H$3,0,0,'Données projet'!$E$11+1,1))</f>
        <v>267.00333505765792</v>
      </c>
      <c r="BJ130" s="62">
        <f t="shared" si="92"/>
        <v>172.25613380618557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0.18331540642448399</v>
      </c>
      <c r="BR130" s="23">
        <f>EXP(-LN(2)/2)*BR129+(1-EXP(-LN(2)/2))/(LN(2)/2)*BL130*BO130*VLOOKUP('Données projet'!$B$11,Paramètres!$A$1:$I$89,3,0)*0.475*44/12</f>
        <v>3.1526040571367175E-14</v>
      </c>
      <c r="BS130" s="24">
        <f t="shared" si="63"/>
        <v>0.18331540642451552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1.1368683772161603E-13</v>
      </c>
      <c r="BZ130" s="14">
        <f>BY130*VLOOKUP('Données projet'!$B$12,Paramètres!$A$1:$I$89,3,0)*VLOOKUP('Données projet'!$B$12,Paramètres!$A$1:$I$89,5,0)</f>
        <v>1.1527845344971866E-13</v>
      </c>
      <c r="CA130" s="14">
        <f t="shared" si="93"/>
        <v>1.7033846239409443E-12</v>
      </c>
      <c r="CB130" s="22">
        <f t="shared" si="64"/>
        <v>3.1675048597887374E-12</v>
      </c>
      <c r="CC130" s="62">
        <f t="shared" si="65"/>
        <v>293.3333333333365</v>
      </c>
      <c r="CD130" s="62">
        <f ca="1">AVERAGE(OFFSET($CC$3,0,0,'Données projet'!$E$12+1,1))-AVERAGE(OFFSET($H$3,0,0,'Données projet'!$E$12+1,1))</f>
        <v>308.72872453744998</v>
      </c>
      <c r="CE130" s="62">
        <f t="shared" si="94"/>
        <v>195.3674411454258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0.20543967961364598</v>
      </c>
      <c r="CM130" s="23">
        <f>EXP(-LN(2)/2)*CM129+(1-EXP(-LN(2)/2))/(LN(2)/2)*CG130*CJ130*VLOOKUP('Données projet'!$B$12,Paramètres!$A$1:$I$89,3,0)*0.475*44/12</f>
        <v>3.533090753687701E-14</v>
      </c>
      <c r="CN130" s="24">
        <f t="shared" si="66"/>
        <v>0.20543967961368131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160.24926890971085</v>
      </c>
      <c r="T131" s="62">
        <f t="shared" si="88"/>
        <v>323.52368436151721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8.4642838463051113</v>
      </c>
      <c r="AA131" s="23">
        <f>EXP(-LN(2)/25)*AA130+(1-EXP(-LN(2)/25))/(LN(2)/25)*Calculateur!V131*Calculateur!X131*VLOOKUP('Données projet'!$B$9,Paramètres!$A$1:$I$89,3,0)*0.475*44/12</f>
        <v>3.4119233392648827</v>
      </c>
      <c r="AB131" s="23">
        <f>EXP(-LN(2)/2)*AB130+(1-EXP(-LN(2)/2))/(LN(2)/2)*V131*Y131*VLOOKUP('Données projet'!$B$9,Paramètres!$A$1:$I$89,3,0)*0.475*44/12</f>
        <v>3.1672009111957998E-13</v>
      </c>
      <c r="AC131" s="24">
        <f t="shared" si="57"/>
        <v>11.87620718557031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1.1882548278663309E-13</v>
      </c>
      <c r="AK131" s="14">
        <f t="shared" si="89"/>
        <v>1.7496137229198366E-12</v>
      </c>
      <c r="AL131" s="22">
        <f t="shared" si="58"/>
        <v>3.2541982832721012E-12</v>
      </c>
      <c r="AM131" s="62">
        <f t="shared" si="59"/>
        <v>293.33333333333655</v>
      </c>
      <c r="AN131" s="62">
        <f ca="1">AVERAGE(OFFSET($AM$3,0,0,'Données projet'!$E$10+1,1))-AVERAGE(OFFSET($H$3,0,0,'Données projet'!$E$10+1,1))</f>
        <v>320.63267332485663</v>
      </c>
      <c r="AO131" s="62">
        <f t="shared" si="90"/>
        <v>201.96012789473809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0.20597028756396168</v>
      </c>
      <c r="AW131" s="23">
        <f>EXP(-LN(2)/2)*AW130+(1-EXP(-LN(2)/2))/(LN(2)/2)*AQ131*AT131*VLOOKUP('Données projet'!$B$10,Paramètres!$A$1:$I$89,3,0)*0.475*44/12</f>
        <v>2.5751423514179159E-14</v>
      </c>
      <c r="AX131" s="23">
        <f t="shared" si="60"/>
        <v>0.20597028756398744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1.0286385077051818E-13</v>
      </c>
      <c r="BF131" s="14">
        <f t="shared" si="91"/>
        <v>1.5402366592183556E-12</v>
      </c>
      <c r="BG131" s="22">
        <f t="shared" si="61"/>
        <v>2.8617333882306215E-12</v>
      </c>
      <c r="BH131" s="62">
        <f t="shared" si="62"/>
        <v>293.33333333333616</v>
      </c>
      <c r="BI131" s="62">
        <f ca="1">AVERAGE(OFFSET($BH$3,0,0,'Données projet'!$E$11+1,1))-AVERAGE(OFFSET($H$3,0,0,'Données projet'!$E$11+1,1))</f>
        <v>267.00333505765792</v>
      </c>
      <c r="BJ131" s="62">
        <f t="shared" si="92"/>
        <v>172.25613380618557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0.17830263699566823</v>
      </c>
      <c r="BR131" s="23">
        <f>EXP(-LN(2)/2)*BR130+(1-EXP(-LN(2)/2))/(LN(2)/2)*BL131*BO131*VLOOKUP('Données projet'!$B$11,Paramètres!$A$1:$I$89,3,0)*0.475*44/12</f>
        <v>2.2292277071975949E-14</v>
      </c>
      <c r="BS131" s="24">
        <f t="shared" si="63"/>
        <v>0.17830263699569052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1.1368683772161603E-13</v>
      </c>
      <c r="BZ131" s="14">
        <f>BY131*VLOOKUP('Données projet'!$B$12,Paramètres!$A$1:$I$89,3,0)*VLOOKUP('Données projet'!$B$12,Paramètres!$A$1:$I$89,5,0)</f>
        <v>1.1527845344971866E-13</v>
      </c>
      <c r="CA131" s="14">
        <f t="shared" si="93"/>
        <v>1.7033846239409443E-12</v>
      </c>
      <c r="CB131" s="22">
        <f t="shared" si="64"/>
        <v>3.1675048597887374E-12</v>
      </c>
      <c r="CC131" s="62">
        <f t="shared" si="65"/>
        <v>293.3333333333365</v>
      </c>
      <c r="CD131" s="62">
        <f ca="1">AVERAGE(OFFSET($CC$3,0,0,'Données projet'!$E$12+1,1))-AVERAGE(OFFSET($H$3,0,0,'Données projet'!$E$12+1,1))</f>
        <v>308.72872453744998</v>
      </c>
      <c r="CE131" s="62">
        <f t="shared" si="94"/>
        <v>195.3674411454258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0.19982192077100763</v>
      </c>
      <c r="CM131" s="23">
        <f>EXP(-LN(2)/2)*CM130+(1-EXP(-LN(2)/2))/(LN(2)/2)*CG131*CJ131*VLOOKUP('Données projet'!$B$12,Paramètres!$A$1:$I$89,3,0)*0.475*44/12</f>
        <v>2.4982724304800635E-14</v>
      </c>
      <c r="CN131" s="24">
        <f t="shared" si="66"/>
        <v>0.19982192077103261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160.24926890971085</v>
      </c>
      <c r="T132" s="62">
        <f t="shared" si="88"/>
        <v>323.52368436151721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8.2983044027824402</v>
      </c>
      <c r="AA132" s="23">
        <f>EXP(-LN(2)/25)*AA131+(1-EXP(-LN(2)/25))/(LN(2)/25)*Calculateur!V132*Calculateur!X132*VLOOKUP('Données projet'!$B$9,Paramètres!$A$1:$I$89,3,0)*0.475*44/12</f>
        <v>3.3186241161274341</v>
      </c>
      <c r="AB132" s="23">
        <f>EXP(-LN(2)/2)*AB131+(1-EXP(-LN(2)/2))/(LN(2)/2)*V132*Y132*VLOOKUP('Données projet'!$B$9,Paramètres!$A$1:$I$89,3,0)*0.475*44/12</f>
        <v>2.2395492416867625E-13</v>
      </c>
      <c r="AC132" s="24">
        <f t="shared" ref="AC132:AC153" si="111">SUM(Z132:AB132)</f>
        <v>11.616928518910099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1.1882548278663309E-13</v>
      </c>
      <c r="AK132" s="14">
        <f t="shared" si="89"/>
        <v>1.7496137229198366E-12</v>
      </c>
      <c r="AL132" s="22">
        <f t="shared" ref="AL132:AL153" si="112">(AJ132+AK132)*0.475*44/12</f>
        <v>3.2541982832721012E-12</v>
      </c>
      <c r="AM132" s="62">
        <f t="shared" ref="AM132:AM195" si="113">AL132+(AD132+AE132)*44/12</f>
        <v>293.33333333333655</v>
      </c>
      <c r="AN132" s="62">
        <f ca="1">AVERAGE(OFFSET($AM$3,0,0,'Données projet'!$E$10+1,1))-AVERAGE(OFFSET($H$3,0,0,'Données projet'!$E$10+1,1))</f>
        <v>320.63267332485663</v>
      </c>
      <c r="AO132" s="62">
        <f t="shared" si="90"/>
        <v>201.96012789473809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0.20033801921901848</v>
      </c>
      <c r="AW132" s="23">
        <f>EXP(-LN(2)/2)*AW131+(1-EXP(-LN(2)/2))/(LN(2)/2)*AQ132*AT132*VLOOKUP('Données projet'!$B$10,Paramètres!$A$1:$I$89,3,0)*0.475*44/12</f>
        <v>1.8209006192082797E-14</v>
      </c>
      <c r="AX132" s="23">
        <f t="shared" ref="AX132:AX153" si="114">SUM(AU132:AW132)</f>
        <v>0.20033801921903668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1.0286385077051818E-13</v>
      </c>
      <c r="BF132" s="14">
        <f t="shared" si="91"/>
        <v>1.5402366592183556E-12</v>
      </c>
      <c r="BG132" s="22">
        <f t="shared" ref="BG132:BG153" si="115">(BE132+BF132)*0.475*44/12</f>
        <v>2.8617333882306215E-12</v>
      </c>
      <c r="BH132" s="62">
        <f t="shared" ref="BH132:BH195" si="116">BG132+(AY132+AZ132)*44/12</f>
        <v>293.33333333333616</v>
      </c>
      <c r="BI132" s="62">
        <f ca="1">AVERAGE(OFFSET($BH$3,0,0,'Données projet'!$E$11+1,1))-AVERAGE(OFFSET($H$3,0,0,'Données projet'!$E$11+1,1))</f>
        <v>267.00333505765792</v>
      </c>
      <c r="BJ132" s="62">
        <f t="shared" si="92"/>
        <v>172.25613380618557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0.17342694201049352</v>
      </c>
      <c r="BR132" s="23">
        <f>EXP(-LN(2)/2)*BR131+(1-EXP(-LN(2)/2))/(LN(2)/2)*BL132*BO132*VLOOKUP('Données projet'!$B$11,Paramètres!$A$1:$I$89,3,0)*0.475*44/12</f>
        <v>1.5763020285683588E-14</v>
      </c>
      <c r="BS132" s="24">
        <f t="shared" ref="BS132:BS153" si="117">SUM(BP132:BR132)</f>
        <v>0.17342694201050929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1.1368683772161603E-13</v>
      </c>
      <c r="BZ132" s="14">
        <f>BY132*VLOOKUP('Données projet'!$B$12,Paramètres!$A$1:$I$89,3,0)*VLOOKUP('Données projet'!$B$12,Paramètres!$A$1:$I$89,5,0)</f>
        <v>1.1527845344971866E-13</v>
      </c>
      <c r="CA132" s="14">
        <f t="shared" si="93"/>
        <v>1.7033846239409443E-12</v>
      </c>
      <c r="CB132" s="22">
        <f t="shared" ref="CB132:CB153" si="118">(BZ132+CA132)*0.475*44/12</f>
        <v>3.1675048597887374E-12</v>
      </c>
      <c r="CC132" s="62">
        <f t="shared" ref="CC132:CC195" si="119">CB132+(BT132+BU132)*44/12</f>
        <v>293.3333333333365</v>
      </c>
      <c r="CD132" s="62">
        <f ca="1">AVERAGE(OFFSET($CC$3,0,0,'Données projet'!$E$12+1,1))-AVERAGE(OFFSET($H$3,0,0,'Données projet'!$E$12+1,1))</f>
        <v>308.72872453744998</v>
      </c>
      <c r="CE132" s="62">
        <f t="shared" si="94"/>
        <v>195.3674411454258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0.19435777983934632</v>
      </c>
      <c r="CM132" s="23">
        <f>EXP(-LN(2)/2)*CM131+(1-EXP(-LN(2)/2))/(LN(2)/2)*CG132*CJ132*VLOOKUP('Données projet'!$B$12,Paramètres!$A$1:$I$89,3,0)*0.475*44/12</f>
        <v>1.7665453768438505E-14</v>
      </c>
      <c r="CN132" s="24">
        <f t="shared" ref="CN132:CN153" si="120">SUM(CK132:CM132)</f>
        <v>0.19435777983936398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160.24926890971085</v>
      </c>
      <c r="T133" s="62">
        <f t="shared" ref="T133:T196" si="142">$T$3</f>
        <v>323.52368436151721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8.1355797149097846</v>
      </c>
      <c r="AA133" s="23">
        <f>EXP(-LN(2)/25)*AA132+(1-EXP(-LN(2)/25))/(LN(2)/25)*Calculateur!V133*Calculateur!X133*VLOOKUP('Données projet'!$B$9,Paramètres!$A$1:$I$89,3,0)*0.475*44/12</f>
        <v>3.2278761651530719</v>
      </c>
      <c r="AB133" s="23">
        <f>EXP(-LN(2)/2)*AB132+(1-EXP(-LN(2)/2))/(LN(2)/2)*V133*Y133*VLOOKUP('Données projet'!$B$9,Paramètres!$A$1:$I$89,3,0)*0.475*44/12</f>
        <v>1.5836004555979002E-13</v>
      </c>
      <c r="AC133" s="24">
        <f t="shared" si="111"/>
        <v>11.363455880063015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1.1882548278663309E-13</v>
      </c>
      <c r="AK133" s="14">
        <f t="shared" ref="AK133:AK153" si="143">EXP(-1.0587+0.8836*LN(AJ133)+0.284)</f>
        <v>1.7496137229198366E-12</v>
      </c>
      <c r="AL133" s="22">
        <f t="shared" si="112"/>
        <v>3.2541982832721012E-12</v>
      </c>
      <c r="AM133" s="62">
        <f t="shared" si="113"/>
        <v>293.33333333333655</v>
      </c>
      <c r="AN133" s="62">
        <f ca="1">AVERAGE(OFFSET($AM$3,0,0,'Données projet'!$E$10+1,1))-AVERAGE(OFFSET($H$3,0,0,'Données projet'!$E$10+1,1))</f>
        <v>320.63267332485663</v>
      </c>
      <c r="AO133" s="62">
        <f t="shared" ref="AO133:AO196" si="144">$AO$3</f>
        <v>201.96012789473809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0.19485976554815587</v>
      </c>
      <c r="AW133" s="23">
        <f>EXP(-LN(2)/2)*AW132+(1-EXP(-LN(2)/2))/(LN(2)/2)*AQ133*AT133*VLOOKUP('Données projet'!$B$10,Paramètres!$A$1:$I$89,3,0)*0.475*44/12</f>
        <v>1.287571175708958E-14</v>
      </c>
      <c r="AX133" s="23">
        <f t="shared" si="114"/>
        <v>0.19485976554816875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1.0286385077051818E-13</v>
      </c>
      <c r="BF133" s="14">
        <f t="shared" ref="BF133:BF153" si="145">EXP(-1.0587+0.8836*LN(BE133)+0.284)</f>
        <v>1.5402366592183556E-12</v>
      </c>
      <c r="BG133" s="22">
        <f t="shared" si="115"/>
        <v>2.8617333882306215E-12</v>
      </c>
      <c r="BH133" s="62">
        <f t="shared" si="116"/>
        <v>293.33333333333616</v>
      </c>
      <c r="BI133" s="62">
        <f ca="1">AVERAGE(OFFSET($BH$3,0,0,'Données projet'!$E$11+1,1))-AVERAGE(OFFSET($H$3,0,0,'Données projet'!$E$11+1,1))</f>
        <v>267.00333505765792</v>
      </c>
      <c r="BJ133" s="62">
        <f t="shared" ref="BJ133:BJ196" si="146">$BJ$3</f>
        <v>172.25613380618557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0.16868457316109006</v>
      </c>
      <c r="BR133" s="23">
        <f>EXP(-LN(2)/2)*BR132+(1-EXP(-LN(2)/2))/(LN(2)/2)*BL133*BO133*VLOOKUP('Données projet'!$B$11,Paramètres!$A$1:$I$89,3,0)*0.475*44/12</f>
        <v>1.1146138535987975E-14</v>
      </c>
      <c r="BS133" s="24">
        <f t="shared" si="117"/>
        <v>0.16868457316110122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1.1368683772161603E-13</v>
      </c>
      <c r="BZ133" s="14">
        <f>BY133*VLOOKUP('Données projet'!$B$12,Paramètres!$A$1:$I$89,3,0)*VLOOKUP('Données projet'!$B$12,Paramètres!$A$1:$I$89,5,0)</f>
        <v>1.1527845344971866E-13</v>
      </c>
      <c r="CA133" s="14">
        <f t="shared" ref="CA133:CA153" si="147">EXP(-1.0587+0.8836*LN(BZ133)+0.284)</f>
        <v>1.7033846239409443E-12</v>
      </c>
      <c r="CB133" s="22">
        <f t="shared" si="118"/>
        <v>3.1675048597887374E-12</v>
      </c>
      <c r="CC133" s="62">
        <f t="shared" si="119"/>
        <v>293.3333333333365</v>
      </c>
      <c r="CD133" s="62">
        <f ca="1">AVERAGE(OFFSET($CC$3,0,0,'Données projet'!$E$12+1,1))-AVERAGE(OFFSET($H$3,0,0,'Données projet'!$E$12+1,1))</f>
        <v>308.72872453744998</v>
      </c>
      <c r="CE133" s="62">
        <f t="shared" ref="CE133:CE196" si="148">$CE$3</f>
        <v>195.3674411454258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0.18904305612880798</v>
      </c>
      <c r="CM133" s="23">
        <f>EXP(-LN(2)/2)*CM132+(1-EXP(-LN(2)/2))/(LN(2)/2)*CG133*CJ133*VLOOKUP('Données projet'!$B$12,Paramètres!$A$1:$I$89,3,0)*0.475*44/12</f>
        <v>1.2491362152400317E-14</v>
      </c>
      <c r="CN133" s="24">
        <f t="shared" si="120"/>
        <v>0.18904305612882047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160.24926890971085</v>
      </c>
      <c r="T134" s="62">
        <f t="shared" si="142"/>
        <v>323.52368436151721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7.9760459589140522</v>
      </c>
      <c r="AA134" s="23">
        <f>EXP(-LN(2)/25)*AA133+(1-EXP(-LN(2)/25))/(LN(2)/25)*Calculateur!V134*Calculateur!X134*VLOOKUP('Données projet'!$B$9,Paramètres!$A$1:$I$89,3,0)*0.475*44/12</f>
        <v>3.1396097216703311</v>
      </c>
      <c r="AB134" s="23">
        <f>EXP(-LN(2)/2)*AB133+(1-EXP(-LN(2)/2))/(LN(2)/2)*V134*Y134*VLOOKUP('Données projet'!$B$9,Paramètres!$A$1:$I$89,3,0)*0.475*44/12</f>
        <v>1.1197746208433814E-13</v>
      </c>
      <c r="AC134" s="24">
        <f t="shared" si="111"/>
        <v>11.115655680584496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1.1882548278663309E-13</v>
      </c>
      <c r="AK134" s="14">
        <f t="shared" si="143"/>
        <v>1.7496137229198366E-12</v>
      </c>
      <c r="AL134" s="22">
        <f t="shared" si="112"/>
        <v>3.2541982832721012E-12</v>
      </c>
      <c r="AM134" s="62">
        <f t="shared" si="113"/>
        <v>293.33333333333655</v>
      </c>
      <c r="AN134" s="62">
        <f ca="1">AVERAGE(OFFSET($AM$3,0,0,'Données projet'!$E$10+1,1))-AVERAGE(OFFSET($H$3,0,0,'Données projet'!$E$10+1,1))</f>
        <v>320.63267332485663</v>
      </c>
      <c r="AO134" s="62">
        <f t="shared" si="144"/>
        <v>201.96012789473809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0.18953131501201184</v>
      </c>
      <c r="AW134" s="23">
        <f>EXP(-LN(2)/2)*AW133+(1-EXP(-LN(2)/2))/(LN(2)/2)*AQ134*AT134*VLOOKUP('Données projet'!$B$10,Paramètres!$A$1:$I$89,3,0)*0.475*44/12</f>
        <v>9.1045030960413987E-15</v>
      </c>
      <c r="AX134" s="23">
        <f t="shared" si="114"/>
        <v>0.18953131501202095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1.0286385077051818E-13</v>
      </c>
      <c r="BF134" s="14">
        <f t="shared" si="145"/>
        <v>1.5402366592183556E-12</v>
      </c>
      <c r="BG134" s="22">
        <f t="shared" si="115"/>
        <v>2.8617333882306215E-12</v>
      </c>
      <c r="BH134" s="62">
        <f t="shared" si="116"/>
        <v>293.33333333333616</v>
      </c>
      <c r="BI134" s="62">
        <f ca="1">AVERAGE(OFFSET($BH$3,0,0,'Données projet'!$E$11+1,1))-AVERAGE(OFFSET($H$3,0,0,'Données projet'!$E$11+1,1))</f>
        <v>267.00333505765792</v>
      </c>
      <c r="BJ134" s="62">
        <f t="shared" si="146"/>
        <v>172.25613380618557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0.16407188463726388</v>
      </c>
      <c r="BR134" s="23">
        <f>EXP(-LN(2)/2)*BR133+(1-EXP(-LN(2)/2))/(LN(2)/2)*BL134*BO134*VLOOKUP('Données projet'!$B$11,Paramètres!$A$1:$I$89,3,0)*0.475*44/12</f>
        <v>7.8815101428417938E-15</v>
      </c>
      <c r="BS134" s="24">
        <f t="shared" si="117"/>
        <v>0.16407188463727176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1.1368683772161603E-13</v>
      </c>
      <c r="BZ134" s="14">
        <f>BY134*VLOOKUP('Données projet'!$B$12,Paramètres!$A$1:$I$89,3,0)*VLOOKUP('Données projet'!$B$12,Paramètres!$A$1:$I$89,5,0)</f>
        <v>1.1527845344971866E-13</v>
      </c>
      <c r="CA134" s="14">
        <f t="shared" si="147"/>
        <v>1.7033846239409443E-12</v>
      </c>
      <c r="CB134" s="22">
        <f t="shared" si="118"/>
        <v>3.1675048597887374E-12</v>
      </c>
      <c r="CC134" s="62">
        <f t="shared" si="119"/>
        <v>293.3333333333365</v>
      </c>
      <c r="CD134" s="62">
        <f ca="1">AVERAGE(OFFSET($CC$3,0,0,'Données projet'!$E$12+1,1))-AVERAGE(OFFSET($H$3,0,0,'Données projet'!$E$12+1,1))</f>
        <v>308.72872453744998</v>
      </c>
      <c r="CE134" s="62">
        <f t="shared" si="148"/>
        <v>195.3674411454258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0.18387366381762346</v>
      </c>
      <c r="CM134" s="23">
        <f>EXP(-LN(2)/2)*CM133+(1-EXP(-LN(2)/2))/(LN(2)/2)*CG134*CJ134*VLOOKUP('Données projet'!$B$12,Paramètres!$A$1:$I$89,3,0)*0.475*44/12</f>
        <v>8.8327268842192526E-15</v>
      </c>
      <c r="CN134" s="24">
        <f t="shared" si="120"/>
        <v>0.18387366381763229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160.24926890971085</v>
      </c>
      <c r="T135" s="62">
        <f t="shared" si="142"/>
        <v>323.52368436151721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7.8196405625674128</v>
      </c>
      <c r="AA135" s="23">
        <f>EXP(-LN(2)/25)*AA134+(1-EXP(-LN(2)/25))/(LN(2)/25)*Calculateur!V135*Calculateur!X135*VLOOKUP('Données projet'!$B$9,Paramètres!$A$1:$I$89,3,0)*0.475*44/12</f>
        <v>3.0537569287263562</v>
      </c>
      <c r="AB135" s="23">
        <f>EXP(-LN(2)/2)*AB134+(1-EXP(-LN(2)/2))/(LN(2)/2)*V135*Y135*VLOOKUP('Données projet'!$B$9,Paramètres!$A$1:$I$89,3,0)*0.475*44/12</f>
        <v>7.9180022779895021E-14</v>
      </c>
      <c r="AC135" s="24">
        <f t="shared" si="111"/>
        <v>10.873397491293849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1.1882548278663309E-13</v>
      </c>
      <c r="AK135" s="14">
        <f t="shared" si="143"/>
        <v>1.7496137229198366E-12</v>
      </c>
      <c r="AL135" s="22">
        <f t="shared" si="112"/>
        <v>3.2541982832721012E-12</v>
      </c>
      <c r="AM135" s="62">
        <f t="shared" si="113"/>
        <v>293.33333333333655</v>
      </c>
      <c r="AN135" s="62">
        <f ca="1">AVERAGE(OFFSET($AM$3,0,0,'Données projet'!$E$10+1,1))-AVERAGE(OFFSET($H$3,0,0,'Données projet'!$E$10+1,1))</f>
        <v>320.63267332485663</v>
      </c>
      <c r="AO135" s="62">
        <f t="shared" si="144"/>
        <v>201.96012789473809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0.18434857123598969</v>
      </c>
      <c r="AW135" s="23">
        <f>EXP(-LN(2)/2)*AW134+(1-EXP(-LN(2)/2))/(LN(2)/2)*AQ135*AT135*VLOOKUP('Données projet'!$B$10,Paramètres!$A$1:$I$89,3,0)*0.475*44/12</f>
        <v>6.4378558785447899E-15</v>
      </c>
      <c r="AX135" s="23">
        <f t="shared" si="114"/>
        <v>0.18434857123599613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1.0286385077051818E-13</v>
      </c>
      <c r="BF135" s="14">
        <f t="shared" si="145"/>
        <v>1.5402366592183556E-12</v>
      </c>
      <c r="BG135" s="22">
        <f t="shared" si="115"/>
        <v>2.8617333882306215E-12</v>
      </c>
      <c r="BH135" s="62">
        <f t="shared" si="116"/>
        <v>293.33333333333616</v>
      </c>
      <c r="BI135" s="62">
        <f ca="1">AVERAGE(OFFSET($BH$3,0,0,'Données projet'!$E$11+1,1))-AVERAGE(OFFSET($H$3,0,0,'Données projet'!$E$11+1,1))</f>
        <v>267.00333505765792</v>
      </c>
      <c r="BJ135" s="62">
        <f t="shared" si="146"/>
        <v>172.25613380618557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0.15958533032369249</v>
      </c>
      <c r="BR135" s="23">
        <f>EXP(-LN(2)/2)*BR134+(1-EXP(-LN(2)/2))/(LN(2)/2)*BL135*BO135*VLOOKUP('Données projet'!$B$11,Paramètres!$A$1:$I$89,3,0)*0.475*44/12</f>
        <v>5.5730692679939873E-15</v>
      </c>
      <c r="BS135" s="24">
        <f t="shared" si="117"/>
        <v>0.15958533032369807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1.1368683772161603E-13</v>
      </c>
      <c r="BZ135" s="14">
        <f>BY135*VLOOKUP('Données projet'!$B$12,Paramètres!$A$1:$I$89,3,0)*VLOOKUP('Données projet'!$B$12,Paramètres!$A$1:$I$89,5,0)</f>
        <v>1.1527845344971866E-13</v>
      </c>
      <c r="CA135" s="14">
        <f t="shared" si="147"/>
        <v>1.7033846239409443E-12</v>
      </c>
      <c r="CB135" s="22">
        <f t="shared" si="118"/>
        <v>3.1675048597887374E-12</v>
      </c>
      <c r="CC135" s="62">
        <f t="shared" si="119"/>
        <v>293.3333333333365</v>
      </c>
      <c r="CD135" s="62">
        <f ca="1">AVERAGE(OFFSET($CC$3,0,0,'Données projet'!$E$12+1,1))-AVERAGE(OFFSET($H$3,0,0,'Données projet'!$E$12+1,1))</f>
        <v>308.72872453744998</v>
      </c>
      <c r="CE135" s="62">
        <f t="shared" si="148"/>
        <v>195.3674411454258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0.17884562881103483</v>
      </c>
      <c r="CM135" s="23">
        <f>EXP(-LN(2)/2)*CM134+(1-EXP(-LN(2)/2))/(LN(2)/2)*CG135*CJ135*VLOOKUP('Données projet'!$B$12,Paramètres!$A$1:$I$89,3,0)*0.475*44/12</f>
        <v>6.2456810762001587E-15</v>
      </c>
      <c r="CN135" s="24">
        <f t="shared" si="120"/>
        <v>0.17884562881104107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160.24926890971085</v>
      </c>
      <c r="T136" s="62">
        <f t="shared" si="142"/>
        <v>323.52368436151721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7.6663021806452587</v>
      </c>
      <c r="AA136" s="23">
        <f>EXP(-LN(2)/25)*AA135+(1-EXP(-LN(2)/25))/(LN(2)/25)*Calculateur!V136*Calculateur!X136*VLOOKUP('Données projet'!$B$9,Paramètres!$A$1:$I$89,3,0)*0.475*44/12</f>
        <v>2.9702517849202366</v>
      </c>
      <c r="AB136" s="23">
        <f>EXP(-LN(2)/2)*AB135+(1-EXP(-LN(2)/2))/(LN(2)/2)*V136*Y136*VLOOKUP('Données projet'!$B$9,Paramètres!$A$1:$I$89,3,0)*0.475*44/12</f>
        <v>5.5988731042169081E-14</v>
      </c>
      <c r="AC136" s="24">
        <f t="shared" si="111"/>
        <v>10.636553965565552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1.1882548278663309E-13</v>
      </c>
      <c r="AK136" s="14">
        <f t="shared" si="143"/>
        <v>1.7496137229198366E-12</v>
      </c>
      <c r="AL136" s="22">
        <f t="shared" si="112"/>
        <v>3.2541982832721012E-12</v>
      </c>
      <c r="AM136" s="62">
        <f t="shared" si="113"/>
        <v>293.33333333333655</v>
      </c>
      <c r="AN136" s="62">
        <f ca="1">AVERAGE(OFFSET($AM$3,0,0,'Données projet'!$E$10+1,1))-AVERAGE(OFFSET($H$3,0,0,'Données projet'!$E$10+1,1))</f>
        <v>320.63267332485663</v>
      </c>
      <c r="AO136" s="62">
        <f t="shared" si="144"/>
        <v>201.96012789473809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0.17930754986107153</v>
      </c>
      <c r="AW136" s="23">
        <f>EXP(-LN(2)/2)*AW135+(1-EXP(-LN(2)/2))/(LN(2)/2)*AQ136*AT136*VLOOKUP('Données projet'!$B$10,Paramètres!$A$1:$I$89,3,0)*0.475*44/12</f>
        <v>4.5522515480206994E-15</v>
      </c>
      <c r="AX136" s="23">
        <f t="shared" si="114"/>
        <v>0.17930754986107608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1.0286385077051818E-13</v>
      </c>
      <c r="BF136" s="14">
        <f t="shared" si="145"/>
        <v>1.5402366592183556E-12</v>
      </c>
      <c r="BG136" s="22">
        <f t="shared" si="115"/>
        <v>2.8617333882306215E-12</v>
      </c>
      <c r="BH136" s="62">
        <f t="shared" si="116"/>
        <v>293.33333333333616</v>
      </c>
      <c r="BI136" s="62">
        <f ca="1">AVERAGE(OFFSET($BH$3,0,0,'Données projet'!$E$11+1,1))-AVERAGE(OFFSET($H$3,0,0,'Données projet'!$E$11+1,1))</f>
        <v>267.00333505765792</v>
      </c>
      <c r="BJ136" s="62">
        <f t="shared" si="146"/>
        <v>172.25613380618557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0.15522146107376333</v>
      </c>
      <c r="BR136" s="23">
        <f>EXP(-LN(2)/2)*BR135+(1-EXP(-LN(2)/2))/(LN(2)/2)*BL136*BO136*VLOOKUP('Données projet'!$B$11,Paramètres!$A$1:$I$89,3,0)*0.475*44/12</f>
        <v>3.9407550714208969E-15</v>
      </c>
      <c r="BS136" s="24">
        <f t="shared" si="117"/>
        <v>0.15522146107376728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1.1368683772161603E-13</v>
      </c>
      <c r="BZ136" s="14">
        <f>BY136*VLOOKUP('Données projet'!$B$12,Paramètres!$A$1:$I$89,3,0)*VLOOKUP('Données projet'!$B$12,Paramètres!$A$1:$I$89,5,0)</f>
        <v>1.1527845344971866E-13</v>
      </c>
      <c r="CA136" s="14">
        <f t="shared" si="147"/>
        <v>1.7033846239409443E-12</v>
      </c>
      <c r="CB136" s="22">
        <f t="shared" si="118"/>
        <v>3.1675048597887374E-12</v>
      </c>
      <c r="CC136" s="62">
        <f t="shared" si="119"/>
        <v>293.3333333333365</v>
      </c>
      <c r="CD136" s="62">
        <f ca="1">AVERAGE(OFFSET($CC$3,0,0,'Données projet'!$E$12+1,1))-AVERAGE(OFFSET($H$3,0,0,'Données projet'!$E$12+1,1))</f>
        <v>308.72872453744998</v>
      </c>
      <c r="CE136" s="62">
        <f t="shared" si="148"/>
        <v>195.3674411454258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0.17395508568611423</v>
      </c>
      <c r="CM136" s="23">
        <f>EXP(-LN(2)/2)*CM135+(1-EXP(-LN(2)/2))/(LN(2)/2)*CG136*CJ136*VLOOKUP('Données projet'!$B$12,Paramètres!$A$1:$I$89,3,0)*0.475*44/12</f>
        <v>4.4163634421096263E-15</v>
      </c>
      <c r="CN136" s="24">
        <f t="shared" si="120"/>
        <v>0.17395508568611864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160.24926890971085</v>
      </c>
      <c r="T137" s="62">
        <f t="shared" si="142"/>
        <v>323.52368436151721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7.5159706708654204</v>
      </c>
      <c r="AA137" s="23">
        <f>EXP(-LN(2)/25)*AA136+(1-EXP(-LN(2)/25))/(LN(2)/25)*Calculateur!V137*Calculateur!X137*VLOOKUP('Données projet'!$B$9,Paramètres!$A$1:$I$89,3,0)*0.475*44/12</f>
        <v>2.8890300936628401</v>
      </c>
      <c r="AB137" s="23">
        <f>EXP(-LN(2)/2)*AB136+(1-EXP(-LN(2)/2))/(LN(2)/2)*V137*Y137*VLOOKUP('Données projet'!$B$9,Paramètres!$A$1:$I$89,3,0)*0.475*44/12</f>
        <v>3.9590011389947517E-14</v>
      </c>
      <c r="AC137" s="24">
        <f t="shared" si="111"/>
        <v>10.4050007645283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1.1882548278663309E-13</v>
      </c>
      <c r="AK137" s="14">
        <f t="shared" si="143"/>
        <v>1.7496137229198366E-12</v>
      </c>
      <c r="AL137" s="22">
        <f t="shared" si="112"/>
        <v>3.2541982832721012E-12</v>
      </c>
      <c r="AM137" s="62">
        <f t="shared" si="113"/>
        <v>293.33333333333655</v>
      </c>
      <c r="AN137" s="62">
        <f ca="1">AVERAGE(OFFSET($AM$3,0,0,'Données projet'!$E$10+1,1))-AVERAGE(OFFSET($H$3,0,0,'Données projet'!$E$10+1,1))</f>
        <v>320.63267332485663</v>
      </c>
      <c r="AO137" s="62">
        <f t="shared" si="144"/>
        <v>201.96012789473809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0.1744043754807463</v>
      </c>
      <c r="AW137" s="23">
        <f>EXP(-LN(2)/2)*AW136+(1-EXP(-LN(2)/2))/(LN(2)/2)*AQ137*AT137*VLOOKUP('Données projet'!$B$10,Paramètres!$A$1:$I$89,3,0)*0.475*44/12</f>
        <v>3.2189279392723949E-15</v>
      </c>
      <c r="AX137" s="23">
        <f t="shared" si="114"/>
        <v>0.17440437548074952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1.0286385077051818E-13</v>
      </c>
      <c r="BF137" s="14">
        <f t="shared" si="145"/>
        <v>1.5402366592183556E-12</v>
      </c>
      <c r="BG137" s="22">
        <f t="shared" si="115"/>
        <v>2.8617333882306215E-12</v>
      </c>
      <c r="BH137" s="62">
        <f t="shared" si="116"/>
        <v>293.33333333333616</v>
      </c>
      <c r="BI137" s="62">
        <f ca="1">AVERAGE(OFFSET($BH$3,0,0,'Données projet'!$E$11+1,1))-AVERAGE(OFFSET($H$3,0,0,'Données projet'!$E$11+1,1))</f>
        <v>267.00333505765792</v>
      </c>
      <c r="BJ137" s="62">
        <f t="shared" si="146"/>
        <v>172.25613380618557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0.1509769220579594</v>
      </c>
      <c r="BR137" s="23">
        <f>EXP(-LN(2)/2)*BR136+(1-EXP(-LN(2)/2))/(LN(2)/2)*BL137*BO137*VLOOKUP('Données projet'!$B$11,Paramètres!$A$1:$I$89,3,0)*0.475*44/12</f>
        <v>2.7865346339969936E-15</v>
      </c>
      <c r="BS137" s="24">
        <f t="shared" si="117"/>
        <v>0.15097692205796218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1.1368683772161603E-13</v>
      </c>
      <c r="BZ137" s="14">
        <f>BY137*VLOOKUP('Données projet'!$B$12,Paramètres!$A$1:$I$89,3,0)*VLOOKUP('Données projet'!$B$12,Paramètres!$A$1:$I$89,5,0)</f>
        <v>1.1527845344971866E-13</v>
      </c>
      <c r="CA137" s="14">
        <f t="shared" si="147"/>
        <v>1.7033846239409443E-12</v>
      </c>
      <c r="CB137" s="22">
        <f t="shared" si="118"/>
        <v>3.1675048597887374E-12</v>
      </c>
      <c r="CC137" s="62">
        <f t="shared" si="119"/>
        <v>293.3333333333365</v>
      </c>
      <c r="CD137" s="62">
        <f ca="1">AVERAGE(OFFSET($CC$3,0,0,'Données projet'!$E$12+1,1))-AVERAGE(OFFSET($H$3,0,0,'Données projet'!$E$12+1,1))</f>
        <v>308.72872453744998</v>
      </c>
      <c r="CE137" s="62">
        <f t="shared" si="148"/>
        <v>195.3674411454258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0.16919827472012705</v>
      </c>
      <c r="CM137" s="23">
        <f>EXP(-LN(2)/2)*CM136+(1-EXP(-LN(2)/2))/(LN(2)/2)*CG137*CJ137*VLOOKUP('Données projet'!$B$12,Paramètres!$A$1:$I$89,3,0)*0.475*44/12</f>
        <v>3.1228405381000794E-15</v>
      </c>
      <c r="CN137" s="24">
        <f t="shared" si="120"/>
        <v>0.16919827472013019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160.24926890971085</v>
      </c>
      <c r="T138" s="62">
        <f t="shared" si="142"/>
        <v>323.52368436151721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7.3685870702991974</v>
      </c>
      <c r="AA138" s="23">
        <f>EXP(-LN(2)/25)*AA137+(1-EXP(-LN(2)/25))/(LN(2)/25)*Calculateur!V138*Calculateur!X138*VLOOKUP('Données projet'!$B$9,Paramètres!$A$1:$I$89,3,0)*0.475*44/12</f>
        <v>2.81002941382414</v>
      </c>
      <c r="AB138" s="23">
        <f>EXP(-LN(2)/2)*AB137+(1-EXP(-LN(2)/2))/(LN(2)/2)*V138*Y138*VLOOKUP('Données projet'!$B$9,Paramètres!$A$1:$I$89,3,0)*0.475*44/12</f>
        <v>2.7994365521084544E-14</v>
      </c>
      <c r="AC138" s="24">
        <f t="shared" si="111"/>
        <v>10.178616484123365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1.1882548278663309E-13</v>
      </c>
      <c r="AK138" s="14">
        <f t="shared" si="143"/>
        <v>1.7496137229198366E-12</v>
      </c>
      <c r="AL138" s="22">
        <f t="shared" si="112"/>
        <v>3.2541982832721012E-12</v>
      </c>
      <c r="AM138" s="62">
        <f t="shared" si="113"/>
        <v>293.33333333333655</v>
      </c>
      <c r="AN138" s="62">
        <f ca="1">AVERAGE(OFFSET($AM$3,0,0,'Données projet'!$E$10+1,1))-AVERAGE(OFFSET($H$3,0,0,'Données projet'!$E$10+1,1))</f>
        <v>320.63267332485663</v>
      </c>
      <c r="AO138" s="62">
        <f t="shared" si="144"/>
        <v>201.96012789473809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0.16963527866169781</v>
      </c>
      <c r="AW138" s="23">
        <f>EXP(-LN(2)/2)*AW137+(1-EXP(-LN(2)/2))/(LN(2)/2)*AQ138*AT138*VLOOKUP('Données projet'!$B$10,Paramètres!$A$1:$I$89,3,0)*0.475*44/12</f>
        <v>2.2761257740103497E-15</v>
      </c>
      <c r="AX138" s="23">
        <f t="shared" si="114"/>
        <v>0.16963527866170008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1.0286385077051818E-13</v>
      </c>
      <c r="BF138" s="14">
        <f t="shared" si="145"/>
        <v>1.5402366592183556E-12</v>
      </c>
      <c r="BG138" s="22">
        <f t="shared" si="115"/>
        <v>2.8617333882306215E-12</v>
      </c>
      <c r="BH138" s="62">
        <f t="shared" si="116"/>
        <v>293.33333333333616</v>
      </c>
      <c r="BI138" s="62">
        <f ca="1">AVERAGE(OFFSET($BH$3,0,0,'Données projet'!$E$11+1,1))-AVERAGE(OFFSET($H$3,0,0,'Données projet'!$E$11+1,1))</f>
        <v>267.00333505765792</v>
      </c>
      <c r="BJ138" s="62">
        <f t="shared" si="146"/>
        <v>172.25613380618557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0.14684845018475323</v>
      </c>
      <c r="BR138" s="23">
        <f>EXP(-LN(2)/2)*BR137+(1-EXP(-LN(2)/2))/(LN(2)/2)*BL138*BO138*VLOOKUP('Données projet'!$B$11,Paramètres!$A$1:$I$89,3,0)*0.475*44/12</f>
        <v>1.9703775357104485E-15</v>
      </c>
      <c r="BS138" s="24">
        <f t="shared" si="117"/>
        <v>0.1468484501847552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1.1368683772161603E-13</v>
      </c>
      <c r="BZ138" s="14">
        <f>BY138*VLOOKUP('Données projet'!$B$12,Paramètres!$A$1:$I$89,3,0)*VLOOKUP('Données projet'!$B$12,Paramètres!$A$1:$I$89,5,0)</f>
        <v>1.1527845344971866E-13</v>
      </c>
      <c r="CA138" s="14">
        <f t="shared" si="147"/>
        <v>1.7033846239409443E-12</v>
      </c>
      <c r="CB138" s="22">
        <f t="shared" si="118"/>
        <v>3.1675048597887374E-12</v>
      </c>
      <c r="CC138" s="62">
        <f t="shared" si="119"/>
        <v>293.3333333333365</v>
      </c>
      <c r="CD138" s="62">
        <f ca="1">AVERAGE(OFFSET($CC$3,0,0,'Données projet'!$E$12+1,1))-AVERAGE(OFFSET($H$3,0,0,'Données projet'!$E$12+1,1))</f>
        <v>308.72872453744998</v>
      </c>
      <c r="CE138" s="62">
        <f t="shared" si="148"/>
        <v>195.3674411454258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0.16457153900015462</v>
      </c>
      <c r="CM138" s="23">
        <f>EXP(-LN(2)/2)*CM137+(1-EXP(-LN(2)/2))/(LN(2)/2)*CG138*CJ138*VLOOKUP('Données projet'!$B$12,Paramètres!$A$1:$I$89,3,0)*0.475*44/12</f>
        <v>2.2081817210548131E-15</v>
      </c>
      <c r="CN138" s="24">
        <f t="shared" si="120"/>
        <v>0.16457153900015684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160.24926890971085</v>
      </c>
      <c r="T139" s="62">
        <f t="shared" si="142"/>
        <v>323.52368436151721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7.224093572244958</v>
      </c>
      <c r="AA139" s="23">
        <f>EXP(-LN(2)/25)*AA138+(1-EXP(-LN(2)/25))/(LN(2)/25)*Calculateur!V139*Calculateur!X139*VLOOKUP('Données projet'!$B$9,Paramètres!$A$1:$I$89,3,0)*0.475*44/12</f>
        <v>2.7331890117300945</v>
      </c>
      <c r="AB139" s="23">
        <f>EXP(-LN(2)/2)*AB138+(1-EXP(-LN(2)/2))/(LN(2)/2)*V139*Y139*VLOOKUP('Données projet'!$B$9,Paramètres!$A$1:$I$89,3,0)*0.475*44/12</f>
        <v>1.9795005694973761E-14</v>
      </c>
      <c r="AC139" s="24">
        <f t="shared" si="111"/>
        <v>9.957282583975072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1.1882548278663309E-13</v>
      </c>
      <c r="AK139" s="14">
        <f t="shared" si="143"/>
        <v>1.7496137229198366E-12</v>
      </c>
      <c r="AL139" s="22">
        <f t="shared" si="112"/>
        <v>3.2541982832721012E-12</v>
      </c>
      <c r="AM139" s="62">
        <f t="shared" si="113"/>
        <v>293.33333333333655</v>
      </c>
      <c r="AN139" s="62">
        <f ca="1">AVERAGE(OFFSET($AM$3,0,0,'Données projet'!$E$10+1,1))-AVERAGE(OFFSET($H$3,0,0,'Données projet'!$E$10+1,1))</f>
        <v>320.63267332485663</v>
      </c>
      <c r="AO139" s="62">
        <f t="shared" si="144"/>
        <v>201.96012789473809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0.16499659304596209</v>
      </c>
      <c r="AW139" s="23">
        <f>EXP(-LN(2)/2)*AW138+(1-EXP(-LN(2)/2))/(LN(2)/2)*AQ139*AT139*VLOOKUP('Données projet'!$B$10,Paramètres!$A$1:$I$89,3,0)*0.475*44/12</f>
        <v>1.6094639696361975E-15</v>
      </c>
      <c r="AX139" s="23">
        <f t="shared" si="114"/>
        <v>0.1649965930459637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1.0286385077051818E-13</v>
      </c>
      <c r="BF139" s="14">
        <f t="shared" si="145"/>
        <v>1.5402366592183556E-12</v>
      </c>
      <c r="BG139" s="22">
        <f t="shared" si="115"/>
        <v>2.8617333882306215E-12</v>
      </c>
      <c r="BH139" s="62">
        <f t="shared" si="116"/>
        <v>293.33333333333616</v>
      </c>
      <c r="BI139" s="62">
        <f ca="1">AVERAGE(OFFSET($BH$3,0,0,'Données projet'!$E$11+1,1))-AVERAGE(OFFSET($H$3,0,0,'Données projet'!$E$11+1,1))</f>
        <v>267.00333505765792</v>
      </c>
      <c r="BJ139" s="62">
        <f t="shared" si="146"/>
        <v>172.25613380618557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0.14283287159202679</v>
      </c>
      <c r="BR139" s="23">
        <f>EXP(-LN(2)/2)*BR138+(1-EXP(-LN(2)/2))/(LN(2)/2)*BL139*BO139*VLOOKUP('Données projet'!$B$11,Paramètres!$A$1:$I$89,3,0)*0.475*44/12</f>
        <v>1.3932673169984968E-15</v>
      </c>
      <c r="BS139" s="24">
        <f t="shared" si="117"/>
        <v>0.14283287159202818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1.1368683772161603E-13</v>
      </c>
      <c r="BZ139" s="14">
        <f>BY139*VLOOKUP('Données projet'!$B$12,Paramètres!$A$1:$I$89,3,0)*VLOOKUP('Données projet'!$B$12,Paramètres!$A$1:$I$89,5,0)</f>
        <v>1.1527845344971866E-13</v>
      </c>
      <c r="CA139" s="14">
        <f t="shared" si="147"/>
        <v>1.7033846239409443E-12</v>
      </c>
      <c r="CB139" s="22">
        <f t="shared" si="118"/>
        <v>3.1675048597887374E-12</v>
      </c>
      <c r="CC139" s="62">
        <f t="shared" si="119"/>
        <v>293.3333333333365</v>
      </c>
      <c r="CD139" s="62">
        <f ca="1">AVERAGE(OFFSET($CC$3,0,0,'Données projet'!$E$12+1,1))-AVERAGE(OFFSET($H$3,0,0,'Données projet'!$E$12+1,1))</f>
        <v>308.72872453744998</v>
      </c>
      <c r="CE139" s="62">
        <f t="shared" si="148"/>
        <v>195.3674411454258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0.16007132161175427</v>
      </c>
      <c r="CM139" s="23">
        <f>EXP(-LN(2)/2)*CM138+(1-EXP(-LN(2)/2))/(LN(2)/2)*CG139*CJ139*VLOOKUP('Données projet'!$B$12,Paramètres!$A$1:$I$89,3,0)*0.475*44/12</f>
        <v>1.5614202690500397E-15</v>
      </c>
      <c r="CN139" s="24">
        <f t="shared" si="120"/>
        <v>0.16007132161175583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160.24926890971085</v>
      </c>
      <c r="T140" s="62">
        <f t="shared" si="142"/>
        <v>323.52368436151721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7.0824335035552313</v>
      </c>
      <c r="AA140" s="23">
        <f>EXP(-LN(2)/25)*AA139+(1-EXP(-LN(2)/25))/(LN(2)/25)*Calculateur!V140*Calculateur!X140*VLOOKUP('Données projet'!$B$9,Paramètres!$A$1:$I$89,3,0)*0.475*44/12</f>
        <v>2.6584498144721715</v>
      </c>
      <c r="AB140" s="23">
        <f>EXP(-LN(2)/2)*AB139+(1-EXP(-LN(2)/2))/(LN(2)/2)*V140*Y140*VLOOKUP('Données projet'!$B$9,Paramètres!$A$1:$I$89,3,0)*0.475*44/12</f>
        <v>1.3997182760542275E-14</v>
      </c>
      <c r="AC140" s="24">
        <f t="shared" si="111"/>
        <v>9.7408833180274179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1.1882548278663309E-13</v>
      </c>
      <c r="AK140" s="14">
        <f t="shared" si="143"/>
        <v>1.7496137229198366E-12</v>
      </c>
      <c r="AL140" s="22">
        <f t="shared" si="112"/>
        <v>3.2541982832721012E-12</v>
      </c>
      <c r="AM140" s="62">
        <f t="shared" si="113"/>
        <v>293.33333333333655</v>
      </c>
      <c r="AN140" s="62">
        <f ca="1">AVERAGE(OFFSET($AM$3,0,0,'Données projet'!$E$10+1,1))-AVERAGE(OFFSET($H$3,0,0,'Données projet'!$E$10+1,1))</f>
        <v>320.63267332485663</v>
      </c>
      <c r="AO140" s="62">
        <f t="shared" si="144"/>
        <v>201.96012789473809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0.16048475253232652</v>
      </c>
      <c r="AW140" s="23">
        <f>EXP(-LN(2)/2)*AW139+(1-EXP(-LN(2)/2))/(LN(2)/2)*AQ140*AT140*VLOOKUP('Données projet'!$B$10,Paramètres!$A$1:$I$89,3,0)*0.475*44/12</f>
        <v>1.1380628870051748E-15</v>
      </c>
      <c r="AX140" s="23">
        <f t="shared" si="114"/>
        <v>0.16048475253232766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1.0286385077051818E-13</v>
      </c>
      <c r="BF140" s="14">
        <f t="shared" si="145"/>
        <v>1.5402366592183556E-12</v>
      </c>
      <c r="BG140" s="22">
        <f t="shared" si="115"/>
        <v>2.8617333882306215E-12</v>
      </c>
      <c r="BH140" s="62">
        <f t="shared" si="116"/>
        <v>293.33333333333616</v>
      </c>
      <c r="BI140" s="62">
        <f ca="1">AVERAGE(OFFSET($BH$3,0,0,'Données projet'!$E$11+1,1))-AVERAGE(OFFSET($H$3,0,0,'Données projet'!$E$11+1,1))</f>
        <v>267.00333505765792</v>
      </c>
      <c r="BJ140" s="62">
        <f t="shared" si="146"/>
        <v>172.25613380618557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0.13892709920708854</v>
      </c>
      <c r="BR140" s="23">
        <f>EXP(-LN(2)/2)*BR139+(1-EXP(-LN(2)/2))/(LN(2)/2)*BL140*BO140*VLOOKUP('Données projet'!$B$11,Paramètres!$A$1:$I$89,3,0)*0.475*44/12</f>
        <v>9.8518876785522423E-16</v>
      </c>
      <c r="BS140" s="24">
        <f t="shared" si="117"/>
        <v>0.13892709920708951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1.1368683772161603E-13</v>
      </c>
      <c r="BZ140" s="14">
        <f>BY140*VLOOKUP('Données projet'!$B$12,Paramètres!$A$1:$I$89,3,0)*VLOOKUP('Données projet'!$B$12,Paramètres!$A$1:$I$89,5,0)</f>
        <v>1.1527845344971866E-13</v>
      </c>
      <c r="CA140" s="14">
        <f t="shared" si="147"/>
        <v>1.7033846239409443E-12</v>
      </c>
      <c r="CB140" s="22">
        <f t="shared" si="118"/>
        <v>3.1675048597887374E-12</v>
      </c>
      <c r="CC140" s="62">
        <f t="shared" si="119"/>
        <v>293.3333333333365</v>
      </c>
      <c r="CD140" s="62">
        <f ca="1">AVERAGE(OFFSET($CC$3,0,0,'Données projet'!$E$12+1,1))-AVERAGE(OFFSET($H$3,0,0,'Données projet'!$E$12+1,1))</f>
        <v>308.72872453744998</v>
      </c>
      <c r="CE140" s="62">
        <f t="shared" si="148"/>
        <v>195.3674411454258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0.15569416290449589</v>
      </c>
      <c r="CM140" s="23">
        <f>EXP(-LN(2)/2)*CM139+(1-EXP(-LN(2)/2))/(LN(2)/2)*CG140*CJ140*VLOOKUP('Données projet'!$B$12,Paramètres!$A$1:$I$89,3,0)*0.475*44/12</f>
        <v>1.1040908605274066E-15</v>
      </c>
      <c r="CN140" s="24">
        <f t="shared" si="120"/>
        <v>0.155694162904497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160.24926890971085</v>
      </c>
      <c r="T141" s="62">
        <f t="shared" si="142"/>
        <v>323.52368436151721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6.9435513024083999</v>
      </c>
      <c r="AA141" s="23">
        <f>EXP(-LN(2)/25)*AA140+(1-EXP(-LN(2)/25))/(LN(2)/25)*Calculateur!V141*Calculateur!X141*VLOOKUP('Données projet'!$B$9,Paramètres!$A$1:$I$89,3,0)*0.475*44/12</f>
        <v>2.5857543644936301</v>
      </c>
      <c r="AB141" s="23">
        <f>EXP(-LN(2)/2)*AB140+(1-EXP(-LN(2)/2))/(LN(2)/2)*V141*Y141*VLOOKUP('Données projet'!$B$9,Paramètres!$A$1:$I$89,3,0)*0.475*44/12</f>
        <v>9.8975028474868823E-15</v>
      </c>
      <c r="AC141" s="24">
        <f t="shared" si="111"/>
        <v>9.5293056669020402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1.1882548278663309E-13</v>
      </c>
      <c r="AK141" s="14">
        <f t="shared" si="143"/>
        <v>1.7496137229198366E-12</v>
      </c>
      <c r="AL141" s="22">
        <f t="shared" si="112"/>
        <v>3.2541982832721012E-12</v>
      </c>
      <c r="AM141" s="62">
        <f t="shared" si="113"/>
        <v>293.33333333333655</v>
      </c>
      <c r="AN141" s="62">
        <f ca="1">AVERAGE(OFFSET($AM$3,0,0,'Données projet'!$E$10+1,1))-AVERAGE(OFFSET($H$3,0,0,'Données projet'!$E$10+1,1))</f>
        <v>320.63267332485663</v>
      </c>
      <c r="AO141" s="62">
        <f t="shared" si="144"/>
        <v>201.96012789473809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0.1560962885348037</v>
      </c>
      <c r="AW141" s="23">
        <f>EXP(-LN(2)/2)*AW140+(1-EXP(-LN(2)/2))/(LN(2)/2)*AQ141*AT141*VLOOKUP('Données projet'!$B$10,Paramètres!$A$1:$I$89,3,0)*0.475*44/12</f>
        <v>8.0473198481809873E-16</v>
      </c>
      <c r="AX141" s="23">
        <f t="shared" si="114"/>
        <v>0.15609628853480451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1.0286385077051818E-13</v>
      </c>
      <c r="BF141" s="14">
        <f t="shared" si="145"/>
        <v>1.5402366592183556E-12</v>
      </c>
      <c r="BG141" s="22">
        <f t="shared" si="115"/>
        <v>2.8617333882306215E-12</v>
      </c>
      <c r="BH141" s="62">
        <f t="shared" si="116"/>
        <v>293.33333333333616</v>
      </c>
      <c r="BI141" s="62">
        <f ca="1">AVERAGE(OFFSET($BH$3,0,0,'Données projet'!$E$11+1,1))-AVERAGE(OFFSET($H$3,0,0,'Données projet'!$E$11+1,1))</f>
        <v>267.00333505765792</v>
      </c>
      <c r="BJ141" s="62">
        <f t="shared" si="146"/>
        <v>172.25613380618557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0.13512813037341206</v>
      </c>
      <c r="BR141" s="23">
        <f>EXP(-LN(2)/2)*BR140+(1-EXP(-LN(2)/2))/(LN(2)/2)*BL141*BO141*VLOOKUP('Données projet'!$B$11,Paramètres!$A$1:$I$89,3,0)*0.475*44/12</f>
        <v>6.9663365849924841E-16</v>
      </c>
      <c r="BS141" s="24">
        <f t="shared" si="117"/>
        <v>0.13512813037341276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1.1368683772161603E-13</v>
      </c>
      <c r="BZ141" s="14">
        <f>BY141*VLOOKUP('Données projet'!$B$12,Paramètres!$A$1:$I$89,3,0)*VLOOKUP('Données projet'!$B$12,Paramètres!$A$1:$I$89,5,0)</f>
        <v>1.1527845344971866E-13</v>
      </c>
      <c r="CA141" s="14">
        <f t="shared" si="147"/>
        <v>1.7033846239409443E-12</v>
      </c>
      <c r="CB141" s="22">
        <f t="shared" si="118"/>
        <v>3.1675048597887374E-12</v>
      </c>
      <c r="CC141" s="62">
        <f t="shared" si="119"/>
        <v>293.3333333333365</v>
      </c>
      <c r="CD141" s="62">
        <f ca="1">AVERAGE(OFFSET($CC$3,0,0,'Données projet'!$E$12+1,1))-AVERAGE(OFFSET($H$3,0,0,'Données projet'!$E$12+1,1))</f>
        <v>308.72872453744998</v>
      </c>
      <c r="CE141" s="62">
        <f t="shared" si="148"/>
        <v>195.3674411454258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0.15143669783227226</v>
      </c>
      <c r="CM141" s="23">
        <f>EXP(-LN(2)/2)*CM140+(1-EXP(-LN(2)/2))/(LN(2)/2)*CG141*CJ141*VLOOKUP('Données projet'!$B$12,Paramètres!$A$1:$I$89,3,0)*0.475*44/12</f>
        <v>7.8071013452501984E-16</v>
      </c>
      <c r="CN141" s="24">
        <f t="shared" si="120"/>
        <v>0.15143669783227304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160.24926890971085</v>
      </c>
      <c r="T142" s="62">
        <f t="shared" si="142"/>
        <v>323.52368436151721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6.8073924965162798</v>
      </c>
      <c r="AA142" s="23">
        <f>EXP(-LN(2)/25)*AA141+(1-EXP(-LN(2)/25))/(LN(2)/25)*Calculateur!V142*Calculateur!X142*VLOOKUP('Données projet'!$B$9,Paramètres!$A$1:$I$89,3,0)*0.475*44/12</f>
        <v>2.5150467754176393</v>
      </c>
      <c r="AB142" s="23">
        <f>EXP(-LN(2)/2)*AB141+(1-EXP(-LN(2)/2))/(LN(2)/2)*V142*Y142*VLOOKUP('Données projet'!$B$9,Paramètres!$A$1:$I$89,3,0)*0.475*44/12</f>
        <v>6.9985913802711383E-15</v>
      </c>
      <c r="AC142" s="24">
        <f t="shared" si="111"/>
        <v>9.3224392719339271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1.1882548278663309E-13</v>
      </c>
      <c r="AK142" s="14">
        <f t="shared" si="143"/>
        <v>1.7496137229198366E-12</v>
      </c>
      <c r="AL142" s="22">
        <f t="shared" si="112"/>
        <v>3.2541982832721012E-12</v>
      </c>
      <c r="AM142" s="62">
        <f t="shared" si="113"/>
        <v>293.33333333333655</v>
      </c>
      <c r="AN142" s="62">
        <f ca="1">AVERAGE(OFFSET($AM$3,0,0,'Données projet'!$E$10+1,1))-AVERAGE(OFFSET($H$3,0,0,'Données projet'!$E$10+1,1))</f>
        <v>320.63267332485663</v>
      </c>
      <c r="AO142" s="62">
        <f t="shared" si="144"/>
        <v>201.96012789473809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0.15182782731607244</v>
      </c>
      <c r="AW142" s="23">
        <f>EXP(-LN(2)/2)*AW141+(1-EXP(-LN(2)/2))/(LN(2)/2)*AQ142*AT142*VLOOKUP('Données projet'!$B$10,Paramètres!$A$1:$I$89,3,0)*0.475*44/12</f>
        <v>5.6903144350258742E-16</v>
      </c>
      <c r="AX142" s="23">
        <f t="shared" si="114"/>
        <v>0.15182782731607303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1.0286385077051818E-13</v>
      </c>
      <c r="BF142" s="14">
        <f t="shared" si="145"/>
        <v>1.5402366592183556E-12</v>
      </c>
      <c r="BG142" s="22">
        <f t="shared" si="115"/>
        <v>2.8617333882306215E-12</v>
      </c>
      <c r="BH142" s="62">
        <f t="shared" si="116"/>
        <v>293.33333333333616</v>
      </c>
      <c r="BI142" s="62">
        <f ca="1">AVERAGE(OFFSET($BH$3,0,0,'Données projet'!$E$11+1,1))-AVERAGE(OFFSET($H$3,0,0,'Données projet'!$E$11+1,1))</f>
        <v>267.00333505765792</v>
      </c>
      <c r="BJ142" s="62">
        <f t="shared" si="146"/>
        <v>172.25613380618557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0.13143304454227159</v>
      </c>
      <c r="BR142" s="23">
        <f>EXP(-LN(2)/2)*BR141+(1-EXP(-LN(2)/2))/(LN(2)/2)*BL142*BO142*VLOOKUP('Données projet'!$B$11,Paramètres!$A$1:$I$89,3,0)*0.475*44/12</f>
        <v>4.9259438392761211E-16</v>
      </c>
      <c r="BS142" s="24">
        <f t="shared" si="117"/>
        <v>0.13143304454227209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1.1368683772161603E-13</v>
      </c>
      <c r="BZ142" s="14">
        <f>BY142*VLOOKUP('Données projet'!$B$12,Paramètres!$A$1:$I$89,3,0)*VLOOKUP('Données projet'!$B$12,Paramètres!$A$1:$I$89,5,0)</f>
        <v>1.1527845344971866E-13</v>
      </c>
      <c r="CA142" s="14">
        <f t="shared" si="147"/>
        <v>1.7033846239409443E-12</v>
      </c>
      <c r="CB142" s="22">
        <f t="shared" si="118"/>
        <v>3.1675048597887374E-12</v>
      </c>
      <c r="CC142" s="62">
        <f t="shared" si="119"/>
        <v>293.3333333333365</v>
      </c>
      <c r="CD142" s="62">
        <f ca="1">AVERAGE(OFFSET($CC$3,0,0,'Données projet'!$E$12+1,1))-AVERAGE(OFFSET($H$3,0,0,'Données projet'!$E$12+1,1))</f>
        <v>308.72872453744998</v>
      </c>
      <c r="CE142" s="62">
        <f t="shared" si="148"/>
        <v>195.3674411454258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0.14729565336633896</v>
      </c>
      <c r="CM142" s="23">
        <f>EXP(-LN(2)/2)*CM141+(1-EXP(-LN(2)/2))/(LN(2)/2)*CG142*CJ142*VLOOKUP('Données projet'!$B$12,Paramètres!$A$1:$I$89,3,0)*0.475*44/12</f>
        <v>5.5204543026370328E-16</v>
      </c>
      <c r="CN142" s="24">
        <f t="shared" si="120"/>
        <v>0.14729565336633951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160.24926890971085</v>
      </c>
      <c r="T143" s="62">
        <f t="shared" si="142"/>
        <v>323.52368436151721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6.6739036817590325</v>
      </c>
      <c r="AA143" s="23">
        <f>EXP(-LN(2)/25)*AA142+(1-EXP(-LN(2)/25))/(LN(2)/25)*Calculateur!V143*Calculateur!X143*VLOOKUP('Données projet'!$B$9,Paramètres!$A$1:$I$89,3,0)*0.475*44/12</f>
        <v>2.4462726890832824</v>
      </c>
      <c r="AB143" s="23">
        <f>EXP(-LN(2)/2)*AB142+(1-EXP(-LN(2)/2))/(LN(2)/2)*V143*Y143*VLOOKUP('Données projet'!$B$9,Paramètres!$A$1:$I$89,3,0)*0.475*44/12</f>
        <v>4.9487514237434419E-15</v>
      </c>
      <c r="AC143" s="24">
        <f t="shared" si="111"/>
        <v>9.1201763708423211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1.1882548278663309E-13</v>
      </c>
      <c r="AK143" s="14">
        <f t="shared" si="143"/>
        <v>1.7496137229198366E-12</v>
      </c>
      <c r="AL143" s="22">
        <f t="shared" si="112"/>
        <v>3.2541982832721012E-12</v>
      </c>
      <c r="AM143" s="62">
        <f t="shared" si="113"/>
        <v>293.33333333333655</v>
      </c>
      <c r="AN143" s="62">
        <f ca="1">AVERAGE(OFFSET($AM$3,0,0,'Données projet'!$E$10+1,1))-AVERAGE(OFFSET($H$3,0,0,'Données projet'!$E$10+1,1))</f>
        <v>320.63267332485663</v>
      </c>
      <c r="AO143" s="62">
        <f t="shared" si="144"/>
        <v>201.96012789473809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0.147676087393836</v>
      </c>
      <c r="AW143" s="23">
        <f>EXP(-LN(2)/2)*AW142+(1-EXP(-LN(2)/2))/(LN(2)/2)*AQ143*AT143*VLOOKUP('Données projet'!$B$10,Paramètres!$A$1:$I$89,3,0)*0.475*44/12</f>
        <v>4.0236599240904937E-16</v>
      </c>
      <c r="AX143" s="23">
        <f t="shared" si="114"/>
        <v>0.14767608739383639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1.0286385077051818E-13</v>
      </c>
      <c r="BF143" s="14">
        <f t="shared" si="145"/>
        <v>1.5402366592183556E-12</v>
      </c>
      <c r="BG143" s="22">
        <f t="shared" si="115"/>
        <v>2.8617333882306215E-12</v>
      </c>
      <c r="BH143" s="62">
        <f t="shared" si="116"/>
        <v>293.33333333333616</v>
      </c>
      <c r="BI143" s="62">
        <f ca="1">AVERAGE(OFFSET($BH$3,0,0,'Données projet'!$E$11+1,1))-AVERAGE(OFFSET($H$3,0,0,'Données projet'!$E$11+1,1))</f>
        <v>267.00333505765792</v>
      </c>
      <c r="BJ143" s="62">
        <f t="shared" si="146"/>
        <v>172.25613380618557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0.12783900102749976</v>
      </c>
      <c r="BR143" s="23">
        <f>EXP(-LN(2)/2)*BR142+(1-EXP(-LN(2)/2))/(LN(2)/2)*BL143*BO143*VLOOKUP('Données projet'!$B$11,Paramètres!$A$1:$I$89,3,0)*0.475*44/12</f>
        <v>3.483168292496242E-16</v>
      </c>
      <c r="BS143" s="24">
        <f t="shared" si="117"/>
        <v>0.12783900102750012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1.1368683772161603E-13</v>
      </c>
      <c r="BZ143" s="14">
        <f>BY143*VLOOKUP('Données projet'!$B$12,Paramètres!$A$1:$I$89,3,0)*VLOOKUP('Données projet'!$B$12,Paramètres!$A$1:$I$89,5,0)</f>
        <v>1.1527845344971866E-13</v>
      </c>
      <c r="CA143" s="14">
        <f t="shared" si="147"/>
        <v>1.7033846239409443E-12</v>
      </c>
      <c r="CB143" s="22">
        <f t="shared" si="118"/>
        <v>3.1675048597887374E-12</v>
      </c>
      <c r="CC143" s="62">
        <f t="shared" si="119"/>
        <v>293.3333333333365</v>
      </c>
      <c r="CD143" s="62">
        <f ca="1">AVERAGE(OFFSET($CC$3,0,0,'Données projet'!$E$12+1,1))-AVERAGE(OFFSET($H$3,0,0,'Données projet'!$E$12+1,1))</f>
        <v>308.72872453744998</v>
      </c>
      <c r="CE143" s="62">
        <f t="shared" si="148"/>
        <v>195.3674411454258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0.14326784597909464</v>
      </c>
      <c r="CM143" s="23">
        <f>EXP(-LN(2)/2)*CM142+(1-EXP(-LN(2)/2))/(LN(2)/2)*CG143*CJ143*VLOOKUP('Données projet'!$B$12,Paramètres!$A$1:$I$89,3,0)*0.475*44/12</f>
        <v>3.9035506726250992E-16</v>
      </c>
      <c r="CN143" s="24">
        <f t="shared" si="120"/>
        <v>0.14326784597909503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160.24926890971085</v>
      </c>
      <c r="T144" s="62">
        <f t="shared" si="142"/>
        <v>323.52368436151721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6.5430325012390371</v>
      </c>
      <c r="AA144" s="23">
        <f>EXP(-LN(2)/25)*AA143+(1-EXP(-LN(2)/25))/(LN(2)/25)*Calculateur!V144*Calculateur!X144*VLOOKUP('Données projet'!$B$9,Paramètres!$A$1:$I$89,3,0)*0.475*44/12</f>
        <v>2.3793792337564104</v>
      </c>
      <c r="AB144" s="23">
        <f>EXP(-LN(2)/2)*AB143+(1-EXP(-LN(2)/2))/(LN(2)/2)*V144*Y144*VLOOKUP('Données projet'!$B$9,Paramètres!$A$1:$I$89,3,0)*0.475*44/12</f>
        <v>3.49929569013557E-15</v>
      </c>
      <c r="AC144" s="24">
        <f t="shared" si="111"/>
        <v>8.9224117349954515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1.1882548278663309E-13</v>
      </c>
      <c r="AK144" s="14">
        <f t="shared" si="143"/>
        <v>1.7496137229198366E-12</v>
      </c>
      <c r="AL144" s="22">
        <f t="shared" si="112"/>
        <v>3.2541982832721012E-12</v>
      </c>
      <c r="AM144" s="62">
        <f t="shared" si="113"/>
        <v>293.33333333333655</v>
      </c>
      <c r="AN144" s="62">
        <f ca="1">AVERAGE(OFFSET($AM$3,0,0,'Données projet'!$E$10+1,1))-AVERAGE(OFFSET($H$3,0,0,'Données projet'!$E$10+1,1))</f>
        <v>320.63267332485663</v>
      </c>
      <c r="AO144" s="62">
        <f t="shared" si="144"/>
        <v>201.96012789473809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0.14363787701810363</v>
      </c>
      <c r="AW144" s="23">
        <f>EXP(-LN(2)/2)*AW143+(1-EXP(-LN(2)/2))/(LN(2)/2)*AQ144*AT144*VLOOKUP('Données projet'!$B$10,Paramètres!$A$1:$I$89,3,0)*0.475*44/12</f>
        <v>2.8451572175129371E-16</v>
      </c>
      <c r="AX144" s="23">
        <f t="shared" si="114"/>
        <v>0.1436378770181039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1.0286385077051818E-13</v>
      </c>
      <c r="BF144" s="14">
        <f t="shared" si="145"/>
        <v>1.5402366592183556E-12</v>
      </c>
      <c r="BG144" s="22">
        <f t="shared" si="115"/>
        <v>2.8617333882306215E-12</v>
      </c>
      <c r="BH144" s="62">
        <f t="shared" si="116"/>
        <v>293.33333333333616</v>
      </c>
      <c r="BI144" s="62">
        <f ca="1">AVERAGE(OFFSET($BH$3,0,0,'Données projet'!$E$11+1,1))-AVERAGE(OFFSET($H$3,0,0,'Données projet'!$E$11+1,1))</f>
        <v>267.00333505765792</v>
      </c>
      <c r="BJ144" s="62">
        <f t="shared" si="146"/>
        <v>172.25613380618557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0.12434323682164189</v>
      </c>
      <c r="BR144" s="23">
        <f>EXP(-LN(2)/2)*BR143+(1-EXP(-LN(2)/2))/(LN(2)/2)*BL144*BO144*VLOOKUP('Données projet'!$B$11,Paramètres!$A$1:$I$89,3,0)*0.475*44/12</f>
        <v>2.4629719196380606E-16</v>
      </c>
      <c r="BS144" s="24">
        <f t="shared" si="117"/>
        <v>0.12434323682164214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1.1368683772161603E-13</v>
      </c>
      <c r="BZ144" s="14">
        <f>BY144*VLOOKUP('Données projet'!$B$12,Paramètres!$A$1:$I$89,3,0)*VLOOKUP('Données projet'!$B$12,Paramètres!$A$1:$I$89,5,0)</f>
        <v>1.1527845344971866E-13</v>
      </c>
      <c r="CA144" s="14">
        <f t="shared" si="147"/>
        <v>1.7033846239409443E-12</v>
      </c>
      <c r="CB144" s="22">
        <f t="shared" si="118"/>
        <v>3.1675048597887374E-12</v>
      </c>
      <c r="CC144" s="62">
        <f t="shared" si="119"/>
        <v>293.3333333333365</v>
      </c>
      <c r="CD144" s="62">
        <f ca="1">AVERAGE(OFFSET($CC$3,0,0,'Données projet'!$E$12+1,1))-AVERAGE(OFFSET($H$3,0,0,'Données projet'!$E$12+1,1))</f>
        <v>308.72872453744998</v>
      </c>
      <c r="CE144" s="62">
        <f t="shared" si="148"/>
        <v>195.3674411454258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0.13935017919666773</v>
      </c>
      <c r="CM144" s="23">
        <f>EXP(-LN(2)/2)*CM143+(1-EXP(-LN(2)/2))/(LN(2)/2)*CG144*CJ144*VLOOKUP('Données projet'!$B$12,Paramètres!$A$1:$I$89,3,0)*0.475*44/12</f>
        <v>2.7602271513185164E-16</v>
      </c>
      <c r="CN144" s="24">
        <f t="shared" si="120"/>
        <v>0.13935017919666801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160.24926890971085</v>
      </c>
      <c r="T145" s="62">
        <f t="shared" si="142"/>
        <v>323.52368436151721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6.4147276247455007</v>
      </c>
      <c r="AA145" s="23">
        <f>EXP(-LN(2)/25)*AA144+(1-EXP(-LN(2)/25))/(LN(2)/25)*Calculateur!V145*Calculateur!X145*VLOOKUP('Données projet'!$B$9,Paramètres!$A$1:$I$89,3,0)*0.475*44/12</f>
        <v>2.3143149834832255</v>
      </c>
      <c r="AB145" s="23">
        <f>EXP(-LN(2)/2)*AB144+(1-EXP(-LN(2)/2))/(LN(2)/2)*V145*Y145*VLOOKUP('Données projet'!$B$9,Paramètres!$A$1:$I$89,3,0)*0.475*44/12</f>
        <v>2.4743757118717214E-15</v>
      </c>
      <c r="AC145" s="24">
        <f t="shared" si="111"/>
        <v>8.7290426082287276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1.1882548278663309E-13</v>
      </c>
      <c r="AK145" s="14">
        <f t="shared" si="143"/>
        <v>1.7496137229198366E-12</v>
      </c>
      <c r="AL145" s="22">
        <f t="shared" si="112"/>
        <v>3.2541982832721012E-12</v>
      </c>
      <c r="AM145" s="62">
        <f t="shared" si="113"/>
        <v>293.33333333333655</v>
      </c>
      <c r="AN145" s="62">
        <f ca="1">AVERAGE(OFFSET($AM$3,0,0,'Données projet'!$E$10+1,1))-AVERAGE(OFFSET($H$3,0,0,'Données projet'!$E$10+1,1))</f>
        <v>320.63267332485663</v>
      </c>
      <c r="AO145" s="62">
        <f t="shared" si="144"/>
        <v>201.96012789473809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0.13971009171745591</v>
      </c>
      <c r="AW145" s="23">
        <f>EXP(-LN(2)/2)*AW144+(1-EXP(-LN(2)/2))/(LN(2)/2)*AQ145*AT145*VLOOKUP('Données projet'!$B$10,Paramètres!$A$1:$I$89,3,0)*0.475*44/12</f>
        <v>2.0118299620452468E-16</v>
      </c>
      <c r="AX145" s="23">
        <f t="shared" si="114"/>
        <v>0.1397100917174561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1.0286385077051818E-13</v>
      </c>
      <c r="BF145" s="14">
        <f t="shared" si="145"/>
        <v>1.5402366592183556E-12</v>
      </c>
      <c r="BG145" s="22">
        <f t="shared" si="115"/>
        <v>2.8617333882306215E-12</v>
      </c>
      <c r="BH145" s="62">
        <f t="shared" si="116"/>
        <v>293.33333333333616</v>
      </c>
      <c r="BI145" s="62">
        <f ca="1">AVERAGE(OFFSET($BH$3,0,0,'Données projet'!$E$11+1,1))-AVERAGE(OFFSET($H$3,0,0,'Données projet'!$E$11+1,1))</f>
        <v>267.00333505765792</v>
      </c>
      <c r="BJ145" s="62">
        <f t="shared" si="146"/>
        <v>172.25613380618557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0.12094306447182746</v>
      </c>
      <c r="BR145" s="23">
        <f>EXP(-LN(2)/2)*BR144+(1-EXP(-LN(2)/2))/(LN(2)/2)*BL145*BO145*VLOOKUP('Données projet'!$B$11,Paramètres!$A$1:$I$89,3,0)*0.475*44/12</f>
        <v>1.741584146248121E-16</v>
      </c>
      <c r="BS145" s="24">
        <f t="shared" si="117"/>
        <v>0.12094306447182764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1.1368683772161603E-13</v>
      </c>
      <c r="BZ145" s="14">
        <f>BY145*VLOOKUP('Données projet'!$B$12,Paramètres!$A$1:$I$89,3,0)*VLOOKUP('Données projet'!$B$12,Paramètres!$A$1:$I$89,5,0)</f>
        <v>1.1527845344971866E-13</v>
      </c>
      <c r="CA145" s="14">
        <f t="shared" si="147"/>
        <v>1.7033846239409443E-12</v>
      </c>
      <c r="CB145" s="22">
        <f t="shared" si="118"/>
        <v>3.1675048597887374E-12</v>
      </c>
      <c r="CC145" s="62">
        <f t="shared" si="119"/>
        <v>293.3333333333365</v>
      </c>
      <c r="CD145" s="62">
        <f ca="1">AVERAGE(OFFSET($CC$3,0,0,'Données projet'!$E$12+1,1))-AVERAGE(OFFSET($H$3,0,0,'Données projet'!$E$12+1,1))</f>
        <v>308.72872453744998</v>
      </c>
      <c r="CE145" s="62">
        <f t="shared" si="148"/>
        <v>195.3674411454258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0.1355396412184274</v>
      </c>
      <c r="CM145" s="23">
        <f>EXP(-LN(2)/2)*CM144+(1-EXP(-LN(2)/2))/(LN(2)/2)*CG145*CJ145*VLOOKUP('Données projet'!$B$12,Paramètres!$A$1:$I$89,3,0)*0.475*44/12</f>
        <v>1.9517753363125496E-16</v>
      </c>
      <c r="CN145" s="24">
        <f t="shared" si="120"/>
        <v>0.1355396412184276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160.24926890971085</v>
      </c>
      <c r="T146" s="62">
        <f t="shared" si="142"/>
        <v>323.52368436151721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6.2889387286217557</v>
      </c>
      <c r="AA146" s="23">
        <f>EXP(-LN(2)/25)*AA145+(1-EXP(-LN(2)/25))/(LN(2)/25)*Calculateur!V146*Calculateur!X146*VLOOKUP('Données projet'!$B$9,Paramètres!$A$1:$I$89,3,0)*0.475*44/12</f>
        <v>2.2510299185553411</v>
      </c>
      <c r="AB146" s="23">
        <f>EXP(-LN(2)/2)*AB145+(1-EXP(-LN(2)/2))/(LN(2)/2)*V146*Y146*VLOOKUP('Données projet'!$B$9,Paramètres!$A$1:$I$89,3,0)*0.475*44/12</f>
        <v>1.7496478450677852E-15</v>
      </c>
      <c r="AC146" s="24">
        <f t="shared" si="111"/>
        <v>8.5399686471770995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1.1882548278663309E-13</v>
      </c>
      <c r="AK146" s="14">
        <f t="shared" si="143"/>
        <v>1.7496137229198366E-12</v>
      </c>
      <c r="AL146" s="22">
        <f t="shared" si="112"/>
        <v>3.2541982832721012E-12</v>
      </c>
      <c r="AM146" s="62">
        <f t="shared" si="113"/>
        <v>293.33333333333655</v>
      </c>
      <c r="AN146" s="62">
        <f ca="1">AVERAGE(OFFSET($AM$3,0,0,'Données projet'!$E$10+1,1))-AVERAGE(OFFSET($H$3,0,0,'Données projet'!$E$10+1,1))</f>
        <v>320.63267332485663</v>
      </c>
      <c r="AO146" s="62">
        <f t="shared" si="144"/>
        <v>201.96012789473809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0.13588971191240767</v>
      </c>
      <c r="AW146" s="23">
        <f>EXP(-LN(2)/2)*AW145+(1-EXP(-LN(2)/2))/(LN(2)/2)*AQ146*AT146*VLOOKUP('Données projet'!$B$10,Paramètres!$A$1:$I$89,3,0)*0.475*44/12</f>
        <v>1.4225786087564685E-16</v>
      </c>
      <c r="AX146" s="23">
        <f t="shared" si="114"/>
        <v>0.13588971191240781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1.0286385077051818E-13</v>
      </c>
      <c r="BF146" s="14">
        <f t="shared" si="145"/>
        <v>1.5402366592183556E-12</v>
      </c>
      <c r="BG146" s="22">
        <f t="shared" si="115"/>
        <v>2.8617333882306215E-12</v>
      </c>
      <c r="BH146" s="62">
        <f t="shared" si="116"/>
        <v>293.33333333333616</v>
      </c>
      <c r="BI146" s="62">
        <f ca="1">AVERAGE(OFFSET($BH$3,0,0,'Données projet'!$E$11+1,1))-AVERAGE(OFFSET($H$3,0,0,'Données projet'!$E$11+1,1))</f>
        <v>267.00333505765792</v>
      </c>
      <c r="BJ146" s="62">
        <f t="shared" si="146"/>
        <v>172.25613380618557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0.117635870013726</v>
      </c>
      <c r="BR146" s="23">
        <f>EXP(-LN(2)/2)*BR145+(1-EXP(-LN(2)/2))/(LN(2)/2)*BL146*BO146*VLOOKUP('Données projet'!$B$11,Paramètres!$A$1:$I$89,3,0)*0.475*44/12</f>
        <v>1.2314859598190303E-16</v>
      </c>
      <c r="BS146" s="24">
        <f t="shared" si="117"/>
        <v>0.11763587001372612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1.1368683772161603E-13</v>
      </c>
      <c r="BZ146" s="14">
        <f>BY146*VLOOKUP('Données projet'!$B$12,Paramètres!$A$1:$I$89,3,0)*VLOOKUP('Données projet'!$B$12,Paramètres!$A$1:$I$89,5,0)</f>
        <v>1.1527845344971866E-13</v>
      </c>
      <c r="CA146" s="14">
        <f t="shared" si="147"/>
        <v>1.7033846239409443E-12</v>
      </c>
      <c r="CB146" s="22">
        <f t="shared" si="118"/>
        <v>3.1675048597887374E-12</v>
      </c>
      <c r="CC146" s="62">
        <f t="shared" si="119"/>
        <v>293.3333333333365</v>
      </c>
      <c r="CD146" s="62">
        <f ca="1">AVERAGE(OFFSET($CC$3,0,0,'Données projet'!$E$12+1,1))-AVERAGE(OFFSET($H$3,0,0,'Données projet'!$E$12+1,1))</f>
        <v>308.72872453744998</v>
      </c>
      <c r="CE146" s="62">
        <f t="shared" si="148"/>
        <v>195.3674411454258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0.13183330260158954</v>
      </c>
      <c r="CM146" s="23">
        <f>EXP(-LN(2)/2)*CM145+(1-EXP(-LN(2)/2))/(LN(2)/2)*CG146*CJ146*VLOOKUP('Données projet'!$B$12,Paramètres!$A$1:$I$89,3,0)*0.475*44/12</f>
        <v>1.3801135756592582E-16</v>
      </c>
      <c r="CN146" s="24">
        <f t="shared" si="120"/>
        <v>0.13183330260158968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160.24926890971085</v>
      </c>
      <c r="T147" s="62">
        <f t="shared" si="142"/>
        <v>323.52368436151721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6.1656164760273464</v>
      </c>
      <c r="AA147" s="23">
        <f>EXP(-LN(2)/25)*AA146+(1-EXP(-LN(2)/25))/(LN(2)/25)*Calculateur!V147*Calculateur!X147*VLOOKUP('Données projet'!$B$9,Paramètres!$A$1:$I$89,3,0)*0.475*44/12</f>
        <v>2.1894753870559267</v>
      </c>
      <c r="AB147" s="23">
        <f>EXP(-LN(2)/2)*AB146+(1-EXP(-LN(2)/2))/(LN(2)/2)*V147*Y147*VLOOKUP('Données projet'!$B$9,Paramètres!$A$1:$I$89,3,0)*0.475*44/12</f>
        <v>1.2371878559358609E-15</v>
      </c>
      <c r="AC147" s="24">
        <f t="shared" si="111"/>
        <v>8.3550918630832758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1.1882548278663309E-13</v>
      </c>
      <c r="AK147" s="14">
        <f t="shared" si="143"/>
        <v>1.7496137229198366E-12</v>
      </c>
      <c r="AL147" s="22">
        <f t="shared" si="112"/>
        <v>3.2541982832721012E-12</v>
      </c>
      <c r="AM147" s="62">
        <f t="shared" si="113"/>
        <v>293.33333333333655</v>
      </c>
      <c r="AN147" s="62">
        <f ca="1">AVERAGE(OFFSET($AM$3,0,0,'Données projet'!$E$10+1,1))-AVERAGE(OFFSET($H$3,0,0,'Données projet'!$E$10+1,1))</f>
        <v>320.63267332485663</v>
      </c>
      <c r="AO147" s="62">
        <f t="shared" si="144"/>
        <v>201.96012789473809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0.13217380059403352</v>
      </c>
      <c r="AW147" s="23">
        <f>EXP(-LN(2)/2)*AW146+(1-EXP(-LN(2)/2))/(LN(2)/2)*AQ147*AT147*VLOOKUP('Données projet'!$B$10,Paramètres!$A$1:$I$89,3,0)*0.475*44/12</f>
        <v>1.0059149810226234E-16</v>
      </c>
      <c r="AX147" s="23">
        <f t="shared" si="114"/>
        <v>0.13217380059403364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1.0286385077051818E-13</v>
      </c>
      <c r="BF147" s="14">
        <f t="shared" si="145"/>
        <v>1.5402366592183556E-12</v>
      </c>
      <c r="BG147" s="22">
        <f t="shared" si="115"/>
        <v>2.8617333882306215E-12</v>
      </c>
      <c r="BH147" s="62">
        <f t="shared" si="116"/>
        <v>293.33333333333616</v>
      </c>
      <c r="BI147" s="62">
        <f ca="1">AVERAGE(OFFSET($BH$3,0,0,'Données projet'!$E$11+1,1))-AVERAGE(OFFSET($H$3,0,0,'Données projet'!$E$11+1,1))</f>
        <v>267.00333505765792</v>
      </c>
      <c r="BJ147" s="62">
        <f t="shared" si="146"/>
        <v>172.25613380618557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0.11441911096199911</v>
      </c>
      <c r="BR147" s="23">
        <f>EXP(-LN(2)/2)*BR146+(1-EXP(-LN(2)/2))/(LN(2)/2)*BL147*BO147*VLOOKUP('Données projet'!$B$11,Paramètres!$A$1:$I$89,3,0)*0.475*44/12</f>
        <v>8.7079207312406051E-17</v>
      </c>
      <c r="BS147" s="24">
        <f t="shared" si="117"/>
        <v>0.11441911096199919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1.1368683772161603E-13</v>
      </c>
      <c r="BZ147" s="14">
        <f>BY147*VLOOKUP('Données projet'!$B$12,Paramètres!$A$1:$I$89,3,0)*VLOOKUP('Données projet'!$B$12,Paramètres!$A$1:$I$89,5,0)</f>
        <v>1.1527845344971866E-13</v>
      </c>
      <c r="CA147" s="14">
        <f t="shared" si="147"/>
        <v>1.7033846239409443E-12</v>
      </c>
      <c r="CB147" s="22">
        <f t="shared" si="118"/>
        <v>3.1675048597887374E-12</v>
      </c>
      <c r="CC147" s="62">
        <f t="shared" si="119"/>
        <v>293.3333333333365</v>
      </c>
      <c r="CD147" s="62">
        <f ca="1">AVERAGE(OFFSET($CC$3,0,0,'Données projet'!$E$12+1,1))-AVERAGE(OFFSET($H$3,0,0,'Données projet'!$E$12+1,1))</f>
        <v>308.72872453744998</v>
      </c>
      <c r="CE147" s="62">
        <f t="shared" si="148"/>
        <v>195.3674411454258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0.12822831400913701</v>
      </c>
      <c r="CM147" s="23">
        <f>EXP(-LN(2)/2)*CM146+(1-EXP(-LN(2)/2))/(LN(2)/2)*CG147*CJ147*VLOOKUP('Données projet'!$B$12,Paramètres!$A$1:$I$89,3,0)*0.475*44/12</f>
        <v>9.758876681562748E-17</v>
      </c>
      <c r="CN147" s="24">
        <f t="shared" si="120"/>
        <v>0.12822831400913712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160.24926890971085</v>
      </c>
      <c r="T148" s="62">
        <f t="shared" si="142"/>
        <v>323.52368436151721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6.0447124975871667</v>
      </c>
      <c r="AA148" s="23">
        <f>EXP(-LN(2)/25)*AA147+(1-EXP(-LN(2)/25))/(LN(2)/25)*Calculateur!V148*Calculateur!X148*VLOOKUP('Données projet'!$B$9,Paramètres!$A$1:$I$89,3,0)*0.475*44/12</f>
        <v>2.1296040674573757</v>
      </c>
      <c r="AB148" s="23">
        <f>EXP(-LN(2)/2)*AB147+(1-EXP(-LN(2)/2))/(LN(2)/2)*V148*Y148*VLOOKUP('Données projet'!$B$9,Paramètres!$A$1:$I$89,3,0)*0.475*44/12</f>
        <v>8.7482392253389269E-16</v>
      </c>
      <c r="AC148" s="24">
        <f t="shared" si="111"/>
        <v>8.174316565044542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1.1882548278663309E-13</v>
      </c>
      <c r="AK148" s="14">
        <f t="shared" si="143"/>
        <v>1.7496137229198366E-12</v>
      </c>
      <c r="AL148" s="22">
        <f t="shared" si="112"/>
        <v>3.2541982832721012E-12</v>
      </c>
      <c r="AM148" s="62">
        <f t="shared" si="113"/>
        <v>293.33333333333655</v>
      </c>
      <c r="AN148" s="62">
        <f ca="1">AVERAGE(OFFSET($AM$3,0,0,'Données projet'!$E$10+1,1))-AVERAGE(OFFSET($H$3,0,0,'Données projet'!$E$10+1,1))</f>
        <v>320.63267332485663</v>
      </c>
      <c r="AO148" s="62">
        <f t="shared" si="144"/>
        <v>201.96012789473809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0.12855950106607159</v>
      </c>
      <c r="AW148" s="23">
        <f>EXP(-LN(2)/2)*AW147+(1-EXP(-LN(2)/2))/(LN(2)/2)*AQ148*AT148*VLOOKUP('Données projet'!$B$10,Paramètres!$A$1:$I$89,3,0)*0.475*44/12</f>
        <v>7.1128930437823427E-17</v>
      </c>
      <c r="AX148" s="23">
        <f t="shared" si="114"/>
        <v>0.12855950106607167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1.0286385077051818E-13</v>
      </c>
      <c r="BF148" s="14">
        <f t="shared" si="145"/>
        <v>1.5402366592183556E-12</v>
      </c>
      <c r="BG148" s="22">
        <f t="shared" si="115"/>
        <v>2.8617333882306215E-12</v>
      </c>
      <c r="BH148" s="62">
        <f t="shared" si="116"/>
        <v>293.33333333333616</v>
      </c>
      <c r="BI148" s="62">
        <f ca="1">AVERAGE(OFFSET($BH$3,0,0,'Données projet'!$E$11+1,1))-AVERAGE(OFFSET($H$3,0,0,'Données projet'!$E$11+1,1))</f>
        <v>267.00333505765792</v>
      </c>
      <c r="BJ148" s="62">
        <f t="shared" si="146"/>
        <v>172.25613380618557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0.1112903143557037</v>
      </c>
      <c r="BR148" s="23">
        <f>EXP(-LN(2)/2)*BR147+(1-EXP(-LN(2)/2))/(LN(2)/2)*BL148*BO148*VLOOKUP('Données projet'!$B$11,Paramètres!$A$1:$I$89,3,0)*0.475*44/12</f>
        <v>6.1574297990951514E-17</v>
      </c>
      <c r="BS148" s="24">
        <f t="shared" si="117"/>
        <v>0.11129031435570376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1.1368683772161603E-13</v>
      </c>
      <c r="BZ148" s="14">
        <f>BY148*VLOOKUP('Données projet'!$B$12,Paramètres!$A$1:$I$89,3,0)*VLOOKUP('Données projet'!$B$12,Paramètres!$A$1:$I$89,5,0)</f>
        <v>1.1527845344971866E-13</v>
      </c>
      <c r="CA148" s="14">
        <f t="shared" si="147"/>
        <v>1.7033846239409443E-12</v>
      </c>
      <c r="CB148" s="22">
        <f t="shared" si="118"/>
        <v>3.1675048597887374E-12</v>
      </c>
      <c r="CC148" s="62">
        <f t="shared" si="119"/>
        <v>293.3333333333365</v>
      </c>
      <c r="CD148" s="62">
        <f ca="1">AVERAGE(OFFSET($CC$3,0,0,'Données projet'!$E$12+1,1))-AVERAGE(OFFSET($H$3,0,0,'Données projet'!$E$12+1,1))</f>
        <v>308.72872453744998</v>
      </c>
      <c r="CE148" s="62">
        <f t="shared" si="148"/>
        <v>195.3674411454258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0.12472190401932319</v>
      </c>
      <c r="CM148" s="23">
        <f>EXP(-LN(2)/2)*CM147+(1-EXP(-LN(2)/2))/(LN(2)/2)*CG148*CJ148*VLOOKUP('Données projet'!$B$12,Paramètres!$A$1:$I$89,3,0)*0.475*44/12</f>
        <v>6.9005678782962911E-17</v>
      </c>
      <c r="CN148" s="24">
        <f t="shared" si="120"/>
        <v>0.12472190401932326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160.24926890971085</v>
      </c>
      <c r="T149" s="62">
        <f t="shared" si="142"/>
        <v>323.52368436151721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5.9261793724200533</v>
      </c>
      <c r="AA149" s="23">
        <f>EXP(-LN(2)/25)*AA148+(1-EXP(-LN(2)/25))/(LN(2)/25)*Calculateur!V149*Calculateur!X149*VLOOKUP('Données projet'!$B$9,Paramètres!$A$1:$I$89,3,0)*0.475*44/12</f>
        <v>2.0713699322417432</v>
      </c>
      <c r="AB149" s="23">
        <f>EXP(-LN(2)/2)*AB148+(1-EXP(-LN(2)/2))/(LN(2)/2)*V149*Y149*VLOOKUP('Données projet'!$B$9,Paramètres!$A$1:$I$89,3,0)*0.475*44/12</f>
        <v>6.1859392796793054E-16</v>
      </c>
      <c r="AC149" s="24">
        <f t="shared" si="111"/>
        <v>7.9975493046617974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1.1882548278663309E-13</v>
      </c>
      <c r="AK149" s="14">
        <f t="shared" si="143"/>
        <v>1.7496137229198366E-12</v>
      </c>
      <c r="AL149" s="22">
        <f t="shared" si="112"/>
        <v>3.2541982832721012E-12</v>
      </c>
      <c r="AM149" s="62">
        <f t="shared" si="113"/>
        <v>293.33333333333655</v>
      </c>
      <c r="AN149" s="62">
        <f ca="1">AVERAGE(OFFSET($AM$3,0,0,'Données projet'!$E$10+1,1))-AVERAGE(OFFSET($H$3,0,0,'Données projet'!$E$10+1,1))</f>
        <v>320.63267332485663</v>
      </c>
      <c r="AO149" s="62">
        <f t="shared" si="144"/>
        <v>201.96012789473809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0.12504403474876952</v>
      </c>
      <c r="AW149" s="23">
        <f>EXP(-LN(2)/2)*AW148+(1-EXP(-LN(2)/2))/(LN(2)/2)*AQ149*AT149*VLOOKUP('Données projet'!$B$10,Paramètres!$A$1:$I$89,3,0)*0.475*44/12</f>
        <v>5.0295749051131171E-17</v>
      </c>
      <c r="AX149" s="23">
        <f t="shared" si="114"/>
        <v>0.12504403474876957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1.0286385077051818E-13</v>
      </c>
      <c r="BF149" s="14">
        <f t="shared" si="145"/>
        <v>1.5402366592183556E-12</v>
      </c>
      <c r="BG149" s="22">
        <f t="shared" si="115"/>
        <v>2.8617333882306215E-12</v>
      </c>
      <c r="BH149" s="62">
        <f t="shared" si="116"/>
        <v>293.33333333333616</v>
      </c>
      <c r="BI149" s="62">
        <f ca="1">AVERAGE(OFFSET($BH$3,0,0,'Données projet'!$E$11+1,1))-AVERAGE(OFFSET($H$3,0,0,'Données projet'!$E$11+1,1))</f>
        <v>267.00333505765792</v>
      </c>
      <c r="BJ149" s="62">
        <f t="shared" si="146"/>
        <v>172.25613380618557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0.10824707485714372</v>
      </c>
      <c r="BR149" s="23">
        <f>EXP(-LN(2)/2)*BR148+(1-EXP(-LN(2)/2))/(LN(2)/2)*BL149*BO149*VLOOKUP('Données projet'!$B$11,Paramètres!$A$1:$I$89,3,0)*0.475*44/12</f>
        <v>4.3539603656203025E-17</v>
      </c>
      <c r="BS149" s="24">
        <f t="shared" si="117"/>
        <v>0.10824707485714376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1.1368683772161603E-13</v>
      </c>
      <c r="BZ149" s="14">
        <f>BY149*VLOOKUP('Données projet'!$B$12,Paramètres!$A$1:$I$89,3,0)*VLOOKUP('Données projet'!$B$12,Paramètres!$A$1:$I$89,5,0)</f>
        <v>1.1527845344971866E-13</v>
      </c>
      <c r="CA149" s="14">
        <f t="shared" si="147"/>
        <v>1.7033846239409443E-12</v>
      </c>
      <c r="CB149" s="22">
        <f t="shared" si="118"/>
        <v>3.1675048597887374E-12</v>
      </c>
      <c r="CC149" s="62">
        <f t="shared" si="119"/>
        <v>293.3333333333365</v>
      </c>
      <c r="CD149" s="62">
        <f ca="1">AVERAGE(OFFSET($CC$3,0,0,'Données projet'!$E$12+1,1))-AVERAGE(OFFSET($H$3,0,0,'Données projet'!$E$12+1,1))</f>
        <v>308.72872453744998</v>
      </c>
      <c r="CE149" s="62">
        <f t="shared" si="148"/>
        <v>195.3674411454258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0.12131137699507492</v>
      </c>
      <c r="CM149" s="23">
        <f>EXP(-LN(2)/2)*CM148+(1-EXP(-LN(2)/2))/(LN(2)/2)*CG149*CJ149*VLOOKUP('Données projet'!$B$12,Paramètres!$A$1:$I$89,3,0)*0.475*44/12</f>
        <v>4.879438340781374E-17</v>
      </c>
      <c r="CN149" s="24">
        <f t="shared" si="120"/>
        <v>0.12131137699507498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160.24926890971085</v>
      </c>
      <c r="T150" s="62">
        <f t="shared" si="142"/>
        <v>323.52368436151721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5.8099706095394001</v>
      </c>
      <c r="AA150" s="23">
        <f>EXP(-LN(2)/25)*AA149+(1-EXP(-LN(2)/25))/(LN(2)/25)*Calculateur!V150*Calculateur!X150*VLOOKUP('Données projet'!$B$9,Paramètres!$A$1:$I$89,3,0)*0.475*44/12</f>
        <v>2.014728212515982</v>
      </c>
      <c r="AB150" s="23">
        <f>EXP(-LN(2)/2)*AB149+(1-EXP(-LN(2)/2))/(LN(2)/2)*V150*Y150*VLOOKUP('Données projet'!$B$9,Paramètres!$A$1:$I$89,3,0)*0.475*44/12</f>
        <v>4.3741196126694644E-16</v>
      </c>
      <c r="AC150" s="24">
        <f t="shared" si="111"/>
        <v>7.8246988220553817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1.1882548278663309E-13</v>
      </c>
      <c r="AK150" s="14">
        <f t="shared" si="143"/>
        <v>1.7496137229198366E-12</v>
      </c>
      <c r="AL150" s="22">
        <f t="shared" si="112"/>
        <v>3.2541982832721012E-12</v>
      </c>
      <c r="AM150" s="62">
        <f t="shared" si="113"/>
        <v>293.33333333333655</v>
      </c>
      <c r="AN150" s="62">
        <f ca="1">AVERAGE(OFFSET($AM$3,0,0,'Données projet'!$E$10+1,1))-AVERAGE(OFFSET($H$3,0,0,'Données projet'!$E$10+1,1))</f>
        <v>320.63267332485663</v>
      </c>
      <c r="AO150" s="62">
        <f t="shared" si="144"/>
        <v>201.96012789473809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0.12162469904278442</v>
      </c>
      <c r="AW150" s="23">
        <f>EXP(-LN(2)/2)*AW149+(1-EXP(-LN(2)/2))/(LN(2)/2)*AQ150*AT150*VLOOKUP('Données projet'!$B$10,Paramètres!$A$1:$I$89,3,0)*0.475*44/12</f>
        <v>3.5564465218911714E-17</v>
      </c>
      <c r="AX150" s="23">
        <f t="shared" si="114"/>
        <v>0.12162469904278446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1.0286385077051818E-13</v>
      </c>
      <c r="BF150" s="14">
        <f t="shared" si="145"/>
        <v>1.5402366592183556E-12</v>
      </c>
      <c r="BG150" s="22">
        <f t="shared" si="115"/>
        <v>2.8617333882306215E-12</v>
      </c>
      <c r="BH150" s="62">
        <f t="shared" si="116"/>
        <v>293.33333333333616</v>
      </c>
      <c r="BI150" s="62">
        <f ca="1">AVERAGE(OFFSET($BH$3,0,0,'Données projet'!$E$11+1,1))-AVERAGE(OFFSET($H$3,0,0,'Données projet'!$E$11+1,1))</f>
        <v>267.00333505765792</v>
      </c>
      <c r="BJ150" s="62">
        <f t="shared" si="146"/>
        <v>172.25613380618557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0.10528705290270886</v>
      </c>
      <c r="BR150" s="23">
        <f>EXP(-LN(2)/2)*BR149+(1-EXP(-LN(2)/2))/(LN(2)/2)*BL150*BO150*VLOOKUP('Données projet'!$B$11,Paramètres!$A$1:$I$89,3,0)*0.475*44/12</f>
        <v>3.0787148995475757E-17</v>
      </c>
      <c r="BS150" s="24">
        <f t="shared" si="117"/>
        <v>0.10528705290270889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1.1368683772161603E-13</v>
      </c>
      <c r="BZ150" s="14">
        <f>BY150*VLOOKUP('Données projet'!$B$12,Paramètres!$A$1:$I$89,3,0)*VLOOKUP('Données projet'!$B$12,Paramètres!$A$1:$I$89,5,0)</f>
        <v>1.1527845344971866E-13</v>
      </c>
      <c r="CA150" s="14">
        <f t="shared" si="147"/>
        <v>1.7033846239409443E-12</v>
      </c>
      <c r="CB150" s="22">
        <f t="shared" si="118"/>
        <v>3.1675048597887374E-12</v>
      </c>
      <c r="CC150" s="62">
        <f t="shared" si="119"/>
        <v>293.3333333333365</v>
      </c>
      <c r="CD150" s="62">
        <f ca="1">AVERAGE(OFFSET($CC$3,0,0,'Données projet'!$E$12+1,1))-AVERAGE(OFFSET($H$3,0,0,'Données projet'!$E$12+1,1))</f>
        <v>308.72872453744998</v>
      </c>
      <c r="CE150" s="62">
        <f t="shared" si="148"/>
        <v>195.3674411454258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0.11799411101165655</v>
      </c>
      <c r="CM150" s="23">
        <f>EXP(-LN(2)/2)*CM149+(1-EXP(-LN(2)/2))/(LN(2)/2)*CG150*CJ150*VLOOKUP('Données projet'!$B$12,Paramètres!$A$1:$I$89,3,0)*0.475*44/12</f>
        <v>3.4502839391481455E-17</v>
      </c>
      <c r="CN150" s="24">
        <f t="shared" si="120"/>
        <v>0.11799411101165658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160.24926890971085</v>
      </c>
      <c r="T151" s="62">
        <f t="shared" si="142"/>
        <v>323.52368436151721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5.6960406296184898</v>
      </c>
      <c r="AA151" s="23">
        <f>EXP(-LN(2)/25)*AA150+(1-EXP(-LN(2)/25))/(LN(2)/25)*Calculateur!V151*Calculateur!X151*VLOOKUP('Données projet'!$B$9,Paramètres!$A$1:$I$89,3,0)*0.475*44/12</f>
        <v>1.9596353635947805</v>
      </c>
      <c r="AB151" s="23">
        <f>EXP(-LN(2)/2)*AB150+(1-EXP(-LN(2)/2))/(LN(2)/2)*V151*Y151*VLOOKUP('Données projet'!$B$9,Paramètres!$A$1:$I$89,3,0)*0.475*44/12</f>
        <v>3.0929696398396532E-16</v>
      </c>
      <c r="AC151" s="24">
        <f t="shared" si="111"/>
        <v>7.6556759932132703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1.1882548278663309E-13</v>
      </c>
      <c r="AK151" s="14">
        <f t="shared" si="143"/>
        <v>1.7496137229198366E-12</v>
      </c>
      <c r="AL151" s="22">
        <f t="shared" si="112"/>
        <v>3.2541982832721012E-12</v>
      </c>
      <c r="AM151" s="62">
        <f t="shared" si="113"/>
        <v>293.33333333333655</v>
      </c>
      <c r="AN151" s="62">
        <f ca="1">AVERAGE(OFFSET($AM$3,0,0,'Données projet'!$E$10+1,1))-AVERAGE(OFFSET($H$3,0,0,'Données projet'!$E$10+1,1))</f>
        <v>320.63267332485663</v>
      </c>
      <c r="AO151" s="62">
        <f t="shared" si="144"/>
        <v>201.96012789473809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0.11829886525149454</v>
      </c>
      <c r="AW151" s="23">
        <f>EXP(-LN(2)/2)*AW150+(1-EXP(-LN(2)/2))/(LN(2)/2)*AQ151*AT151*VLOOKUP('Données projet'!$B$10,Paramètres!$A$1:$I$89,3,0)*0.475*44/12</f>
        <v>2.5147874525565585E-17</v>
      </c>
      <c r="AX151" s="23">
        <f t="shared" si="114"/>
        <v>0.11829886525149456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1.0286385077051818E-13</v>
      </c>
      <c r="BF151" s="14">
        <f t="shared" si="145"/>
        <v>1.5402366592183556E-12</v>
      </c>
      <c r="BG151" s="22">
        <f t="shared" si="115"/>
        <v>2.8617333882306215E-12</v>
      </c>
      <c r="BH151" s="62">
        <f t="shared" si="116"/>
        <v>293.33333333333616</v>
      </c>
      <c r="BI151" s="62">
        <f ca="1">AVERAGE(OFFSET($BH$3,0,0,'Données projet'!$E$11+1,1))-AVERAGE(OFFSET($H$3,0,0,'Données projet'!$E$11+1,1))</f>
        <v>267.00333505765792</v>
      </c>
      <c r="BJ151" s="62">
        <f t="shared" si="146"/>
        <v>172.25613380618557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0.1024079729042788</v>
      </c>
      <c r="BR151" s="23">
        <f>EXP(-LN(2)/2)*BR150+(1-EXP(-LN(2)/2))/(LN(2)/2)*BL151*BO151*VLOOKUP('Données projet'!$B$11,Paramètres!$A$1:$I$89,3,0)*0.475*44/12</f>
        <v>2.1769801828101513E-17</v>
      </c>
      <c r="BS151" s="24">
        <f t="shared" si="117"/>
        <v>0.10240797290427883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1.1368683772161603E-13</v>
      </c>
      <c r="BZ151" s="14">
        <f>BY151*VLOOKUP('Données projet'!$B$12,Paramètres!$A$1:$I$89,3,0)*VLOOKUP('Données projet'!$B$12,Paramètres!$A$1:$I$89,5,0)</f>
        <v>1.1527845344971866E-13</v>
      </c>
      <c r="CA151" s="14">
        <f t="shared" si="147"/>
        <v>1.7033846239409443E-12</v>
      </c>
      <c r="CB151" s="22">
        <f t="shared" si="118"/>
        <v>3.1675048597887374E-12</v>
      </c>
      <c r="CC151" s="62">
        <f t="shared" si="119"/>
        <v>293.3333333333365</v>
      </c>
      <c r="CD151" s="62">
        <f ca="1">AVERAGE(OFFSET($CC$3,0,0,'Données projet'!$E$12+1,1))-AVERAGE(OFFSET($H$3,0,0,'Données projet'!$E$12+1,1))</f>
        <v>308.72872453744998</v>
      </c>
      <c r="CE151" s="62">
        <f t="shared" si="148"/>
        <v>195.3674411454258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0.11476755584100218</v>
      </c>
      <c r="CM151" s="23">
        <f>EXP(-LN(2)/2)*CM150+(1-EXP(-LN(2)/2))/(LN(2)/2)*CG151*CJ151*VLOOKUP('Données projet'!$B$12,Paramètres!$A$1:$I$89,3,0)*0.475*44/12</f>
        <v>2.439719170390687E-17</v>
      </c>
      <c r="CN151" s="24">
        <f t="shared" si="120"/>
        <v>0.11476755584100221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160.24926890971085</v>
      </c>
      <c r="T152" s="62">
        <f t="shared" si="142"/>
        <v>323.52368436151721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5.584344747113402</v>
      </c>
      <c r="AA152" s="23">
        <f>EXP(-LN(2)/25)*AA151+(1-EXP(-LN(2)/25))/(LN(2)/25)*Calculateur!V152*Calculateur!X152*VLOOKUP('Données projet'!$B$9,Paramètres!$A$1:$I$89,3,0)*0.475*44/12</f>
        <v>1.9060490315245362</v>
      </c>
      <c r="AB152" s="23">
        <f>EXP(-LN(2)/2)*AB151+(1-EXP(-LN(2)/2))/(LN(2)/2)*V152*Y152*VLOOKUP('Données projet'!$B$9,Paramètres!$A$1:$I$89,3,0)*0.475*44/12</f>
        <v>2.1870598063347325E-16</v>
      </c>
      <c r="AC152" s="24">
        <f t="shared" si="111"/>
        <v>7.4903937786379382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1.1882548278663309E-13</v>
      </c>
      <c r="AK152" s="14">
        <f t="shared" si="143"/>
        <v>1.7496137229198366E-12</v>
      </c>
      <c r="AL152" s="22">
        <f t="shared" si="112"/>
        <v>3.2541982832721012E-12</v>
      </c>
      <c r="AM152" s="62">
        <f t="shared" si="113"/>
        <v>293.33333333333655</v>
      </c>
      <c r="AN152" s="62">
        <f ca="1">AVERAGE(OFFSET($AM$3,0,0,'Données projet'!$E$10+1,1))-AVERAGE(OFFSET($H$3,0,0,'Données projet'!$E$10+1,1))</f>
        <v>320.63267332485663</v>
      </c>
      <c r="AO152" s="62">
        <f t="shared" si="144"/>
        <v>201.96012789473809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0.11506397656012547</v>
      </c>
      <c r="AW152" s="23">
        <f>EXP(-LN(2)/2)*AW151+(1-EXP(-LN(2)/2))/(LN(2)/2)*AQ152*AT152*VLOOKUP('Données projet'!$B$10,Paramètres!$A$1:$I$89,3,0)*0.475*44/12</f>
        <v>1.7782232609455857E-17</v>
      </c>
      <c r="AX152" s="23">
        <f t="shared" si="114"/>
        <v>0.11506397656012549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1.0286385077051818E-13</v>
      </c>
      <c r="BF152" s="14">
        <f t="shared" si="145"/>
        <v>1.5402366592183556E-12</v>
      </c>
      <c r="BG152" s="22">
        <f t="shared" si="115"/>
        <v>2.8617333882306215E-12</v>
      </c>
      <c r="BH152" s="62">
        <f t="shared" si="116"/>
        <v>293.33333333333616</v>
      </c>
      <c r="BI152" s="62">
        <f ca="1">AVERAGE(OFFSET($BH$3,0,0,'Données projet'!$E$11+1,1))-AVERAGE(OFFSET($H$3,0,0,'Données projet'!$E$11+1,1))</f>
        <v>267.00333505765792</v>
      </c>
      <c r="BJ152" s="62">
        <f t="shared" si="146"/>
        <v>172.25613380618557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9.9607621499810062E-2</v>
      </c>
      <c r="BR152" s="23">
        <f>EXP(-LN(2)/2)*BR151+(1-EXP(-LN(2)/2))/(LN(2)/2)*BL152*BO152*VLOOKUP('Données projet'!$B$11,Paramètres!$A$1:$I$89,3,0)*0.475*44/12</f>
        <v>1.5393574497737879E-17</v>
      </c>
      <c r="BS152" s="24">
        <f t="shared" si="117"/>
        <v>9.9607621499810076E-2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1.1368683772161603E-13</v>
      </c>
      <c r="BZ152" s="14">
        <f>BY152*VLOOKUP('Données projet'!$B$12,Paramètres!$A$1:$I$89,3,0)*VLOOKUP('Données projet'!$B$12,Paramètres!$A$1:$I$89,5,0)</f>
        <v>1.1527845344971866E-13</v>
      </c>
      <c r="CA152" s="14">
        <f t="shared" si="147"/>
        <v>1.7033846239409443E-12</v>
      </c>
      <c r="CB152" s="22">
        <f t="shared" si="118"/>
        <v>3.1675048597887374E-12</v>
      </c>
      <c r="CC152" s="62">
        <f t="shared" si="119"/>
        <v>293.3333333333365</v>
      </c>
      <c r="CD152" s="62">
        <f ca="1">AVERAGE(OFFSET($CC$3,0,0,'Données projet'!$E$12+1,1))-AVERAGE(OFFSET($H$3,0,0,'Données projet'!$E$12+1,1))</f>
        <v>308.72872453744998</v>
      </c>
      <c r="CE152" s="62">
        <f t="shared" si="148"/>
        <v>195.3674411454258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0.11162923099116652</v>
      </c>
      <c r="CM152" s="23">
        <f>EXP(-LN(2)/2)*CM151+(1-EXP(-LN(2)/2))/(LN(2)/2)*CG152*CJ152*VLOOKUP('Données projet'!$B$12,Paramètres!$A$1:$I$89,3,0)*0.475*44/12</f>
        <v>1.7251419695740728E-17</v>
      </c>
      <c r="CN152" s="24">
        <f t="shared" si="120"/>
        <v>0.11162923099116653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160.24926890971085</v>
      </c>
      <c r="T153" s="62">
        <f t="shared" si="142"/>
        <v>323.52368436151721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5.4748391527364779</v>
      </c>
      <c r="AA153" s="23">
        <f>EXP(-LN(2)/25)*AA152+(1-EXP(-LN(2)/25))/(LN(2)/25)*Calculateur!V153*Calculateur!X153*VLOOKUP('Données projet'!$B$9,Paramètres!$A$1:$I$89,3,0)*0.475*44/12</f>
        <v>1.8539280205227355</v>
      </c>
      <c r="AB153" s="23">
        <f>EXP(-LN(2)/2)*AB152+(1-EXP(-LN(2)/2))/(LN(2)/2)*V153*Y153*VLOOKUP('Données projet'!$B$9,Paramètres!$A$1:$I$89,3,0)*0.475*44/12</f>
        <v>1.5464848199198268E-16</v>
      </c>
      <c r="AC153" s="24">
        <f t="shared" si="111"/>
        <v>7.3287671732592132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1.1882548278663309E-13</v>
      </c>
      <c r="AK153" s="14">
        <f t="shared" si="143"/>
        <v>1.7496137229198366E-12</v>
      </c>
      <c r="AL153" s="22">
        <f t="shared" si="112"/>
        <v>3.2541982832721012E-12</v>
      </c>
      <c r="AM153" s="62">
        <f t="shared" si="113"/>
        <v>293.33333333333655</v>
      </c>
      <c r="AN153" s="62">
        <f ca="1">AVERAGE(OFFSET($AM$3,0,0,'Données projet'!$E$10+1,1))-AVERAGE(OFFSET($H$3,0,0,'Données projet'!$E$10+1,1))</f>
        <v>320.63267332485663</v>
      </c>
      <c r="AO153" s="62">
        <f t="shared" si="144"/>
        <v>201.96012789473809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0.11191754607013729</v>
      </c>
      <c r="AW153" s="23">
        <f>EXP(-LN(2)/2)*AW152+(1-EXP(-LN(2)/2))/(LN(2)/2)*AQ153*AT153*VLOOKUP('Données projet'!$B$10,Paramètres!$A$1:$I$89,3,0)*0.475*44/12</f>
        <v>1.2573937262782793E-17</v>
      </c>
      <c r="AX153" s="23">
        <f t="shared" si="114"/>
        <v>0.11191754607013731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1.0286385077051818E-13</v>
      </c>
      <c r="BF153" s="14">
        <f t="shared" si="145"/>
        <v>1.5402366592183556E-12</v>
      </c>
      <c r="BG153" s="22">
        <f t="shared" si="115"/>
        <v>2.8617333882306215E-12</v>
      </c>
      <c r="BH153" s="62">
        <f t="shared" si="116"/>
        <v>293.33333333333616</v>
      </c>
      <c r="BI153" s="62">
        <f ca="1">AVERAGE(OFFSET($BH$3,0,0,'Données projet'!$E$11+1,1))-AVERAGE(OFFSET($H$3,0,0,'Données projet'!$E$11+1,1))</f>
        <v>267.00333505765792</v>
      </c>
      <c r="BJ153" s="62">
        <f t="shared" si="146"/>
        <v>172.25613380618557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9.6883845851760603E-2</v>
      </c>
      <c r="BR153" s="23">
        <f>EXP(-LN(2)/2)*BR152+(1-EXP(-LN(2)/2))/(LN(2)/2)*BL153*BO153*VLOOKUP('Données projet'!$B$11,Paramètres!$A$1:$I$89,3,0)*0.475*44/12</f>
        <v>1.0884900914050756E-17</v>
      </c>
      <c r="BS153" s="24">
        <f t="shared" si="117"/>
        <v>9.6883845851760617E-2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1.1368683772161603E-13</v>
      </c>
      <c r="BZ153" s="14">
        <f>BY153*VLOOKUP('Données projet'!$B$12,Paramètres!$A$1:$I$89,3,0)*VLOOKUP('Données projet'!$B$12,Paramètres!$A$1:$I$89,5,0)</f>
        <v>1.1527845344971866E-13</v>
      </c>
      <c r="CA153" s="14">
        <f t="shared" si="147"/>
        <v>1.7033846239409443E-12</v>
      </c>
      <c r="CB153" s="22">
        <f t="shared" si="118"/>
        <v>3.1675048597887374E-12</v>
      </c>
      <c r="CC153" s="62">
        <f t="shared" si="119"/>
        <v>293.3333333333365</v>
      </c>
      <c r="CD153" s="62">
        <f ca="1">AVERAGE(OFFSET($CC$3,0,0,'Données projet'!$E$12+1,1))-AVERAGE(OFFSET($H$3,0,0,'Données projet'!$E$12+1,1))</f>
        <v>308.72872453744998</v>
      </c>
      <c r="CE153" s="62">
        <f t="shared" si="148"/>
        <v>195.3674411454258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0.10857672379938695</v>
      </c>
      <c r="CM153" s="23">
        <f>EXP(-LN(2)/2)*CM152+(1-EXP(-LN(2)/2))/(LN(2)/2)*CG153*CJ153*VLOOKUP('Données projet'!$B$12,Paramètres!$A$1:$I$89,3,0)*0.475*44/12</f>
        <v>1.2198595851953435E-17</v>
      </c>
      <c r="CN153" s="24">
        <f t="shared" si="120"/>
        <v>0.10857672379938696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160.24926890971085</v>
      </c>
      <c r="T154" s="62">
        <f t="shared" si="142"/>
        <v>323.52368436151721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5.3674808962734684</v>
      </c>
      <c r="AA154" s="23">
        <f>EXP(-LN(2)/25)*AA153+(1-EXP(-LN(2)/25))/(LN(2)/25)*Calculateur!V154*Calculateur!X154*VLOOKUP('Données projet'!$B$9,Paramètres!$A$1:$I$89,3,0)*0.475*44/12</f>
        <v>1.8032322613077039</v>
      </c>
      <c r="AB154" s="23">
        <f>EXP(-LN(2)/2)*AB153+(1-EXP(-LN(2)/2))/(LN(2)/2)*V154*Y154*VLOOKUP('Données projet'!$B$9,Paramètres!$A$1:$I$89,3,0)*0.475*44/12</f>
        <v>1.0935299031673665E-16</v>
      </c>
      <c r="AC154" s="24">
        <f t="shared" ref="AC154:AC203" si="163">SUM(Z154:AB154)</f>
        <v>7.1707131575811722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1.1882548278663309E-13</v>
      </c>
      <c r="AK154" s="14">
        <f t="shared" ref="AK154:AK203" si="164">EXP(-1.0587+0.8836*LN(AJ154)+0.284)</f>
        <v>1.7496137229198366E-12</v>
      </c>
      <c r="AL154" s="22">
        <f t="shared" ref="AL154:AL203" si="165">(AJ154+AK154)*0.475*44/12</f>
        <v>3.2541982832721012E-12</v>
      </c>
      <c r="AM154" s="62">
        <f t="shared" si="113"/>
        <v>293.33333333333655</v>
      </c>
      <c r="AN154" s="62">
        <f ca="1">AVERAGE(OFFSET($AM$3,0,0,'Données projet'!$E$10+1,1))-AVERAGE(OFFSET($H$3,0,0,'Données projet'!$E$10+1,1))</f>
        <v>320.63267332485663</v>
      </c>
      <c r="AO154" s="62">
        <f t="shared" si="144"/>
        <v>201.96012789473809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0.10885715488736143</v>
      </c>
      <c r="AW154" s="23">
        <f>EXP(-LN(2)/2)*AW153+(1-EXP(-LN(2)/2))/(LN(2)/2)*AQ154*AT154*VLOOKUP('Données projet'!$B$10,Paramètres!$A$1:$I$89,3,0)*0.475*44/12</f>
        <v>8.8911163047279284E-18</v>
      </c>
      <c r="AX154" s="23">
        <f t="shared" ref="AX154:AX203" si="166">SUM(AU154:AW154)</f>
        <v>0.10885715488736145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1.0286385077051818E-13</v>
      </c>
      <c r="BF154" s="14">
        <f t="shared" ref="BF154:BF203" si="167">EXP(-1.0587+0.8836*LN(BE154)+0.284)</f>
        <v>1.5402366592183556E-12</v>
      </c>
      <c r="BG154" s="22">
        <f t="shared" ref="BG154:BG203" si="168">(BE154+BF154)*0.475*44/12</f>
        <v>2.8617333882306215E-12</v>
      </c>
      <c r="BH154" s="62">
        <f t="shared" si="116"/>
        <v>293.33333333333616</v>
      </c>
      <c r="BI154" s="62">
        <f ca="1">AVERAGE(OFFSET($BH$3,0,0,'Données projet'!$E$11+1,1))-AVERAGE(OFFSET($H$3,0,0,'Données projet'!$E$11+1,1))</f>
        <v>267.00333505765792</v>
      </c>
      <c r="BJ154" s="62">
        <f t="shared" si="146"/>
        <v>172.25613380618557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9.4234551992044183E-2</v>
      </c>
      <c r="BR154" s="23">
        <f>EXP(-LN(2)/2)*BR153+(1-EXP(-LN(2)/2))/(LN(2)/2)*BL154*BO154*VLOOKUP('Données projet'!$B$11,Paramètres!$A$1:$I$89,3,0)*0.475*44/12</f>
        <v>7.6967872488689393E-18</v>
      </c>
      <c r="BS154" s="24">
        <f t="shared" ref="BS154:BS203" si="169">SUM(BP154:BR154)</f>
        <v>9.4234551992044197E-2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1.1368683772161603E-13</v>
      </c>
      <c r="BZ154" s="14">
        <f>BY154*VLOOKUP('Données projet'!$B$12,Paramètres!$A$1:$I$89,3,0)*VLOOKUP('Données projet'!$B$12,Paramètres!$A$1:$I$89,5,0)</f>
        <v>1.1527845344971866E-13</v>
      </c>
      <c r="CA154" s="14">
        <f t="shared" ref="CA154:CA203" si="170">EXP(-1.0587+0.8836*LN(BZ154)+0.284)</f>
        <v>1.7033846239409443E-12</v>
      </c>
      <c r="CB154" s="22">
        <f t="shared" ref="CB154:CB203" si="171">(BZ154+CA154)*0.475*44/12</f>
        <v>3.1675048597887374E-12</v>
      </c>
      <c r="CC154" s="62">
        <f t="shared" si="119"/>
        <v>293.3333333333365</v>
      </c>
      <c r="CD154" s="62">
        <f ca="1">AVERAGE(OFFSET($CC$3,0,0,'Données projet'!$E$12+1,1))-AVERAGE(OFFSET($H$3,0,0,'Données projet'!$E$12+1,1))</f>
        <v>308.72872453744998</v>
      </c>
      <c r="CE154" s="62">
        <f t="shared" si="148"/>
        <v>195.3674411454258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0.10560768757729096</v>
      </c>
      <c r="CM154" s="23">
        <f>EXP(-LN(2)/2)*CM153+(1-EXP(-LN(2)/2))/(LN(2)/2)*CG154*CJ154*VLOOKUP('Données projet'!$B$12,Paramètres!$A$1:$I$89,3,0)*0.475*44/12</f>
        <v>8.6257098478703638E-18</v>
      </c>
      <c r="CN154" s="24">
        <f t="shared" ref="CN154:CN203" si="172">SUM(CK154:CM154)</f>
        <v>0.10560768757729097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160.24926890971085</v>
      </c>
      <c r="T155" s="62">
        <f t="shared" si="142"/>
        <v>323.52368436151721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5.2622278697376279</v>
      </c>
      <c r="AA155" s="23">
        <f>EXP(-LN(2)/25)*AA154+(1-EXP(-LN(2)/25))/(LN(2)/25)*Calculateur!V155*Calculateur!X155*VLOOKUP('Données projet'!$B$9,Paramètres!$A$1:$I$89,3,0)*0.475*44/12</f>
        <v>1.7539227802943815</v>
      </c>
      <c r="AB155" s="23">
        <f>EXP(-LN(2)/2)*AB154+(1-EXP(-LN(2)/2))/(LN(2)/2)*V155*Y155*VLOOKUP('Données projet'!$B$9,Paramètres!$A$1:$I$89,3,0)*0.475*44/12</f>
        <v>7.7324240995991354E-17</v>
      </c>
      <c r="AC155" s="24">
        <f t="shared" si="163"/>
        <v>7.0161506500320092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1.1882548278663309E-13</v>
      </c>
      <c r="AK155" s="14">
        <f t="shared" si="164"/>
        <v>1.7496137229198366E-12</v>
      </c>
      <c r="AL155" s="22">
        <f t="shared" si="165"/>
        <v>3.2541982832721012E-12</v>
      </c>
      <c r="AM155" s="62">
        <f t="shared" si="113"/>
        <v>293.33333333333655</v>
      </c>
      <c r="AN155" s="62">
        <f ca="1">AVERAGE(OFFSET($AM$3,0,0,'Données projet'!$E$10+1,1))-AVERAGE(OFFSET($H$3,0,0,'Données projet'!$E$10+1,1))</f>
        <v>320.63267332485663</v>
      </c>
      <c r="AO155" s="62">
        <f t="shared" si="144"/>
        <v>201.96012789473809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0.10588045026241756</v>
      </c>
      <c r="AW155" s="23">
        <f>EXP(-LN(2)/2)*AW154+(1-EXP(-LN(2)/2))/(LN(2)/2)*AQ155*AT155*VLOOKUP('Données projet'!$B$10,Paramètres!$A$1:$I$89,3,0)*0.475*44/12</f>
        <v>6.2869686313913964E-18</v>
      </c>
      <c r="AX155" s="23">
        <f t="shared" si="166"/>
        <v>0.10588045026241756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1.0286385077051818E-13</v>
      </c>
      <c r="BF155" s="14">
        <f t="shared" si="167"/>
        <v>1.5402366592183556E-12</v>
      </c>
      <c r="BG155" s="22">
        <f t="shared" si="168"/>
        <v>2.8617333882306215E-12</v>
      </c>
      <c r="BH155" s="62">
        <f t="shared" si="116"/>
        <v>293.33333333333616</v>
      </c>
      <c r="BI155" s="62">
        <f ca="1">AVERAGE(OFFSET($BH$3,0,0,'Données projet'!$E$11+1,1))-AVERAGE(OFFSET($H$3,0,0,'Données projet'!$E$11+1,1))</f>
        <v>267.00333505765792</v>
      </c>
      <c r="BJ155" s="62">
        <f t="shared" si="146"/>
        <v>172.25613380618557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9.1657703212242023E-2</v>
      </c>
      <c r="BR155" s="23">
        <f>EXP(-LN(2)/2)*BR154+(1-EXP(-LN(2)/2))/(LN(2)/2)*BL155*BO155*VLOOKUP('Données projet'!$B$11,Paramètres!$A$1:$I$89,3,0)*0.475*44/12</f>
        <v>5.4424504570253782E-18</v>
      </c>
      <c r="BS155" s="24">
        <f t="shared" si="169"/>
        <v>9.1657703212242023E-2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1.1368683772161603E-13</v>
      </c>
      <c r="BZ155" s="14">
        <f>BY155*VLOOKUP('Données projet'!$B$12,Paramètres!$A$1:$I$89,3,0)*VLOOKUP('Données projet'!$B$12,Paramètres!$A$1:$I$89,5,0)</f>
        <v>1.1527845344971866E-13</v>
      </c>
      <c r="CA155" s="14">
        <f t="shared" si="170"/>
        <v>1.7033846239409443E-12</v>
      </c>
      <c r="CB155" s="22">
        <f t="shared" si="171"/>
        <v>3.1675048597887374E-12</v>
      </c>
      <c r="CC155" s="62">
        <f t="shared" si="119"/>
        <v>293.3333333333365</v>
      </c>
      <c r="CD155" s="62">
        <f ca="1">AVERAGE(OFFSET($CC$3,0,0,'Données projet'!$E$12+1,1))-AVERAGE(OFFSET($H$3,0,0,'Données projet'!$E$12+1,1))</f>
        <v>308.72872453744998</v>
      </c>
      <c r="CE155" s="62">
        <f t="shared" si="148"/>
        <v>195.3674411454258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0.10271983980682302</v>
      </c>
      <c r="CM155" s="23">
        <f>EXP(-LN(2)/2)*CM154+(1-EXP(-LN(2)/2))/(LN(2)/2)*CG155*CJ155*VLOOKUP('Données projet'!$B$12,Paramètres!$A$1:$I$89,3,0)*0.475*44/12</f>
        <v>6.0992979259767175E-18</v>
      </c>
      <c r="CN155" s="24">
        <f t="shared" si="172"/>
        <v>0.10271983980682302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160.24926890971085</v>
      </c>
      <c r="T156" s="62">
        <f t="shared" si="142"/>
        <v>323.52368436151721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5.1590387908541473</v>
      </c>
      <c r="AA156" s="23">
        <f>EXP(-LN(2)/25)*AA155+(1-EXP(-LN(2)/25))/(LN(2)/25)*Calculateur!V156*Calculateur!X156*VLOOKUP('Données projet'!$B$9,Paramètres!$A$1:$I$89,3,0)*0.475*44/12</f>
        <v>1.7059616696324413</v>
      </c>
      <c r="AB156" s="23">
        <f>EXP(-LN(2)/2)*AB155+(1-EXP(-LN(2)/2))/(LN(2)/2)*V156*Y156*VLOOKUP('Données projet'!$B$9,Paramètres!$A$1:$I$89,3,0)*0.475*44/12</f>
        <v>5.467649515836833E-17</v>
      </c>
      <c r="AC156" s="24">
        <f t="shared" si="163"/>
        <v>6.8650004604865886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1.1882548278663309E-13</v>
      </c>
      <c r="AK156" s="14">
        <f t="shared" si="164"/>
        <v>1.7496137229198366E-12</v>
      </c>
      <c r="AL156" s="22">
        <f t="shared" si="165"/>
        <v>3.2541982832721012E-12</v>
      </c>
      <c r="AM156" s="62">
        <f t="shared" si="113"/>
        <v>293.33333333333655</v>
      </c>
      <c r="AN156" s="62">
        <f ca="1">AVERAGE(OFFSET($AM$3,0,0,'Données projet'!$E$10+1,1))-AVERAGE(OFFSET($H$3,0,0,'Données projet'!$E$10+1,1))</f>
        <v>320.63267332485663</v>
      </c>
      <c r="AO156" s="62">
        <f t="shared" si="144"/>
        <v>201.96012789473809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0.10298514378198087</v>
      </c>
      <c r="AW156" s="23">
        <f>EXP(-LN(2)/2)*AW155+(1-EXP(-LN(2)/2))/(LN(2)/2)*AQ156*AT156*VLOOKUP('Données projet'!$B$10,Paramètres!$A$1:$I$89,3,0)*0.475*44/12</f>
        <v>4.4455581523639642E-18</v>
      </c>
      <c r="AX156" s="23">
        <f t="shared" si="166"/>
        <v>0.10298514378198087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1.0286385077051818E-13</v>
      </c>
      <c r="BF156" s="14">
        <f t="shared" si="167"/>
        <v>1.5402366592183556E-12</v>
      </c>
      <c r="BG156" s="22">
        <f t="shared" si="168"/>
        <v>2.8617333882306215E-12</v>
      </c>
      <c r="BH156" s="62">
        <f t="shared" si="116"/>
        <v>293.33333333333616</v>
      </c>
      <c r="BI156" s="62">
        <f ca="1">AVERAGE(OFFSET($BH$3,0,0,'Données projet'!$E$11+1,1))-AVERAGE(OFFSET($H$3,0,0,'Données projet'!$E$11+1,1))</f>
        <v>267.00333505765792</v>
      </c>
      <c r="BJ156" s="62">
        <f t="shared" si="146"/>
        <v>172.25613380618557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8.9151318497834142E-2</v>
      </c>
      <c r="BR156" s="23">
        <f>EXP(-LN(2)/2)*BR155+(1-EXP(-LN(2)/2))/(LN(2)/2)*BL156*BO156*VLOOKUP('Données projet'!$B$11,Paramètres!$A$1:$I$89,3,0)*0.475*44/12</f>
        <v>3.8483936244344696E-18</v>
      </c>
      <c r="BS156" s="24">
        <f t="shared" si="169"/>
        <v>8.9151318497834142E-2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1.1368683772161603E-13</v>
      </c>
      <c r="BZ156" s="14">
        <f>BY156*VLOOKUP('Données projet'!$B$12,Paramètres!$A$1:$I$89,3,0)*VLOOKUP('Données projet'!$B$12,Paramètres!$A$1:$I$89,5,0)</f>
        <v>1.1527845344971866E-13</v>
      </c>
      <c r="CA156" s="14">
        <f t="shared" si="170"/>
        <v>1.7033846239409443E-12</v>
      </c>
      <c r="CB156" s="22">
        <f t="shared" si="171"/>
        <v>3.1675048597887374E-12</v>
      </c>
      <c r="CC156" s="62">
        <f t="shared" si="119"/>
        <v>293.3333333333365</v>
      </c>
      <c r="CD156" s="62">
        <f ca="1">AVERAGE(OFFSET($CC$3,0,0,'Données projet'!$E$12+1,1))-AVERAGE(OFFSET($H$3,0,0,'Données projet'!$E$12+1,1))</f>
        <v>308.72872453744998</v>
      </c>
      <c r="CE156" s="62">
        <f t="shared" si="148"/>
        <v>195.3674411454258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9.991096038550383E-2</v>
      </c>
      <c r="CM156" s="23">
        <f>EXP(-LN(2)/2)*CM155+(1-EXP(-LN(2)/2))/(LN(2)/2)*CG156*CJ156*VLOOKUP('Données projet'!$B$12,Paramètres!$A$1:$I$89,3,0)*0.475*44/12</f>
        <v>4.3128549239351819E-18</v>
      </c>
      <c r="CN156" s="24">
        <f t="shared" si="172"/>
        <v>9.991096038550383E-2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160.24926890971085</v>
      </c>
      <c r="T157" s="62">
        <f t="shared" si="142"/>
        <v>323.52368436151721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5.0578731868684486</v>
      </c>
      <c r="AA157" s="23">
        <f>EXP(-LN(2)/25)*AA156+(1-EXP(-LN(2)/25))/(LN(2)/25)*Calculateur!V157*Calculateur!X157*VLOOKUP('Données projet'!$B$9,Paramètres!$A$1:$I$89,3,0)*0.475*44/12</f>
        <v>1.6593120580637171</v>
      </c>
      <c r="AB157" s="23">
        <f>EXP(-LN(2)/2)*AB156+(1-EXP(-LN(2)/2))/(LN(2)/2)*V157*Y157*VLOOKUP('Données projet'!$B$9,Paramètres!$A$1:$I$89,3,0)*0.475*44/12</f>
        <v>3.8662120497995683E-17</v>
      </c>
      <c r="AC157" s="24">
        <f t="shared" si="163"/>
        <v>6.7171852449321658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1.1882548278663309E-13</v>
      </c>
      <c r="AK157" s="14">
        <f t="shared" si="164"/>
        <v>1.7496137229198366E-12</v>
      </c>
      <c r="AL157" s="22">
        <f t="shared" si="165"/>
        <v>3.2541982832721012E-12</v>
      </c>
      <c r="AM157" s="62">
        <f t="shared" si="113"/>
        <v>293.33333333333655</v>
      </c>
      <c r="AN157" s="62">
        <f ca="1">AVERAGE(OFFSET($AM$3,0,0,'Données projet'!$E$10+1,1))-AVERAGE(OFFSET($H$3,0,0,'Données projet'!$E$10+1,1))</f>
        <v>320.63267332485663</v>
      </c>
      <c r="AO157" s="62">
        <f t="shared" si="144"/>
        <v>201.96012789473809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0.10016900960950927</v>
      </c>
      <c r="AW157" s="23">
        <f>EXP(-LN(2)/2)*AW156+(1-EXP(-LN(2)/2))/(LN(2)/2)*AQ157*AT157*VLOOKUP('Données projet'!$B$10,Paramètres!$A$1:$I$89,3,0)*0.475*44/12</f>
        <v>3.1434843156956982E-18</v>
      </c>
      <c r="AX157" s="23">
        <f t="shared" si="166"/>
        <v>0.10016900960950927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1.0286385077051818E-13</v>
      </c>
      <c r="BF157" s="14">
        <f t="shared" si="167"/>
        <v>1.5402366592183556E-12</v>
      </c>
      <c r="BG157" s="22">
        <f t="shared" si="168"/>
        <v>2.8617333882306215E-12</v>
      </c>
      <c r="BH157" s="62">
        <f t="shared" si="116"/>
        <v>293.33333333333616</v>
      </c>
      <c r="BI157" s="62">
        <f ca="1">AVERAGE(OFFSET($BH$3,0,0,'Données projet'!$E$11+1,1))-AVERAGE(OFFSET($H$3,0,0,'Données projet'!$E$11+1,1))</f>
        <v>267.00333505765792</v>
      </c>
      <c r="BJ157" s="62">
        <f t="shared" si="146"/>
        <v>172.25613380618557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8.6713471005246789E-2</v>
      </c>
      <c r="BR157" s="23">
        <f>EXP(-LN(2)/2)*BR156+(1-EXP(-LN(2)/2))/(LN(2)/2)*BL157*BO157*VLOOKUP('Données projet'!$B$11,Paramètres!$A$1:$I$89,3,0)*0.475*44/12</f>
        <v>2.7212252285126891E-18</v>
      </c>
      <c r="BS157" s="24">
        <f t="shared" si="169"/>
        <v>8.6713471005246789E-2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1.1368683772161603E-13</v>
      </c>
      <c r="BZ157" s="14">
        <f>BY157*VLOOKUP('Données projet'!$B$12,Paramètres!$A$1:$I$89,3,0)*VLOOKUP('Données projet'!$B$12,Paramètres!$A$1:$I$89,5,0)</f>
        <v>1.1527845344971866E-13</v>
      </c>
      <c r="CA157" s="14">
        <f t="shared" si="170"/>
        <v>1.7033846239409443E-12</v>
      </c>
      <c r="CB157" s="22">
        <f t="shared" si="171"/>
        <v>3.1675048597887374E-12</v>
      </c>
      <c r="CC157" s="62">
        <f t="shared" si="119"/>
        <v>293.3333333333365</v>
      </c>
      <c r="CD157" s="62">
        <f ca="1">AVERAGE(OFFSET($CC$3,0,0,'Données projet'!$E$12+1,1))-AVERAGE(OFFSET($H$3,0,0,'Données projet'!$E$12+1,1))</f>
        <v>308.72872453744998</v>
      </c>
      <c r="CE157" s="62">
        <f t="shared" si="148"/>
        <v>195.3674411454258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9.7178889919673175E-2</v>
      </c>
      <c r="CM157" s="23">
        <f>EXP(-LN(2)/2)*CM156+(1-EXP(-LN(2)/2))/(LN(2)/2)*CG157*CJ157*VLOOKUP('Données projet'!$B$12,Paramètres!$A$1:$I$89,3,0)*0.475*44/12</f>
        <v>3.0496489629883588E-18</v>
      </c>
      <c r="CN157" s="24">
        <f t="shared" si="172"/>
        <v>9.7178889919673175E-2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160.24926890971085</v>
      </c>
      <c r="T158" s="62">
        <f t="shared" si="142"/>
        <v>323.52368436151721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4.9586913786719844</v>
      </c>
      <c r="AA158" s="23">
        <f>EXP(-LN(2)/25)*AA157+(1-EXP(-LN(2)/25))/(LN(2)/25)*Calculateur!V158*Calculateur!X158*VLOOKUP('Données projet'!$B$9,Paramètres!$A$1:$I$89,3,0)*0.475*44/12</f>
        <v>1.6139380825765359</v>
      </c>
      <c r="AB158" s="23">
        <f>EXP(-LN(2)/2)*AB157+(1-EXP(-LN(2)/2))/(LN(2)/2)*V158*Y158*VLOOKUP('Données projet'!$B$9,Paramètres!$A$1:$I$89,3,0)*0.475*44/12</f>
        <v>2.7338247579184168E-17</v>
      </c>
      <c r="AC158" s="24">
        <f t="shared" si="163"/>
        <v>6.5726294612485203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1.1882548278663309E-13</v>
      </c>
      <c r="AK158" s="14">
        <f t="shared" si="164"/>
        <v>1.7496137229198366E-12</v>
      </c>
      <c r="AL158" s="22">
        <f t="shared" si="165"/>
        <v>3.2541982832721012E-12</v>
      </c>
      <c r="AM158" s="62">
        <f t="shared" si="113"/>
        <v>293.33333333333655</v>
      </c>
      <c r="AN158" s="62">
        <f ca="1">AVERAGE(OFFSET($AM$3,0,0,'Données projet'!$E$10+1,1))-AVERAGE(OFFSET($H$3,0,0,'Données projet'!$E$10+1,1))</f>
        <v>320.63267332485663</v>
      </c>
      <c r="AO158" s="62">
        <f t="shared" si="144"/>
        <v>201.96012789473809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9.7429882774077964E-2</v>
      </c>
      <c r="AW158" s="23">
        <f>EXP(-LN(2)/2)*AW157+(1-EXP(-LN(2)/2))/(LN(2)/2)*AQ158*AT158*VLOOKUP('Données projet'!$B$10,Paramètres!$A$1:$I$89,3,0)*0.475*44/12</f>
        <v>2.2227790761819821E-18</v>
      </c>
      <c r="AX158" s="23">
        <f t="shared" si="166"/>
        <v>9.7429882774077964E-2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1.0286385077051818E-13</v>
      </c>
      <c r="BF158" s="14">
        <f t="shared" si="167"/>
        <v>1.5402366592183556E-12</v>
      </c>
      <c r="BG158" s="22">
        <f t="shared" si="168"/>
        <v>2.8617333882306215E-12</v>
      </c>
      <c r="BH158" s="62">
        <f t="shared" si="116"/>
        <v>293.33333333333616</v>
      </c>
      <c r="BI158" s="62">
        <f ca="1">AVERAGE(OFFSET($BH$3,0,0,'Données projet'!$E$11+1,1))-AVERAGE(OFFSET($H$3,0,0,'Données projet'!$E$11+1,1))</f>
        <v>267.00333505765792</v>
      </c>
      <c r="BJ158" s="62">
        <f t="shared" si="146"/>
        <v>172.25613380618557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8.4342286580545059E-2</v>
      </c>
      <c r="BR158" s="23">
        <f>EXP(-LN(2)/2)*BR157+(1-EXP(-LN(2)/2))/(LN(2)/2)*BL158*BO158*VLOOKUP('Données projet'!$B$11,Paramètres!$A$1:$I$89,3,0)*0.475*44/12</f>
        <v>1.9241968122172348E-18</v>
      </c>
      <c r="BS158" s="24">
        <f t="shared" si="169"/>
        <v>8.4342286580545059E-2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1.1368683772161603E-13</v>
      </c>
      <c r="BZ158" s="14">
        <f>BY158*VLOOKUP('Données projet'!$B$12,Paramètres!$A$1:$I$89,3,0)*VLOOKUP('Données projet'!$B$12,Paramètres!$A$1:$I$89,5,0)</f>
        <v>1.1527845344971866E-13</v>
      </c>
      <c r="CA158" s="14">
        <f t="shared" si="170"/>
        <v>1.7033846239409443E-12</v>
      </c>
      <c r="CB158" s="22">
        <f t="shared" si="171"/>
        <v>3.1675048597887374E-12</v>
      </c>
      <c r="CC158" s="62">
        <f t="shared" si="119"/>
        <v>293.3333333333365</v>
      </c>
      <c r="CD158" s="62">
        <f ca="1">AVERAGE(OFFSET($CC$3,0,0,'Données projet'!$E$12+1,1))-AVERAGE(OFFSET($H$3,0,0,'Données projet'!$E$12+1,1))</f>
        <v>308.72872453744998</v>
      </c>
      <c r="CE158" s="62">
        <f t="shared" si="148"/>
        <v>195.3674411454258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9.4521528064404003E-2</v>
      </c>
      <c r="CM158" s="23">
        <f>EXP(-LN(2)/2)*CM157+(1-EXP(-LN(2)/2))/(LN(2)/2)*CG158*CJ158*VLOOKUP('Données projet'!$B$12,Paramètres!$A$1:$I$89,3,0)*0.475*44/12</f>
        <v>2.156427461967591E-18</v>
      </c>
      <c r="CN158" s="24">
        <f t="shared" si="172"/>
        <v>9.4521528064404003E-2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160.24926890971085</v>
      </c>
      <c r="T159" s="62">
        <f t="shared" si="142"/>
        <v>323.52368436151721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4.8614544652393228</v>
      </c>
      <c r="AA159" s="23">
        <f>EXP(-LN(2)/25)*AA158+(1-EXP(-LN(2)/25))/(LN(2)/25)*Calculateur!V159*Calculateur!X159*VLOOKUP('Données projet'!$B$9,Paramètres!$A$1:$I$89,3,0)*0.475*44/12</f>
        <v>1.5698048608351656</v>
      </c>
      <c r="AB159" s="23">
        <f>EXP(-LN(2)/2)*AB158+(1-EXP(-LN(2)/2))/(LN(2)/2)*V159*Y159*VLOOKUP('Données projet'!$B$9,Paramètres!$A$1:$I$89,3,0)*0.475*44/12</f>
        <v>1.9331060248997845E-17</v>
      </c>
      <c r="AC159" s="24">
        <f t="shared" si="163"/>
        <v>6.4312593260744881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1.1882548278663309E-13</v>
      </c>
      <c r="AK159" s="14">
        <f t="shared" si="164"/>
        <v>1.7496137229198366E-12</v>
      </c>
      <c r="AL159" s="22">
        <f t="shared" si="165"/>
        <v>3.2541982832721012E-12</v>
      </c>
      <c r="AM159" s="62">
        <f t="shared" si="113"/>
        <v>293.33333333333655</v>
      </c>
      <c r="AN159" s="62">
        <f ca="1">AVERAGE(OFFSET($AM$3,0,0,'Données projet'!$E$10+1,1))-AVERAGE(OFFSET($H$3,0,0,'Données projet'!$E$10+1,1))</f>
        <v>320.63267332485663</v>
      </c>
      <c r="AO159" s="62">
        <f t="shared" si="144"/>
        <v>201.96012789473809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9.4765657506005949E-2</v>
      </c>
      <c r="AW159" s="23">
        <f>EXP(-LN(2)/2)*AW158+(1-EXP(-LN(2)/2))/(LN(2)/2)*AQ159*AT159*VLOOKUP('Données projet'!$B$10,Paramètres!$A$1:$I$89,3,0)*0.475*44/12</f>
        <v>1.5717421578478491E-18</v>
      </c>
      <c r="AX159" s="23">
        <f t="shared" si="166"/>
        <v>9.4765657506005949E-2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1.0286385077051818E-13</v>
      </c>
      <c r="BF159" s="14">
        <f t="shared" si="167"/>
        <v>1.5402366592183556E-12</v>
      </c>
      <c r="BG159" s="22">
        <f t="shared" si="168"/>
        <v>2.8617333882306215E-12</v>
      </c>
      <c r="BH159" s="62">
        <f t="shared" si="116"/>
        <v>293.33333333333616</v>
      </c>
      <c r="BI159" s="62">
        <f ca="1">AVERAGE(OFFSET($BH$3,0,0,'Données projet'!$E$11+1,1))-AVERAGE(OFFSET($H$3,0,0,'Données projet'!$E$11+1,1))</f>
        <v>267.00333505765792</v>
      </c>
      <c r="BJ159" s="62">
        <f t="shared" si="146"/>
        <v>172.25613380618557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8.2035942318631969E-2</v>
      </c>
      <c r="BR159" s="23">
        <f>EXP(-LN(2)/2)*BR158+(1-EXP(-LN(2)/2))/(LN(2)/2)*BL159*BO159*VLOOKUP('Données projet'!$B$11,Paramètres!$A$1:$I$89,3,0)*0.475*44/12</f>
        <v>1.3606126142563445E-18</v>
      </c>
      <c r="BS159" s="24">
        <f t="shared" si="169"/>
        <v>8.2035942318631969E-2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1.1368683772161603E-13</v>
      </c>
      <c r="BZ159" s="14">
        <f>BY159*VLOOKUP('Données projet'!$B$12,Paramètres!$A$1:$I$89,3,0)*VLOOKUP('Données projet'!$B$12,Paramètres!$A$1:$I$89,5,0)</f>
        <v>1.1527845344971866E-13</v>
      </c>
      <c r="CA159" s="14">
        <f t="shared" si="170"/>
        <v>1.7033846239409443E-12</v>
      </c>
      <c r="CB159" s="22">
        <f t="shared" si="171"/>
        <v>3.1675048597887374E-12</v>
      </c>
      <c r="CC159" s="62">
        <f t="shared" si="119"/>
        <v>293.3333333333365</v>
      </c>
      <c r="CD159" s="62">
        <f ca="1">AVERAGE(OFFSET($CC$3,0,0,'Données projet'!$E$12+1,1))-AVERAGE(OFFSET($H$3,0,0,'Données projet'!$E$12+1,1))</f>
        <v>308.72872453744998</v>
      </c>
      <c r="CE159" s="62">
        <f t="shared" si="148"/>
        <v>195.3674411454258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9.1936831908811745E-2</v>
      </c>
      <c r="CM159" s="23">
        <f>EXP(-LN(2)/2)*CM158+(1-EXP(-LN(2)/2))/(LN(2)/2)*CG159*CJ159*VLOOKUP('Données projet'!$B$12,Paramètres!$A$1:$I$89,3,0)*0.475*44/12</f>
        <v>1.5248244814941794E-18</v>
      </c>
      <c r="CN159" s="24">
        <f t="shared" si="172"/>
        <v>9.1936831908811745E-2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160.24926890971085</v>
      </c>
      <c r="T160" s="62">
        <f t="shared" si="142"/>
        <v>323.52368436151721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4.766124308370415</v>
      </c>
      <c r="AA160" s="23">
        <f>EXP(-LN(2)/25)*AA159+(1-EXP(-LN(2)/25))/(LN(2)/25)*Calculateur!V160*Calculateur!X160*VLOOKUP('Données projet'!$B$9,Paramètres!$A$1:$I$89,3,0)*0.475*44/12</f>
        <v>1.5268784643631781</v>
      </c>
      <c r="AB160" s="23">
        <f>EXP(-LN(2)/2)*AB159+(1-EXP(-LN(2)/2))/(LN(2)/2)*V160*Y160*VLOOKUP('Données projet'!$B$9,Paramètres!$A$1:$I$89,3,0)*0.475*44/12</f>
        <v>1.3669123789592087E-17</v>
      </c>
      <c r="AC160" s="24">
        <f t="shared" si="163"/>
        <v>6.2930027727335931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1.1882548278663309E-13</v>
      </c>
      <c r="AK160" s="14">
        <f t="shared" si="164"/>
        <v>1.7496137229198366E-12</v>
      </c>
      <c r="AL160" s="22">
        <f t="shared" si="165"/>
        <v>3.2541982832721012E-12</v>
      </c>
      <c r="AM160" s="62">
        <f t="shared" si="113"/>
        <v>293.33333333333655</v>
      </c>
      <c r="AN160" s="62">
        <f ca="1">AVERAGE(OFFSET($AM$3,0,0,'Données projet'!$E$10+1,1))-AVERAGE(OFFSET($H$3,0,0,'Données projet'!$E$10+1,1))</f>
        <v>320.63267332485663</v>
      </c>
      <c r="AO160" s="62">
        <f t="shared" si="144"/>
        <v>201.96012789473809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9.2174285617994872E-2</v>
      </c>
      <c r="AW160" s="23">
        <f>EXP(-LN(2)/2)*AW159+(1-EXP(-LN(2)/2))/(LN(2)/2)*AQ160*AT160*VLOOKUP('Données projet'!$B$10,Paramètres!$A$1:$I$89,3,0)*0.475*44/12</f>
        <v>1.1113895380909911E-18</v>
      </c>
      <c r="AX160" s="23">
        <f t="shared" si="166"/>
        <v>9.2174285617994872E-2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1.0286385077051818E-13</v>
      </c>
      <c r="BF160" s="14">
        <f t="shared" si="167"/>
        <v>1.5402366592183556E-12</v>
      </c>
      <c r="BG160" s="22">
        <f t="shared" si="168"/>
        <v>2.8617333882306215E-12</v>
      </c>
      <c r="BH160" s="62">
        <f t="shared" si="116"/>
        <v>293.33333333333616</v>
      </c>
      <c r="BI160" s="62">
        <f ca="1">AVERAGE(OFFSET($BH$3,0,0,'Données projet'!$E$11+1,1))-AVERAGE(OFFSET($H$3,0,0,'Données projet'!$E$11+1,1))</f>
        <v>267.00333505765792</v>
      </c>
      <c r="BJ160" s="62">
        <f t="shared" si="146"/>
        <v>172.25613380618557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7.9792665161846271E-2</v>
      </c>
      <c r="BR160" s="23">
        <f>EXP(-LN(2)/2)*BR159+(1-EXP(-LN(2)/2))/(LN(2)/2)*BL160*BO160*VLOOKUP('Données projet'!$B$11,Paramètres!$A$1:$I$89,3,0)*0.475*44/12</f>
        <v>9.6209840610861741E-19</v>
      </c>
      <c r="BS160" s="24">
        <f t="shared" si="169"/>
        <v>7.9792665161846271E-2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1.1368683772161603E-13</v>
      </c>
      <c r="BZ160" s="14">
        <f>BY160*VLOOKUP('Données projet'!$B$12,Paramètres!$A$1:$I$89,3,0)*VLOOKUP('Données projet'!$B$12,Paramètres!$A$1:$I$89,5,0)</f>
        <v>1.1527845344971866E-13</v>
      </c>
      <c r="CA160" s="14">
        <f t="shared" si="170"/>
        <v>1.7033846239409443E-12</v>
      </c>
      <c r="CB160" s="22">
        <f t="shared" si="171"/>
        <v>3.1675048597887374E-12</v>
      </c>
      <c r="CC160" s="62">
        <f t="shared" si="119"/>
        <v>293.3333333333365</v>
      </c>
      <c r="CD160" s="62">
        <f ca="1">AVERAGE(OFFSET($CC$3,0,0,'Données projet'!$E$12+1,1))-AVERAGE(OFFSET($H$3,0,0,'Données projet'!$E$12+1,1))</f>
        <v>308.72872453744998</v>
      </c>
      <c r="CE160" s="62">
        <f t="shared" si="148"/>
        <v>195.3674411454258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8.9422814405517428E-2</v>
      </c>
      <c r="CM160" s="23">
        <f>EXP(-LN(2)/2)*CM159+(1-EXP(-LN(2)/2))/(LN(2)/2)*CG160*CJ160*VLOOKUP('Données projet'!$B$12,Paramètres!$A$1:$I$89,3,0)*0.475*44/12</f>
        <v>1.0782137309837955E-18</v>
      </c>
      <c r="CN160" s="24">
        <f t="shared" si="172"/>
        <v>8.9422814405517428E-2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160.24926890971085</v>
      </c>
      <c r="T161" s="62">
        <f t="shared" si="142"/>
        <v>323.52368436151721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4.6726635177320519</v>
      </c>
      <c r="AA161" s="23">
        <f>EXP(-LN(2)/25)*AA160+(1-EXP(-LN(2)/25))/(LN(2)/25)*Calculateur!V161*Calculateur!X161*VLOOKUP('Données projet'!$B$9,Paramètres!$A$1:$I$89,3,0)*0.475*44/12</f>
        <v>1.4851258924601183</v>
      </c>
      <c r="AB161" s="23">
        <f>EXP(-LN(2)/2)*AB160+(1-EXP(-LN(2)/2))/(LN(2)/2)*V161*Y161*VLOOKUP('Données projet'!$B$9,Paramètres!$A$1:$I$89,3,0)*0.475*44/12</f>
        <v>9.6655301244989239E-18</v>
      </c>
      <c r="AC161" s="24">
        <f t="shared" si="163"/>
        <v>6.1577894101921702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1.1882548278663309E-13</v>
      </c>
      <c r="AK161" s="14">
        <f t="shared" si="164"/>
        <v>1.7496137229198366E-12</v>
      </c>
      <c r="AL161" s="22">
        <f t="shared" si="165"/>
        <v>3.2541982832721012E-12</v>
      </c>
      <c r="AM161" s="62">
        <f t="shared" si="113"/>
        <v>293.33333333333655</v>
      </c>
      <c r="AN161" s="62">
        <f ca="1">AVERAGE(OFFSET($AM$3,0,0,'Données projet'!$E$10+1,1))-AVERAGE(OFFSET($H$3,0,0,'Données projet'!$E$10+1,1))</f>
        <v>320.63267332485663</v>
      </c>
      <c r="AO161" s="62">
        <f t="shared" si="144"/>
        <v>201.96012789473809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8.9653774930535793E-2</v>
      </c>
      <c r="AW161" s="23">
        <f>EXP(-LN(2)/2)*AW160+(1-EXP(-LN(2)/2))/(LN(2)/2)*AQ161*AT161*VLOOKUP('Données projet'!$B$10,Paramètres!$A$1:$I$89,3,0)*0.475*44/12</f>
        <v>7.8587107892392454E-19</v>
      </c>
      <c r="AX161" s="23">
        <f t="shared" si="166"/>
        <v>8.9653774930535793E-2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1.0286385077051818E-13</v>
      </c>
      <c r="BF161" s="14">
        <f t="shared" si="167"/>
        <v>1.5402366592183556E-12</v>
      </c>
      <c r="BG161" s="22">
        <f t="shared" si="168"/>
        <v>2.8617333882306215E-12</v>
      </c>
      <c r="BH161" s="62">
        <f t="shared" si="116"/>
        <v>293.33333333333616</v>
      </c>
      <c r="BI161" s="62">
        <f ca="1">AVERAGE(OFFSET($BH$3,0,0,'Données projet'!$E$11+1,1))-AVERAGE(OFFSET($H$3,0,0,'Données projet'!$E$11+1,1))</f>
        <v>267.00333505765792</v>
      </c>
      <c r="BJ161" s="62">
        <f t="shared" si="146"/>
        <v>172.25613380618557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7.7610730536881695E-2</v>
      </c>
      <c r="BR161" s="23">
        <f>EXP(-LN(2)/2)*BR160+(1-EXP(-LN(2)/2))/(LN(2)/2)*BL161*BO161*VLOOKUP('Données projet'!$B$11,Paramètres!$A$1:$I$89,3,0)*0.475*44/12</f>
        <v>6.8030630712817227E-19</v>
      </c>
      <c r="BS161" s="24">
        <f t="shared" si="169"/>
        <v>7.7610730536881695E-2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1.1368683772161603E-13</v>
      </c>
      <c r="BZ161" s="14">
        <f>BY161*VLOOKUP('Données projet'!$B$12,Paramètres!$A$1:$I$89,3,0)*VLOOKUP('Données projet'!$B$12,Paramètres!$A$1:$I$89,5,0)</f>
        <v>1.1527845344971866E-13</v>
      </c>
      <c r="CA161" s="14">
        <f t="shared" si="170"/>
        <v>1.7033846239409443E-12</v>
      </c>
      <c r="CB161" s="22">
        <f t="shared" si="171"/>
        <v>3.1675048597887374E-12</v>
      </c>
      <c r="CC161" s="62">
        <f t="shared" si="119"/>
        <v>293.3333333333365</v>
      </c>
      <c r="CD161" s="62">
        <f ca="1">AVERAGE(OFFSET($CC$3,0,0,'Données projet'!$E$12+1,1))-AVERAGE(OFFSET($H$3,0,0,'Données projet'!$E$12+1,1))</f>
        <v>308.72872453744998</v>
      </c>
      <c r="CE161" s="62">
        <f t="shared" si="148"/>
        <v>195.3674411454258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8.6977542843057129E-2</v>
      </c>
      <c r="CM161" s="23">
        <f>EXP(-LN(2)/2)*CM160+(1-EXP(-LN(2)/2))/(LN(2)/2)*CG161*CJ161*VLOOKUP('Données projet'!$B$12,Paramètres!$A$1:$I$89,3,0)*0.475*44/12</f>
        <v>7.6241224074708969E-19</v>
      </c>
      <c r="CN161" s="24">
        <f t="shared" si="172"/>
        <v>8.6977542843057129E-2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160.24926890971085</v>
      </c>
      <c r="T162" s="62">
        <f t="shared" si="142"/>
        <v>323.52368436151721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4.5810354361926535</v>
      </c>
      <c r="AA162" s="23">
        <f>EXP(-LN(2)/25)*AA161+(1-EXP(-LN(2)/25))/(LN(2)/25)*Calculateur!V162*Calculateur!X162*VLOOKUP('Données projet'!$B$9,Paramètres!$A$1:$I$89,3,0)*0.475*44/12</f>
        <v>1.4445150468314201</v>
      </c>
      <c r="AB162" s="23">
        <f>EXP(-LN(2)/2)*AB161+(1-EXP(-LN(2)/2))/(LN(2)/2)*V162*Y162*VLOOKUP('Données projet'!$B$9,Paramètres!$A$1:$I$89,3,0)*0.475*44/12</f>
        <v>6.8345618947960443E-18</v>
      </c>
      <c r="AC162" s="24">
        <f t="shared" si="163"/>
        <v>6.0255504830240731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1.1882548278663309E-13</v>
      </c>
      <c r="AK162" s="14">
        <f t="shared" si="164"/>
        <v>1.7496137229198366E-12</v>
      </c>
      <c r="AL162" s="22">
        <f t="shared" si="165"/>
        <v>3.2541982832721012E-12</v>
      </c>
      <c r="AM162" s="62">
        <f t="shared" si="113"/>
        <v>293.33333333333655</v>
      </c>
      <c r="AN162" s="62">
        <f ca="1">AVERAGE(OFFSET($AM$3,0,0,'Données projet'!$E$10+1,1))-AVERAGE(OFFSET($H$3,0,0,'Données projet'!$E$10+1,1))</f>
        <v>320.63267332485663</v>
      </c>
      <c r="AO162" s="62">
        <f t="shared" si="144"/>
        <v>201.96012789473809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8.720218774037318E-2</v>
      </c>
      <c r="AW162" s="23">
        <f>EXP(-LN(2)/2)*AW161+(1-EXP(-LN(2)/2))/(LN(2)/2)*AQ162*AT162*VLOOKUP('Données projet'!$B$10,Paramètres!$A$1:$I$89,3,0)*0.475*44/12</f>
        <v>5.5569476904549553E-19</v>
      </c>
      <c r="AX162" s="23">
        <f t="shared" si="166"/>
        <v>8.720218774037318E-2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1.0286385077051818E-13</v>
      </c>
      <c r="BF162" s="14">
        <f t="shared" si="167"/>
        <v>1.5402366592183556E-12</v>
      </c>
      <c r="BG162" s="22">
        <f t="shared" si="168"/>
        <v>2.8617333882306215E-12</v>
      </c>
      <c r="BH162" s="62">
        <f t="shared" si="116"/>
        <v>293.33333333333616</v>
      </c>
      <c r="BI162" s="62">
        <f ca="1">AVERAGE(OFFSET($BH$3,0,0,'Données projet'!$E$11+1,1))-AVERAGE(OFFSET($H$3,0,0,'Données projet'!$E$11+1,1))</f>
        <v>267.00333505765792</v>
      </c>
      <c r="BJ162" s="62">
        <f t="shared" si="146"/>
        <v>172.25613380618557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7.5488461028979728E-2</v>
      </c>
      <c r="BR162" s="23">
        <f>EXP(-LN(2)/2)*BR161+(1-EXP(-LN(2)/2))/(LN(2)/2)*BL162*BO162*VLOOKUP('Données projet'!$B$11,Paramètres!$A$1:$I$89,3,0)*0.475*44/12</f>
        <v>4.8104920305430871E-19</v>
      </c>
      <c r="BS162" s="24">
        <f t="shared" si="169"/>
        <v>7.5488461028979728E-2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1.1368683772161603E-13</v>
      </c>
      <c r="BZ162" s="14">
        <f>BY162*VLOOKUP('Données projet'!$B$12,Paramètres!$A$1:$I$89,3,0)*VLOOKUP('Données projet'!$B$12,Paramètres!$A$1:$I$89,5,0)</f>
        <v>1.1527845344971866E-13</v>
      </c>
      <c r="CA162" s="14">
        <f t="shared" si="170"/>
        <v>1.7033846239409443E-12</v>
      </c>
      <c r="CB162" s="22">
        <f t="shared" si="171"/>
        <v>3.1675048597887374E-12</v>
      </c>
      <c r="CC162" s="62">
        <f t="shared" si="119"/>
        <v>293.3333333333365</v>
      </c>
      <c r="CD162" s="62">
        <f ca="1">AVERAGE(OFFSET($CC$3,0,0,'Données projet'!$E$12+1,1))-AVERAGE(OFFSET($H$3,0,0,'Données projet'!$E$12+1,1))</f>
        <v>308.72872453744998</v>
      </c>
      <c r="CE162" s="62">
        <f t="shared" si="148"/>
        <v>195.3674411454258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8.4599137360063539E-2</v>
      </c>
      <c r="CM162" s="23">
        <f>EXP(-LN(2)/2)*CM161+(1-EXP(-LN(2)/2))/(LN(2)/2)*CG162*CJ162*VLOOKUP('Données projet'!$B$12,Paramètres!$A$1:$I$89,3,0)*0.475*44/12</f>
        <v>5.3910686549189774E-19</v>
      </c>
      <c r="CN162" s="24">
        <f t="shared" si="172"/>
        <v>8.4599137360063539E-2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160.24926890971085</v>
      </c>
      <c r="T163" s="62">
        <f t="shared" si="142"/>
        <v>323.52368436151721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4.4912041254446313</v>
      </c>
      <c r="AA163" s="23">
        <f>EXP(-LN(2)/25)*AA162+(1-EXP(-LN(2)/25))/(LN(2)/25)*Calculateur!V163*Calculateur!X163*VLOOKUP('Données projet'!$B$9,Paramètres!$A$1:$I$89,3,0)*0.475*44/12</f>
        <v>1.40501470691207</v>
      </c>
      <c r="AB163" s="23">
        <f>EXP(-LN(2)/2)*AB162+(1-EXP(-LN(2)/2))/(LN(2)/2)*V163*Y163*VLOOKUP('Données projet'!$B$9,Paramètres!$A$1:$I$89,3,0)*0.475*44/12</f>
        <v>4.8327650622494627E-18</v>
      </c>
      <c r="AC163" s="24">
        <f t="shared" si="163"/>
        <v>5.8962188323567011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1.1882548278663309E-13</v>
      </c>
      <c r="AK163" s="14">
        <f t="shared" si="164"/>
        <v>1.7496137229198366E-12</v>
      </c>
      <c r="AL163" s="22">
        <f t="shared" si="165"/>
        <v>3.2541982832721012E-12</v>
      </c>
      <c r="AM163" s="62">
        <f t="shared" si="113"/>
        <v>293.33333333333655</v>
      </c>
      <c r="AN163" s="62">
        <f ca="1">AVERAGE(OFFSET($AM$3,0,0,'Données projet'!$E$10+1,1))-AVERAGE(OFFSET($H$3,0,0,'Données projet'!$E$10+1,1))</f>
        <v>320.63267332485663</v>
      </c>
      <c r="AO163" s="62">
        <f t="shared" si="144"/>
        <v>201.96012789473809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8.4817639330848932E-2</v>
      </c>
      <c r="AW163" s="23">
        <f>EXP(-LN(2)/2)*AW162+(1-EXP(-LN(2)/2))/(LN(2)/2)*AQ163*AT163*VLOOKUP('Données projet'!$B$10,Paramètres!$A$1:$I$89,3,0)*0.475*44/12</f>
        <v>3.9293553946196227E-19</v>
      </c>
      <c r="AX163" s="23">
        <f t="shared" si="166"/>
        <v>8.4817639330848932E-2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1.0286385077051818E-13</v>
      </c>
      <c r="BF163" s="14">
        <f t="shared" si="167"/>
        <v>1.5402366592183556E-12</v>
      </c>
      <c r="BG163" s="22">
        <f t="shared" si="168"/>
        <v>2.8617333882306215E-12</v>
      </c>
      <c r="BH163" s="62">
        <f t="shared" si="116"/>
        <v>293.33333333333616</v>
      </c>
      <c r="BI163" s="62">
        <f ca="1">AVERAGE(OFFSET($BH$3,0,0,'Données projet'!$E$11+1,1))-AVERAGE(OFFSET($H$3,0,0,'Données projet'!$E$11+1,1))</f>
        <v>267.00333505765792</v>
      </c>
      <c r="BJ163" s="62">
        <f t="shared" si="146"/>
        <v>172.25613380618557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7.3424225092376644E-2</v>
      </c>
      <c r="BR163" s="23">
        <f>EXP(-LN(2)/2)*BR162+(1-EXP(-LN(2)/2))/(LN(2)/2)*BL163*BO163*VLOOKUP('Données projet'!$B$11,Paramètres!$A$1:$I$89,3,0)*0.475*44/12</f>
        <v>3.4015315356408614E-19</v>
      </c>
      <c r="BS163" s="24">
        <f t="shared" si="169"/>
        <v>7.3424225092376644E-2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1.1368683772161603E-13</v>
      </c>
      <c r="BZ163" s="14">
        <f>BY163*VLOOKUP('Données projet'!$B$12,Paramètres!$A$1:$I$89,3,0)*VLOOKUP('Données projet'!$B$12,Paramètres!$A$1:$I$89,5,0)</f>
        <v>1.1527845344971866E-13</v>
      </c>
      <c r="CA163" s="14">
        <f t="shared" si="170"/>
        <v>1.7033846239409443E-12</v>
      </c>
      <c r="CB163" s="22">
        <f t="shared" si="171"/>
        <v>3.1675048597887374E-12</v>
      </c>
      <c r="CC163" s="62">
        <f t="shared" si="119"/>
        <v>293.3333333333365</v>
      </c>
      <c r="CD163" s="62">
        <f ca="1">AVERAGE(OFFSET($CC$3,0,0,'Données projet'!$E$12+1,1))-AVERAGE(OFFSET($H$3,0,0,'Données projet'!$E$12+1,1))</f>
        <v>308.72872453744998</v>
      </c>
      <c r="CE163" s="62">
        <f t="shared" si="148"/>
        <v>195.3674411454258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8.2285769500077321E-2</v>
      </c>
      <c r="CM163" s="23">
        <f>EXP(-LN(2)/2)*CM162+(1-EXP(-LN(2)/2))/(LN(2)/2)*CG163*CJ163*VLOOKUP('Données projet'!$B$12,Paramètres!$A$1:$I$89,3,0)*0.475*44/12</f>
        <v>3.8120612037354484E-19</v>
      </c>
      <c r="CN163" s="24">
        <f t="shared" si="172"/>
        <v>8.2285769500077321E-2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160.24926890971085</v>
      </c>
      <c r="T164" s="62">
        <f t="shared" si="142"/>
        <v>323.52368436151721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4.4031343519086885</v>
      </c>
      <c r="AA164" s="23">
        <f>EXP(-LN(2)/25)*AA163+(1-EXP(-LN(2)/25))/(LN(2)/25)*Calculateur!V164*Calculateur!X164*VLOOKUP('Données projet'!$B$9,Paramètres!$A$1:$I$89,3,0)*0.475*44/12</f>
        <v>1.3665945058650473</v>
      </c>
      <c r="AB164" s="23">
        <f>EXP(-LN(2)/2)*AB163+(1-EXP(-LN(2)/2))/(LN(2)/2)*V164*Y164*VLOOKUP('Données projet'!$B$9,Paramètres!$A$1:$I$89,3,0)*0.475*44/12</f>
        <v>3.4172809473980229E-18</v>
      </c>
      <c r="AC164" s="24">
        <f t="shared" si="163"/>
        <v>5.7697288577737353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1.1882548278663309E-13</v>
      </c>
      <c r="AK164" s="14">
        <f t="shared" si="164"/>
        <v>1.7496137229198366E-12</v>
      </c>
      <c r="AL164" s="22">
        <f t="shared" si="165"/>
        <v>3.2541982832721012E-12</v>
      </c>
      <c r="AM164" s="62">
        <f t="shared" si="113"/>
        <v>293.33333333333655</v>
      </c>
      <c r="AN164" s="62">
        <f ca="1">AVERAGE(OFFSET($AM$3,0,0,'Données projet'!$E$10+1,1))-AVERAGE(OFFSET($H$3,0,0,'Données projet'!$E$10+1,1))</f>
        <v>320.63267332485663</v>
      </c>
      <c r="AO164" s="62">
        <f t="shared" si="144"/>
        <v>201.96012789473809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8.2498296522981074E-2</v>
      </c>
      <c r="AW164" s="23">
        <f>EXP(-LN(2)/2)*AW163+(1-EXP(-LN(2)/2))/(LN(2)/2)*AQ164*AT164*VLOOKUP('Données projet'!$B$10,Paramètres!$A$1:$I$89,3,0)*0.475*44/12</f>
        <v>2.7784738452274776E-19</v>
      </c>
      <c r="AX164" s="23">
        <f t="shared" si="166"/>
        <v>8.2498296522981074E-2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1.0286385077051818E-13</v>
      </c>
      <c r="BF164" s="14">
        <f t="shared" si="167"/>
        <v>1.5402366592183556E-12</v>
      </c>
      <c r="BG164" s="22">
        <f t="shared" si="168"/>
        <v>2.8617333882306215E-12</v>
      </c>
      <c r="BH164" s="62">
        <f t="shared" si="116"/>
        <v>293.33333333333616</v>
      </c>
      <c r="BI164" s="62">
        <f ca="1">AVERAGE(OFFSET($BH$3,0,0,'Données projet'!$E$11+1,1))-AVERAGE(OFFSET($H$3,0,0,'Données projet'!$E$11+1,1))</f>
        <v>267.00333505765792</v>
      </c>
      <c r="BJ164" s="62">
        <f t="shared" si="146"/>
        <v>172.25613380618557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7.1416435796013422E-2</v>
      </c>
      <c r="BR164" s="23">
        <f>EXP(-LN(2)/2)*BR163+(1-EXP(-LN(2)/2))/(LN(2)/2)*BL164*BO164*VLOOKUP('Données projet'!$B$11,Paramètres!$A$1:$I$89,3,0)*0.475*44/12</f>
        <v>2.4052460152715435E-19</v>
      </c>
      <c r="BS164" s="24">
        <f t="shared" si="169"/>
        <v>7.1416435796013422E-2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1.1368683772161603E-13</v>
      </c>
      <c r="BZ164" s="14">
        <f>BY164*VLOOKUP('Données projet'!$B$12,Paramètres!$A$1:$I$89,3,0)*VLOOKUP('Données projet'!$B$12,Paramètres!$A$1:$I$89,5,0)</f>
        <v>1.1527845344971866E-13</v>
      </c>
      <c r="CA164" s="14">
        <f t="shared" si="170"/>
        <v>1.7033846239409443E-12</v>
      </c>
      <c r="CB164" s="22">
        <f t="shared" si="171"/>
        <v>3.1675048597887374E-12</v>
      </c>
      <c r="CC164" s="62">
        <f t="shared" si="119"/>
        <v>293.3333333333365</v>
      </c>
      <c r="CD164" s="62">
        <f ca="1">AVERAGE(OFFSET($CC$3,0,0,'Données projet'!$E$12+1,1))-AVERAGE(OFFSET($H$3,0,0,'Données projet'!$E$12+1,1))</f>
        <v>308.72872453744998</v>
      </c>
      <c r="CE164" s="62">
        <f t="shared" si="148"/>
        <v>195.3674411454258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8.0035660805877151E-2</v>
      </c>
      <c r="CM164" s="23">
        <f>EXP(-LN(2)/2)*CM163+(1-EXP(-LN(2)/2))/(LN(2)/2)*CG164*CJ164*VLOOKUP('Données projet'!$B$12,Paramètres!$A$1:$I$89,3,0)*0.475*44/12</f>
        <v>2.6955343274594887E-19</v>
      </c>
      <c r="CN164" s="24">
        <f t="shared" si="172"/>
        <v>8.0035660805877151E-2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160.24926890971085</v>
      </c>
      <c r="T165" s="62">
        <f t="shared" si="142"/>
        <v>323.52368436151721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4.3167915729145285</v>
      </c>
      <c r="AA165" s="23">
        <f>EXP(-LN(2)/25)*AA164+(1-EXP(-LN(2)/25))/(LN(2)/25)*Calculateur!V165*Calculateur!X165*VLOOKUP('Données projet'!$B$9,Paramètres!$A$1:$I$89,3,0)*0.475*44/12</f>
        <v>1.3292249072360858</v>
      </c>
      <c r="AB165" s="23">
        <f>EXP(-LN(2)/2)*AB164+(1-EXP(-LN(2)/2))/(LN(2)/2)*V165*Y165*VLOOKUP('Données projet'!$B$9,Paramètres!$A$1:$I$89,3,0)*0.475*44/12</f>
        <v>2.4163825311247317E-18</v>
      </c>
      <c r="AC165" s="24">
        <f t="shared" si="163"/>
        <v>5.6460164801506139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1.1882548278663309E-13</v>
      </c>
      <c r="AK165" s="14">
        <f t="shared" si="164"/>
        <v>1.7496137229198366E-12</v>
      </c>
      <c r="AL165" s="22">
        <f t="shared" si="165"/>
        <v>3.2541982832721012E-12</v>
      </c>
      <c r="AM165" s="62">
        <f t="shared" si="113"/>
        <v>293.33333333333655</v>
      </c>
      <c r="AN165" s="62">
        <f ca="1">AVERAGE(OFFSET($AM$3,0,0,'Données projet'!$E$10+1,1))-AVERAGE(OFFSET($H$3,0,0,'Données projet'!$E$10+1,1))</f>
        <v>320.63267332485663</v>
      </c>
      <c r="AO165" s="62">
        <f t="shared" si="144"/>
        <v>201.96012789473809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8.024237626616329E-2</v>
      </c>
      <c r="AW165" s="23">
        <f>EXP(-LN(2)/2)*AW164+(1-EXP(-LN(2)/2))/(LN(2)/2)*AQ165*AT165*VLOOKUP('Données projet'!$B$10,Paramètres!$A$1:$I$89,3,0)*0.475*44/12</f>
        <v>1.9646776973098114E-19</v>
      </c>
      <c r="AX165" s="23">
        <f t="shared" si="166"/>
        <v>8.024237626616329E-2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1.0286385077051818E-13</v>
      </c>
      <c r="BF165" s="14">
        <f t="shared" si="167"/>
        <v>1.5402366592183556E-12</v>
      </c>
      <c r="BG165" s="22">
        <f t="shared" si="168"/>
        <v>2.8617333882306215E-12</v>
      </c>
      <c r="BH165" s="62">
        <f t="shared" si="116"/>
        <v>293.33333333333616</v>
      </c>
      <c r="BI165" s="62">
        <f ca="1">AVERAGE(OFFSET($BH$3,0,0,'Données projet'!$E$11+1,1))-AVERAGE(OFFSET($H$3,0,0,'Données projet'!$E$11+1,1))</f>
        <v>267.00333505765792</v>
      </c>
      <c r="BJ165" s="62">
        <f t="shared" si="146"/>
        <v>172.25613380618557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6.9463549603544297E-2</v>
      </c>
      <c r="BR165" s="23">
        <f>EXP(-LN(2)/2)*BR164+(1-EXP(-LN(2)/2))/(LN(2)/2)*BL165*BO165*VLOOKUP('Données projet'!$B$11,Paramètres!$A$1:$I$89,3,0)*0.475*44/12</f>
        <v>1.7007657678204307E-19</v>
      </c>
      <c r="BS165" s="24">
        <f t="shared" si="169"/>
        <v>6.9463549603544297E-2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1.1368683772161603E-13</v>
      </c>
      <c r="BZ165" s="14">
        <f>BY165*VLOOKUP('Données projet'!$B$12,Paramètres!$A$1:$I$89,3,0)*VLOOKUP('Données projet'!$B$12,Paramètres!$A$1:$I$89,5,0)</f>
        <v>1.1527845344971866E-13</v>
      </c>
      <c r="CA165" s="14">
        <f t="shared" si="170"/>
        <v>1.7033846239409443E-12</v>
      </c>
      <c r="CB165" s="22">
        <f t="shared" si="171"/>
        <v>3.1675048597887374E-12</v>
      </c>
      <c r="CC165" s="62">
        <f t="shared" si="119"/>
        <v>293.3333333333365</v>
      </c>
      <c r="CD165" s="62">
        <f ca="1">AVERAGE(OFFSET($CC$3,0,0,'Données projet'!$E$12+1,1))-AVERAGE(OFFSET($H$3,0,0,'Données projet'!$E$12+1,1))</f>
        <v>308.72872453744998</v>
      </c>
      <c r="CE165" s="62">
        <f t="shared" si="148"/>
        <v>195.3674411454258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7.784708145224796E-2</v>
      </c>
      <c r="CM165" s="23">
        <f>EXP(-LN(2)/2)*CM164+(1-EXP(-LN(2)/2))/(LN(2)/2)*CG165*CJ165*VLOOKUP('Données projet'!$B$12,Paramètres!$A$1:$I$89,3,0)*0.475*44/12</f>
        <v>1.9060306018677242E-19</v>
      </c>
      <c r="CN165" s="24">
        <f t="shared" si="172"/>
        <v>7.784708145224796E-2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160.24926890971085</v>
      </c>
      <c r="T166" s="62">
        <f t="shared" si="142"/>
        <v>323.52368436151721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4.2321419231525486</v>
      </c>
      <c r="AA166" s="23">
        <f>EXP(-LN(2)/25)*AA165+(1-EXP(-LN(2)/25))/(LN(2)/25)*Calculateur!V166*Calculateur!X166*VLOOKUP('Données projet'!$B$9,Paramètres!$A$1:$I$89,3,0)*0.475*44/12</f>
        <v>1.292877182246815</v>
      </c>
      <c r="AB166" s="23">
        <f>EXP(-LN(2)/2)*AB165+(1-EXP(-LN(2)/2))/(LN(2)/2)*V166*Y166*VLOOKUP('Données projet'!$B$9,Paramètres!$A$1:$I$89,3,0)*0.475*44/12</f>
        <v>1.7086404736990117E-18</v>
      </c>
      <c r="AC166" s="24">
        <f t="shared" si="163"/>
        <v>5.5250191053993634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1.1882548278663309E-13</v>
      </c>
      <c r="AK166" s="14">
        <f t="shared" si="164"/>
        <v>1.7496137229198366E-12</v>
      </c>
      <c r="AL166" s="22">
        <f t="shared" si="165"/>
        <v>3.2541982832721012E-12</v>
      </c>
      <c r="AM166" s="62">
        <f t="shared" si="113"/>
        <v>293.33333333333655</v>
      </c>
      <c r="AN166" s="62">
        <f ca="1">AVERAGE(OFFSET($AM$3,0,0,'Données projet'!$E$10+1,1))-AVERAGE(OFFSET($H$3,0,0,'Données projet'!$E$10+1,1))</f>
        <v>320.63267332485663</v>
      </c>
      <c r="AO166" s="62">
        <f t="shared" si="144"/>
        <v>201.96012789473809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7.8048144267401878E-2</v>
      </c>
      <c r="AW166" s="23">
        <f>EXP(-LN(2)/2)*AW165+(1-EXP(-LN(2)/2))/(LN(2)/2)*AQ166*AT166*VLOOKUP('Données projet'!$B$10,Paramètres!$A$1:$I$89,3,0)*0.475*44/12</f>
        <v>1.3892369226137388E-19</v>
      </c>
      <c r="AX166" s="23">
        <f t="shared" si="166"/>
        <v>7.8048144267401878E-2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1.0286385077051818E-13</v>
      </c>
      <c r="BF166" s="14">
        <f t="shared" si="167"/>
        <v>1.5402366592183556E-12</v>
      </c>
      <c r="BG166" s="22">
        <f t="shared" si="168"/>
        <v>2.8617333882306215E-12</v>
      </c>
      <c r="BH166" s="62">
        <f t="shared" si="116"/>
        <v>293.33333333333616</v>
      </c>
      <c r="BI166" s="62">
        <f ca="1">AVERAGE(OFFSET($BH$3,0,0,'Données projet'!$E$11+1,1))-AVERAGE(OFFSET($H$3,0,0,'Données projet'!$E$11+1,1))</f>
        <v>267.00333505765792</v>
      </c>
      <c r="BJ166" s="62">
        <f t="shared" si="146"/>
        <v>172.25613380618557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6.756406518670606E-2</v>
      </c>
      <c r="BR166" s="23">
        <f>EXP(-LN(2)/2)*BR165+(1-EXP(-LN(2)/2))/(LN(2)/2)*BL166*BO166*VLOOKUP('Données projet'!$B$11,Paramètres!$A$1:$I$89,3,0)*0.475*44/12</f>
        <v>1.2026230076357718E-19</v>
      </c>
      <c r="BS166" s="24">
        <f t="shared" si="169"/>
        <v>6.756406518670606E-2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1.1368683772161603E-13</v>
      </c>
      <c r="BZ166" s="14">
        <f>BY166*VLOOKUP('Données projet'!$B$12,Paramètres!$A$1:$I$89,3,0)*VLOOKUP('Données projet'!$B$12,Paramètres!$A$1:$I$89,5,0)</f>
        <v>1.1527845344971866E-13</v>
      </c>
      <c r="CA166" s="14">
        <f t="shared" si="170"/>
        <v>1.7033846239409443E-12</v>
      </c>
      <c r="CB166" s="22">
        <f t="shared" si="171"/>
        <v>3.1675048597887374E-12</v>
      </c>
      <c r="CC166" s="62">
        <f t="shared" si="119"/>
        <v>293.3333333333365</v>
      </c>
      <c r="CD166" s="62">
        <f ca="1">AVERAGE(OFFSET($CC$3,0,0,'Données projet'!$E$12+1,1))-AVERAGE(OFFSET($H$3,0,0,'Données projet'!$E$12+1,1))</f>
        <v>308.72872453744998</v>
      </c>
      <c r="CE166" s="62">
        <f t="shared" si="148"/>
        <v>195.3674411454258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7.5718348916136144E-2</v>
      </c>
      <c r="CM166" s="23">
        <f>EXP(-LN(2)/2)*CM165+(1-EXP(-LN(2)/2))/(LN(2)/2)*CG166*CJ166*VLOOKUP('Données projet'!$B$12,Paramètres!$A$1:$I$89,3,0)*0.475*44/12</f>
        <v>1.3477671637297443E-19</v>
      </c>
      <c r="CN166" s="24">
        <f t="shared" si="172"/>
        <v>7.5718348916136144E-2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160.24926890971085</v>
      </c>
      <c r="T167" s="62">
        <f t="shared" si="142"/>
        <v>323.52368436151721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4.149152201391213</v>
      </c>
      <c r="AA167" s="23">
        <f>EXP(-LN(2)/25)*AA166+(1-EXP(-LN(2)/25))/(LN(2)/25)*Calculateur!V167*Calculateur!X167*VLOOKUP('Données projet'!$B$9,Paramètres!$A$1:$I$89,3,0)*0.475*44/12</f>
        <v>1.2575233877088197</v>
      </c>
      <c r="AB167" s="23">
        <f>EXP(-LN(2)/2)*AB166+(1-EXP(-LN(2)/2))/(LN(2)/2)*V167*Y167*VLOOKUP('Données projet'!$B$9,Paramètres!$A$1:$I$89,3,0)*0.475*44/12</f>
        <v>1.2081912655623661E-18</v>
      </c>
      <c r="AC167" s="24">
        <f t="shared" si="163"/>
        <v>5.4066755891000327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1.1882548278663309E-13</v>
      </c>
      <c r="AK167" s="14">
        <f t="shared" si="164"/>
        <v>1.7496137229198366E-12</v>
      </c>
      <c r="AL167" s="22">
        <f t="shared" si="165"/>
        <v>3.2541982832721012E-12</v>
      </c>
      <c r="AM167" s="62">
        <f t="shared" si="113"/>
        <v>293.33333333333655</v>
      </c>
      <c r="AN167" s="62">
        <f ca="1">AVERAGE(OFFSET($AM$3,0,0,'Données projet'!$E$10+1,1))-AVERAGE(OFFSET($H$3,0,0,'Données projet'!$E$10+1,1))</f>
        <v>320.63267332485663</v>
      </c>
      <c r="AO167" s="62">
        <f t="shared" si="144"/>
        <v>201.96012789473809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7.591391365803625E-2</v>
      </c>
      <c r="AW167" s="23">
        <f>EXP(-LN(2)/2)*AW166+(1-EXP(-LN(2)/2))/(LN(2)/2)*AQ167*AT167*VLOOKUP('Données projet'!$B$10,Paramètres!$A$1:$I$89,3,0)*0.475*44/12</f>
        <v>9.8233884865490568E-20</v>
      </c>
      <c r="AX167" s="23">
        <f t="shared" si="166"/>
        <v>7.591391365803625E-2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1.0286385077051818E-13</v>
      </c>
      <c r="BF167" s="14">
        <f t="shared" si="167"/>
        <v>1.5402366592183556E-12</v>
      </c>
      <c r="BG167" s="22">
        <f t="shared" si="168"/>
        <v>2.8617333882306215E-12</v>
      </c>
      <c r="BH167" s="62">
        <f t="shared" si="116"/>
        <v>293.33333333333616</v>
      </c>
      <c r="BI167" s="62">
        <f ca="1">AVERAGE(OFFSET($BH$3,0,0,'Données projet'!$E$11+1,1))-AVERAGE(OFFSET($H$3,0,0,'Données projet'!$E$11+1,1))</f>
        <v>267.00333505765792</v>
      </c>
      <c r="BJ167" s="62">
        <f t="shared" si="146"/>
        <v>172.25613380618557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6.5716522271135808E-2</v>
      </c>
      <c r="BR167" s="23">
        <f>EXP(-LN(2)/2)*BR166+(1-EXP(-LN(2)/2))/(LN(2)/2)*BL167*BO167*VLOOKUP('Données projet'!$B$11,Paramètres!$A$1:$I$89,3,0)*0.475*44/12</f>
        <v>8.5038288391021534E-20</v>
      </c>
      <c r="BS167" s="24">
        <f t="shared" si="169"/>
        <v>6.5716522271135808E-2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1.1368683772161603E-13</v>
      </c>
      <c r="BZ167" s="14">
        <f>BY167*VLOOKUP('Données projet'!$B$12,Paramètres!$A$1:$I$89,3,0)*VLOOKUP('Données projet'!$B$12,Paramètres!$A$1:$I$89,5,0)</f>
        <v>1.1527845344971866E-13</v>
      </c>
      <c r="CA167" s="14">
        <f t="shared" si="170"/>
        <v>1.7033846239409443E-12</v>
      </c>
      <c r="CB167" s="22">
        <f t="shared" si="171"/>
        <v>3.1675048597887374E-12</v>
      </c>
      <c r="CC167" s="62">
        <f t="shared" si="119"/>
        <v>293.3333333333365</v>
      </c>
      <c r="CD167" s="62">
        <f ca="1">AVERAGE(OFFSET($CC$3,0,0,'Données projet'!$E$12+1,1))-AVERAGE(OFFSET($H$3,0,0,'Données projet'!$E$12+1,1))</f>
        <v>308.72872453744998</v>
      </c>
      <c r="CE167" s="62">
        <f t="shared" si="148"/>
        <v>195.3674411454258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7.3647826683169493E-2</v>
      </c>
      <c r="CM167" s="23">
        <f>EXP(-LN(2)/2)*CM166+(1-EXP(-LN(2)/2))/(LN(2)/2)*CG167*CJ167*VLOOKUP('Données projet'!$B$12,Paramètres!$A$1:$I$89,3,0)*0.475*44/12</f>
        <v>9.5301530093386211E-20</v>
      </c>
      <c r="CN167" s="24">
        <f t="shared" si="172"/>
        <v>7.3647826683169493E-2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160.24926890971085</v>
      </c>
      <c r="T168" s="62">
        <f t="shared" si="142"/>
        <v>323.52368436151721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4.0677898574548852</v>
      </c>
      <c r="AA168" s="23">
        <f>EXP(-LN(2)/25)*AA167+(1-EXP(-LN(2)/25))/(LN(2)/25)*Calculateur!V168*Calculateur!X168*VLOOKUP('Données projet'!$B$9,Paramètres!$A$1:$I$89,3,0)*0.475*44/12</f>
        <v>1.2231363445416412</v>
      </c>
      <c r="AB168" s="23">
        <f>EXP(-LN(2)/2)*AB167+(1-EXP(-LN(2)/2))/(LN(2)/2)*V168*Y168*VLOOKUP('Données projet'!$B$9,Paramètres!$A$1:$I$89,3,0)*0.475*44/12</f>
        <v>8.5432023684950593E-19</v>
      </c>
      <c r="AC168" s="24">
        <f t="shared" si="163"/>
        <v>5.2909262019965269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1.1882548278663309E-13</v>
      </c>
      <c r="AK168" s="14">
        <f t="shared" si="164"/>
        <v>1.7496137229198366E-12</v>
      </c>
      <c r="AL168" s="22">
        <f t="shared" si="165"/>
        <v>3.2541982832721012E-12</v>
      </c>
      <c r="AM168" s="62">
        <f t="shared" si="113"/>
        <v>293.33333333333655</v>
      </c>
      <c r="AN168" s="62">
        <f ca="1">AVERAGE(OFFSET($AM$3,0,0,'Données projet'!$E$10+1,1))-AVERAGE(OFFSET($H$3,0,0,'Données projet'!$E$10+1,1))</f>
        <v>320.63267332485663</v>
      </c>
      <c r="AO168" s="62">
        <f t="shared" si="144"/>
        <v>201.96012789473809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7.3838043696918029E-2</v>
      </c>
      <c r="AW168" s="23">
        <f>EXP(-LN(2)/2)*AW167+(1-EXP(-LN(2)/2))/(LN(2)/2)*AQ168*AT168*VLOOKUP('Données projet'!$B$10,Paramètres!$A$1:$I$89,3,0)*0.475*44/12</f>
        <v>6.9461846130686941E-20</v>
      </c>
      <c r="AX168" s="23">
        <f t="shared" si="166"/>
        <v>7.3838043696918029E-2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1.0286385077051818E-13</v>
      </c>
      <c r="BF168" s="14">
        <f t="shared" si="167"/>
        <v>1.5402366592183556E-12</v>
      </c>
      <c r="BG168" s="22">
        <f t="shared" si="168"/>
        <v>2.8617333882306215E-12</v>
      </c>
      <c r="BH168" s="62">
        <f t="shared" si="116"/>
        <v>293.33333333333616</v>
      </c>
      <c r="BI168" s="62">
        <f ca="1">AVERAGE(OFFSET($BH$3,0,0,'Données projet'!$E$11+1,1))-AVERAGE(OFFSET($H$3,0,0,'Données projet'!$E$11+1,1))</f>
        <v>267.00333505765792</v>
      </c>
      <c r="BJ168" s="62">
        <f t="shared" si="146"/>
        <v>172.25613380618557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6.3919500513749894E-2</v>
      </c>
      <c r="BR168" s="23">
        <f>EXP(-LN(2)/2)*BR167+(1-EXP(-LN(2)/2))/(LN(2)/2)*BL168*BO168*VLOOKUP('Données projet'!$B$11,Paramètres!$A$1:$I$89,3,0)*0.475*44/12</f>
        <v>6.0131150381788588E-20</v>
      </c>
      <c r="BS168" s="24">
        <f t="shared" si="169"/>
        <v>6.3919500513749894E-2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1.1368683772161603E-13</v>
      </c>
      <c r="BZ168" s="14">
        <f>BY168*VLOOKUP('Données projet'!$B$12,Paramètres!$A$1:$I$89,3,0)*VLOOKUP('Données projet'!$B$12,Paramètres!$A$1:$I$89,5,0)</f>
        <v>1.1527845344971866E-13</v>
      </c>
      <c r="CA168" s="14">
        <f t="shared" si="170"/>
        <v>1.7033846239409443E-12</v>
      </c>
      <c r="CB168" s="22">
        <f t="shared" si="171"/>
        <v>3.1675048597887374E-12</v>
      </c>
      <c r="CC168" s="62">
        <f t="shared" si="119"/>
        <v>293.3333333333365</v>
      </c>
      <c r="CD168" s="62">
        <f ca="1">AVERAGE(OFFSET($CC$3,0,0,'Données projet'!$E$12+1,1))-AVERAGE(OFFSET($H$3,0,0,'Données projet'!$E$12+1,1))</f>
        <v>308.72872453744998</v>
      </c>
      <c r="CE168" s="62">
        <f t="shared" si="148"/>
        <v>195.3674411454258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7.1633922989547336E-2</v>
      </c>
      <c r="CM168" s="23">
        <f>EXP(-LN(2)/2)*CM167+(1-EXP(-LN(2)/2))/(LN(2)/2)*CG168*CJ168*VLOOKUP('Données projet'!$B$12,Paramètres!$A$1:$I$89,3,0)*0.475*44/12</f>
        <v>6.7388358186487217E-20</v>
      </c>
      <c r="CN168" s="24">
        <f t="shared" si="172"/>
        <v>7.1633922989547336E-2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160.24926890971085</v>
      </c>
      <c r="T169" s="62">
        <f t="shared" si="142"/>
        <v>323.52368436151721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3.988022979457019</v>
      </c>
      <c r="AA169" s="23">
        <f>EXP(-LN(2)/25)*AA168+(1-EXP(-LN(2)/25))/(LN(2)/25)*Calculateur!V169*Calculateur!X169*VLOOKUP('Données projet'!$B$9,Paramètres!$A$1:$I$89,3,0)*0.475*44/12</f>
        <v>1.1896896168782052</v>
      </c>
      <c r="AB169" s="23">
        <f>EXP(-LN(2)/2)*AB168+(1-EXP(-LN(2)/2))/(LN(2)/2)*V169*Y169*VLOOKUP('Données projet'!$B$9,Paramètres!$A$1:$I$89,3,0)*0.475*44/12</f>
        <v>6.0409563278118313E-19</v>
      </c>
      <c r="AC169" s="24">
        <f t="shared" si="163"/>
        <v>5.1777125963352244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1.1882548278663309E-13</v>
      </c>
      <c r="AK169" s="14">
        <f t="shared" si="164"/>
        <v>1.7496137229198366E-12</v>
      </c>
      <c r="AL169" s="22">
        <f t="shared" si="165"/>
        <v>3.2541982832721012E-12</v>
      </c>
      <c r="AM169" s="62">
        <f t="shared" si="113"/>
        <v>293.33333333333655</v>
      </c>
      <c r="AN169" s="62">
        <f ca="1">AVERAGE(OFFSET($AM$3,0,0,'Données projet'!$E$10+1,1))-AVERAGE(OFFSET($H$3,0,0,'Données projet'!$E$10+1,1))</f>
        <v>320.63267332485663</v>
      </c>
      <c r="AO169" s="62">
        <f t="shared" si="144"/>
        <v>201.96012789473809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7.1818938509051841E-2</v>
      </c>
      <c r="AW169" s="23">
        <f>EXP(-LN(2)/2)*AW168+(1-EXP(-LN(2)/2))/(LN(2)/2)*AQ169*AT169*VLOOKUP('Données projet'!$B$10,Paramètres!$A$1:$I$89,3,0)*0.475*44/12</f>
        <v>4.9116942432745284E-20</v>
      </c>
      <c r="AX169" s="23">
        <f t="shared" si="166"/>
        <v>7.1818938509051841E-2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1.0286385077051818E-13</v>
      </c>
      <c r="BF169" s="14">
        <f t="shared" si="167"/>
        <v>1.5402366592183556E-12</v>
      </c>
      <c r="BG169" s="22">
        <f t="shared" si="168"/>
        <v>2.8617333882306215E-12</v>
      </c>
      <c r="BH169" s="62">
        <f t="shared" si="116"/>
        <v>293.33333333333616</v>
      </c>
      <c r="BI169" s="62">
        <f ca="1">AVERAGE(OFFSET($BH$3,0,0,'Données projet'!$E$11+1,1))-AVERAGE(OFFSET($H$3,0,0,'Données projet'!$E$11+1,1))</f>
        <v>267.00333505765792</v>
      </c>
      <c r="BJ169" s="62">
        <f t="shared" si="146"/>
        <v>172.25613380618557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6.2171618410820959E-2</v>
      </c>
      <c r="BR169" s="23">
        <f>EXP(-LN(2)/2)*BR168+(1-EXP(-LN(2)/2))/(LN(2)/2)*BL169*BO169*VLOOKUP('Données projet'!$B$11,Paramètres!$A$1:$I$89,3,0)*0.475*44/12</f>
        <v>4.2519144195510767E-20</v>
      </c>
      <c r="BS169" s="24">
        <f t="shared" si="169"/>
        <v>6.2171618410820959E-2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1.1368683772161603E-13</v>
      </c>
      <c r="BZ169" s="14">
        <f>BY169*VLOOKUP('Données projet'!$B$12,Paramètres!$A$1:$I$89,3,0)*VLOOKUP('Données projet'!$B$12,Paramètres!$A$1:$I$89,5,0)</f>
        <v>1.1527845344971866E-13</v>
      </c>
      <c r="CA169" s="14">
        <f t="shared" si="170"/>
        <v>1.7033846239409443E-12</v>
      </c>
      <c r="CB169" s="22">
        <f t="shared" si="171"/>
        <v>3.1675048597887374E-12</v>
      </c>
      <c r="CC169" s="62">
        <f t="shared" si="119"/>
        <v>293.3333333333365</v>
      </c>
      <c r="CD169" s="62">
        <f ca="1">AVERAGE(OFFSET($CC$3,0,0,'Données projet'!$E$12+1,1))-AVERAGE(OFFSET($H$3,0,0,'Données projet'!$E$12+1,1))</f>
        <v>308.72872453744998</v>
      </c>
      <c r="CE169" s="62">
        <f t="shared" si="148"/>
        <v>195.3674411454258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6.9675089598333878E-2</v>
      </c>
      <c r="CM169" s="23">
        <f>EXP(-LN(2)/2)*CM168+(1-EXP(-LN(2)/2))/(LN(2)/2)*CG169*CJ169*VLOOKUP('Données projet'!$B$12,Paramètres!$A$1:$I$89,3,0)*0.475*44/12</f>
        <v>4.7650765046693106E-20</v>
      </c>
      <c r="CN169" s="24">
        <f t="shared" si="172"/>
        <v>6.9675089598333878E-2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160.24926890971085</v>
      </c>
      <c r="T170" s="62">
        <f t="shared" si="142"/>
        <v>323.52368436151721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3.9098202812836993</v>
      </c>
      <c r="AA170" s="23">
        <f>EXP(-LN(2)/25)*AA169+(1-EXP(-LN(2)/25))/(LN(2)/25)*Calculateur!V170*Calculateur!X170*VLOOKUP('Données projet'!$B$9,Paramètres!$A$1:$I$89,3,0)*0.475*44/12</f>
        <v>1.1571574917416128</v>
      </c>
      <c r="AB170" s="23">
        <f>EXP(-LN(2)/2)*AB169+(1-EXP(-LN(2)/2))/(LN(2)/2)*V170*Y170*VLOOKUP('Données projet'!$B$9,Paramètres!$A$1:$I$89,3,0)*0.475*44/12</f>
        <v>4.2716011842475306E-19</v>
      </c>
      <c r="AC170" s="24">
        <f t="shared" si="163"/>
        <v>5.0669777730253118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1.1882548278663309E-13</v>
      </c>
      <c r="AK170" s="14">
        <f t="shared" si="164"/>
        <v>1.7496137229198366E-12</v>
      </c>
      <c r="AL170" s="22">
        <f t="shared" si="165"/>
        <v>3.2541982832721012E-12</v>
      </c>
      <c r="AM170" s="62">
        <f t="shared" si="113"/>
        <v>293.33333333333655</v>
      </c>
      <c r="AN170" s="62">
        <f ca="1">AVERAGE(OFFSET($AM$3,0,0,'Données projet'!$E$10+1,1))-AVERAGE(OFFSET($H$3,0,0,'Données projet'!$E$10+1,1))</f>
        <v>320.63267332485663</v>
      </c>
      <c r="AO170" s="62">
        <f t="shared" si="144"/>
        <v>201.96012789473809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6.9855045858727982E-2</v>
      </c>
      <c r="AW170" s="23">
        <f>EXP(-LN(2)/2)*AW169+(1-EXP(-LN(2)/2))/(LN(2)/2)*AQ170*AT170*VLOOKUP('Données projet'!$B$10,Paramètres!$A$1:$I$89,3,0)*0.475*44/12</f>
        <v>3.473092306534347E-20</v>
      </c>
      <c r="AX170" s="23">
        <f t="shared" si="166"/>
        <v>6.9855045858727982E-2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1.0286385077051818E-13</v>
      </c>
      <c r="BF170" s="14">
        <f t="shared" si="167"/>
        <v>1.5402366592183556E-12</v>
      </c>
      <c r="BG170" s="22">
        <f t="shared" si="168"/>
        <v>2.8617333882306215E-12</v>
      </c>
      <c r="BH170" s="62">
        <f t="shared" si="116"/>
        <v>293.33333333333616</v>
      </c>
      <c r="BI170" s="62">
        <f ca="1">AVERAGE(OFFSET($BH$3,0,0,'Données projet'!$E$11+1,1))-AVERAGE(OFFSET($H$3,0,0,'Données projet'!$E$11+1,1))</f>
        <v>267.00333505765792</v>
      </c>
      <c r="BJ170" s="62">
        <f t="shared" si="146"/>
        <v>172.25613380618557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6.0471532235913741E-2</v>
      </c>
      <c r="BR170" s="23">
        <f>EXP(-LN(2)/2)*BR169+(1-EXP(-LN(2)/2))/(LN(2)/2)*BL170*BO170*VLOOKUP('Données projet'!$B$11,Paramètres!$A$1:$I$89,3,0)*0.475*44/12</f>
        <v>3.0065575190894294E-20</v>
      </c>
      <c r="BS170" s="24">
        <f t="shared" si="169"/>
        <v>6.0471532235913741E-2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1.1368683772161603E-13</v>
      </c>
      <c r="BZ170" s="14">
        <f>BY170*VLOOKUP('Données projet'!$B$12,Paramètres!$A$1:$I$89,3,0)*VLOOKUP('Données projet'!$B$12,Paramètres!$A$1:$I$89,5,0)</f>
        <v>1.1527845344971866E-13</v>
      </c>
      <c r="CA170" s="14">
        <f t="shared" si="170"/>
        <v>1.7033846239409443E-12</v>
      </c>
      <c r="CB170" s="22">
        <f t="shared" si="171"/>
        <v>3.1675048597887374E-12</v>
      </c>
      <c r="CC170" s="62">
        <f t="shared" si="119"/>
        <v>293.3333333333365</v>
      </c>
      <c r="CD170" s="62">
        <f ca="1">AVERAGE(OFFSET($CC$3,0,0,'Données projet'!$E$12+1,1))-AVERAGE(OFFSET($H$3,0,0,'Données projet'!$E$12+1,1))</f>
        <v>308.72872453744998</v>
      </c>
      <c r="CE170" s="62">
        <f t="shared" si="148"/>
        <v>195.3674411454258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6.7769820609213716E-2</v>
      </c>
      <c r="CM170" s="23">
        <f>EXP(-LN(2)/2)*CM169+(1-EXP(-LN(2)/2))/(LN(2)/2)*CG170*CJ170*VLOOKUP('Données projet'!$B$12,Paramètres!$A$1:$I$89,3,0)*0.475*44/12</f>
        <v>3.3694179093243609E-20</v>
      </c>
      <c r="CN170" s="24">
        <f t="shared" si="172"/>
        <v>6.7769820609213716E-2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160.24926890971085</v>
      </c>
      <c r="T171" s="62">
        <f t="shared" si="142"/>
        <v>323.52368436151721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3.8331510903226227</v>
      </c>
      <c r="AA171" s="23">
        <f>EXP(-LN(2)/25)*AA170+(1-EXP(-LN(2)/25))/(LN(2)/25)*Calculateur!V171*Calculateur!X171*VLOOKUP('Données projet'!$B$9,Paramètres!$A$1:$I$89,3,0)*0.475*44/12</f>
        <v>1.1255149592776705</v>
      </c>
      <c r="AB171" s="23">
        <f>EXP(-LN(2)/2)*AB170+(1-EXP(-LN(2)/2))/(LN(2)/2)*V171*Y171*VLOOKUP('Données projet'!$B$9,Paramètres!$A$1:$I$89,3,0)*0.475*44/12</f>
        <v>3.0204781639059161E-19</v>
      </c>
      <c r="AC171" s="24">
        <f t="shared" si="163"/>
        <v>4.9586660496002928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1.1882548278663309E-13</v>
      </c>
      <c r="AK171" s="14">
        <f t="shared" si="164"/>
        <v>1.7496137229198366E-12</v>
      </c>
      <c r="AL171" s="22">
        <f t="shared" si="165"/>
        <v>3.2541982832721012E-12</v>
      </c>
      <c r="AM171" s="62">
        <f t="shared" si="113"/>
        <v>293.33333333333655</v>
      </c>
      <c r="AN171" s="62">
        <f ca="1">AVERAGE(OFFSET($AM$3,0,0,'Données projet'!$E$10+1,1))-AVERAGE(OFFSET($H$3,0,0,'Données projet'!$E$10+1,1))</f>
        <v>320.63267332485663</v>
      </c>
      <c r="AO171" s="62">
        <f t="shared" si="144"/>
        <v>201.96012789473809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6.7944855956203865E-2</v>
      </c>
      <c r="AW171" s="23">
        <f>EXP(-LN(2)/2)*AW170+(1-EXP(-LN(2)/2))/(LN(2)/2)*AQ171*AT171*VLOOKUP('Données projet'!$B$10,Paramètres!$A$1:$I$89,3,0)*0.475*44/12</f>
        <v>2.4558471216372642E-20</v>
      </c>
      <c r="AX171" s="23">
        <f t="shared" si="166"/>
        <v>6.7944855956203865E-2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1.0286385077051818E-13</v>
      </c>
      <c r="BF171" s="14">
        <f t="shared" si="167"/>
        <v>1.5402366592183556E-12</v>
      </c>
      <c r="BG171" s="22">
        <f t="shared" si="168"/>
        <v>2.8617333882306215E-12</v>
      </c>
      <c r="BH171" s="62">
        <f t="shared" si="116"/>
        <v>293.33333333333616</v>
      </c>
      <c r="BI171" s="62">
        <f ca="1">AVERAGE(OFFSET($BH$3,0,0,'Données projet'!$E$11+1,1))-AVERAGE(OFFSET($H$3,0,0,'Données projet'!$E$11+1,1))</f>
        <v>267.00333505765792</v>
      </c>
      <c r="BJ171" s="62">
        <f t="shared" si="146"/>
        <v>172.25613380618557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5.8817935006863012E-2</v>
      </c>
      <c r="BR171" s="23">
        <f>EXP(-LN(2)/2)*BR170+(1-EXP(-LN(2)/2))/(LN(2)/2)*BL171*BO171*VLOOKUP('Données projet'!$B$11,Paramètres!$A$1:$I$89,3,0)*0.475*44/12</f>
        <v>2.1259572097755383E-20</v>
      </c>
      <c r="BS171" s="24">
        <f t="shared" si="169"/>
        <v>5.8817935006863012E-2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1.1368683772161603E-13</v>
      </c>
      <c r="BZ171" s="14">
        <f>BY171*VLOOKUP('Données projet'!$B$12,Paramètres!$A$1:$I$89,3,0)*VLOOKUP('Données projet'!$B$12,Paramètres!$A$1:$I$89,5,0)</f>
        <v>1.1527845344971866E-13</v>
      </c>
      <c r="CA171" s="14">
        <f t="shared" si="170"/>
        <v>1.7033846239409443E-12</v>
      </c>
      <c r="CB171" s="22">
        <f t="shared" si="171"/>
        <v>3.1675048597887374E-12</v>
      </c>
      <c r="CC171" s="62">
        <f t="shared" si="119"/>
        <v>293.3333333333365</v>
      </c>
      <c r="CD171" s="62">
        <f ca="1">AVERAGE(OFFSET($CC$3,0,0,'Données projet'!$E$12+1,1))-AVERAGE(OFFSET($H$3,0,0,'Données projet'!$E$12+1,1))</f>
        <v>308.72872453744998</v>
      </c>
      <c r="CE171" s="62">
        <f t="shared" si="148"/>
        <v>195.3674411454258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6.5916651300794785E-2</v>
      </c>
      <c r="CM171" s="23">
        <f>EXP(-LN(2)/2)*CM170+(1-EXP(-LN(2)/2))/(LN(2)/2)*CG171*CJ171*VLOOKUP('Données projet'!$B$12,Paramètres!$A$1:$I$89,3,0)*0.475*44/12</f>
        <v>2.3825382523346553E-20</v>
      </c>
      <c r="CN171" s="24">
        <f t="shared" si="172"/>
        <v>6.5916651300794785E-2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160.24926890971085</v>
      </c>
      <c r="T172" s="62">
        <f t="shared" si="142"/>
        <v>323.52368436151721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3.7579853354327035</v>
      </c>
      <c r="AA172" s="23">
        <f>EXP(-LN(2)/25)*AA171+(1-EXP(-LN(2)/25))/(LN(2)/25)*Calculateur!V172*Calculateur!X172*VLOOKUP('Données projet'!$B$9,Paramètres!$A$1:$I$89,3,0)*0.475*44/12</f>
        <v>1.0947376935279634</v>
      </c>
      <c r="AB172" s="23">
        <f>EXP(-LN(2)/2)*AB171+(1-EXP(-LN(2)/2))/(LN(2)/2)*V172*Y172*VLOOKUP('Données projet'!$B$9,Paramètres!$A$1:$I$89,3,0)*0.475*44/12</f>
        <v>2.1358005921237655E-19</v>
      </c>
      <c r="AC172" s="24">
        <f t="shared" si="163"/>
        <v>4.8527230289606669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1.1882548278663309E-13</v>
      </c>
      <c r="AK172" s="14">
        <f t="shared" si="164"/>
        <v>1.7496137229198366E-12</v>
      </c>
      <c r="AL172" s="22">
        <f t="shared" si="165"/>
        <v>3.2541982832721012E-12</v>
      </c>
      <c r="AM172" s="62">
        <f t="shared" si="113"/>
        <v>293.33333333333655</v>
      </c>
      <c r="AN172" s="62">
        <f ca="1">AVERAGE(OFFSET($AM$3,0,0,'Données projet'!$E$10+1,1))-AVERAGE(OFFSET($H$3,0,0,'Données projet'!$E$10+1,1))</f>
        <v>320.63267332485663</v>
      </c>
      <c r="AO172" s="62">
        <f t="shared" si="144"/>
        <v>201.96012789473809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6.608690029701679E-2</v>
      </c>
      <c r="AW172" s="23">
        <f>EXP(-LN(2)/2)*AW171+(1-EXP(-LN(2)/2))/(LN(2)/2)*AQ172*AT172*VLOOKUP('Données projet'!$B$10,Paramètres!$A$1:$I$89,3,0)*0.475*44/12</f>
        <v>1.7365461532671735E-20</v>
      </c>
      <c r="AX172" s="23">
        <f t="shared" si="166"/>
        <v>6.608690029701679E-2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1.0286385077051818E-13</v>
      </c>
      <c r="BF172" s="14">
        <f t="shared" si="167"/>
        <v>1.5402366592183556E-12</v>
      </c>
      <c r="BG172" s="22">
        <f t="shared" si="168"/>
        <v>2.8617333882306215E-12</v>
      </c>
      <c r="BH172" s="62">
        <f t="shared" si="116"/>
        <v>293.33333333333616</v>
      </c>
      <c r="BI172" s="62">
        <f ca="1">AVERAGE(OFFSET($BH$3,0,0,'Données projet'!$E$11+1,1))-AVERAGE(OFFSET($H$3,0,0,'Données projet'!$E$11+1,1))</f>
        <v>267.00333505765792</v>
      </c>
      <c r="BJ172" s="62">
        <f t="shared" si="146"/>
        <v>172.25613380618557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5.7209555480999569E-2</v>
      </c>
      <c r="BR172" s="23">
        <f>EXP(-LN(2)/2)*BR171+(1-EXP(-LN(2)/2))/(LN(2)/2)*BL172*BO172*VLOOKUP('Données projet'!$B$11,Paramètres!$A$1:$I$89,3,0)*0.475*44/12</f>
        <v>1.5032787595447147E-20</v>
      </c>
      <c r="BS172" s="24">
        <f t="shared" si="169"/>
        <v>5.7209555480999569E-2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1.1368683772161603E-13</v>
      </c>
      <c r="BZ172" s="14">
        <f>BY172*VLOOKUP('Données projet'!$B$12,Paramètres!$A$1:$I$89,3,0)*VLOOKUP('Données projet'!$B$12,Paramètres!$A$1:$I$89,5,0)</f>
        <v>1.1527845344971866E-13</v>
      </c>
      <c r="CA172" s="14">
        <f t="shared" si="170"/>
        <v>1.7033846239409443E-12</v>
      </c>
      <c r="CB172" s="22">
        <f t="shared" si="171"/>
        <v>3.1675048597887374E-12</v>
      </c>
      <c r="CC172" s="62">
        <f t="shared" si="119"/>
        <v>293.3333333333365</v>
      </c>
      <c r="CD172" s="62">
        <f ca="1">AVERAGE(OFFSET($CC$3,0,0,'Données projet'!$E$12+1,1))-AVERAGE(OFFSET($H$3,0,0,'Données projet'!$E$12+1,1))</f>
        <v>308.72872453744998</v>
      </c>
      <c r="CE172" s="62">
        <f t="shared" si="148"/>
        <v>195.3674411454258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6.4114157004568517E-2</v>
      </c>
      <c r="CM172" s="23">
        <f>EXP(-LN(2)/2)*CM171+(1-EXP(-LN(2)/2))/(LN(2)/2)*CG172*CJ172*VLOOKUP('Données projet'!$B$12,Paramètres!$A$1:$I$89,3,0)*0.475*44/12</f>
        <v>1.6847089546621804E-20</v>
      </c>
      <c r="CN172" s="24">
        <f t="shared" si="172"/>
        <v>6.4114157004568517E-2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160.24926890971085</v>
      </c>
      <c r="T173" s="62">
        <f t="shared" si="142"/>
        <v>323.52368436151721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3.6842935351495925</v>
      </c>
      <c r="AA173" s="23">
        <f>EXP(-LN(2)/25)*AA172+(1-EXP(-LN(2)/25))/(LN(2)/25)*Calculateur!V173*Calculateur!X173*VLOOKUP('Données projet'!$B$9,Paramètres!$A$1:$I$89,3,0)*0.475*44/12</f>
        <v>1.0648020337286879</v>
      </c>
      <c r="AB173" s="23">
        <f>EXP(-LN(2)/2)*AB172+(1-EXP(-LN(2)/2))/(LN(2)/2)*V173*Y173*VLOOKUP('Données projet'!$B$9,Paramètres!$A$1:$I$89,3,0)*0.475*44/12</f>
        <v>1.5102390819529583E-19</v>
      </c>
      <c r="AC173" s="24">
        <f t="shared" si="163"/>
        <v>4.7490955688782801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1.1882548278663309E-13</v>
      </c>
      <c r="AK173" s="14">
        <f t="shared" si="164"/>
        <v>1.7496137229198366E-12</v>
      </c>
      <c r="AL173" s="22">
        <f t="shared" si="165"/>
        <v>3.2541982832721012E-12</v>
      </c>
      <c r="AM173" s="62">
        <f t="shared" si="113"/>
        <v>293.33333333333655</v>
      </c>
      <c r="AN173" s="62">
        <f ca="1">AVERAGE(OFFSET($AM$3,0,0,'Données projet'!$E$10+1,1))-AVERAGE(OFFSET($H$3,0,0,'Données projet'!$E$10+1,1))</f>
        <v>320.63267332485663</v>
      </c>
      <c r="AO173" s="62">
        <f t="shared" si="144"/>
        <v>201.96012789473809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6.427975053303582E-2</v>
      </c>
      <c r="AW173" s="23">
        <f>EXP(-LN(2)/2)*AW172+(1-EXP(-LN(2)/2))/(LN(2)/2)*AQ173*AT173*VLOOKUP('Données projet'!$B$10,Paramètres!$A$1:$I$89,3,0)*0.475*44/12</f>
        <v>1.2279235608186321E-20</v>
      </c>
      <c r="AX173" s="23">
        <f t="shared" si="166"/>
        <v>6.427975053303582E-2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1.0286385077051818E-13</v>
      </c>
      <c r="BF173" s="14">
        <f t="shared" si="167"/>
        <v>1.5402366592183556E-12</v>
      </c>
      <c r="BG173" s="22">
        <f t="shared" si="168"/>
        <v>2.8617333882306215E-12</v>
      </c>
      <c r="BH173" s="62">
        <f t="shared" si="116"/>
        <v>293.33333333333616</v>
      </c>
      <c r="BI173" s="62">
        <f ca="1">AVERAGE(OFFSET($BH$3,0,0,'Données projet'!$E$11+1,1))-AVERAGE(OFFSET($H$3,0,0,'Données projet'!$E$11+1,1))</f>
        <v>267.00333505765792</v>
      </c>
      <c r="BJ173" s="62">
        <f t="shared" si="146"/>
        <v>172.25613380618557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5.5645157177851866E-2</v>
      </c>
      <c r="BR173" s="23">
        <f>EXP(-LN(2)/2)*BR172+(1-EXP(-LN(2)/2))/(LN(2)/2)*BL173*BO173*VLOOKUP('Données projet'!$B$11,Paramètres!$A$1:$I$89,3,0)*0.475*44/12</f>
        <v>1.0629786048877692E-20</v>
      </c>
      <c r="BS173" s="24">
        <f t="shared" si="169"/>
        <v>5.5645157177851866E-2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1.1368683772161603E-13</v>
      </c>
      <c r="BZ173" s="14">
        <f>BY173*VLOOKUP('Données projet'!$B$12,Paramètres!$A$1:$I$89,3,0)*VLOOKUP('Données projet'!$B$12,Paramètres!$A$1:$I$89,5,0)</f>
        <v>1.1527845344971866E-13</v>
      </c>
      <c r="CA173" s="14">
        <f t="shared" si="170"/>
        <v>1.7033846239409443E-12</v>
      </c>
      <c r="CB173" s="22">
        <f t="shared" si="171"/>
        <v>3.1675048597887374E-12</v>
      </c>
      <c r="CC173" s="62">
        <f t="shared" si="119"/>
        <v>293.3333333333365</v>
      </c>
      <c r="CD173" s="62">
        <f ca="1">AVERAGE(OFFSET($CC$3,0,0,'Données projet'!$E$12+1,1))-AVERAGE(OFFSET($H$3,0,0,'Données projet'!$E$12+1,1))</f>
        <v>308.72872453744998</v>
      </c>
      <c r="CE173" s="62">
        <f t="shared" si="148"/>
        <v>195.3674411454258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6.2360952009661609E-2</v>
      </c>
      <c r="CM173" s="23">
        <f>EXP(-LN(2)/2)*CM172+(1-EXP(-LN(2)/2))/(LN(2)/2)*CG173*CJ173*VLOOKUP('Données projet'!$B$12,Paramètres!$A$1:$I$89,3,0)*0.475*44/12</f>
        <v>1.1912691261673276E-20</v>
      </c>
      <c r="CN173" s="24">
        <f t="shared" si="172"/>
        <v>6.2360952009661609E-2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160.24926890971085</v>
      </c>
      <c r="T174" s="62">
        <f t="shared" si="142"/>
        <v>323.52368436151721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3.6120467861224732</v>
      </c>
      <c r="AA174" s="23">
        <f>EXP(-LN(2)/25)*AA173+(1-EXP(-LN(2)/25))/(LN(2)/25)*Calculateur!V174*Calculateur!X174*VLOOKUP('Données projet'!$B$9,Paramètres!$A$1:$I$89,3,0)*0.475*44/12</f>
        <v>1.0356849661208716</v>
      </c>
      <c r="AB174" s="23">
        <f>EXP(-LN(2)/2)*AB173+(1-EXP(-LN(2)/2))/(LN(2)/2)*V174*Y174*VLOOKUP('Données projet'!$B$9,Paramètres!$A$1:$I$89,3,0)*0.475*44/12</f>
        <v>1.067900296061883E-19</v>
      </c>
      <c r="AC174" s="24">
        <f t="shared" si="163"/>
        <v>4.6477317522433452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1.1882548278663309E-13</v>
      </c>
      <c r="AK174" s="14">
        <f t="shared" si="164"/>
        <v>1.7496137229198366E-12</v>
      </c>
      <c r="AL174" s="22">
        <f t="shared" si="165"/>
        <v>3.2541982832721012E-12</v>
      </c>
      <c r="AM174" s="62">
        <f t="shared" si="113"/>
        <v>293.33333333333655</v>
      </c>
      <c r="AN174" s="62">
        <f ca="1">AVERAGE(OFFSET($AM$3,0,0,'Données projet'!$E$10+1,1))-AVERAGE(OFFSET($H$3,0,0,'Données projet'!$E$10+1,1))</f>
        <v>320.63267332485663</v>
      </c>
      <c r="AO174" s="62">
        <f t="shared" si="144"/>
        <v>201.96012789473809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6.2522017374384786E-2</v>
      </c>
      <c r="AW174" s="23">
        <f>EXP(-LN(2)/2)*AW173+(1-EXP(-LN(2)/2))/(LN(2)/2)*AQ174*AT174*VLOOKUP('Données projet'!$B$10,Paramètres!$A$1:$I$89,3,0)*0.475*44/12</f>
        <v>8.6827307663358676E-21</v>
      </c>
      <c r="AX174" s="23">
        <f t="shared" si="166"/>
        <v>6.2522017374384786E-2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1.0286385077051818E-13</v>
      </c>
      <c r="BF174" s="14">
        <f t="shared" si="167"/>
        <v>1.5402366592183556E-12</v>
      </c>
      <c r="BG174" s="22">
        <f t="shared" si="168"/>
        <v>2.8617333882306215E-12</v>
      </c>
      <c r="BH174" s="62">
        <f t="shared" si="116"/>
        <v>293.33333333333616</v>
      </c>
      <c r="BI174" s="62">
        <f ca="1">AVERAGE(OFFSET($BH$3,0,0,'Données projet'!$E$11+1,1))-AVERAGE(OFFSET($H$3,0,0,'Données projet'!$E$11+1,1))</f>
        <v>267.00333505765792</v>
      </c>
      <c r="BJ174" s="62">
        <f t="shared" si="146"/>
        <v>172.25613380618557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5.4123537428571872E-2</v>
      </c>
      <c r="BR174" s="23">
        <f>EXP(-LN(2)/2)*BR173+(1-EXP(-LN(2)/2))/(LN(2)/2)*BL174*BO174*VLOOKUP('Données projet'!$B$11,Paramètres!$A$1:$I$89,3,0)*0.475*44/12</f>
        <v>7.5163937977235735E-21</v>
      </c>
      <c r="BS174" s="24">
        <f t="shared" si="169"/>
        <v>5.4123537428571872E-2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1.1368683772161603E-13</v>
      </c>
      <c r="BZ174" s="14">
        <f>BY174*VLOOKUP('Données projet'!$B$12,Paramètres!$A$1:$I$89,3,0)*VLOOKUP('Données projet'!$B$12,Paramètres!$A$1:$I$89,5,0)</f>
        <v>1.1527845344971866E-13</v>
      </c>
      <c r="CA174" s="14">
        <f t="shared" si="170"/>
        <v>1.7033846239409443E-12</v>
      </c>
      <c r="CB174" s="22">
        <f t="shared" si="171"/>
        <v>3.1675048597887374E-12</v>
      </c>
      <c r="CC174" s="62">
        <f t="shared" si="119"/>
        <v>293.3333333333365</v>
      </c>
      <c r="CD174" s="62">
        <f ca="1">AVERAGE(OFFSET($CC$3,0,0,'Données projet'!$E$12+1,1))-AVERAGE(OFFSET($H$3,0,0,'Données projet'!$E$12+1,1))</f>
        <v>308.72872453744998</v>
      </c>
      <c r="CE174" s="62">
        <f t="shared" si="148"/>
        <v>195.3674411454258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6.0655688497537476E-2</v>
      </c>
      <c r="CM174" s="23">
        <f>EXP(-LN(2)/2)*CM173+(1-EXP(-LN(2)/2))/(LN(2)/2)*CG174*CJ174*VLOOKUP('Données projet'!$B$12,Paramètres!$A$1:$I$89,3,0)*0.475*44/12</f>
        <v>8.4235447733109022E-21</v>
      </c>
      <c r="CN174" s="24">
        <f t="shared" si="172"/>
        <v>6.0655688497537476E-2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160.24926890971085</v>
      </c>
      <c r="T175" s="62">
        <f t="shared" si="142"/>
        <v>323.52368436151721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3.5412167517776099</v>
      </c>
      <c r="AA175" s="23">
        <f>EXP(-LN(2)/25)*AA174+(1-EXP(-LN(2)/25))/(LN(2)/25)*Calculateur!V175*Calculateur!X175*VLOOKUP('Données projet'!$B$9,Paramètres!$A$1:$I$89,3,0)*0.475*44/12</f>
        <v>1.007364106257991</v>
      </c>
      <c r="AB175" s="23">
        <f>EXP(-LN(2)/2)*AB174+(1-EXP(-LN(2)/2))/(LN(2)/2)*V175*Y175*VLOOKUP('Données projet'!$B$9,Paramètres!$A$1:$I$89,3,0)*0.475*44/12</f>
        <v>7.5511954097647927E-20</v>
      </c>
      <c r="AC175" s="24">
        <f t="shared" si="163"/>
        <v>4.5485808580356011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1.1882548278663309E-13</v>
      </c>
      <c r="AK175" s="14">
        <f t="shared" si="164"/>
        <v>1.7496137229198366E-12</v>
      </c>
      <c r="AL175" s="22">
        <f t="shared" si="165"/>
        <v>3.2541982832721012E-12</v>
      </c>
      <c r="AM175" s="62">
        <f t="shared" si="113"/>
        <v>293.33333333333655</v>
      </c>
      <c r="AN175" s="62">
        <f ca="1">AVERAGE(OFFSET($AM$3,0,0,'Données projet'!$E$10+1,1))-AVERAGE(OFFSET($H$3,0,0,'Données projet'!$E$10+1,1))</f>
        <v>320.63267332485663</v>
      </c>
      <c r="AO175" s="62">
        <f t="shared" si="144"/>
        <v>201.96012789473809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6.0812349521392237E-2</v>
      </c>
      <c r="AW175" s="23">
        <f>EXP(-LN(2)/2)*AW174+(1-EXP(-LN(2)/2))/(LN(2)/2)*AQ175*AT175*VLOOKUP('Données projet'!$B$10,Paramètres!$A$1:$I$89,3,0)*0.475*44/12</f>
        <v>6.1396178040931605E-21</v>
      </c>
      <c r="AX175" s="23">
        <f t="shared" si="166"/>
        <v>6.0812349521392237E-2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1.0286385077051818E-13</v>
      </c>
      <c r="BF175" s="14">
        <f t="shared" si="167"/>
        <v>1.5402366592183556E-12</v>
      </c>
      <c r="BG175" s="22">
        <f t="shared" si="168"/>
        <v>2.8617333882306215E-12</v>
      </c>
      <c r="BH175" s="62">
        <f t="shared" si="116"/>
        <v>293.33333333333616</v>
      </c>
      <c r="BI175" s="62">
        <f ca="1">AVERAGE(OFFSET($BH$3,0,0,'Données projet'!$E$11+1,1))-AVERAGE(OFFSET($H$3,0,0,'Données projet'!$E$11+1,1))</f>
        <v>267.00333505765792</v>
      </c>
      <c r="BJ175" s="62">
        <f t="shared" si="146"/>
        <v>172.25613380618557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5.2643526451354443E-2</v>
      </c>
      <c r="BR175" s="23">
        <f>EXP(-LN(2)/2)*BR174+(1-EXP(-LN(2)/2))/(LN(2)/2)*BL175*BO175*VLOOKUP('Données projet'!$B$11,Paramètres!$A$1:$I$89,3,0)*0.475*44/12</f>
        <v>5.3148930244388459E-21</v>
      </c>
      <c r="BS175" s="24">
        <f t="shared" si="169"/>
        <v>5.2643526451354443E-2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1.1368683772161603E-13</v>
      </c>
      <c r="BZ175" s="14">
        <f>BY175*VLOOKUP('Données projet'!$B$12,Paramètres!$A$1:$I$89,3,0)*VLOOKUP('Données projet'!$B$12,Paramètres!$A$1:$I$89,5,0)</f>
        <v>1.1527845344971866E-13</v>
      </c>
      <c r="CA175" s="14">
        <f t="shared" si="170"/>
        <v>1.7033846239409443E-12</v>
      </c>
      <c r="CB175" s="22">
        <f t="shared" si="171"/>
        <v>3.1675048597887374E-12</v>
      </c>
      <c r="CC175" s="62">
        <f t="shared" si="119"/>
        <v>293.3333333333365</v>
      </c>
      <c r="CD175" s="62">
        <f ca="1">AVERAGE(OFFSET($CC$3,0,0,'Données projet'!$E$12+1,1))-AVERAGE(OFFSET($H$3,0,0,'Données projet'!$E$12+1,1))</f>
        <v>308.72872453744998</v>
      </c>
      <c r="CE175" s="62">
        <f t="shared" si="148"/>
        <v>195.3674411454258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5.8997055505828289E-2</v>
      </c>
      <c r="CM175" s="23">
        <f>EXP(-LN(2)/2)*CM174+(1-EXP(-LN(2)/2))/(LN(2)/2)*CG175*CJ175*VLOOKUP('Données projet'!$B$12,Paramètres!$A$1:$I$89,3,0)*0.475*44/12</f>
        <v>5.9563456308366382E-21</v>
      </c>
      <c r="CN175" s="24">
        <f t="shared" si="172"/>
        <v>5.8997055505828289E-2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160.24926890971085</v>
      </c>
      <c r="T176" s="62">
        <f t="shared" si="142"/>
        <v>323.52368436151721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3.4717756512041942</v>
      </c>
      <c r="AA176" s="23">
        <f>EXP(-LN(2)/25)*AA175+(1-EXP(-LN(2)/25))/(LN(2)/25)*Calculateur!V176*Calculateur!X176*VLOOKUP('Données projet'!$B$9,Paramètres!$A$1:$I$89,3,0)*0.475*44/12</f>
        <v>0.97981768179739026</v>
      </c>
      <c r="AB176" s="23">
        <f>EXP(-LN(2)/2)*AB175+(1-EXP(-LN(2)/2))/(LN(2)/2)*V176*Y176*VLOOKUP('Données projet'!$B$9,Paramètres!$A$1:$I$89,3,0)*0.475*44/12</f>
        <v>5.3395014803094156E-20</v>
      </c>
      <c r="AC176" s="24">
        <f t="shared" si="163"/>
        <v>4.4515933330015844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1.1882548278663309E-13</v>
      </c>
      <c r="AK176" s="14">
        <f t="shared" si="164"/>
        <v>1.7496137229198366E-12</v>
      </c>
      <c r="AL176" s="22">
        <f t="shared" si="165"/>
        <v>3.2541982832721012E-12</v>
      </c>
      <c r="AM176" s="62">
        <f t="shared" si="113"/>
        <v>293.33333333333655</v>
      </c>
      <c r="AN176" s="62">
        <f ca="1">AVERAGE(OFFSET($AM$3,0,0,'Données projet'!$E$10+1,1))-AVERAGE(OFFSET($H$3,0,0,'Données projet'!$E$10+1,1))</f>
        <v>320.63267332485663</v>
      </c>
      <c r="AO176" s="62">
        <f t="shared" si="144"/>
        <v>201.96012789473809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5.9149432625747296E-2</v>
      </c>
      <c r="AW176" s="23">
        <f>EXP(-LN(2)/2)*AW175+(1-EXP(-LN(2)/2))/(LN(2)/2)*AQ176*AT176*VLOOKUP('Données projet'!$B$10,Paramètres!$A$1:$I$89,3,0)*0.475*44/12</f>
        <v>4.3413653831679338E-21</v>
      </c>
      <c r="AX176" s="23">
        <f t="shared" si="166"/>
        <v>5.9149432625747296E-2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1.0286385077051818E-13</v>
      </c>
      <c r="BF176" s="14">
        <f t="shared" si="167"/>
        <v>1.5402366592183556E-12</v>
      </c>
      <c r="BG176" s="22">
        <f t="shared" si="168"/>
        <v>2.8617333882306215E-12</v>
      </c>
      <c r="BH176" s="62">
        <f t="shared" si="116"/>
        <v>293.33333333333616</v>
      </c>
      <c r="BI176" s="62">
        <f ca="1">AVERAGE(OFFSET($BH$3,0,0,'Données projet'!$E$11+1,1))-AVERAGE(OFFSET($H$3,0,0,'Données projet'!$E$11+1,1))</f>
        <v>267.00333505765792</v>
      </c>
      <c r="BJ176" s="62">
        <f t="shared" si="146"/>
        <v>172.25613380618557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5.1203986452139416E-2</v>
      </c>
      <c r="BR176" s="23">
        <f>EXP(-LN(2)/2)*BR175+(1-EXP(-LN(2)/2))/(LN(2)/2)*BL176*BO176*VLOOKUP('Données projet'!$B$11,Paramètres!$A$1:$I$89,3,0)*0.475*44/12</f>
        <v>3.7581968988617868E-21</v>
      </c>
      <c r="BS176" s="24">
        <f t="shared" si="169"/>
        <v>5.1203986452139416E-2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1.1368683772161603E-13</v>
      </c>
      <c r="BZ176" s="14">
        <f>BY176*VLOOKUP('Données projet'!$B$12,Paramètres!$A$1:$I$89,3,0)*VLOOKUP('Données projet'!$B$12,Paramètres!$A$1:$I$89,5,0)</f>
        <v>1.1527845344971866E-13</v>
      </c>
      <c r="CA176" s="14">
        <f t="shared" si="170"/>
        <v>1.7033846239409443E-12</v>
      </c>
      <c r="CB176" s="22">
        <f t="shared" si="171"/>
        <v>3.1675048597887374E-12</v>
      </c>
      <c r="CC176" s="62">
        <f t="shared" si="119"/>
        <v>293.3333333333365</v>
      </c>
      <c r="CD176" s="62">
        <f ca="1">AVERAGE(OFFSET($CC$3,0,0,'Données projet'!$E$12+1,1))-AVERAGE(OFFSET($H$3,0,0,'Données projet'!$E$12+1,1))</f>
        <v>308.72872453744998</v>
      </c>
      <c r="CE176" s="62">
        <f t="shared" si="148"/>
        <v>195.3674411454258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5.7383777920501103E-2</v>
      </c>
      <c r="CM176" s="23">
        <f>EXP(-LN(2)/2)*CM175+(1-EXP(-LN(2)/2))/(LN(2)/2)*CG176*CJ176*VLOOKUP('Données projet'!$B$12,Paramètres!$A$1:$I$89,3,0)*0.475*44/12</f>
        <v>4.2117723866554511E-21</v>
      </c>
      <c r="CN176" s="24">
        <f t="shared" si="172"/>
        <v>5.7383777920501103E-2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160.24926890971085</v>
      </c>
      <c r="T177" s="62">
        <f t="shared" si="142"/>
        <v>323.52368436151721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3.4036962482581341</v>
      </c>
      <c r="AA177" s="23">
        <f>EXP(-LN(2)/25)*AA176+(1-EXP(-LN(2)/25))/(LN(2)/25)*Calculateur!V177*Calculateur!X177*VLOOKUP('Données projet'!$B$9,Paramètres!$A$1:$I$89,3,0)*0.475*44/12</f>
        <v>0.9530245157622681</v>
      </c>
      <c r="AB177" s="23">
        <f>EXP(-LN(2)/2)*AB176+(1-EXP(-LN(2)/2))/(LN(2)/2)*V177*Y177*VLOOKUP('Données projet'!$B$9,Paramètres!$A$1:$I$89,3,0)*0.475*44/12</f>
        <v>3.775597704882397E-20</v>
      </c>
      <c r="AC177" s="24">
        <f t="shared" si="163"/>
        <v>4.3567207640204018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1.1882548278663309E-13</v>
      </c>
      <c r="AK177" s="14">
        <f t="shared" si="164"/>
        <v>1.7496137229198366E-12</v>
      </c>
      <c r="AL177" s="22">
        <f t="shared" si="165"/>
        <v>3.2541982832721012E-12</v>
      </c>
      <c r="AM177" s="62">
        <f t="shared" si="113"/>
        <v>293.33333333333655</v>
      </c>
      <c r="AN177" s="62">
        <f ca="1">AVERAGE(OFFSET($AM$3,0,0,'Données projet'!$E$10+1,1))-AVERAGE(OFFSET($H$3,0,0,'Données projet'!$E$10+1,1))</f>
        <v>320.63267332485663</v>
      </c>
      <c r="AO177" s="62">
        <f t="shared" si="144"/>
        <v>201.96012789473809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5.7531988280062764E-2</v>
      </c>
      <c r="AW177" s="23">
        <f>EXP(-LN(2)/2)*AW176+(1-EXP(-LN(2)/2))/(LN(2)/2)*AQ177*AT177*VLOOKUP('Données projet'!$B$10,Paramètres!$A$1:$I$89,3,0)*0.475*44/12</f>
        <v>3.0698089020465803E-21</v>
      </c>
      <c r="AX177" s="23">
        <f t="shared" si="166"/>
        <v>5.7531988280062764E-2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1.0286385077051818E-13</v>
      </c>
      <c r="BF177" s="14">
        <f t="shared" si="167"/>
        <v>1.5402366592183556E-12</v>
      </c>
      <c r="BG177" s="22">
        <f t="shared" si="168"/>
        <v>2.8617333882306215E-12</v>
      </c>
      <c r="BH177" s="62">
        <f t="shared" si="116"/>
        <v>293.33333333333616</v>
      </c>
      <c r="BI177" s="62">
        <f ca="1">AVERAGE(OFFSET($BH$3,0,0,'Données projet'!$E$11+1,1))-AVERAGE(OFFSET($H$3,0,0,'Données projet'!$E$11+1,1))</f>
        <v>267.00333505765792</v>
      </c>
      <c r="BJ177" s="62">
        <f t="shared" si="146"/>
        <v>172.25613380618557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4.9803810749905045E-2</v>
      </c>
      <c r="BR177" s="23">
        <f>EXP(-LN(2)/2)*BR176+(1-EXP(-LN(2)/2))/(LN(2)/2)*BL177*BO177*VLOOKUP('Données projet'!$B$11,Paramètres!$A$1:$I$89,3,0)*0.475*44/12</f>
        <v>2.6574465122194229E-21</v>
      </c>
      <c r="BS177" s="24">
        <f t="shared" si="169"/>
        <v>4.9803810749905045E-2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1.1368683772161603E-13</v>
      </c>
      <c r="BZ177" s="14">
        <f>BY177*VLOOKUP('Données projet'!$B$12,Paramètres!$A$1:$I$89,3,0)*VLOOKUP('Données projet'!$B$12,Paramètres!$A$1:$I$89,5,0)</f>
        <v>1.1527845344971866E-13</v>
      </c>
      <c r="CA177" s="14">
        <f t="shared" si="170"/>
        <v>1.7033846239409443E-12</v>
      </c>
      <c r="CB177" s="22">
        <f t="shared" si="171"/>
        <v>3.1675048597887374E-12</v>
      </c>
      <c r="CC177" s="62">
        <f t="shared" si="119"/>
        <v>293.3333333333365</v>
      </c>
      <c r="CD177" s="62">
        <f ca="1">AVERAGE(OFFSET($CC$3,0,0,'Données projet'!$E$12+1,1))-AVERAGE(OFFSET($H$3,0,0,'Données projet'!$E$12+1,1))</f>
        <v>308.72872453744998</v>
      </c>
      <c r="CE177" s="62">
        <f t="shared" si="148"/>
        <v>195.3674411454258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5.5814615495583274E-2</v>
      </c>
      <c r="CM177" s="23">
        <f>EXP(-LN(2)/2)*CM176+(1-EXP(-LN(2)/2))/(LN(2)/2)*CG177*CJ177*VLOOKUP('Données projet'!$B$12,Paramètres!$A$1:$I$89,3,0)*0.475*44/12</f>
        <v>2.9781728154183191E-21</v>
      </c>
      <c r="CN177" s="24">
        <f t="shared" si="172"/>
        <v>5.5814615495583274E-2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160.24926890971085</v>
      </c>
      <c r="T178" s="62">
        <f t="shared" si="142"/>
        <v>323.52368436151721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3.3369518408795105</v>
      </c>
      <c r="AA178" s="23">
        <f>EXP(-LN(2)/25)*AA177+(1-EXP(-LN(2)/25))/(LN(2)/25)*Calculateur!V178*Calculateur!X178*VLOOKUP('Données projet'!$B$9,Paramètres!$A$1:$I$89,3,0)*0.475*44/12</f>
        <v>0.92696401026136777</v>
      </c>
      <c r="AB178" s="23">
        <f>EXP(-LN(2)/2)*AB177+(1-EXP(-LN(2)/2))/(LN(2)/2)*V178*Y178*VLOOKUP('Données projet'!$B$9,Paramètres!$A$1:$I$89,3,0)*0.475*44/12</f>
        <v>2.6697507401547084E-20</v>
      </c>
      <c r="AC178" s="24">
        <f t="shared" si="163"/>
        <v>4.2639158511408786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1.1882548278663309E-13</v>
      </c>
      <c r="AK178" s="14">
        <f t="shared" si="164"/>
        <v>1.7496137229198366E-12</v>
      </c>
      <c r="AL178" s="22">
        <f t="shared" si="165"/>
        <v>3.2541982832721012E-12</v>
      </c>
      <c r="AM178" s="62">
        <f t="shared" si="113"/>
        <v>293.33333333333655</v>
      </c>
      <c r="AN178" s="62">
        <f ca="1">AVERAGE(OFFSET($AM$3,0,0,'Données projet'!$E$10+1,1))-AVERAGE(OFFSET($H$3,0,0,'Données projet'!$E$10+1,1))</f>
        <v>320.63267332485663</v>
      </c>
      <c r="AO178" s="62">
        <f t="shared" si="144"/>
        <v>201.96012789473809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5.5958773035068674E-2</v>
      </c>
      <c r="AW178" s="23">
        <f>EXP(-LN(2)/2)*AW177+(1-EXP(-LN(2)/2))/(LN(2)/2)*AQ178*AT178*VLOOKUP('Données projet'!$B$10,Paramètres!$A$1:$I$89,3,0)*0.475*44/12</f>
        <v>2.1706826915839669E-21</v>
      </c>
      <c r="AX178" s="23">
        <f t="shared" si="166"/>
        <v>5.5958773035068674E-2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1.0286385077051818E-13</v>
      </c>
      <c r="BF178" s="14">
        <f t="shared" si="167"/>
        <v>1.5402366592183556E-12</v>
      </c>
      <c r="BG178" s="22">
        <f t="shared" si="168"/>
        <v>2.8617333882306215E-12</v>
      </c>
      <c r="BH178" s="62">
        <f t="shared" si="116"/>
        <v>293.33333333333616</v>
      </c>
      <c r="BI178" s="62">
        <f ca="1">AVERAGE(OFFSET($BH$3,0,0,'Données projet'!$E$11+1,1))-AVERAGE(OFFSET($H$3,0,0,'Données projet'!$E$11+1,1))</f>
        <v>267.00333505765792</v>
      </c>
      <c r="BJ178" s="62">
        <f t="shared" si="146"/>
        <v>172.25613380618557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4.8441922925880315E-2</v>
      </c>
      <c r="BR178" s="23">
        <f>EXP(-LN(2)/2)*BR177+(1-EXP(-LN(2)/2))/(LN(2)/2)*BL178*BO178*VLOOKUP('Données projet'!$B$11,Paramètres!$A$1:$I$89,3,0)*0.475*44/12</f>
        <v>1.8790984494308934E-21</v>
      </c>
      <c r="BS178" s="24">
        <f t="shared" si="169"/>
        <v>4.8441922925880315E-2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1.1368683772161603E-13</v>
      </c>
      <c r="BZ178" s="14">
        <f>BY178*VLOOKUP('Données projet'!$B$12,Paramètres!$A$1:$I$89,3,0)*VLOOKUP('Données projet'!$B$12,Paramètres!$A$1:$I$89,5,0)</f>
        <v>1.1527845344971866E-13</v>
      </c>
      <c r="CA178" s="14">
        <f t="shared" si="170"/>
        <v>1.7033846239409443E-12</v>
      </c>
      <c r="CB178" s="22">
        <f t="shared" si="171"/>
        <v>3.1675048597887374E-12</v>
      </c>
      <c r="CC178" s="62">
        <f t="shared" si="119"/>
        <v>293.3333333333365</v>
      </c>
      <c r="CD178" s="62">
        <f ca="1">AVERAGE(OFFSET($CC$3,0,0,'Données projet'!$E$12+1,1))-AVERAGE(OFFSET($H$3,0,0,'Données projet'!$E$12+1,1))</f>
        <v>308.72872453744998</v>
      </c>
      <c r="CE178" s="62">
        <f t="shared" si="148"/>
        <v>195.3674411454258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5.4288361899693487E-2</v>
      </c>
      <c r="CM178" s="23">
        <f>EXP(-LN(2)/2)*CM177+(1-EXP(-LN(2)/2))/(LN(2)/2)*CG178*CJ178*VLOOKUP('Données projet'!$B$12,Paramètres!$A$1:$I$89,3,0)*0.475*44/12</f>
        <v>2.1058861933277255E-21</v>
      </c>
      <c r="CN178" s="24">
        <f t="shared" si="172"/>
        <v>5.4288361899693487E-2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160.24926890971085</v>
      </c>
      <c r="T179" s="62">
        <f t="shared" si="142"/>
        <v>323.52368436151721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3.2715162506195132</v>
      </c>
      <c r="AA179" s="23">
        <f>EXP(-LN(2)/25)*AA178+(1-EXP(-LN(2)/25))/(LN(2)/25)*Calculateur!V179*Calculateur!X179*VLOOKUP('Données projet'!$B$9,Paramètres!$A$1:$I$89,3,0)*0.475*44/12</f>
        <v>0.90161613065385193</v>
      </c>
      <c r="AB179" s="23">
        <f>EXP(-LN(2)/2)*AB178+(1-EXP(-LN(2)/2))/(LN(2)/2)*V179*Y179*VLOOKUP('Données projet'!$B$9,Paramètres!$A$1:$I$89,3,0)*0.475*44/12</f>
        <v>1.8877988524411988E-20</v>
      </c>
      <c r="AC179" s="24">
        <f t="shared" si="163"/>
        <v>4.1731323812733656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1.1882548278663309E-13</v>
      </c>
      <c r="AK179" s="14">
        <f t="shared" si="164"/>
        <v>1.7496137229198366E-12</v>
      </c>
      <c r="AL179" s="22">
        <f t="shared" si="165"/>
        <v>3.2541982832721012E-12</v>
      </c>
      <c r="AM179" s="62">
        <f t="shared" si="113"/>
        <v>293.33333333333655</v>
      </c>
      <c r="AN179" s="62">
        <f ca="1">AVERAGE(OFFSET($AM$3,0,0,'Données projet'!$E$10+1,1))-AVERAGE(OFFSET($H$3,0,0,'Données projet'!$E$10+1,1))</f>
        <v>320.63267332485663</v>
      </c>
      <c r="AO179" s="62">
        <f t="shared" si="144"/>
        <v>201.96012789473809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5.4428577443680744E-2</v>
      </c>
      <c r="AW179" s="23">
        <f>EXP(-LN(2)/2)*AW178+(1-EXP(-LN(2)/2))/(LN(2)/2)*AQ179*AT179*VLOOKUP('Données projet'!$B$10,Paramètres!$A$1:$I$89,3,0)*0.475*44/12</f>
        <v>1.5349044510232901E-21</v>
      </c>
      <c r="AX179" s="23">
        <f t="shared" si="166"/>
        <v>5.4428577443680744E-2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1.0286385077051818E-13</v>
      </c>
      <c r="BF179" s="14">
        <f t="shared" si="167"/>
        <v>1.5402366592183556E-12</v>
      </c>
      <c r="BG179" s="22">
        <f t="shared" si="168"/>
        <v>2.8617333882306215E-12</v>
      </c>
      <c r="BH179" s="62">
        <f t="shared" si="116"/>
        <v>293.33333333333616</v>
      </c>
      <c r="BI179" s="62">
        <f ca="1">AVERAGE(OFFSET($BH$3,0,0,'Données projet'!$E$11+1,1))-AVERAGE(OFFSET($H$3,0,0,'Données projet'!$E$11+1,1))</f>
        <v>267.00333505765792</v>
      </c>
      <c r="BJ179" s="62">
        <f t="shared" si="146"/>
        <v>172.25613380618557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4.7117275996022105E-2</v>
      </c>
      <c r="BR179" s="23">
        <f>EXP(-LN(2)/2)*BR178+(1-EXP(-LN(2)/2))/(LN(2)/2)*BL179*BO179*VLOOKUP('Données projet'!$B$11,Paramètres!$A$1:$I$89,3,0)*0.475*44/12</f>
        <v>1.3287232561097115E-21</v>
      </c>
      <c r="BS179" s="24">
        <f t="shared" si="169"/>
        <v>4.7117275996022105E-2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1.1368683772161603E-13</v>
      </c>
      <c r="BZ179" s="14">
        <f>BY179*VLOOKUP('Données projet'!$B$12,Paramètres!$A$1:$I$89,3,0)*VLOOKUP('Données projet'!$B$12,Paramètres!$A$1:$I$89,5,0)</f>
        <v>1.1527845344971866E-13</v>
      </c>
      <c r="CA179" s="14">
        <f t="shared" si="170"/>
        <v>1.7033846239409443E-12</v>
      </c>
      <c r="CB179" s="22">
        <f t="shared" si="171"/>
        <v>3.1675048597887374E-12</v>
      </c>
      <c r="CC179" s="62">
        <f t="shared" si="119"/>
        <v>293.3333333333365</v>
      </c>
      <c r="CD179" s="62">
        <f ca="1">AVERAGE(OFFSET($CC$3,0,0,'Données projet'!$E$12+1,1))-AVERAGE(OFFSET($H$3,0,0,'Données projet'!$E$12+1,1))</f>
        <v>308.72872453744998</v>
      </c>
      <c r="CE179" s="62">
        <f t="shared" si="148"/>
        <v>195.3674411454258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5.2803843788645492E-2</v>
      </c>
      <c r="CM179" s="23">
        <f>EXP(-LN(2)/2)*CM178+(1-EXP(-LN(2)/2))/(LN(2)/2)*CG179*CJ179*VLOOKUP('Données projet'!$B$12,Paramètres!$A$1:$I$89,3,0)*0.475*44/12</f>
        <v>1.4890864077091596E-21</v>
      </c>
      <c r="CN179" s="24">
        <f t="shared" si="172"/>
        <v>5.2803843788645492E-2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160.24926890971085</v>
      </c>
      <c r="T180" s="62">
        <f t="shared" si="142"/>
        <v>323.52368436151721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3.2073638123727455</v>
      </c>
      <c r="AA180" s="23">
        <f>EXP(-LN(2)/25)*AA179+(1-EXP(-LN(2)/25))/(LN(2)/25)*Calculateur!V180*Calculateur!X180*VLOOKUP('Données projet'!$B$9,Paramètres!$A$1:$I$89,3,0)*0.475*44/12</f>
        <v>0.87696139014719077</v>
      </c>
      <c r="AB180" s="23">
        <f>EXP(-LN(2)/2)*AB179+(1-EXP(-LN(2)/2))/(LN(2)/2)*V180*Y180*VLOOKUP('Données projet'!$B$9,Paramètres!$A$1:$I$89,3,0)*0.475*44/12</f>
        <v>1.3348753700773544E-20</v>
      </c>
      <c r="AC180" s="24">
        <f t="shared" si="163"/>
        <v>4.0843252025199366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1.1882548278663309E-13</v>
      </c>
      <c r="AK180" s="14">
        <f t="shared" si="164"/>
        <v>1.7496137229198366E-12</v>
      </c>
      <c r="AL180" s="22">
        <f t="shared" si="165"/>
        <v>3.2541982832721012E-12</v>
      </c>
      <c r="AM180" s="62">
        <f t="shared" si="113"/>
        <v>293.33333333333655</v>
      </c>
      <c r="AN180" s="62">
        <f ca="1">AVERAGE(OFFSET($AM$3,0,0,'Données projet'!$E$10+1,1))-AVERAGE(OFFSET($H$3,0,0,'Données projet'!$E$10+1,1))</f>
        <v>320.63267332485663</v>
      </c>
      <c r="AO180" s="62">
        <f t="shared" si="144"/>
        <v>201.96012789473809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5.2940225131208801E-2</v>
      </c>
      <c r="AW180" s="23">
        <f>EXP(-LN(2)/2)*AW179+(1-EXP(-LN(2)/2))/(LN(2)/2)*AQ180*AT180*VLOOKUP('Données projet'!$B$10,Paramètres!$A$1:$I$89,3,0)*0.475*44/12</f>
        <v>1.0853413457919835E-21</v>
      </c>
      <c r="AX180" s="23">
        <f t="shared" si="166"/>
        <v>5.2940225131208801E-2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1.0286385077051818E-13</v>
      </c>
      <c r="BF180" s="14">
        <f t="shared" si="167"/>
        <v>1.5402366592183556E-12</v>
      </c>
      <c r="BG180" s="22">
        <f t="shared" si="168"/>
        <v>2.8617333882306215E-12</v>
      </c>
      <c r="BH180" s="62">
        <f t="shared" si="116"/>
        <v>293.33333333333616</v>
      </c>
      <c r="BI180" s="62">
        <f ca="1">AVERAGE(OFFSET($BH$3,0,0,'Données projet'!$E$11+1,1))-AVERAGE(OFFSET($H$3,0,0,'Données projet'!$E$11+1,1))</f>
        <v>267.00333505765792</v>
      </c>
      <c r="BJ180" s="62">
        <f t="shared" si="146"/>
        <v>172.25613380618557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4.5828851606121025E-2</v>
      </c>
      <c r="BR180" s="23">
        <f>EXP(-LN(2)/2)*BR179+(1-EXP(-LN(2)/2))/(LN(2)/2)*BL180*BO180*VLOOKUP('Données projet'!$B$11,Paramètres!$A$1:$I$89,3,0)*0.475*44/12</f>
        <v>9.3954922471544669E-22</v>
      </c>
      <c r="BS180" s="24">
        <f t="shared" si="169"/>
        <v>4.5828851606121025E-2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1.1368683772161603E-13</v>
      </c>
      <c r="BZ180" s="14">
        <f>BY180*VLOOKUP('Données projet'!$B$12,Paramètres!$A$1:$I$89,3,0)*VLOOKUP('Données projet'!$B$12,Paramètres!$A$1:$I$89,5,0)</f>
        <v>1.1527845344971866E-13</v>
      </c>
      <c r="CA180" s="14">
        <f t="shared" si="170"/>
        <v>1.7033846239409443E-12</v>
      </c>
      <c r="CB180" s="22">
        <f t="shared" si="171"/>
        <v>3.1675048597887374E-12</v>
      </c>
      <c r="CC180" s="62">
        <f t="shared" si="119"/>
        <v>293.3333333333365</v>
      </c>
      <c r="CD180" s="62">
        <f ca="1">AVERAGE(OFFSET($CC$3,0,0,'Données projet'!$E$12+1,1))-AVERAGE(OFFSET($H$3,0,0,'Données projet'!$E$12+1,1))</f>
        <v>308.72872453744998</v>
      </c>
      <c r="CE180" s="62">
        <f t="shared" si="148"/>
        <v>195.3674411454258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5.1359919903411523E-2</v>
      </c>
      <c r="CM180" s="23">
        <f>EXP(-LN(2)/2)*CM179+(1-EXP(-LN(2)/2))/(LN(2)/2)*CG180*CJ180*VLOOKUP('Données projet'!$B$12,Paramètres!$A$1:$I$89,3,0)*0.475*44/12</f>
        <v>1.0529430966638628E-21</v>
      </c>
      <c r="CN180" s="24">
        <f t="shared" si="172"/>
        <v>5.1359919903411523E-2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160.24926890971085</v>
      </c>
      <c r="T181" s="62">
        <f t="shared" si="142"/>
        <v>323.52368436151721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3.144469364310873</v>
      </c>
      <c r="AA181" s="23">
        <f>EXP(-LN(2)/25)*AA180+(1-EXP(-LN(2)/25))/(LN(2)/25)*Calculateur!V181*Calculateur!X181*VLOOKUP('Données projet'!$B$9,Paramètres!$A$1:$I$89,3,0)*0.475*44/12</f>
        <v>0.85298083481622067</v>
      </c>
      <c r="AB181" s="23">
        <f>EXP(-LN(2)/2)*AB180+(1-EXP(-LN(2)/2))/(LN(2)/2)*V181*Y181*VLOOKUP('Données projet'!$B$9,Paramètres!$A$1:$I$89,3,0)*0.475*44/12</f>
        <v>9.4389942622059954E-21</v>
      </c>
      <c r="AC181" s="24">
        <f t="shared" si="163"/>
        <v>3.9974501991270937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1.1882548278663309E-13</v>
      </c>
      <c r="AK181" s="14">
        <f t="shared" si="164"/>
        <v>1.7496137229198366E-12</v>
      </c>
      <c r="AL181" s="22">
        <f t="shared" si="165"/>
        <v>3.2541982832721012E-12</v>
      </c>
      <c r="AM181" s="62">
        <f t="shared" si="113"/>
        <v>293.33333333333655</v>
      </c>
      <c r="AN181" s="62">
        <f ca="1">AVERAGE(OFFSET($AM$3,0,0,'Données projet'!$E$10+1,1))-AVERAGE(OFFSET($H$3,0,0,'Données projet'!$E$10+1,1))</f>
        <v>320.63267332485663</v>
      </c>
      <c r="AO181" s="62">
        <f t="shared" si="144"/>
        <v>201.96012789473809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5.1492571890990456E-2</v>
      </c>
      <c r="AW181" s="23">
        <f>EXP(-LN(2)/2)*AW180+(1-EXP(-LN(2)/2))/(LN(2)/2)*AQ181*AT181*VLOOKUP('Données projet'!$B$10,Paramètres!$A$1:$I$89,3,0)*0.475*44/12</f>
        <v>7.6745222551164506E-22</v>
      </c>
      <c r="AX181" s="23">
        <f t="shared" si="166"/>
        <v>5.1492571890990456E-2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1.0286385077051818E-13</v>
      </c>
      <c r="BF181" s="14">
        <f t="shared" si="167"/>
        <v>1.5402366592183556E-12</v>
      </c>
      <c r="BG181" s="22">
        <f t="shared" si="168"/>
        <v>2.8617333882306215E-12</v>
      </c>
      <c r="BH181" s="62">
        <f t="shared" si="116"/>
        <v>293.33333333333616</v>
      </c>
      <c r="BI181" s="62">
        <f ca="1">AVERAGE(OFFSET($BH$3,0,0,'Données projet'!$E$11+1,1))-AVERAGE(OFFSET($H$3,0,0,'Données projet'!$E$11+1,1))</f>
        <v>267.00333505765792</v>
      </c>
      <c r="BJ181" s="62">
        <f t="shared" si="146"/>
        <v>172.25613380618557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4.4575659248917085E-2</v>
      </c>
      <c r="BR181" s="23">
        <f>EXP(-LN(2)/2)*BR180+(1-EXP(-LN(2)/2))/(LN(2)/2)*BL181*BO181*VLOOKUP('Données projet'!$B$11,Paramètres!$A$1:$I$89,3,0)*0.475*44/12</f>
        <v>6.6436162805485573E-22</v>
      </c>
      <c r="BS181" s="24">
        <f t="shared" si="169"/>
        <v>4.4575659248917085E-2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1.1368683772161603E-13</v>
      </c>
      <c r="BZ181" s="14">
        <f>BY181*VLOOKUP('Données projet'!$B$12,Paramètres!$A$1:$I$89,3,0)*VLOOKUP('Données projet'!$B$12,Paramètres!$A$1:$I$89,5,0)</f>
        <v>1.1527845344971866E-13</v>
      </c>
      <c r="CA181" s="14">
        <f t="shared" si="170"/>
        <v>1.7033846239409443E-12</v>
      </c>
      <c r="CB181" s="22">
        <f t="shared" si="171"/>
        <v>3.1675048597887374E-12</v>
      </c>
      <c r="CC181" s="62">
        <f t="shared" si="119"/>
        <v>293.3333333333365</v>
      </c>
      <c r="CD181" s="62">
        <f ca="1">AVERAGE(OFFSET($CC$3,0,0,'Données projet'!$E$12+1,1))-AVERAGE(OFFSET($H$3,0,0,'Données projet'!$E$12+1,1))</f>
        <v>308.72872453744998</v>
      </c>
      <c r="CE181" s="62">
        <f t="shared" si="148"/>
        <v>195.3674411454258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4.9955480192751929E-2</v>
      </c>
      <c r="CM181" s="23">
        <f>EXP(-LN(2)/2)*CM180+(1-EXP(-LN(2)/2))/(LN(2)/2)*CG181*CJ181*VLOOKUP('Données projet'!$B$12,Paramètres!$A$1:$I$89,3,0)*0.475*44/12</f>
        <v>7.4454320385457978E-22</v>
      </c>
      <c r="CN181" s="24">
        <f t="shared" si="172"/>
        <v>4.9955480192751929E-2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160.24926890971085</v>
      </c>
      <c r="T182" s="62">
        <f t="shared" si="142"/>
        <v>323.52368436151721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3.0828082380136683</v>
      </c>
      <c r="AA182" s="23">
        <f>EXP(-LN(2)/25)*AA181+(1-EXP(-LN(2)/25))/(LN(2)/25)*Calculateur!V182*Calculateur!X182*VLOOKUP('Données projet'!$B$9,Paramètres!$A$1:$I$89,3,0)*0.475*44/12</f>
        <v>0.82965602903185853</v>
      </c>
      <c r="AB182" s="23">
        <f>EXP(-LN(2)/2)*AB181+(1-EXP(-LN(2)/2))/(LN(2)/2)*V182*Y182*VLOOKUP('Données projet'!$B$9,Paramètres!$A$1:$I$89,3,0)*0.475*44/12</f>
        <v>6.6743768503867726E-21</v>
      </c>
      <c r="AC182" s="24">
        <f t="shared" si="163"/>
        <v>3.912464267045527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1.1882548278663309E-13</v>
      </c>
      <c r="AK182" s="14">
        <f t="shared" si="164"/>
        <v>1.7496137229198366E-12</v>
      </c>
      <c r="AL182" s="22">
        <f t="shared" si="165"/>
        <v>3.2541982832721012E-12</v>
      </c>
      <c r="AM182" s="62">
        <f t="shared" si="113"/>
        <v>293.33333333333655</v>
      </c>
      <c r="AN182" s="62">
        <f ca="1">AVERAGE(OFFSET($AM$3,0,0,'Données projet'!$E$10+1,1))-AVERAGE(OFFSET($H$3,0,0,'Données projet'!$E$10+1,1))</f>
        <v>320.63267332485663</v>
      </c>
      <c r="AO182" s="62">
        <f t="shared" si="144"/>
        <v>201.96012789473809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5.0084504804754654E-2</v>
      </c>
      <c r="AW182" s="23">
        <f>EXP(-LN(2)/2)*AW181+(1-EXP(-LN(2)/2))/(LN(2)/2)*AQ182*AT182*VLOOKUP('Données projet'!$B$10,Paramètres!$A$1:$I$89,3,0)*0.475*44/12</f>
        <v>5.4267067289599173E-22</v>
      </c>
      <c r="AX182" s="23">
        <f t="shared" si="166"/>
        <v>5.0084504804754654E-2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1.0286385077051818E-13</v>
      </c>
      <c r="BF182" s="14">
        <f t="shared" si="167"/>
        <v>1.5402366592183556E-12</v>
      </c>
      <c r="BG182" s="22">
        <f t="shared" si="168"/>
        <v>2.8617333882306215E-12</v>
      </c>
      <c r="BH182" s="62">
        <f t="shared" si="116"/>
        <v>293.33333333333616</v>
      </c>
      <c r="BI182" s="62">
        <f ca="1">AVERAGE(OFFSET($BH$3,0,0,'Données projet'!$E$11+1,1))-AVERAGE(OFFSET($H$3,0,0,'Données projet'!$E$11+1,1))</f>
        <v>267.00333505765792</v>
      </c>
      <c r="BJ182" s="62">
        <f t="shared" si="146"/>
        <v>172.25613380618557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4.3356735502623409E-2</v>
      </c>
      <c r="BR182" s="23">
        <f>EXP(-LN(2)/2)*BR181+(1-EXP(-LN(2)/2))/(LN(2)/2)*BL182*BO182*VLOOKUP('Données projet'!$B$11,Paramètres!$A$1:$I$89,3,0)*0.475*44/12</f>
        <v>4.6977461235772335E-22</v>
      </c>
      <c r="BS182" s="24">
        <f t="shared" si="169"/>
        <v>4.3356735502623409E-2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1.1368683772161603E-13</v>
      </c>
      <c r="BZ182" s="14">
        <f>BY182*VLOOKUP('Données projet'!$B$12,Paramètres!$A$1:$I$89,3,0)*VLOOKUP('Données projet'!$B$12,Paramètres!$A$1:$I$89,5,0)</f>
        <v>1.1527845344971866E-13</v>
      </c>
      <c r="CA182" s="14">
        <f t="shared" si="170"/>
        <v>1.7033846239409443E-12</v>
      </c>
      <c r="CB182" s="22">
        <f t="shared" si="171"/>
        <v>3.1675048597887374E-12</v>
      </c>
      <c r="CC182" s="62">
        <f t="shared" si="119"/>
        <v>293.3333333333365</v>
      </c>
      <c r="CD182" s="62">
        <f ca="1">AVERAGE(OFFSET($CC$3,0,0,'Données projet'!$E$12+1,1))-AVERAGE(OFFSET($H$3,0,0,'Données projet'!$E$12+1,1))</f>
        <v>308.72872453744998</v>
      </c>
      <c r="CE182" s="62">
        <f t="shared" si="148"/>
        <v>195.3674411454258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4.8589444959836602E-2</v>
      </c>
      <c r="CM182" s="23">
        <f>EXP(-LN(2)/2)*CM181+(1-EXP(-LN(2)/2))/(LN(2)/2)*CG182*CJ182*VLOOKUP('Données projet'!$B$12,Paramètres!$A$1:$I$89,3,0)*0.475*44/12</f>
        <v>5.2647154833193139E-22</v>
      </c>
      <c r="CN182" s="24">
        <f t="shared" si="172"/>
        <v>4.8589444959836602E-2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160.24926890971085</v>
      </c>
      <c r="T183" s="62">
        <f t="shared" si="142"/>
        <v>323.52368436151721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3.0223562487935784</v>
      </c>
      <c r="AA183" s="23">
        <f>EXP(-LN(2)/25)*AA182+(1-EXP(-LN(2)/25))/(LN(2)/25)*Calculateur!V183*Calculateur!X183*VLOOKUP('Données projet'!$B$9,Paramètres!$A$1:$I$89,3,0)*0.475*44/12</f>
        <v>0.80696904128826796</v>
      </c>
      <c r="AB183" s="23">
        <f>EXP(-LN(2)/2)*AB182+(1-EXP(-LN(2)/2))/(LN(2)/2)*V183*Y183*VLOOKUP('Données projet'!$B$9,Paramètres!$A$1:$I$89,3,0)*0.475*44/12</f>
        <v>4.7194971311029985E-21</v>
      </c>
      <c r="AC183" s="24">
        <f t="shared" si="163"/>
        <v>3.8293252900818464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1.1882548278663309E-13</v>
      </c>
      <c r="AK183" s="14">
        <f t="shared" si="164"/>
        <v>1.7496137229198366E-12</v>
      </c>
      <c r="AL183" s="22">
        <f t="shared" si="165"/>
        <v>3.2541982832721012E-12</v>
      </c>
      <c r="AM183" s="62">
        <f t="shared" si="113"/>
        <v>293.33333333333655</v>
      </c>
      <c r="AN183" s="62">
        <f ca="1">AVERAGE(OFFSET($AM$3,0,0,'Données projet'!$E$10+1,1))-AVERAGE(OFFSET($H$3,0,0,'Données projet'!$E$10+1,1))</f>
        <v>320.63267332485663</v>
      </c>
      <c r="AO183" s="62">
        <f t="shared" si="144"/>
        <v>201.96012789473809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4.8714941387039003E-2</v>
      </c>
      <c r="AW183" s="23">
        <f>EXP(-LN(2)/2)*AW182+(1-EXP(-LN(2)/2))/(LN(2)/2)*AQ183*AT183*VLOOKUP('Données projet'!$B$10,Paramètres!$A$1:$I$89,3,0)*0.475*44/12</f>
        <v>3.8372611275582253E-22</v>
      </c>
      <c r="AX183" s="23">
        <f t="shared" si="166"/>
        <v>4.8714941387039003E-2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1.0286385077051818E-13</v>
      </c>
      <c r="BF183" s="14">
        <f t="shared" si="167"/>
        <v>1.5402366592183556E-12</v>
      </c>
      <c r="BG183" s="22">
        <f t="shared" si="168"/>
        <v>2.8617333882306215E-12</v>
      </c>
      <c r="BH183" s="62">
        <f t="shared" si="116"/>
        <v>293.33333333333616</v>
      </c>
      <c r="BI183" s="62">
        <f ca="1">AVERAGE(OFFSET($BH$3,0,0,'Données projet'!$E$11+1,1))-AVERAGE(OFFSET($H$3,0,0,'Données projet'!$E$11+1,1))</f>
        <v>267.00333505765792</v>
      </c>
      <c r="BJ183" s="62">
        <f t="shared" si="146"/>
        <v>172.25613380618557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4.2171143290272543E-2</v>
      </c>
      <c r="BR183" s="23">
        <f>EXP(-LN(2)/2)*BR182+(1-EXP(-LN(2)/2))/(LN(2)/2)*BL183*BO183*VLOOKUP('Données projet'!$B$11,Paramètres!$A$1:$I$89,3,0)*0.475*44/12</f>
        <v>3.3218081402742787E-22</v>
      </c>
      <c r="BS183" s="24">
        <f t="shared" si="169"/>
        <v>4.2171143290272543E-2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1.1368683772161603E-13</v>
      </c>
      <c r="BZ183" s="14">
        <f>BY183*VLOOKUP('Données projet'!$B$12,Paramètres!$A$1:$I$89,3,0)*VLOOKUP('Données projet'!$B$12,Paramètres!$A$1:$I$89,5,0)</f>
        <v>1.1527845344971866E-13</v>
      </c>
      <c r="CA183" s="14">
        <f t="shared" si="170"/>
        <v>1.7033846239409443E-12</v>
      </c>
      <c r="CB183" s="22">
        <f t="shared" si="171"/>
        <v>3.1675048597887374E-12</v>
      </c>
      <c r="CC183" s="62">
        <f t="shared" si="119"/>
        <v>293.3333333333365</v>
      </c>
      <c r="CD183" s="62">
        <f ca="1">AVERAGE(OFFSET($CC$3,0,0,'Données projet'!$E$12+1,1))-AVERAGE(OFFSET($H$3,0,0,'Données projet'!$E$12+1,1))</f>
        <v>308.72872453744998</v>
      </c>
      <c r="CE183" s="62">
        <f t="shared" si="148"/>
        <v>195.3674411454258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4.7260764032202009E-2</v>
      </c>
      <c r="CM183" s="23">
        <f>EXP(-LN(2)/2)*CM182+(1-EXP(-LN(2)/2))/(LN(2)/2)*CG183*CJ183*VLOOKUP('Données projet'!$B$12,Paramètres!$A$1:$I$89,3,0)*0.475*44/12</f>
        <v>3.7227160192728989E-22</v>
      </c>
      <c r="CN183" s="24">
        <f t="shared" si="172"/>
        <v>4.7260764032202009E-2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160.24926890971085</v>
      </c>
      <c r="T184" s="62">
        <f t="shared" si="142"/>
        <v>323.52368436151721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2.9630896862100222</v>
      </c>
      <c r="AA184" s="23">
        <f>EXP(-LN(2)/25)*AA183+(1-EXP(-LN(2)/25))/(LN(2)/25)*Calculateur!V184*Calculateur!X184*VLOOKUP('Données projet'!$B$9,Paramètres!$A$1:$I$89,3,0)*0.475*44/12</f>
        <v>0.78490243041758279</v>
      </c>
      <c r="AB184" s="23">
        <f>EXP(-LN(2)/2)*AB183+(1-EXP(-LN(2)/2))/(LN(2)/2)*V184*Y184*VLOOKUP('Données projet'!$B$9,Paramètres!$A$1:$I$89,3,0)*0.475*44/12</f>
        <v>3.337188425193387E-21</v>
      </c>
      <c r="AC184" s="24">
        <f t="shared" si="163"/>
        <v>3.7479921166276049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1.1882548278663309E-13</v>
      </c>
      <c r="AK184" s="14">
        <f t="shared" si="164"/>
        <v>1.7496137229198366E-12</v>
      </c>
      <c r="AL184" s="22">
        <f t="shared" si="165"/>
        <v>3.2541982832721012E-12</v>
      </c>
      <c r="AM184" s="62">
        <f t="shared" si="113"/>
        <v>293.33333333333655</v>
      </c>
      <c r="AN184" s="62">
        <f ca="1">AVERAGE(OFFSET($AM$3,0,0,'Données projet'!$E$10+1,1))-AVERAGE(OFFSET($H$3,0,0,'Données projet'!$E$10+1,1))</f>
        <v>320.63267332485663</v>
      </c>
      <c r="AO184" s="62">
        <f t="shared" si="144"/>
        <v>201.96012789473809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4.7382828753002995E-2</v>
      </c>
      <c r="AW184" s="23">
        <f>EXP(-LN(2)/2)*AW183+(1-EXP(-LN(2)/2))/(LN(2)/2)*AQ184*AT184*VLOOKUP('Données projet'!$B$10,Paramètres!$A$1:$I$89,3,0)*0.475*44/12</f>
        <v>2.7133533644799586E-22</v>
      </c>
      <c r="AX184" s="23">
        <f t="shared" si="166"/>
        <v>4.7382828753002995E-2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1.0286385077051818E-13</v>
      </c>
      <c r="BF184" s="14">
        <f t="shared" si="167"/>
        <v>1.5402366592183556E-12</v>
      </c>
      <c r="BG184" s="22">
        <f t="shared" si="168"/>
        <v>2.8617333882306215E-12</v>
      </c>
      <c r="BH184" s="62">
        <f t="shared" si="116"/>
        <v>293.33333333333616</v>
      </c>
      <c r="BI184" s="62">
        <f ca="1">AVERAGE(OFFSET($BH$3,0,0,'Données projet'!$E$11+1,1))-AVERAGE(OFFSET($H$3,0,0,'Données projet'!$E$11+1,1))</f>
        <v>267.00333505765792</v>
      </c>
      <c r="BJ184" s="62">
        <f t="shared" si="146"/>
        <v>172.25613380618557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4.1017971159315998E-2</v>
      </c>
      <c r="BR184" s="23">
        <f>EXP(-LN(2)/2)*BR183+(1-EXP(-LN(2)/2))/(LN(2)/2)*BL184*BO184*VLOOKUP('Données projet'!$B$11,Paramètres!$A$1:$I$89,3,0)*0.475*44/12</f>
        <v>2.3488730617886167E-22</v>
      </c>
      <c r="BS184" s="24">
        <f t="shared" si="169"/>
        <v>4.1017971159315998E-2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1.1368683772161603E-13</v>
      </c>
      <c r="BZ184" s="14">
        <f>BY184*VLOOKUP('Données projet'!$B$12,Paramètres!$A$1:$I$89,3,0)*VLOOKUP('Données projet'!$B$12,Paramètres!$A$1:$I$89,5,0)</f>
        <v>1.1527845344971866E-13</v>
      </c>
      <c r="CA184" s="14">
        <f t="shared" si="170"/>
        <v>1.7033846239409443E-12</v>
      </c>
      <c r="CB184" s="22">
        <f t="shared" si="171"/>
        <v>3.1675048597887374E-12</v>
      </c>
      <c r="CC184" s="62">
        <f t="shared" si="119"/>
        <v>293.3333333333365</v>
      </c>
      <c r="CD184" s="62">
        <f ca="1">AVERAGE(OFFSET($CC$3,0,0,'Données projet'!$E$12+1,1))-AVERAGE(OFFSET($H$3,0,0,'Données projet'!$E$12+1,1))</f>
        <v>308.72872453744998</v>
      </c>
      <c r="CE184" s="62">
        <f t="shared" si="148"/>
        <v>195.3674411454258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4.5968415954405879E-2</v>
      </c>
      <c r="CM184" s="23">
        <f>EXP(-LN(2)/2)*CM183+(1-EXP(-LN(2)/2))/(LN(2)/2)*CG184*CJ184*VLOOKUP('Données projet'!$B$12,Paramètres!$A$1:$I$89,3,0)*0.475*44/12</f>
        <v>2.6323577416596569E-22</v>
      </c>
      <c r="CN184" s="24">
        <f t="shared" si="172"/>
        <v>4.5968415954405879E-2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160.24926890971085</v>
      </c>
      <c r="T185" s="62">
        <f t="shared" si="142"/>
        <v>323.52368436151721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2.9049853047696956</v>
      </c>
      <c r="AA185" s="23">
        <f>EXP(-LN(2)/25)*AA184+(1-EXP(-LN(2)/25))/(LN(2)/25)*Calculateur!V185*Calculateur!X185*VLOOKUP('Données projet'!$B$9,Paramètres!$A$1:$I$89,3,0)*0.475*44/12</f>
        <v>0.76343923218158904</v>
      </c>
      <c r="AB185" s="23">
        <f>EXP(-LN(2)/2)*AB184+(1-EXP(-LN(2)/2))/(LN(2)/2)*V185*Y185*VLOOKUP('Données projet'!$B$9,Paramètres!$A$1:$I$89,3,0)*0.475*44/12</f>
        <v>2.3597485655514996E-21</v>
      </c>
      <c r="AC185" s="24">
        <f t="shared" si="163"/>
        <v>3.6684245369512847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1.1882548278663309E-13</v>
      </c>
      <c r="AK185" s="14">
        <f t="shared" si="164"/>
        <v>1.7496137229198366E-12</v>
      </c>
      <c r="AL185" s="22">
        <f t="shared" si="165"/>
        <v>3.2541982832721012E-12</v>
      </c>
      <c r="AM185" s="62">
        <f t="shared" si="113"/>
        <v>293.33333333333655</v>
      </c>
      <c r="AN185" s="62">
        <f ca="1">AVERAGE(OFFSET($AM$3,0,0,'Données projet'!$E$10+1,1))-AVERAGE(OFFSET($H$3,0,0,'Données projet'!$E$10+1,1))</f>
        <v>320.63267332485663</v>
      </c>
      <c r="AO185" s="62">
        <f t="shared" si="144"/>
        <v>201.96012789473809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4.6087142808997457E-2</v>
      </c>
      <c r="AW185" s="23">
        <f>EXP(-LN(2)/2)*AW184+(1-EXP(-LN(2)/2))/(LN(2)/2)*AQ185*AT185*VLOOKUP('Données projet'!$B$10,Paramètres!$A$1:$I$89,3,0)*0.475*44/12</f>
        <v>1.9186305637791127E-22</v>
      </c>
      <c r="AX185" s="23">
        <f t="shared" si="166"/>
        <v>4.6087142808997457E-2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1.0286385077051818E-13</v>
      </c>
      <c r="BF185" s="14">
        <f t="shared" si="167"/>
        <v>1.5402366592183556E-12</v>
      </c>
      <c r="BG185" s="22">
        <f t="shared" si="168"/>
        <v>2.8617333882306215E-12</v>
      </c>
      <c r="BH185" s="62">
        <f t="shared" si="116"/>
        <v>293.33333333333616</v>
      </c>
      <c r="BI185" s="62">
        <f ca="1">AVERAGE(OFFSET($BH$3,0,0,'Données projet'!$E$11+1,1))-AVERAGE(OFFSET($H$3,0,0,'Données projet'!$E$11+1,1))</f>
        <v>267.00333505765792</v>
      </c>
      <c r="BJ185" s="62">
        <f t="shared" si="146"/>
        <v>172.25613380618557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3.9896332580923149E-2</v>
      </c>
      <c r="BR185" s="23">
        <f>EXP(-LN(2)/2)*BR184+(1-EXP(-LN(2)/2))/(LN(2)/2)*BL185*BO185*VLOOKUP('Données projet'!$B$11,Paramètres!$A$1:$I$89,3,0)*0.475*44/12</f>
        <v>1.6609040701371393E-22</v>
      </c>
      <c r="BS185" s="24">
        <f t="shared" si="169"/>
        <v>3.9896332580923149E-2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1.1368683772161603E-13</v>
      </c>
      <c r="BZ185" s="14">
        <f>BY185*VLOOKUP('Données projet'!$B$12,Paramètres!$A$1:$I$89,3,0)*VLOOKUP('Données projet'!$B$12,Paramètres!$A$1:$I$89,5,0)</f>
        <v>1.1527845344971866E-13</v>
      </c>
      <c r="CA185" s="14">
        <f t="shared" si="170"/>
        <v>1.7033846239409443E-12</v>
      </c>
      <c r="CB185" s="22">
        <f t="shared" si="171"/>
        <v>3.1675048597887374E-12</v>
      </c>
      <c r="CC185" s="62">
        <f t="shared" si="119"/>
        <v>293.3333333333365</v>
      </c>
      <c r="CD185" s="62">
        <f ca="1">AVERAGE(OFFSET($CC$3,0,0,'Données projet'!$E$12+1,1))-AVERAGE(OFFSET($H$3,0,0,'Données projet'!$E$12+1,1))</f>
        <v>308.72872453744998</v>
      </c>
      <c r="CE185" s="62">
        <f t="shared" si="148"/>
        <v>195.3674411454258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4.4711407202758721E-2</v>
      </c>
      <c r="CM185" s="23">
        <f>EXP(-LN(2)/2)*CM184+(1-EXP(-LN(2)/2))/(LN(2)/2)*CG185*CJ185*VLOOKUP('Données projet'!$B$12,Paramètres!$A$1:$I$89,3,0)*0.475*44/12</f>
        <v>1.8613580096364494E-22</v>
      </c>
      <c r="CN185" s="24">
        <f t="shared" si="172"/>
        <v>4.4711407202758721E-2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160.24926890971085</v>
      </c>
      <c r="T186" s="62">
        <f t="shared" si="142"/>
        <v>323.52368436151721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2.8480203148092404</v>
      </c>
      <c r="AA186" s="23">
        <f>EXP(-LN(2)/25)*AA185+(1-EXP(-LN(2)/25))/(LN(2)/25)*Calculateur!V186*Calculateur!X186*VLOOKUP('Données projet'!$B$9,Paramètres!$A$1:$I$89,3,0)*0.475*44/12</f>
        <v>0.74256294623005914</v>
      </c>
      <c r="AB186" s="23">
        <f>EXP(-LN(2)/2)*AB185+(1-EXP(-LN(2)/2))/(LN(2)/2)*V186*Y186*VLOOKUP('Données projet'!$B$9,Paramètres!$A$1:$I$89,3,0)*0.475*44/12</f>
        <v>1.6685942125966937E-21</v>
      </c>
      <c r="AC186" s="24">
        <f t="shared" si="163"/>
        <v>3.5905832610392996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1.1882548278663309E-13</v>
      </c>
      <c r="AK186" s="14">
        <f t="shared" si="164"/>
        <v>1.7496137229198366E-12</v>
      </c>
      <c r="AL186" s="22">
        <f t="shared" si="165"/>
        <v>3.2541982832721012E-12</v>
      </c>
      <c r="AM186" s="62">
        <f t="shared" si="113"/>
        <v>293.33333333333655</v>
      </c>
      <c r="AN186" s="62">
        <f ca="1">AVERAGE(OFFSET($AM$3,0,0,'Données projet'!$E$10+1,1))-AVERAGE(OFFSET($H$3,0,0,'Données projet'!$E$10+1,1))</f>
        <v>320.63267332485663</v>
      </c>
      <c r="AO186" s="62">
        <f t="shared" si="144"/>
        <v>201.96012789473809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4.4826887465267917E-2</v>
      </c>
      <c r="AW186" s="23">
        <f>EXP(-LN(2)/2)*AW185+(1-EXP(-LN(2)/2))/(LN(2)/2)*AQ186*AT186*VLOOKUP('Données projet'!$B$10,Paramètres!$A$1:$I$89,3,0)*0.475*44/12</f>
        <v>1.3566766822399793E-22</v>
      </c>
      <c r="AX186" s="23">
        <f t="shared" si="166"/>
        <v>4.4826887465267917E-2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1.0286385077051818E-13</v>
      </c>
      <c r="BF186" s="14">
        <f t="shared" si="167"/>
        <v>1.5402366592183556E-12</v>
      </c>
      <c r="BG186" s="22">
        <f t="shared" si="168"/>
        <v>2.8617333882306215E-12</v>
      </c>
      <c r="BH186" s="62">
        <f t="shared" si="116"/>
        <v>293.33333333333616</v>
      </c>
      <c r="BI186" s="62">
        <f ca="1">AVERAGE(OFFSET($BH$3,0,0,'Données projet'!$E$11+1,1))-AVERAGE(OFFSET($H$3,0,0,'Données projet'!$E$11+1,1))</f>
        <v>267.00333505765792</v>
      </c>
      <c r="BJ186" s="62">
        <f t="shared" si="146"/>
        <v>172.25613380618557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3.8805365268440861E-2</v>
      </c>
      <c r="BR186" s="23">
        <f>EXP(-LN(2)/2)*BR185+(1-EXP(-LN(2)/2))/(LN(2)/2)*BL186*BO186*VLOOKUP('Données projet'!$B$11,Paramètres!$A$1:$I$89,3,0)*0.475*44/12</f>
        <v>1.1744365308943084E-22</v>
      </c>
      <c r="BS186" s="24">
        <f t="shared" si="169"/>
        <v>3.8805365268440861E-2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1.1368683772161603E-13</v>
      </c>
      <c r="BZ186" s="14">
        <f>BY186*VLOOKUP('Données projet'!$B$12,Paramètres!$A$1:$I$89,3,0)*VLOOKUP('Données projet'!$B$12,Paramètres!$A$1:$I$89,5,0)</f>
        <v>1.1527845344971866E-13</v>
      </c>
      <c r="CA186" s="14">
        <f t="shared" si="170"/>
        <v>1.7033846239409443E-12</v>
      </c>
      <c r="CB186" s="22">
        <f t="shared" si="171"/>
        <v>3.1675048597887374E-12</v>
      </c>
      <c r="CC186" s="62">
        <f t="shared" si="119"/>
        <v>293.3333333333365</v>
      </c>
      <c r="CD186" s="62">
        <f ca="1">AVERAGE(OFFSET($CC$3,0,0,'Données projet'!$E$12+1,1))-AVERAGE(OFFSET($H$3,0,0,'Données projet'!$E$12+1,1))</f>
        <v>308.72872453744998</v>
      </c>
      <c r="CE186" s="62">
        <f t="shared" si="148"/>
        <v>195.3674411454258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4.3488771421528571E-2</v>
      </c>
      <c r="CM186" s="23">
        <f>EXP(-LN(2)/2)*CM185+(1-EXP(-LN(2)/2))/(LN(2)/2)*CG186*CJ186*VLOOKUP('Données projet'!$B$12,Paramètres!$A$1:$I$89,3,0)*0.475*44/12</f>
        <v>1.3161788708298285E-22</v>
      </c>
      <c r="CN186" s="24">
        <f t="shared" si="172"/>
        <v>4.3488771421528571E-2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160.24926890971085</v>
      </c>
      <c r="T187" s="62">
        <f t="shared" si="142"/>
        <v>323.52368436151721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2.792172373556697</v>
      </c>
      <c r="AA187" s="23">
        <f>EXP(-LN(2)/25)*AA186+(1-EXP(-LN(2)/25))/(LN(2)/25)*Calculateur!V187*Calculateur!X187*VLOOKUP('Données projet'!$B$9,Paramètres!$A$1:$I$89,3,0)*0.475*44/12</f>
        <v>0.72225752341571003</v>
      </c>
      <c r="AB187" s="23">
        <f>EXP(-LN(2)/2)*AB186+(1-EXP(-LN(2)/2))/(LN(2)/2)*V187*Y187*VLOOKUP('Données projet'!$B$9,Paramètres!$A$1:$I$89,3,0)*0.475*44/12</f>
        <v>1.17987428277575E-21</v>
      </c>
      <c r="AC187" s="24">
        <f t="shared" si="163"/>
        <v>3.5144298969724073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1.1882548278663309E-13</v>
      </c>
      <c r="AK187" s="14">
        <f t="shared" si="164"/>
        <v>1.7496137229198366E-12</v>
      </c>
      <c r="AL187" s="22">
        <f t="shared" si="165"/>
        <v>3.2541982832721012E-12</v>
      </c>
      <c r="AM187" s="62">
        <f t="shared" si="113"/>
        <v>293.33333333333655</v>
      </c>
      <c r="AN187" s="62">
        <f ca="1">AVERAGE(OFFSET($AM$3,0,0,'Données projet'!$E$10+1,1))-AVERAGE(OFFSET($H$3,0,0,'Données projet'!$E$10+1,1))</f>
        <v>320.63267332485663</v>
      </c>
      <c r="AO187" s="62">
        <f t="shared" si="144"/>
        <v>201.96012789473809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4.3601093870186611E-2</v>
      </c>
      <c r="AW187" s="23">
        <f>EXP(-LN(2)/2)*AW186+(1-EXP(-LN(2)/2))/(LN(2)/2)*AQ187*AT187*VLOOKUP('Données projet'!$B$10,Paramètres!$A$1:$I$89,3,0)*0.475*44/12</f>
        <v>9.5931528188955633E-23</v>
      </c>
      <c r="AX187" s="23">
        <f t="shared" si="166"/>
        <v>4.3601093870186611E-2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1.0286385077051818E-13</v>
      </c>
      <c r="BF187" s="14">
        <f t="shared" si="167"/>
        <v>1.5402366592183556E-12</v>
      </c>
      <c r="BG187" s="22">
        <f t="shared" si="168"/>
        <v>2.8617333882306215E-12</v>
      </c>
      <c r="BH187" s="62">
        <f t="shared" si="116"/>
        <v>293.33333333333616</v>
      </c>
      <c r="BI187" s="62">
        <f ca="1">AVERAGE(OFFSET($BH$3,0,0,'Données projet'!$E$11+1,1))-AVERAGE(OFFSET($H$3,0,0,'Données projet'!$E$11+1,1))</f>
        <v>267.00333505765792</v>
      </c>
      <c r="BJ187" s="62">
        <f t="shared" si="146"/>
        <v>172.25613380618557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3.7744230514489878E-2</v>
      </c>
      <c r="BR187" s="23">
        <f>EXP(-LN(2)/2)*BR186+(1-EXP(-LN(2)/2))/(LN(2)/2)*BL187*BO187*VLOOKUP('Données projet'!$B$11,Paramètres!$A$1:$I$89,3,0)*0.475*44/12</f>
        <v>8.3045203506856967E-23</v>
      </c>
      <c r="BS187" s="24">
        <f t="shared" si="169"/>
        <v>3.7744230514489878E-2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1.1368683772161603E-13</v>
      </c>
      <c r="BZ187" s="14">
        <f>BY187*VLOOKUP('Données projet'!$B$12,Paramètres!$A$1:$I$89,3,0)*VLOOKUP('Données projet'!$B$12,Paramètres!$A$1:$I$89,5,0)</f>
        <v>1.1527845344971866E-13</v>
      </c>
      <c r="CA187" s="14">
        <f t="shared" si="170"/>
        <v>1.7033846239409443E-12</v>
      </c>
      <c r="CB187" s="22">
        <f t="shared" si="171"/>
        <v>3.1675048597887374E-12</v>
      </c>
      <c r="CC187" s="62">
        <f t="shared" si="119"/>
        <v>293.3333333333365</v>
      </c>
      <c r="CD187" s="62">
        <f ca="1">AVERAGE(OFFSET($CC$3,0,0,'Données projet'!$E$12+1,1))-AVERAGE(OFFSET($H$3,0,0,'Données projet'!$E$12+1,1))</f>
        <v>308.72872453744998</v>
      </c>
      <c r="CE187" s="62">
        <f t="shared" si="148"/>
        <v>195.3674411454258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4.2299568680031777E-2</v>
      </c>
      <c r="CM187" s="23">
        <f>EXP(-LN(2)/2)*CM186+(1-EXP(-LN(2)/2))/(LN(2)/2)*CG187*CJ187*VLOOKUP('Données projet'!$B$12,Paramètres!$A$1:$I$89,3,0)*0.475*44/12</f>
        <v>9.3067900481822472E-23</v>
      </c>
      <c r="CN187" s="24">
        <f t="shared" si="172"/>
        <v>4.2299568680031777E-2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160.24926890971085</v>
      </c>
      <c r="T188" s="62">
        <f t="shared" si="142"/>
        <v>323.52368436151721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2.737419576368235</v>
      </c>
      <c r="AA188" s="23">
        <f>EXP(-LN(2)/25)*AA187+(1-EXP(-LN(2)/25))/(LN(2)/25)*Calculateur!V188*Calculateur!X188*VLOOKUP('Données projet'!$B$9,Paramètres!$A$1:$I$89,3,0)*0.475*44/12</f>
        <v>0.70250735345603499</v>
      </c>
      <c r="AB188" s="23">
        <f>EXP(-LN(2)/2)*AB187+(1-EXP(-LN(2)/2))/(LN(2)/2)*V188*Y188*VLOOKUP('Données projet'!$B$9,Paramètres!$A$1:$I$89,3,0)*0.475*44/12</f>
        <v>8.3429710629834704E-22</v>
      </c>
      <c r="AC188" s="24">
        <f t="shared" si="163"/>
        <v>3.4399269298242698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1.1882548278663309E-13</v>
      </c>
      <c r="AK188" s="14">
        <f t="shared" si="164"/>
        <v>1.7496137229198366E-12</v>
      </c>
      <c r="AL188" s="22">
        <f t="shared" si="165"/>
        <v>3.2541982832721012E-12</v>
      </c>
      <c r="AM188" s="62">
        <f t="shared" si="113"/>
        <v>293.33333333333655</v>
      </c>
      <c r="AN188" s="62">
        <f ca="1">AVERAGE(OFFSET($AM$3,0,0,'Données projet'!$E$10+1,1))-AVERAGE(OFFSET($H$3,0,0,'Données projet'!$E$10+1,1))</f>
        <v>320.63267332485663</v>
      </c>
      <c r="AO188" s="62">
        <f t="shared" si="144"/>
        <v>201.96012789473809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4.240881966542448E-2</v>
      </c>
      <c r="AW188" s="23">
        <f>EXP(-LN(2)/2)*AW187+(1-EXP(-LN(2)/2))/(LN(2)/2)*AQ188*AT188*VLOOKUP('Données projet'!$B$10,Paramètres!$A$1:$I$89,3,0)*0.475*44/12</f>
        <v>6.7833834111998966E-23</v>
      </c>
      <c r="AX188" s="23">
        <f t="shared" si="166"/>
        <v>4.240881966542448E-2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1.0286385077051818E-13</v>
      </c>
      <c r="BF188" s="14">
        <f t="shared" si="167"/>
        <v>1.5402366592183556E-12</v>
      </c>
      <c r="BG188" s="22">
        <f t="shared" si="168"/>
        <v>2.8617333882306215E-12</v>
      </c>
      <c r="BH188" s="62">
        <f t="shared" si="116"/>
        <v>293.33333333333616</v>
      </c>
      <c r="BI188" s="62">
        <f ca="1">AVERAGE(OFFSET($BH$3,0,0,'Données projet'!$E$11+1,1))-AVERAGE(OFFSET($H$3,0,0,'Données projet'!$E$11+1,1))</f>
        <v>267.00333505765792</v>
      </c>
      <c r="BJ188" s="62">
        <f t="shared" si="146"/>
        <v>172.25613380618557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3.6712112546188336E-2</v>
      </c>
      <c r="BR188" s="23">
        <f>EXP(-LN(2)/2)*BR187+(1-EXP(-LN(2)/2))/(LN(2)/2)*BL188*BO188*VLOOKUP('Données projet'!$B$11,Paramètres!$A$1:$I$89,3,0)*0.475*44/12</f>
        <v>5.8721826544715418E-23</v>
      </c>
      <c r="BS188" s="24">
        <f t="shared" si="169"/>
        <v>3.6712112546188336E-2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1.1368683772161603E-13</v>
      </c>
      <c r="BZ188" s="14">
        <f>BY188*VLOOKUP('Données projet'!$B$12,Paramètres!$A$1:$I$89,3,0)*VLOOKUP('Données projet'!$B$12,Paramètres!$A$1:$I$89,5,0)</f>
        <v>1.1527845344971866E-13</v>
      </c>
      <c r="CA188" s="14">
        <f t="shared" si="170"/>
        <v>1.7033846239409443E-12</v>
      </c>
      <c r="CB188" s="22">
        <f t="shared" si="171"/>
        <v>3.1675048597887374E-12</v>
      </c>
      <c r="CC188" s="62">
        <f t="shared" si="119"/>
        <v>293.3333333333365</v>
      </c>
      <c r="CD188" s="62">
        <f ca="1">AVERAGE(OFFSET($CC$3,0,0,'Données projet'!$E$12+1,1))-AVERAGE(OFFSET($H$3,0,0,'Données projet'!$E$12+1,1))</f>
        <v>308.72872453744998</v>
      </c>
      <c r="CE188" s="62">
        <f t="shared" si="148"/>
        <v>195.3674411454258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4.1142884750038668E-2</v>
      </c>
      <c r="CM188" s="23">
        <f>EXP(-LN(2)/2)*CM187+(1-EXP(-LN(2)/2))/(LN(2)/2)*CG188*CJ188*VLOOKUP('Données projet'!$B$12,Paramètres!$A$1:$I$89,3,0)*0.475*44/12</f>
        <v>6.5808943541491423E-23</v>
      </c>
      <c r="CN188" s="24">
        <f t="shared" si="172"/>
        <v>4.1142884750038668E-2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160.24926890971085</v>
      </c>
      <c r="T189" s="62">
        <f t="shared" si="142"/>
        <v>323.52368436151721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2.6837404481367302</v>
      </c>
      <c r="AA189" s="23">
        <f>EXP(-LN(2)/25)*AA188+(1-EXP(-LN(2)/25))/(LN(2)/25)*Calculateur!V189*Calculateur!X189*VLOOKUP('Données projet'!$B$9,Paramètres!$A$1:$I$89,3,0)*0.475*44/12</f>
        <v>0.68329725293252364</v>
      </c>
      <c r="AB189" s="23">
        <f>EXP(-LN(2)/2)*AB188+(1-EXP(-LN(2)/2))/(LN(2)/2)*V189*Y189*VLOOKUP('Données projet'!$B$9,Paramètres!$A$1:$I$89,3,0)*0.475*44/12</f>
        <v>5.8993714138787509E-22</v>
      </c>
      <c r="AC189" s="24">
        <f t="shared" si="163"/>
        <v>3.367037701069254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1.1882548278663309E-13</v>
      </c>
      <c r="AK189" s="14">
        <f t="shared" si="164"/>
        <v>1.7496137229198366E-12</v>
      </c>
      <c r="AL189" s="22">
        <f t="shared" si="165"/>
        <v>3.2541982832721012E-12</v>
      </c>
      <c r="AM189" s="62">
        <f t="shared" si="113"/>
        <v>293.33333333333655</v>
      </c>
      <c r="AN189" s="62">
        <f ca="1">AVERAGE(OFFSET($AM$3,0,0,'Données projet'!$E$10+1,1))-AVERAGE(OFFSET($H$3,0,0,'Données projet'!$E$10+1,1))</f>
        <v>320.63267332485663</v>
      </c>
      <c r="AO189" s="62">
        <f t="shared" si="144"/>
        <v>201.96012789473809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4.1249148261490551E-2</v>
      </c>
      <c r="AW189" s="23">
        <f>EXP(-LN(2)/2)*AW188+(1-EXP(-LN(2)/2))/(LN(2)/2)*AQ189*AT189*VLOOKUP('Données projet'!$B$10,Paramètres!$A$1:$I$89,3,0)*0.475*44/12</f>
        <v>4.7965764094477816E-23</v>
      </c>
      <c r="AX189" s="23">
        <f t="shared" si="166"/>
        <v>4.1249148261490551E-2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1.0286385077051818E-13</v>
      </c>
      <c r="BF189" s="14">
        <f t="shared" si="167"/>
        <v>1.5402366592183556E-12</v>
      </c>
      <c r="BG189" s="22">
        <f t="shared" si="168"/>
        <v>2.8617333882306215E-12</v>
      </c>
      <c r="BH189" s="62">
        <f t="shared" si="116"/>
        <v>293.33333333333616</v>
      </c>
      <c r="BI189" s="62">
        <f ca="1">AVERAGE(OFFSET($BH$3,0,0,'Données projet'!$E$11+1,1))-AVERAGE(OFFSET($H$3,0,0,'Données projet'!$E$11+1,1))</f>
        <v>267.00333505765792</v>
      </c>
      <c r="BJ189" s="62">
        <f t="shared" si="146"/>
        <v>172.25613380618557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3.5708217898006725E-2</v>
      </c>
      <c r="BR189" s="23">
        <f>EXP(-LN(2)/2)*BR188+(1-EXP(-LN(2)/2))/(LN(2)/2)*BL189*BO189*VLOOKUP('Données projet'!$B$11,Paramètres!$A$1:$I$89,3,0)*0.475*44/12</f>
        <v>4.1522601753428483E-23</v>
      </c>
      <c r="BS189" s="24">
        <f t="shared" si="169"/>
        <v>3.5708217898006725E-2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1.1368683772161603E-13</v>
      </c>
      <c r="BZ189" s="14">
        <f>BY189*VLOOKUP('Données projet'!$B$12,Paramètres!$A$1:$I$89,3,0)*VLOOKUP('Données projet'!$B$12,Paramètres!$A$1:$I$89,5,0)</f>
        <v>1.1527845344971866E-13</v>
      </c>
      <c r="CA189" s="14">
        <f t="shared" si="170"/>
        <v>1.7033846239409443E-12</v>
      </c>
      <c r="CB189" s="22">
        <f t="shared" si="171"/>
        <v>3.1675048597887374E-12</v>
      </c>
      <c r="CC189" s="62">
        <f t="shared" si="119"/>
        <v>293.3333333333365</v>
      </c>
      <c r="CD189" s="62">
        <f ca="1">AVERAGE(OFFSET($CC$3,0,0,'Données projet'!$E$12+1,1))-AVERAGE(OFFSET($H$3,0,0,'Données projet'!$E$12+1,1))</f>
        <v>308.72872453744998</v>
      </c>
      <c r="CE189" s="62">
        <f t="shared" si="148"/>
        <v>195.3674411454258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4.0017830402938583E-2</v>
      </c>
      <c r="CM189" s="23">
        <f>EXP(-LN(2)/2)*CM188+(1-EXP(-LN(2)/2))/(LN(2)/2)*CG189*CJ189*VLOOKUP('Données projet'!$B$12,Paramètres!$A$1:$I$89,3,0)*0.475*44/12</f>
        <v>4.6533950240911236E-23</v>
      </c>
      <c r="CN189" s="24">
        <f t="shared" si="172"/>
        <v>4.0017830402938583E-2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160.24926890971085</v>
      </c>
      <c r="T190" s="62">
        <f t="shared" si="142"/>
        <v>323.52368436151721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2.63111393486881</v>
      </c>
      <c r="AA190" s="23">
        <f>EXP(-LN(2)/25)*AA189+(1-EXP(-LN(2)/25))/(LN(2)/25)*Calculateur!V190*Calculateur!X190*VLOOKUP('Données projet'!$B$9,Paramètres!$A$1:$I$89,3,0)*0.475*44/12</f>
        <v>0.66461245361804289</v>
      </c>
      <c r="AB190" s="23">
        <f>EXP(-LN(2)/2)*AB189+(1-EXP(-LN(2)/2))/(LN(2)/2)*V190*Y190*VLOOKUP('Données projet'!$B$9,Paramètres!$A$1:$I$89,3,0)*0.475*44/12</f>
        <v>4.1714855314917357E-22</v>
      </c>
      <c r="AC190" s="24">
        <f t="shared" si="163"/>
        <v>3.2957263884868526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1.1882548278663309E-13</v>
      </c>
      <c r="AK190" s="14">
        <f t="shared" si="164"/>
        <v>1.7496137229198366E-12</v>
      </c>
      <c r="AL190" s="22">
        <f t="shared" si="165"/>
        <v>3.2541982832721012E-12</v>
      </c>
      <c r="AM190" s="62">
        <f t="shared" si="113"/>
        <v>293.33333333333655</v>
      </c>
      <c r="AN190" s="62">
        <f ca="1">AVERAGE(OFFSET($AM$3,0,0,'Données projet'!$E$10+1,1))-AVERAGE(OFFSET($H$3,0,0,'Données projet'!$E$10+1,1))</f>
        <v>320.63267332485663</v>
      </c>
      <c r="AO190" s="62">
        <f t="shared" si="144"/>
        <v>201.96012789473809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4.0121188133081659E-2</v>
      </c>
      <c r="AW190" s="23">
        <f>EXP(-LN(2)/2)*AW189+(1-EXP(-LN(2)/2))/(LN(2)/2)*AQ190*AT190*VLOOKUP('Données projet'!$B$10,Paramètres!$A$1:$I$89,3,0)*0.475*44/12</f>
        <v>3.3916917055999483E-23</v>
      </c>
      <c r="AX190" s="23">
        <f t="shared" si="166"/>
        <v>4.0121188133081659E-2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1.0286385077051818E-13</v>
      </c>
      <c r="BF190" s="14">
        <f t="shared" si="167"/>
        <v>1.5402366592183556E-12</v>
      </c>
      <c r="BG190" s="22">
        <f t="shared" si="168"/>
        <v>2.8617333882306215E-12</v>
      </c>
      <c r="BH190" s="62">
        <f t="shared" si="116"/>
        <v>293.33333333333616</v>
      </c>
      <c r="BI190" s="62">
        <f ca="1">AVERAGE(OFFSET($BH$3,0,0,'Données projet'!$E$11+1,1))-AVERAGE(OFFSET($H$3,0,0,'Données projet'!$E$11+1,1))</f>
        <v>267.00333505765792</v>
      </c>
      <c r="BJ190" s="62">
        <f t="shared" si="146"/>
        <v>172.25613380618557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3.4731774801772163E-2</v>
      </c>
      <c r="BR190" s="23">
        <f>EXP(-LN(2)/2)*BR189+(1-EXP(-LN(2)/2))/(LN(2)/2)*BL190*BO190*VLOOKUP('Données projet'!$B$11,Paramètres!$A$1:$I$89,3,0)*0.475*44/12</f>
        <v>2.9360913272357709E-23</v>
      </c>
      <c r="BS190" s="24">
        <f t="shared" si="169"/>
        <v>3.4731774801772163E-2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1.1368683772161603E-13</v>
      </c>
      <c r="BZ190" s="14">
        <f>BY190*VLOOKUP('Données projet'!$B$12,Paramètres!$A$1:$I$89,3,0)*VLOOKUP('Données projet'!$B$12,Paramètres!$A$1:$I$89,5,0)</f>
        <v>1.1527845344971866E-13</v>
      </c>
      <c r="CA190" s="14">
        <f t="shared" si="170"/>
        <v>1.7033846239409443E-12</v>
      </c>
      <c r="CB190" s="22">
        <f t="shared" si="171"/>
        <v>3.1675048597887374E-12</v>
      </c>
      <c r="CC190" s="62">
        <f t="shared" si="119"/>
        <v>293.3333333333365</v>
      </c>
      <c r="CD190" s="62">
        <f ca="1">AVERAGE(OFFSET($CC$3,0,0,'Données projet'!$E$12+1,1))-AVERAGE(OFFSET($H$3,0,0,'Données projet'!$E$12+1,1))</f>
        <v>308.72872453744998</v>
      </c>
      <c r="CE190" s="62">
        <f t="shared" si="148"/>
        <v>195.3674411454258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3.8923540726123987E-2</v>
      </c>
      <c r="CM190" s="23">
        <f>EXP(-LN(2)/2)*CM189+(1-EXP(-LN(2)/2))/(LN(2)/2)*CG190*CJ190*VLOOKUP('Données projet'!$B$12,Paramètres!$A$1:$I$89,3,0)*0.475*44/12</f>
        <v>3.2904471770745712E-23</v>
      </c>
      <c r="CN190" s="24">
        <f t="shared" si="172"/>
        <v>3.8923540726123987E-2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160.24926890971085</v>
      </c>
      <c r="T191" s="62">
        <f t="shared" si="142"/>
        <v>323.52368436151721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2.5795193954270701</v>
      </c>
      <c r="AA191" s="23">
        <f>EXP(-LN(2)/25)*AA190+(1-EXP(-LN(2)/25))/(LN(2)/25)*Calculateur!V191*Calculateur!X191*VLOOKUP('Données projet'!$B$9,Paramètres!$A$1:$I$89,3,0)*0.475*44/12</f>
        <v>0.64643859112340751</v>
      </c>
      <c r="AB191" s="23">
        <f>EXP(-LN(2)/2)*AB190+(1-EXP(-LN(2)/2))/(LN(2)/2)*V191*Y191*VLOOKUP('Données projet'!$B$9,Paramètres!$A$1:$I$89,3,0)*0.475*44/12</f>
        <v>2.9496857069393759E-22</v>
      </c>
      <c r="AC191" s="24">
        <f t="shared" si="163"/>
        <v>3.2259579865504775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1.1882548278663309E-13</v>
      </c>
      <c r="AK191" s="14">
        <f t="shared" si="164"/>
        <v>1.7496137229198366E-12</v>
      </c>
      <c r="AL191" s="22">
        <f t="shared" si="165"/>
        <v>3.2541982832721012E-12</v>
      </c>
      <c r="AM191" s="62">
        <f t="shared" si="113"/>
        <v>293.33333333333655</v>
      </c>
      <c r="AN191" s="62">
        <f ca="1">AVERAGE(OFFSET($AM$3,0,0,'Données projet'!$E$10+1,1))-AVERAGE(OFFSET($H$3,0,0,'Données projet'!$E$10+1,1))</f>
        <v>320.63267332485663</v>
      </c>
      <c r="AO191" s="62">
        <f t="shared" si="144"/>
        <v>201.96012789473809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3.9024072133700953E-2</v>
      </c>
      <c r="AW191" s="23">
        <f>EXP(-LN(2)/2)*AW190+(1-EXP(-LN(2)/2))/(LN(2)/2)*AQ191*AT191*VLOOKUP('Données projet'!$B$10,Paramètres!$A$1:$I$89,3,0)*0.475*44/12</f>
        <v>2.3982882047238908E-23</v>
      </c>
      <c r="AX191" s="23">
        <f t="shared" si="166"/>
        <v>3.9024072133700953E-2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1.0286385077051818E-13</v>
      </c>
      <c r="BF191" s="14">
        <f t="shared" si="167"/>
        <v>1.5402366592183556E-12</v>
      </c>
      <c r="BG191" s="22">
        <f t="shared" si="168"/>
        <v>2.8617333882306215E-12</v>
      </c>
      <c r="BH191" s="62">
        <f t="shared" si="116"/>
        <v>293.33333333333616</v>
      </c>
      <c r="BI191" s="62">
        <f ca="1">AVERAGE(OFFSET($BH$3,0,0,'Données projet'!$E$11+1,1))-AVERAGE(OFFSET($H$3,0,0,'Données projet'!$E$11+1,1))</f>
        <v>267.00333505765792</v>
      </c>
      <c r="BJ191" s="62">
        <f t="shared" si="146"/>
        <v>172.25613380618557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3.3782032593353044E-2</v>
      </c>
      <c r="BR191" s="23">
        <f>EXP(-LN(2)/2)*BR190+(1-EXP(-LN(2)/2))/(LN(2)/2)*BL191*BO191*VLOOKUP('Données projet'!$B$11,Paramètres!$A$1:$I$89,3,0)*0.475*44/12</f>
        <v>2.0761300876714242E-23</v>
      </c>
      <c r="BS191" s="24">
        <f t="shared" si="169"/>
        <v>3.3782032593353044E-2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1.1368683772161603E-13</v>
      </c>
      <c r="BZ191" s="14">
        <f>BY191*VLOOKUP('Données projet'!$B$12,Paramètres!$A$1:$I$89,3,0)*VLOOKUP('Données projet'!$B$12,Paramètres!$A$1:$I$89,5,0)</f>
        <v>1.1527845344971866E-13</v>
      </c>
      <c r="CA191" s="14">
        <f t="shared" si="170"/>
        <v>1.7033846239409443E-12</v>
      </c>
      <c r="CB191" s="22">
        <f t="shared" si="171"/>
        <v>3.1675048597887374E-12</v>
      </c>
      <c r="CC191" s="62">
        <f t="shared" si="119"/>
        <v>293.3333333333365</v>
      </c>
      <c r="CD191" s="62">
        <f ca="1">AVERAGE(OFFSET($CC$3,0,0,'Données projet'!$E$12+1,1))-AVERAGE(OFFSET($H$3,0,0,'Données projet'!$E$12+1,1))</f>
        <v>308.72872453744998</v>
      </c>
      <c r="CE191" s="62">
        <f t="shared" si="148"/>
        <v>195.3674411454258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3.7859174458068079E-2</v>
      </c>
      <c r="CM191" s="23">
        <f>EXP(-LN(2)/2)*CM190+(1-EXP(-LN(2)/2))/(LN(2)/2)*CG191*CJ191*VLOOKUP('Données projet'!$B$12,Paramètres!$A$1:$I$89,3,0)*0.475*44/12</f>
        <v>2.3266975120455618E-23</v>
      </c>
      <c r="CN191" s="24">
        <f t="shared" si="172"/>
        <v>3.7859174458068079E-2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160.24926890971085</v>
      </c>
      <c r="T192" s="62">
        <f t="shared" si="142"/>
        <v>323.52368436151721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2.5289365934342207</v>
      </c>
      <c r="AA192" s="23">
        <f>EXP(-LN(2)/25)*AA191+(1-EXP(-LN(2)/25))/(LN(2)/25)*Calculateur!V192*Calculateur!X192*VLOOKUP('Données projet'!$B$9,Paramètres!$A$1:$I$89,3,0)*0.475*44/12</f>
        <v>0.62876169385440983</v>
      </c>
      <c r="AB192" s="23">
        <f>EXP(-LN(2)/2)*AB191+(1-EXP(-LN(2)/2))/(LN(2)/2)*V192*Y192*VLOOKUP('Données projet'!$B$9,Paramètres!$A$1:$I$89,3,0)*0.475*44/12</f>
        <v>2.0857427657458681E-22</v>
      </c>
      <c r="AC192" s="24">
        <f t="shared" si="163"/>
        <v>3.1576982872886306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1.1882548278663309E-13</v>
      </c>
      <c r="AK192" s="14">
        <f t="shared" si="164"/>
        <v>1.7496137229198366E-12</v>
      </c>
      <c r="AL192" s="22">
        <f t="shared" si="165"/>
        <v>3.2541982832721012E-12</v>
      </c>
      <c r="AM192" s="62">
        <f t="shared" si="113"/>
        <v>293.33333333333655</v>
      </c>
      <c r="AN192" s="62">
        <f ca="1">AVERAGE(OFFSET($AM$3,0,0,'Données projet'!$E$10+1,1))-AVERAGE(OFFSET($H$3,0,0,'Données projet'!$E$10+1,1))</f>
        <v>320.63267332485663</v>
      </c>
      <c r="AO192" s="62">
        <f t="shared" si="144"/>
        <v>201.96012789473809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3.7956956829018139E-2</v>
      </c>
      <c r="AW192" s="23">
        <f>EXP(-LN(2)/2)*AW191+(1-EXP(-LN(2)/2))/(LN(2)/2)*AQ192*AT192*VLOOKUP('Données projet'!$B$10,Paramètres!$A$1:$I$89,3,0)*0.475*44/12</f>
        <v>1.6958458527999741E-23</v>
      </c>
      <c r="AX192" s="23">
        <f t="shared" si="166"/>
        <v>3.7956956829018139E-2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1.0286385077051818E-13</v>
      </c>
      <c r="BF192" s="14">
        <f t="shared" si="167"/>
        <v>1.5402366592183556E-12</v>
      </c>
      <c r="BG192" s="22">
        <f t="shared" si="168"/>
        <v>2.8617333882306215E-12</v>
      </c>
      <c r="BH192" s="62">
        <f t="shared" si="116"/>
        <v>293.33333333333616</v>
      </c>
      <c r="BI192" s="62">
        <f ca="1">AVERAGE(OFFSET($BH$3,0,0,'Données projet'!$E$11+1,1))-AVERAGE(OFFSET($H$3,0,0,'Données projet'!$E$11+1,1))</f>
        <v>267.00333505765792</v>
      </c>
      <c r="BJ192" s="62">
        <f t="shared" si="146"/>
        <v>172.25613380618557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3.2858261135567918E-2</v>
      </c>
      <c r="BR192" s="23">
        <f>EXP(-LN(2)/2)*BR191+(1-EXP(-LN(2)/2))/(LN(2)/2)*BL192*BO192*VLOOKUP('Données projet'!$B$11,Paramètres!$A$1:$I$89,3,0)*0.475*44/12</f>
        <v>1.4680456636178855E-23</v>
      </c>
      <c r="BS192" s="24">
        <f t="shared" si="169"/>
        <v>3.2858261135567918E-2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1.1368683772161603E-13</v>
      </c>
      <c r="BZ192" s="14">
        <f>BY192*VLOOKUP('Données projet'!$B$12,Paramètres!$A$1:$I$89,3,0)*VLOOKUP('Données projet'!$B$12,Paramètres!$A$1:$I$89,5,0)</f>
        <v>1.1527845344971866E-13</v>
      </c>
      <c r="CA192" s="14">
        <f t="shared" si="170"/>
        <v>1.7033846239409443E-12</v>
      </c>
      <c r="CB192" s="22">
        <f t="shared" si="171"/>
        <v>3.1675048597887374E-12</v>
      </c>
      <c r="CC192" s="62">
        <f t="shared" si="119"/>
        <v>293.3333333333365</v>
      </c>
      <c r="CD192" s="62">
        <f ca="1">AVERAGE(OFFSET($CC$3,0,0,'Données projet'!$E$12+1,1))-AVERAGE(OFFSET($H$3,0,0,'Données projet'!$E$12+1,1))</f>
        <v>308.72872453744998</v>
      </c>
      <c r="CE192" s="62">
        <f t="shared" si="148"/>
        <v>195.3674411454258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3.6823913341584753E-2</v>
      </c>
      <c r="CM192" s="23">
        <f>EXP(-LN(2)/2)*CM191+(1-EXP(-LN(2)/2))/(LN(2)/2)*CG192*CJ192*VLOOKUP('Données projet'!$B$12,Paramètres!$A$1:$I$89,3,0)*0.475*44/12</f>
        <v>1.6452235885372856E-23</v>
      </c>
      <c r="CN192" s="24">
        <f t="shared" si="172"/>
        <v>3.6823913341584753E-2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160.24926890971085</v>
      </c>
      <c r="T193" s="62">
        <f t="shared" si="142"/>
        <v>323.52368436151721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2.4793456893359886</v>
      </c>
      <c r="AA193" s="23">
        <f>EXP(-LN(2)/25)*AA192+(1-EXP(-LN(2)/25))/(LN(2)/25)*Calculateur!V193*Calculateur!X193*VLOOKUP('Données projet'!$B$9,Paramètres!$A$1:$I$89,3,0)*0.475*44/12</f>
        <v>0.61156817227082061</v>
      </c>
      <c r="AB193" s="23">
        <f>EXP(-LN(2)/2)*AB192+(1-EXP(-LN(2)/2))/(LN(2)/2)*V193*Y193*VLOOKUP('Données projet'!$B$9,Paramètres!$A$1:$I$89,3,0)*0.475*44/12</f>
        <v>1.4748428534696882E-22</v>
      </c>
      <c r="AC193" s="24">
        <f t="shared" si="163"/>
        <v>3.0909138616068095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1.1882548278663309E-13</v>
      </c>
      <c r="AK193" s="14">
        <f t="shared" si="164"/>
        <v>1.7496137229198366E-12</v>
      </c>
      <c r="AL193" s="22">
        <f t="shared" si="165"/>
        <v>3.2541982832721012E-12</v>
      </c>
      <c r="AM193" s="62">
        <f t="shared" si="113"/>
        <v>293.33333333333655</v>
      </c>
      <c r="AN193" s="62">
        <f ca="1">AVERAGE(OFFSET($AM$3,0,0,'Données projet'!$E$10+1,1))-AVERAGE(OFFSET($H$3,0,0,'Données projet'!$E$10+1,1))</f>
        <v>320.63267332485663</v>
      </c>
      <c r="AO193" s="62">
        <f t="shared" si="144"/>
        <v>201.96012789473809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3.6919021848459029E-2</v>
      </c>
      <c r="AW193" s="23">
        <f>EXP(-LN(2)/2)*AW192+(1-EXP(-LN(2)/2))/(LN(2)/2)*AQ193*AT193*VLOOKUP('Données projet'!$B$10,Paramètres!$A$1:$I$89,3,0)*0.475*44/12</f>
        <v>1.1991441023619454E-23</v>
      </c>
      <c r="AX193" s="23">
        <f t="shared" si="166"/>
        <v>3.6919021848459029E-2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1.0286385077051818E-13</v>
      </c>
      <c r="BF193" s="14">
        <f t="shared" si="167"/>
        <v>1.5402366592183556E-12</v>
      </c>
      <c r="BG193" s="22">
        <f t="shared" si="168"/>
        <v>2.8617333882306215E-12</v>
      </c>
      <c r="BH193" s="62">
        <f t="shared" si="116"/>
        <v>293.33333333333616</v>
      </c>
      <c r="BI193" s="62">
        <f ca="1">AVERAGE(OFFSET($BH$3,0,0,'Données projet'!$E$11+1,1))-AVERAGE(OFFSET($H$3,0,0,'Données projet'!$E$11+1,1))</f>
        <v>267.00333505765792</v>
      </c>
      <c r="BJ193" s="62">
        <f t="shared" si="146"/>
        <v>172.25613380618557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3.1959750256874961E-2</v>
      </c>
      <c r="BR193" s="23">
        <f>EXP(-LN(2)/2)*BR192+(1-EXP(-LN(2)/2))/(LN(2)/2)*BL193*BO193*VLOOKUP('Données projet'!$B$11,Paramètres!$A$1:$I$89,3,0)*0.475*44/12</f>
        <v>1.0380650438357121E-23</v>
      </c>
      <c r="BS193" s="24">
        <f t="shared" si="169"/>
        <v>3.1959750256874961E-2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1.1368683772161603E-13</v>
      </c>
      <c r="BZ193" s="14">
        <f>BY193*VLOOKUP('Données projet'!$B$12,Paramètres!$A$1:$I$89,3,0)*VLOOKUP('Données projet'!$B$12,Paramètres!$A$1:$I$89,5,0)</f>
        <v>1.1527845344971866E-13</v>
      </c>
      <c r="CA193" s="14">
        <f t="shared" si="170"/>
        <v>1.7033846239409443E-12</v>
      </c>
      <c r="CB193" s="22">
        <f t="shared" si="171"/>
        <v>3.1675048597887374E-12</v>
      </c>
      <c r="CC193" s="62">
        <f t="shared" si="119"/>
        <v>293.3333333333365</v>
      </c>
      <c r="CD193" s="62">
        <f ca="1">AVERAGE(OFFSET($CC$3,0,0,'Données projet'!$E$12+1,1))-AVERAGE(OFFSET($H$3,0,0,'Données projet'!$E$12+1,1))</f>
        <v>308.72872453744998</v>
      </c>
      <c r="CE193" s="62">
        <f t="shared" si="148"/>
        <v>195.3674411454258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3.5816961494773675E-2</v>
      </c>
      <c r="CM193" s="23">
        <f>EXP(-LN(2)/2)*CM192+(1-EXP(-LN(2)/2))/(LN(2)/2)*CG193*CJ193*VLOOKUP('Données projet'!$B$12,Paramètres!$A$1:$I$89,3,0)*0.475*44/12</f>
        <v>1.1633487560227809E-23</v>
      </c>
      <c r="CN193" s="24">
        <f t="shared" si="172"/>
        <v>3.5816961494773675E-2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160.24926890971085</v>
      </c>
      <c r="T194" s="62">
        <f t="shared" si="142"/>
        <v>323.52368436151721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2.4307272326196578</v>
      </c>
      <c r="AA194" s="23">
        <f>EXP(-LN(2)/25)*AA193+(1-EXP(-LN(2)/25))/(LN(2)/25)*Calculateur!V194*Calculateur!X194*VLOOKUP('Données projet'!$B$9,Paramètres!$A$1:$I$89,3,0)*0.475*44/12</f>
        <v>0.59484480843910259</v>
      </c>
      <c r="AB194" s="23">
        <f>EXP(-LN(2)/2)*AB193+(1-EXP(-LN(2)/2))/(LN(2)/2)*V194*Y194*VLOOKUP('Données projet'!$B$9,Paramètres!$A$1:$I$89,3,0)*0.475*44/12</f>
        <v>1.0428713828729343E-22</v>
      </c>
      <c r="AC194" s="24">
        <f t="shared" si="163"/>
        <v>3.0255720410587603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1.1882548278663309E-13</v>
      </c>
      <c r="AK194" s="14">
        <f t="shared" si="164"/>
        <v>1.7496137229198366E-12</v>
      </c>
      <c r="AL194" s="22">
        <f t="shared" si="165"/>
        <v>3.2541982832721012E-12</v>
      </c>
      <c r="AM194" s="62">
        <f t="shared" si="113"/>
        <v>293.33333333333655</v>
      </c>
      <c r="AN194" s="62">
        <f ca="1">AVERAGE(OFFSET($AM$3,0,0,'Données projet'!$E$10+1,1))-AVERAGE(OFFSET($H$3,0,0,'Données projet'!$E$10+1,1))</f>
        <v>320.63267332485663</v>
      </c>
      <c r="AO194" s="62">
        <f t="shared" si="144"/>
        <v>201.96012789473809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3.5909469254525934E-2</v>
      </c>
      <c r="AW194" s="23">
        <f>EXP(-LN(2)/2)*AW193+(1-EXP(-LN(2)/2))/(LN(2)/2)*AQ194*AT194*VLOOKUP('Données projet'!$B$10,Paramètres!$A$1:$I$89,3,0)*0.475*44/12</f>
        <v>8.4792292639998707E-24</v>
      </c>
      <c r="AX194" s="23">
        <f t="shared" si="166"/>
        <v>3.5909469254525934E-2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1.0286385077051818E-13</v>
      </c>
      <c r="BF194" s="14">
        <f t="shared" si="167"/>
        <v>1.5402366592183556E-12</v>
      </c>
      <c r="BG194" s="22">
        <f t="shared" si="168"/>
        <v>2.8617333882306215E-12</v>
      </c>
      <c r="BH194" s="62">
        <f t="shared" si="116"/>
        <v>293.33333333333616</v>
      </c>
      <c r="BI194" s="62">
        <f ca="1">AVERAGE(OFFSET($BH$3,0,0,'Données projet'!$E$11+1,1))-AVERAGE(OFFSET($H$3,0,0,'Données projet'!$E$11+1,1))</f>
        <v>267.00333505765792</v>
      </c>
      <c r="BJ194" s="62">
        <f t="shared" si="146"/>
        <v>172.25613380618557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3.1085809205410493E-2</v>
      </c>
      <c r="BR194" s="23">
        <f>EXP(-LN(2)/2)*BR193+(1-EXP(-LN(2)/2))/(LN(2)/2)*BL194*BO194*VLOOKUP('Données projet'!$B$11,Paramètres!$A$1:$I$89,3,0)*0.475*44/12</f>
        <v>7.3402283180894273E-24</v>
      </c>
      <c r="BS194" s="24">
        <f t="shared" si="169"/>
        <v>3.1085809205410493E-2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1.1368683772161603E-13</v>
      </c>
      <c r="BZ194" s="14">
        <f>BY194*VLOOKUP('Données projet'!$B$12,Paramètres!$A$1:$I$89,3,0)*VLOOKUP('Données projet'!$B$12,Paramètres!$A$1:$I$89,5,0)</f>
        <v>1.1527845344971866E-13</v>
      </c>
      <c r="CA194" s="14">
        <f t="shared" si="170"/>
        <v>1.7033846239409443E-12</v>
      </c>
      <c r="CB194" s="22">
        <f t="shared" si="171"/>
        <v>3.1675048597887374E-12</v>
      </c>
      <c r="CC194" s="62">
        <f t="shared" si="119"/>
        <v>293.3333333333365</v>
      </c>
      <c r="CD194" s="62">
        <f ca="1">AVERAGE(OFFSET($CC$3,0,0,'Données projet'!$E$12+1,1))-AVERAGE(OFFSET($H$3,0,0,'Données projet'!$E$12+1,1))</f>
        <v>308.72872453744998</v>
      </c>
      <c r="CE194" s="62">
        <f t="shared" si="148"/>
        <v>195.3674411454258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3.4837544799166946E-2</v>
      </c>
      <c r="CM194" s="23">
        <f>EXP(-LN(2)/2)*CM193+(1-EXP(-LN(2)/2))/(LN(2)/2)*CG194*CJ194*VLOOKUP('Données projet'!$B$12,Paramètres!$A$1:$I$89,3,0)*0.475*44/12</f>
        <v>8.2261179426864279E-24</v>
      </c>
      <c r="CN194" s="24">
        <f t="shared" si="172"/>
        <v>3.4837544799166946E-2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160.24926890971085</v>
      </c>
      <c r="T195" s="62">
        <f t="shared" si="142"/>
        <v>323.52368436151721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2.383062154185204</v>
      </c>
      <c r="AA195" s="23">
        <f>EXP(-LN(2)/25)*AA194+(1-EXP(-LN(2)/25))/(LN(2)/25)*Calculateur!V195*Calculateur!X195*VLOOKUP('Données projet'!$B$9,Paramètres!$A$1:$I$89,3,0)*0.475*44/12</f>
        <v>0.57857874587080638</v>
      </c>
      <c r="AB195" s="23">
        <f>EXP(-LN(2)/2)*AB194+(1-EXP(-LN(2)/2))/(LN(2)/2)*V195*Y195*VLOOKUP('Données projet'!$B$9,Paramètres!$A$1:$I$89,3,0)*0.475*44/12</f>
        <v>7.3742142673484422E-23</v>
      </c>
      <c r="AC195" s="24">
        <f t="shared" si="163"/>
        <v>2.9616409000560102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1.1882548278663309E-13</v>
      </c>
      <c r="AK195" s="14">
        <f t="shared" si="164"/>
        <v>1.7496137229198366E-12</v>
      </c>
      <c r="AL195" s="22">
        <f t="shared" si="165"/>
        <v>3.2541982832721012E-12</v>
      </c>
      <c r="AM195" s="62">
        <f t="shared" si="113"/>
        <v>293.33333333333655</v>
      </c>
      <c r="AN195" s="62">
        <f ca="1">AVERAGE(OFFSET($AM$3,0,0,'Données projet'!$E$10+1,1))-AVERAGE(OFFSET($H$3,0,0,'Données projet'!$E$10+1,1))</f>
        <v>320.63267332485663</v>
      </c>
      <c r="AO195" s="62">
        <f t="shared" si="144"/>
        <v>201.96012789473809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3.4927522929364005E-2</v>
      </c>
      <c r="AW195" s="23">
        <f>EXP(-LN(2)/2)*AW194+(1-EXP(-LN(2)/2))/(LN(2)/2)*AQ195*AT195*VLOOKUP('Données projet'!$B$10,Paramètres!$A$1:$I$89,3,0)*0.475*44/12</f>
        <v>5.9957205118097271E-24</v>
      </c>
      <c r="AX195" s="23">
        <f t="shared" si="166"/>
        <v>3.4927522929364005E-2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1.0286385077051818E-13</v>
      </c>
      <c r="BF195" s="14">
        <f t="shared" si="167"/>
        <v>1.5402366592183556E-12</v>
      </c>
      <c r="BG195" s="22">
        <f t="shared" si="168"/>
        <v>2.8617333882306215E-12</v>
      </c>
      <c r="BH195" s="62">
        <f t="shared" si="116"/>
        <v>293.33333333333616</v>
      </c>
      <c r="BI195" s="62">
        <f ca="1">AVERAGE(OFFSET($BH$3,0,0,'Données projet'!$E$11+1,1))-AVERAGE(OFFSET($H$3,0,0,'Données projet'!$E$11+1,1))</f>
        <v>267.00333505765792</v>
      </c>
      <c r="BJ195" s="62">
        <f t="shared" si="146"/>
        <v>172.25613380618557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3.0235766117956885E-2</v>
      </c>
      <c r="BR195" s="23">
        <f>EXP(-LN(2)/2)*BR194+(1-EXP(-LN(2)/2))/(LN(2)/2)*BL195*BO195*VLOOKUP('Données projet'!$B$11,Paramètres!$A$1:$I$89,3,0)*0.475*44/12</f>
        <v>5.1903252191785604E-24</v>
      </c>
      <c r="BS195" s="24">
        <f t="shared" si="169"/>
        <v>3.0235766117956885E-2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1.1368683772161603E-13</v>
      </c>
      <c r="BZ195" s="14">
        <f>BY195*VLOOKUP('Données projet'!$B$12,Paramètres!$A$1:$I$89,3,0)*VLOOKUP('Données projet'!$B$12,Paramètres!$A$1:$I$89,5,0)</f>
        <v>1.1527845344971866E-13</v>
      </c>
      <c r="CA195" s="14">
        <f t="shared" si="170"/>
        <v>1.7033846239409443E-12</v>
      </c>
      <c r="CB195" s="22">
        <f t="shared" si="171"/>
        <v>3.1675048597887374E-12</v>
      </c>
      <c r="CC195" s="62">
        <f t="shared" si="119"/>
        <v>293.3333333333365</v>
      </c>
      <c r="CD195" s="62">
        <f ca="1">AVERAGE(OFFSET($CC$3,0,0,'Données projet'!$E$12+1,1))-AVERAGE(OFFSET($H$3,0,0,'Données projet'!$E$12+1,1))</f>
        <v>308.72872453744998</v>
      </c>
      <c r="CE195" s="62">
        <f t="shared" si="148"/>
        <v>195.3674411454258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3.3884910304606865E-2</v>
      </c>
      <c r="CM195" s="23">
        <f>EXP(-LN(2)/2)*CM194+(1-EXP(-LN(2)/2))/(LN(2)/2)*CG195*CJ195*VLOOKUP('Données projet'!$B$12,Paramètres!$A$1:$I$89,3,0)*0.475*44/12</f>
        <v>5.8167437801139045E-24</v>
      </c>
      <c r="CN195" s="24">
        <f t="shared" si="172"/>
        <v>3.3884910304606865E-2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160.24926890971085</v>
      </c>
      <c r="T196" s="62">
        <f t="shared" si="142"/>
        <v>323.52368436151721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2.3363317588660224</v>
      </c>
      <c r="AA196" s="23">
        <f>EXP(-LN(2)/25)*AA195+(1-EXP(-LN(2)/25))/(LN(2)/25)*Calculateur!V196*Calculateur!X196*VLOOKUP('Données projet'!$B$9,Paramètres!$A$1:$I$89,3,0)*0.475*44/12</f>
        <v>0.56275747963883527</v>
      </c>
      <c r="AB196" s="23">
        <f>EXP(-LN(2)/2)*AB195+(1-EXP(-LN(2)/2))/(LN(2)/2)*V196*Y196*VLOOKUP('Données projet'!$B$9,Paramètres!$A$1:$I$89,3,0)*0.475*44/12</f>
        <v>5.2143569143646719E-23</v>
      </c>
      <c r="AC196" s="24">
        <f t="shared" si="163"/>
        <v>2.8990892385048577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1.1882548278663309E-13</v>
      </c>
      <c r="AK196" s="14">
        <f t="shared" si="164"/>
        <v>1.7496137229198366E-12</v>
      </c>
      <c r="AL196" s="22">
        <f t="shared" si="165"/>
        <v>3.2541982832721012E-12</v>
      </c>
      <c r="AM196" s="62">
        <f t="shared" ref="AM196:AM203" si="193">AL196+(AD196+AE196)*44/12</f>
        <v>293.33333333333655</v>
      </c>
      <c r="AN196" s="62">
        <f ca="1">AVERAGE(OFFSET($AM$3,0,0,'Données projet'!$E$10+1,1))-AVERAGE(OFFSET($H$3,0,0,'Données projet'!$E$10+1,1))</f>
        <v>320.63267332485663</v>
      </c>
      <c r="AO196" s="62">
        <f t="shared" si="144"/>
        <v>201.96012789473809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3.3972427978101946E-2</v>
      </c>
      <c r="AW196" s="23">
        <f>EXP(-LN(2)/2)*AW195+(1-EXP(-LN(2)/2))/(LN(2)/2)*AQ196*AT196*VLOOKUP('Données projet'!$B$10,Paramètres!$A$1:$I$89,3,0)*0.475*44/12</f>
        <v>4.2396146319999354E-24</v>
      </c>
      <c r="AX196" s="23">
        <f t="shared" si="166"/>
        <v>3.3972427978101946E-2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1.0286385077051818E-13</v>
      </c>
      <c r="BF196" s="14">
        <f t="shared" si="167"/>
        <v>1.5402366592183556E-12</v>
      </c>
      <c r="BG196" s="22">
        <f t="shared" si="168"/>
        <v>2.8617333882306215E-12</v>
      </c>
      <c r="BH196" s="62">
        <f t="shared" ref="BH196:BH203" si="194">BG196+(AY196+AZ196)*44/12</f>
        <v>293.33333333333616</v>
      </c>
      <c r="BI196" s="62">
        <f ca="1">AVERAGE(OFFSET($BH$3,0,0,'Données projet'!$E$11+1,1))-AVERAGE(OFFSET($H$3,0,0,'Données projet'!$E$11+1,1))</f>
        <v>267.00333505765792</v>
      </c>
      <c r="BJ196" s="62">
        <f t="shared" si="146"/>
        <v>172.25613380618557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2.940896750343152E-2</v>
      </c>
      <c r="BR196" s="23">
        <f>EXP(-LN(2)/2)*BR195+(1-EXP(-LN(2)/2))/(LN(2)/2)*BL196*BO196*VLOOKUP('Données projet'!$B$11,Paramètres!$A$1:$I$89,3,0)*0.475*44/12</f>
        <v>3.6701141590447136E-24</v>
      </c>
      <c r="BS196" s="24">
        <f t="shared" si="169"/>
        <v>2.940896750343152E-2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1.1368683772161603E-13</v>
      </c>
      <c r="BZ196" s="14">
        <f>BY196*VLOOKUP('Données projet'!$B$12,Paramètres!$A$1:$I$89,3,0)*VLOOKUP('Données projet'!$B$12,Paramètres!$A$1:$I$89,5,0)</f>
        <v>1.1527845344971866E-13</v>
      </c>
      <c r="CA196" s="14">
        <f t="shared" si="170"/>
        <v>1.7033846239409443E-12</v>
      </c>
      <c r="CB196" s="22">
        <f t="shared" si="171"/>
        <v>3.1675048597887374E-12</v>
      </c>
      <c r="CC196" s="62">
        <f t="shared" ref="CC196:CC203" si="195">CB196+(BT196+BU196)*44/12</f>
        <v>293.3333333333365</v>
      </c>
      <c r="CD196" s="62">
        <f ca="1">AVERAGE(OFFSET($CC$3,0,0,'Données projet'!$E$12+1,1))-AVERAGE(OFFSET($H$3,0,0,'Données projet'!$E$12+1,1))</f>
        <v>308.72872453744998</v>
      </c>
      <c r="CE196" s="62">
        <f t="shared" si="148"/>
        <v>195.3674411454258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3.2958325650397399E-2</v>
      </c>
      <c r="CM196" s="23">
        <f>EXP(-LN(2)/2)*CM195+(1-EXP(-LN(2)/2))/(LN(2)/2)*CG196*CJ196*VLOOKUP('Données projet'!$B$12,Paramètres!$A$1:$I$89,3,0)*0.475*44/12</f>
        <v>4.1130589713432139E-24</v>
      </c>
      <c r="CN196" s="24">
        <f t="shared" si="172"/>
        <v>3.2958325650397399E-2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160.24926890971085</v>
      </c>
      <c r="T197" s="62">
        <f t="shared" ref="T197:T203" si="204">$T$3</f>
        <v>323.52368436151721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2.2905177180963232</v>
      </c>
      <c r="AA197" s="23">
        <f>EXP(-LN(2)/25)*AA196+(1-EXP(-LN(2)/25))/(LN(2)/25)*Calculateur!V197*Calculateur!X197*VLOOKUP('Données projet'!$B$9,Paramètres!$A$1:$I$89,3,0)*0.475*44/12</f>
        <v>0.54736884676398168</v>
      </c>
      <c r="AB197" s="23">
        <f>EXP(-LN(2)/2)*AB196+(1-EXP(-LN(2)/2))/(LN(2)/2)*V197*Y197*VLOOKUP('Données projet'!$B$9,Paramètres!$A$1:$I$89,3,0)*0.475*44/12</f>
        <v>3.6871071336742217E-23</v>
      </c>
      <c r="AC197" s="24">
        <f t="shared" si="163"/>
        <v>2.8378865648603049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1.1882548278663309E-13</v>
      </c>
      <c r="AK197" s="14">
        <f t="shared" si="164"/>
        <v>1.7496137229198366E-12</v>
      </c>
      <c r="AL197" s="22">
        <f t="shared" si="165"/>
        <v>3.2541982832721012E-12</v>
      </c>
      <c r="AM197" s="62">
        <f t="shared" si="193"/>
        <v>293.33333333333655</v>
      </c>
      <c r="AN197" s="62">
        <f ca="1">AVERAGE(OFFSET($AM$3,0,0,'Données projet'!$E$10+1,1))-AVERAGE(OFFSET($H$3,0,0,'Données projet'!$E$10+1,1))</f>
        <v>320.63267332485663</v>
      </c>
      <c r="AO197" s="62">
        <f t="shared" ref="AO197:AO203" si="205">$AO$3</f>
        <v>201.96012789473809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3.3043450148508409E-2</v>
      </c>
      <c r="AW197" s="23">
        <f>EXP(-LN(2)/2)*AW196+(1-EXP(-LN(2)/2))/(LN(2)/2)*AQ197*AT197*VLOOKUP('Données projet'!$B$10,Paramètres!$A$1:$I$89,3,0)*0.475*44/12</f>
        <v>2.9978602559048635E-24</v>
      </c>
      <c r="AX197" s="23">
        <f t="shared" si="166"/>
        <v>3.3043450148508409E-2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1.0286385077051818E-13</v>
      </c>
      <c r="BF197" s="14">
        <f t="shared" si="167"/>
        <v>1.5402366592183556E-12</v>
      </c>
      <c r="BG197" s="22">
        <f t="shared" si="168"/>
        <v>2.8617333882306215E-12</v>
      </c>
      <c r="BH197" s="62">
        <f t="shared" si="194"/>
        <v>293.33333333333616</v>
      </c>
      <c r="BI197" s="62">
        <f ca="1">AVERAGE(OFFSET($BH$3,0,0,'Données projet'!$E$11+1,1))-AVERAGE(OFFSET($H$3,0,0,'Données projet'!$E$11+1,1))</f>
        <v>267.00333505765792</v>
      </c>
      <c r="BJ197" s="62">
        <f t="shared" ref="BJ197:BJ203" si="206">$BJ$3</f>
        <v>172.25613380618557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2.8604777740499798E-2</v>
      </c>
      <c r="BR197" s="23">
        <f>EXP(-LN(2)/2)*BR196+(1-EXP(-LN(2)/2))/(LN(2)/2)*BL197*BO197*VLOOKUP('Données projet'!$B$11,Paramètres!$A$1:$I$89,3,0)*0.475*44/12</f>
        <v>2.5951626095892802E-24</v>
      </c>
      <c r="BS197" s="24">
        <f t="shared" si="169"/>
        <v>2.8604777740499798E-2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1.1368683772161603E-13</v>
      </c>
      <c r="BZ197" s="14">
        <f>BY197*VLOOKUP('Données projet'!$B$12,Paramètres!$A$1:$I$89,3,0)*VLOOKUP('Données projet'!$B$12,Paramètres!$A$1:$I$89,5,0)</f>
        <v>1.1527845344971866E-13</v>
      </c>
      <c r="CA197" s="14">
        <f t="shared" si="170"/>
        <v>1.7033846239409443E-12</v>
      </c>
      <c r="CB197" s="22">
        <f t="shared" si="171"/>
        <v>3.1675048597887374E-12</v>
      </c>
      <c r="CC197" s="62">
        <f t="shared" si="195"/>
        <v>293.3333333333365</v>
      </c>
      <c r="CD197" s="62">
        <f ca="1">AVERAGE(OFFSET($CC$3,0,0,'Données projet'!$E$12+1,1))-AVERAGE(OFFSET($H$3,0,0,'Données projet'!$E$12+1,1))</f>
        <v>308.72872453744998</v>
      </c>
      <c r="CE197" s="62">
        <f t="shared" ref="CE197:CE203" si="207">$CE$3</f>
        <v>195.3674411454258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3.2057078502284266E-2</v>
      </c>
      <c r="CM197" s="23">
        <f>EXP(-LN(2)/2)*CM196+(1-EXP(-LN(2)/2))/(LN(2)/2)*CG197*CJ197*VLOOKUP('Données projet'!$B$12,Paramètres!$A$1:$I$89,3,0)*0.475*44/12</f>
        <v>2.9083718900569522E-24</v>
      </c>
      <c r="CN197" s="24">
        <f t="shared" si="172"/>
        <v>3.2057078502284266E-2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160.24926890971085</v>
      </c>
      <c r="T198" s="62">
        <f t="shared" si="204"/>
        <v>323.52368436151721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2.2456020627223126</v>
      </c>
      <c r="AA198" s="23">
        <f>EXP(-LN(2)/25)*AA197+(1-EXP(-LN(2)/25))/(LN(2)/25)*Calculateur!V198*Calculateur!X198*VLOOKUP('Données projet'!$B$9,Paramètres!$A$1:$I$89,3,0)*0.475*44/12</f>
        <v>0.53240101686434393</v>
      </c>
      <c r="AB198" s="23">
        <f>EXP(-LN(2)/2)*AB197+(1-EXP(-LN(2)/2))/(LN(2)/2)*V198*Y198*VLOOKUP('Données projet'!$B$9,Paramètres!$A$1:$I$89,3,0)*0.475*44/12</f>
        <v>2.6071784571823366E-23</v>
      </c>
      <c r="AC198" s="24">
        <f t="shared" si="163"/>
        <v>2.7780030795866564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1.1882548278663309E-13</v>
      </c>
      <c r="AK198" s="14">
        <f t="shared" si="164"/>
        <v>1.7496137229198366E-12</v>
      </c>
      <c r="AL198" s="22">
        <f t="shared" si="165"/>
        <v>3.2541982832721012E-12</v>
      </c>
      <c r="AM198" s="62">
        <f t="shared" si="193"/>
        <v>293.33333333333655</v>
      </c>
      <c r="AN198" s="62">
        <f ca="1">AVERAGE(OFFSET($AM$3,0,0,'Données projet'!$E$10+1,1))-AVERAGE(OFFSET($H$3,0,0,'Données projet'!$E$10+1,1))</f>
        <v>320.63267332485663</v>
      </c>
      <c r="AO198" s="62">
        <f t="shared" si="205"/>
        <v>201.96012789473809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3.2139875266517924E-2</v>
      </c>
      <c r="AW198" s="23">
        <f>EXP(-LN(2)/2)*AW197+(1-EXP(-LN(2)/2))/(LN(2)/2)*AQ198*AT198*VLOOKUP('Données projet'!$B$10,Paramètres!$A$1:$I$89,3,0)*0.475*44/12</f>
        <v>2.1198073159999677E-24</v>
      </c>
      <c r="AX198" s="23">
        <f t="shared" si="166"/>
        <v>3.2139875266517924E-2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1.0286385077051818E-13</v>
      </c>
      <c r="BF198" s="14">
        <f t="shared" si="167"/>
        <v>1.5402366592183556E-12</v>
      </c>
      <c r="BG198" s="22">
        <f t="shared" si="168"/>
        <v>2.8617333882306215E-12</v>
      </c>
      <c r="BH198" s="62">
        <f t="shared" si="194"/>
        <v>293.33333333333616</v>
      </c>
      <c r="BI198" s="62">
        <f ca="1">AVERAGE(OFFSET($BH$3,0,0,'Données projet'!$E$11+1,1))-AVERAGE(OFFSET($H$3,0,0,'Données projet'!$E$11+1,1))</f>
        <v>267.00333505765792</v>
      </c>
      <c r="BJ198" s="62">
        <f t="shared" si="206"/>
        <v>172.25613380618557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2.7822578588925947E-2</v>
      </c>
      <c r="BR198" s="23">
        <f>EXP(-LN(2)/2)*BR197+(1-EXP(-LN(2)/2))/(LN(2)/2)*BL198*BO198*VLOOKUP('Données projet'!$B$11,Paramètres!$A$1:$I$89,3,0)*0.475*44/12</f>
        <v>1.8350570795223568E-24</v>
      </c>
      <c r="BS198" s="24">
        <f t="shared" si="169"/>
        <v>2.7822578588925947E-2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1.1368683772161603E-13</v>
      </c>
      <c r="BZ198" s="14">
        <f>BY198*VLOOKUP('Données projet'!$B$12,Paramètres!$A$1:$I$89,3,0)*VLOOKUP('Données projet'!$B$12,Paramètres!$A$1:$I$89,5,0)</f>
        <v>1.1527845344971866E-13</v>
      </c>
      <c r="CA198" s="14">
        <f t="shared" si="170"/>
        <v>1.7033846239409443E-12</v>
      </c>
      <c r="CB198" s="22">
        <f t="shared" si="171"/>
        <v>3.1675048597887374E-12</v>
      </c>
      <c r="CC198" s="62">
        <f t="shared" si="195"/>
        <v>293.3333333333365</v>
      </c>
      <c r="CD198" s="62">
        <f ca="1">AVERAGE(OFFSET($CC$3,0,0,'Données projet'!$E$12+1,1))-AVERAGE(OFFSET($H$3,0,0,'Données projet'!$E$12+1,1))</f>
        <v>308.72872453744998</v>
      </c>
      <c r="CE198" s="62">
        <f t="shared" si="207"/>
        <v>195.3674411454258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3.1180476004830811E-2</v>
      </c>
      <c r="CM198" s="23">
        <f>EXP(-LN(2)/2)*CM197+(1-EXP(-LN(2)/2))/(LN(2)/2)*CG198*CJ198*VLOOKUP('Données projet'!$B$12,Paramètres!$A$1:$I$89,3,0)*0.475*44/12</f>
        <v>2.056529485671607E-24</v>
      </c>
      <c r="CN198" s="24">
        <f t="shared" si="172"/>
        <v>3.1180476004830811E-2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160.24926890971085</v>
      </c>
      <c r="T199" s="62">
        <f t="shared" si="204"/>
        <v>323.52368436151721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2.2015671759543416</v>
      </c>
      <c r="AA199" s="23">
        <f>EXP(-LN(2)/25)*AA198+(1-EXP(-LN(2)/25))/(LN(2)/25)*Calculateur!V199*Calculateur!X199*VLOOKUP('Données projet'!$B$9,Paramètres!$A$1:$I$89,3,0)*0.475*44/12</f>
        <v>0.51784248306043579</v>
      </c>
      <c r="AB199" s="23">
        <f>EXP(-LN(2)/2)*AB198+(1-EXP(-LN(2)/2))/(LN(2)/2)*V199*Y199*VLOOKUP('Données projet'!$B$9,Paramètres!$A$1:$I$89,3,0)*0.475*44/12</f>
        <v>1.8435535668371111E-23</v>
      </c>
      <c r="AC199" s="24">
        <f t="shared" si="163"/>
        <v>2.7194096590147776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1.1882548278663309E-13</v>
      </c>
      <c r="AK199" s="14">
        <f t="shared" si="164"/>
        <v>1.7496137229198366E-12</v>
      </c>
      <c r="AL199" s="22">
        <f t="shared" si="165"/>
        <v>3.2541982832721012E-12</v>
      </c>
      <c r="AM199" s="62">
        <f t="shared" si="193"/>
        <v>293.33333333333655</v>
      </c>
      <c r="AN199" s="62">
        <f ca="1">AVERAGE(OFFSET($AM$3,0,0,'Données projet'!$E$10+1,1))-AVERAGE(OFFSET($H$3,0,0,'Données projet'!$E$10+1,1))</f>
        <v>320.63267332485663</v>
      </c>
      <c r="AO199" s="62">
        <f t="shared" si="205"/>
        <v>201.96012789473809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3.1261008687192407E-2</v>
      </c>
      <c r="AW199" s="23">
        <f>EXP(-LN(2)/2)*AW198+(1-EXP(-LN(2)/2))/(LN(2)/2)*AQ199*AT199*VLOOKUP('Données projet'!$B$10,Paramètres!$A$1:$I$89,3,0)*0.475*44/12</f>
        <v>1.4989301279524318E-24</v>
      </c>
      <c r="AX199" s="23">
        <f t="shared" si="166"/>
        <v>3.1261008687192407E-2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1.0286385077051818E-13</v>
      </c>
      <c r="BF199" s="14">
        <f t="shared" si="167"/>
        <v>1.5402366592183556E-12</v>
      </c>
      <c r="BG199" s="22">
        <f t="shared" si="168"/>
        <v>2.8617333882306215E-12</v>
      </c>
      <c r="BH199" s="62">
        <f t="shared" si="194"/>
        <v>293.33333333333616</v>
      </c>
      <c r="BI199" s="62">
        <f ca="1">AVERAGE(OFFSET($BH$3,0,0,'Données projet'!$E$11+1,1))-AVERAGE(OFFSET($H$3,0,0,'Données projet'!$E$11+1,1))</f>
        <v>267.00333505765792</v>
      </c>
      <c r="BJ199" s="62">
        <f t="shared" si="206"/>
        <v>172.25613380618557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2.706176871428595E-2</v>
      </c>
      <c r="BR199" s="23">
        <f>EXP(-LN(2)/2)*BR198+(1-EXP(-LN(2)/2))/(LN(2)/2)*BL199*BO199*VLOOKUP('Données projet'!$B$11,Paramètres!$A$1:$I$89,3,0)*0.475*44/12</f>
        <v>1.2975813047946401E-24</v>
      </c>
      <c r="BS199" s="24">
        <f t="shared" si="169"/>
        <v>2.706176871428595E-2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1.1368683772161603E-13</v>
      </c>
      <c r="BZ199" s="14">
        <f>BY199*VLOOKUP('Données projet'!$B$12,Paramètres!$A$1:$I$89,3,0)*VLOOKUP('Données projet'!$B$12,Paramètres!$A$1:$I$89,5,0)</f>
        <v>1.1527845344971866E-13</v>
      </c>
      <c r="CA199" s="14">
        <f t="shared" si="170"/>
        <v>1.7033846239409443E-12</v>
      </c>
      <c r="CB199" s="22">
        <f t="shared" si="171"/>
        <v>3.1675048597887374E-12</v>
      </c>
      <c r="CC199" s="62">
        <f t="shared" si="195"/>
        <v>293.3333333333365</v>
      </c>
      <c r="CD199" s="62">
        <f ca="1">AVERAGE(OFFSET($CC$3,0,0,'Données projet'!$E$12+1,1))-AVERAGE(OFFSET($H$3,0,0,'Données projet'!$E$12+1,1))</f>
        <v>308.72872453744998</v>
      </c>
      <c r="CE199" s="62">
        <f t="shared" si="207"/>
        <v>195.3674411454258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3.0327844248768745E-2</v>
      </c>
      <c r="CM199" s="23">
        <f>EXP(-LN(2)/2)*CM198+(1-EXP(-LN(2)/2))/(LN(2)/2)*CG199*CJ199*VLOOKUP('Données projet'!$B$12,Paramètres!$A$1:$I$89,3,0)*0.475*44/12</f>
        <v>1.4541859450284761E-24</v>
      </c>
      <c r="CN199" s="24">
        <f t="shared" si="172"/>
        <v>3.0327844248768745E-2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160.24926890971085</v>
      </c>
      <c r="T200" s="62">
        <f t="shared" si="204"/>
        <v>323.52368436151721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2.1583957864572616</v>
      </c>
      <c r="AA200" s="23">
        <f>EXP(-LN(2)/25)*AA199+(1-EXP(-LN(2)/25))/(LN(2)/25)*Calculateur!V200*Calculateur!X200*VLOOKUP('Données projet'!$B$9,Paramètres!$A$1:$I$89,3,0)*0.475*44/12</f>
        <v>0.5036820531289955</v>
      </c>
      <c r="AB200" s="23">
        <f>EXP(-LN(2)/2)*AB199+(1-EXP(-LN(2)/2))/(LN(2)/2)*V200*Y200*VLOOKUP('Données projet'!$B$9,Paramètres!$A$1:$I$89,3,0)*0.475*44/12</f>
        <v>1.3035892285911684E-23</v>
      </c>
      <c r="AC200" s="24">
        <f t="shared" si="163"/>
        <v>2.662077839586257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1.1882548278663309E-13</v>
      </c>
      <c r="AK200" s="14">
        <f t="shared" si="164"/>
        <v>1.7496137229198366E-12</v>
      </c>
      <c r="AL200" s="22">
        <f t="shared" si="165"/>
        <v>3.2541982832721012E-12</v>
      </c>
      <c r="AM200" s="62">
        <f t="shared" si="193"/>
        <v>293.33333333333655</v>
      </c>
      <c r="AN200" s="62">
        <f ca="1">AVERAGE(OFFSET($AM$3,0,0,'Données projet'!$E$10+1,1))-AVERAGE(OFFSET($H$3,0,0,'Données projet'!$E$10+1,1))</f>
        <v>320.63267332485663</v>
      </c>
      <c r="AO200" s="62">
        <f t="shared" si="205"/>
        <v>201.96012789473809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3.0406174760696132E-2</v>
      </c>
      <c r="AW200" s="23">
        <f>EXP(-LN(2)/2)*AW199+(1-EXP(-LN(2)/2))/(LN(2)/2)*AQ200*AT200*VLOOKUP('Données projet'!$B$10,Paramètres!$A$1:$I$89,3,0)*0.475*44/12</f>
        <v>1.0599036579999838E-24</v>
      </c>
      <c r="AX200" s="23">
        <f t="shared" si="166"/>
        <v>3.0406174760696132E-2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1.0286385077051818E-13</v>
      </c>
      <c r="BF200" s="14">
        <f t="shared" si="167"/>
        <v>1.5402366592183556E-12</v>
      </c>
      <c r="BG200" s="22">
        <f t="shared" si="168"/>
        <v>2.8617333882306215E-12</v>
      </c>
      <c r="BH200" s="62">
        <f t="shared" si="194"/>
        <v>293.33333333333616</v>
      </c>
      <c r="BI200" s="62">
        <f ca="1">AVERAGE(OFFSET($BH$3,0,0,'Données projet'!$E$11+1,1))-AVERAGE(OFFSET($H$3,0,0,'Données projet'!$E$11+1,1))</f>
        <v>267.00333505765792</v>
      </c>
      <c r="BJ200" s="62">
        <f t="shared" si="206"/>
        <v>172.25613380618557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2.6321763225677235E-2</v>
      </c>
      <c r="BR200" s="23">
        <f>EXP(-LN(2)/2)*BR199+(1-EXP(-LN(2)/2))/(LN(2)/2)*BL200*BO200*VLOOKUP('Données projet'!$B$11,Paramètres!$A$1:$I$89,3,0)*0.475*44/12</f>
        <v>9.1752853976117841E-25</v>
      </c>
      <c r="BS200" s="24">
        <f t="shared" si="169"/>
        <v>2.6321763225677235E-2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1.1368683772161603E-13</v>
      </c>
      <c r="BZ200" s="14">
        <f>BY200*VLOOKUP('Données projet'!$B$12,Paramètres!$A$1:$I$89,3,0)*VLOOKUP('Données projet'!$B$12,Paramètres!$A$1:$I$89,5,0)</f>
        <v>1.1527845344971866E-13</v>
      </c>
      <c r="CA200" s="14">
        <f t="shared" si="170"/>
        <v>1.7033846239409443E-12</v>
      </c>
      <c r="CB200" s="22">
        <f t="shared" si="171"/>
        <v>3.1675048597887374E-12</v>
      </c>
      <c r="CC200" s="62">
        <f t="shared" si="195"/>
        <v>293.3333333333365</v>
      </c>
      <c r="CD200" s="62">
        <f ca="1">AVERAGE(OFFSET($CC$3,0,0,'Données projet'!$E$12+1,1))-AVERAGE(OFFSET($H$3,0,0,'Données projet'!$E$12+1,1))</f>
        <v>308.72872453744998</v>
      </c>
      <c r="CE200" s="62">
        <f t="shared" si="207"/>
        <v>195.3674411454258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2.9498527752914151E-2</v>
      </c>
      <c r="CM200" s="23">
        <f>EXP(-LN(2)/2)*CM199+(1-EXP(-LN(2)/2))/(LN(2)/2)*CG200*CJ200*VLOOKUP('Données projet'!$B$12,Paramètres!$A$1:$I$89,3,0)*0.475*44/12</f>
        <v>1.0282647428358035E-24</v>
      </c>
      <c r="CN200" s="24">
        <f t="shared" si="172"/>
        <v>2.9498527752914151E-2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160.24926890971085</v>
      </c>
      <c r="T201" s="62">
        <f t="shared" si="204"/>
        <v>323.52368436151721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2.1160709615762716</v>
      </c>
      <c r="AA201" s="23">
        <f>EXP(-LN(2)/25)*AA200+(1-EXP(-LN(2)/25))/(LN(2)/25)*Calculateur!V201*Calculateur!X201*VLOOKUP('Données projet'!$B$9,Paramètres!$A$1:$I$89,3,0)*0.475*44/12</f>
        <v>0.48990884089869513</v>
      </c>
      <c r="AB201" s="23">
        <f>EXP(-LN(2)/2)*AB200+(1-EXP(-LN(2)/2))/(LN(2)/2)*V201*Y201*VLOOKUP('Données projet'!$B$9,Paramètres!$A$1:$I$89,3,0)*0.475*44/12</f>
        <v>9.2177678341855571E-24</v>
      </c>
      <c r="AC201" s="24">
        <f t="shared" si="163"/>
        <v>2.605979802474967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1.1882548278663309E-13</v>
      </c>
      <c r="AK201" s="14">
        <f t="shared" si="164"/>
        <v>1.7496137229198366E-12</v>
      </c>
      <c r="AL201" s="22">
        <f t="shared" si="165"/>
        <v>3.2541982832721012E-12</v>
      </c>
      <c r="AM201" s="62">
        <f t="shared" si="193"/>
        <v>293.33333333333655</v>
      </c>
      <c r="AN201" s="62">
        <f ca="1">AVERAGE(OFFSET($AM$3,0,0,'Données projet'!$E$10+1,1))-AVERAGE(OFFSET($H$3,0,0,'Données projet'!$E$10+1,1))</f>
        <v>320.63267332485663</v>
      </c>
      <c r="AO201" s="62">
        <f t="shared" si="205"/>
        <v>201.96012789473809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2.9574716312873658E-2</v>
      </c>
      <c r="AW201" s="23">
        <f>EXP(-LN(2)/2)*AW200+(1-EXP(-LN(2)/2))/(LN(2)/2)*AQ201*AT201*VLOOKUP('Données projet'!$B$10,Paramètres!$A$1:$I$89,3,0)*0.475*44/12</f>
        <v>7.4946506397621588E-25</v>
      </c>
      <c r="AX201" s="23">
        <f t="shared" si="166"/>
        <v>2.9574716312873658E-2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1.0286385077051818E-13</v>
      </c>
      <c r="BF201" s="14">
        <f t="shared" si="167"/>
        <v>1.5402366592183556E-12</v>
      </c>
      <c r="BG201" s="22">
        <f t="shared" si="168"/>
        <v>2.8617333882306215E-12</v>
      </c>
      <c r="BH201" s="62">
        <f t="shared" si="194"/>
        <v>293.33333333333616</v>
      </c>
      <c r="BI201" s="62">
        <f ca="1">AVERAGE(OFFSET($BH$3,0,0,'Données projet'!$E$11+1,1))-AVERAGE(OFFSET($H$3,0,0,'Données projet'!$E$11+1,1))</f>
        <v>267.00333505765792</v>
      </c>
      <c r="BJ201" s="62">
        <f t="shared" si="206"/>
        <v>172.25613380618557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2.5601993226069722E-2</v>
      </c>
      <c r="BR201" s="23">
        <f>EXP(-LN(2)/2)*BR200+(1-EXP(-LN(2)/2))/(LN(2)/2)*BL201*BO201*VLOOKUP('Données projet'!$B$11,Paramètres!$A$1:$I$89,3,0)*0.475*44/12</f>
        <v>6.4879065239732005E-25</v>
      </c>
      <c r="BS201" s="24">
        <f t="shared" si="169"/>
        <v>2.5601993226069722E-2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1.1368683772161603E-13</v>
      </c>
      <c r="BZ201" s="14">
        <f>BY201*VLOOKUP('Données projet'!$B$12,Paramètres!$A$1:$I$89,3,0)*VLOOKUP('Données projet'!$B$12,Paramètres!$A$1:$I$89,5,0)</f>
        <v>1.1527845344971866E-13</v>
      </c>
      <c r="CA201" s="14">
        <f t="shared" si="170"/>
        <v>1.7033846239409443E-12</v>
      </c>
      <c r="CB201" s="22">
        <f t="shared" si="171"/>
        <v>3.1675048597887374E-12</v>
      </c>
      <c r="CC201" s="62">
        <f t="shared" si="195"/>
        <v>293.3333333333365</v>
      </c>
      <c r="CD201" s="62">
        <f ca="1">AVERAGE(OFFSET($CC$3,0,0,'Données projet'!$E$12+1,1))-AVERAGE(OFFSET($H$3,0,0,'Données projet'!$E$12+1,1))</f>
        <v>308.72872453744998</v>
      </c>
      <c r="CE201" s="62">
        <f t="shared" si="207"/>
        <v>195.3674411454258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2.8691888960250558E-2</v>
      </c>
      <c r="CM201" s="23">
        <f>EXP(-LN(2)/2)*CM200+(1-EXP(-LN(2)/2))/(LN(2)/2)*CG201*CJ201*VLOOKUP('Données projet'!$B$12,Paramètres!$A$1:$I$89,3,0)*0.475*44/12</f>
        <v>7.2709297251423806E-25</v>
      </c>
      <c r="CN201" s="24">
        <f t="shared" si="172"/>
        <v>2.8691888960250558E-2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160.24926890971085</v>
      </c>
      <c r="T202" s="62">
        <f t="shared" si="204"/>
        <v>323.52368436151721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2.0745761006956038</v>
      </c>
      <c r="AA202" s="23">
        <f>EXP(-LN(2)/25)*AA201+(1-EXP(-LN(2)/25))/(LN(2)/25)*Calculateur!V202*Calculateur!X202*VLOOKUP('Données projet'!$B$9,Paramètres!$A$1:$I$89,3,0)*0.475*44/12</f>
        <v>0.47651225788113405</v>
      </c>
      <c r="AB202" s="23">
        <f>EXP(-LN(2)/2)*AB201+(1-EXP(-LN(2)/2))/(LN(2)/2)*V202*Y202*VLOOKUP('Données projet'!$B$9,Paramètres!$A$1:$I$89,3,0)*0.475*44/12</f>
        <v>6.5179461429558436E-24</v>
      </c>
      <c r="AC202" s="24">
        <f t="shared" si="163"/>
        <v>2.5510883585767381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1.1882548278663309E-13</v>
      </c>
      <c r="AK202" s="14">
        <f t="shared" si="164"/>
        <v>1.7496137229198366E-12</v>
      </c>
      <c r="AL202" s="22">
        <f t="shared" si="165"/>
        <v>3.2541982832721012E-12</v>
      </c>
      <c r="AM202" s="62">
        <f t="shared" si="193"/>
        <v>293.33333333333655</v>
      </c>
      <c r="AN202" s="62">
        <f ca="1">AVERAGE(OFFSET($AM$3,0,0,'Données projet'!$E$10+1,1))-AVERAGE(OFFSET($H$3,0,0,'Données projet'!$E$10+1,1))</f>
        <v>320.63267332485663</v>
      </c>
      <c r="AO202" s="62">
        <f t="shared" si="205"/>
        <v>201.96012789473809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2.8765994140031392E-2</v>
      </c>
      <c r="AW202" s="23">
        <f>EXP(-LN(2)/2)*AW201+(1-EXP(-LN(2)/2))/(LN(2)/2)*AQ202*AT202*VLOOKUP('Données projet'!$B$10,Paramètres!$A$1:$I$89,3,0)*0.475*44/12</f>
        <v>5.2995182899999192E-25</v>
      </c>
      <c r="AX202" s="23">
        <f t="shared" si="166"/>
        <v>2.8765994140031392E-2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1.0286385077051818E-13</v>
      </c>
      <c r="BF202" s="14">
        <f t="shared" si="167"/>
        <v>1.5402366592183556E-12</v>
      </c>
      <c r="BG202" s="22">
        <f t="shared" si="168"/>
        <v>2.8617333882306215E-12</v>
      </c>
      <c r="BH202" s="62">
        <f t="shared" si="194"/>
        <v>293.33333333333616</v>
      </c>
      <c r="BI202" s="62">
        <f ca="1">AVERAGE(OFFSET($BH$3,0,0,'Données projet'!$E$11+1,1))-AVERAGE(OFFSET($H$3,0,0,'Données projet'!$E$11+1,1))</f>
        <v>267.00333505765792</v>
      </c>
      <c r="BJ202" s="62">
        <f t="shared" si="206"/>
        <v>172.25613380618557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2.4901905374952536E-2</v>
      </c>
      <c r="BR202" s="23">
        <f>EXP(-LN(2)/2)*BR201+(1-EXP(-LN(2)/2))/(LN(2)/2)*BL202*BO202*VLOOKUP('Données projet'!$B$11,Paramètres!$A$1:$I$89,3,0)*0.475*44/12</f>
        <v>4.587642698805892E-25</v>
      </c>
      <c r="BS202" s="24">
        <f t="shared" si="169"/>
        <v>2.4901905374952536E-2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1.1368683772161603E-13</v>
      </c>
      <c r="BZ202" s="14">
        <f>BY202*VLOOKUP('Données projet'!$B$12,Paramètres!$A$1:$I$89,3,0)*VLOOKUP('Données projet'!$B$12,Paramètres!$A$1:$I$89,5,0)</f>
        <v>1.1527845344971866E-13</v>
      </c>
      <c r="CA202" s="14">
        <f t="shared" si="170"/>
        <v>1.7033846239409443E-12</v>
      </c>
      <c r="CB202" s="22">
        <f t="shared" si="171"/>
        <v>3.1675048597887374E-12</v>
      </c>
      <c r="CC202" s="62">
        <f t="shared" si="195"/>
        <v>293.3333333333365</v>
      </c>
      <c r="CD202" s="62">
        <f ca="1">AVERAGE(OFFSET($CC$3,0,0,'Données projet'!$E$12+1,1))-AVERAGE(OFFSET($H$3,0,0,'Données projet'!$E$12+1,1))</f>
        <v>308.72872453744998</v>
      </c>
      <c r="CE202" s="62">
        <f t="shared" si="207"/>
        <v>195.3674411454258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2.7907307747791644E-2</v>
      </c>
      <c r="CM202" s="23">
        <f>EXP(-LN(2)/2)*CM201+(1-EXP(-LN(2)/2))/(LN(2)/2)*CG202*CJ202*VLOOKUP('Données projet'!$B$12,Paramètres!$A$1:$I$89,3,0)*0.475*44/12</f>
        <v>5.1413237141790174E-25</v>
      </c>
      <c r="CN202" s="24">
        <f t="shared" si="172"/>
        <v>2.7907307747791644E-2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160.24926890971085</v>
      </c>
      <c r="T203" s="62">
        <f t="shared" si="204"/>
        <v>323.52368436151721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2.0338949287274399</v>
      </c>
      <c r="AA203" s="23">
        <f>EXP(-LN(2)/25)*AA202+(1-EXP(-LN(2)/25))/(LN(2)/25)*Calculateur!V203*Calculateur!X203*VLOOKUP('Données projet'!$B$9,Paramètres!$A$1:$I$89,3,0)*0.475*44/12</f>
        <v>0.46348200513068388</v>
      </c>
      <c r="AB203" s="23">
        <f>EXP(-LN(2)/2)*AB202+(1-EXP(-LN(2)/2))/(LN(2)/2)*V203*Y203*VLOOKUP('Données projet'!$B$9,Paramètres!$A$1:$I$89,3,0)*0.475*44/12</f>
        <v>4.6088839170927793E-24</v>
      </c>
      <c r="AC203" s="24">
        <f t="shared" si="163"/>
        <v>2.4973769338581238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1.1882548278663309E-13</v>
      </c>
      <c r="AK203" s="14">
        <f t="shared" si="164"/>
        <v>1.7496137229198366E-12</v>
      </c>
      <c r="AL203" s="22">
        <f t="shared" si="165"/>
        <v>3.2541982832721012E-12</v>
      </c>
      <c r="AM203" s="62">
        <f t="shared" si="193"/>
        <v>293.33333333333655</v>
      </c>
      <c r="AN203" s="62">
        <f ca="1">AVERAGE(OFFSET($AM$3,0,0,'Données projet'!$E$10+1,1))-AVERAGE(OFFSET($H$3,0,0,'Données projet'!$E$10+1,1))</f>
        <v>320.63267332485663</v>
      </c>
      <c r="AO203" s="62">
        <f t="shared" si="205"/>
        <v>201.96012789473809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2.7979386517534347E-2</v>
      </c>
      <c r="AW203" s="23">
        <f>EXP(-LN(2)/2)*AW202+(1-EXP(-LN(2)/2))/(LN(2)/2)*AQ203*AT203*VLOOKUP('Données projet'!$B$10,Paramètres!$A$1:$I$89,3,0)*0.475*44/12</f>
        <v>3.7473253198810794E-25</v>
      </c>
      <c r="AX203" s="23">
        <f t="shared" si="166"/>
        <v>2.7979386517534347E-2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1.0286385077051818E-13</v>
      </c>
      <c r="BF203" s="14">
        <f t="shared" si="167"/>
        <v>1.5402366592183556E-12</v>
      </c>
      <c r="BG203" s="22">
        <f t="shared" si="168"/>
        <v>2.8617333882306215E-12</v>
      </c>
      <c r="BH203" s="62">
        <f t="shared" si="194"/>
        <v>293.33333333333616</v>
      </c>
      <c r="BI203" s="62">
        <f ca="1">AVERAGE(OFFSET($BH$3,0,0,'Données projet'!$E$11+1,1))-AVERAGE(OFFSET($H$3,0,0,'Données projet'!$E$11+1,1))</f>
        <v>267.00333505765792</v>
      </c>
      <c r="BJ203" s="62">
        <f t="shared" si="206"/>
        <v>172.25613380618557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2.4220961462940168E-2</v>
      </c>
      <c r="BR203" s="23">
        <f>EXP(-LN(2)/2)*BR202+(1-EXP(-LN(2)/2))/(LN(2)/2)*BL203*BO203*VLOOKUP('Données projet'!$B$11,Paramètres!$A$1:$I$89,3,0)*0.475*44/12</f>
        <v>3.2439532619866003E-25</v>
      </c>
      <c r="BS203" s="24">
        <f t="shared" si="169"/>
        <v>2.4220961462940168E-2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1.1368683772161603E-13</v>
      </c>
      <c r="BZ203" s="14">
        <f>BY203*VLOOKUP('Données projet'!$B$12,Paramètres!$A$1:$I$89,3,0)*VLOOKUP('Données projet'!$B$12,Paramètres!$A$1:$I$89,5,0)</f>
        <v>1.1527845344971866E-13</v>
      </c>
      <c r="CA203" s="14">
        <f t="shared" si="170"/>
        <v>1.7033846239409443E-12</v>
      </c>
      <c r="CB203" s="22">
        <f t="shared" si="171"/>
        <v>3.1675048597887374E-12</v>
      </c>
      <c r="CC203" s="62">
        <f t="shared" si="195"/>
        <v>293.3333333333365</v>
      </c>
      <c r="CD203" s="62">
        <f ca="1">AVERAGE(OFFSET($CC$3,0,0,'Données projet'!$E$12+1,1))-AVERAGE(OFFSET($H$3,0,0,'Données projet'!$E$12+1,1))</f>
        <v>308.72872453744998</v>
      </c>
      <c r="CE203" s="62">
        <f t="shared" si="207"/>
        <v>195.3674411454258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2.714418094984675E-2</v>
      </c>
      <c r="CM203" s="23">
        <f>EXP(-LN(2)/2)*CM202+(1-EXP(-LN(2)/2))/(LN(2)/2)*CG203*CJ203*VLOOKUP('Données projet'!$B$12,Paramètres!$A$1:$I$89,3,0)*0.475*44/12</f>
        <v>3.6354648625711903E-25</v>
      </c>
      <c r="CN203" s="24">
        <f t="shared" si="172"/>
        <v>2.714418094984675E-2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1.185906184594963</v>
      </c>
      <c r="BA205" s="88">
        <f>EXP(LN('Données projet'!B88)/'Données projet'!A88)</f>
        <v>1.185906184594963</v>
      </c>
      <c r="BV205" s="88">
        <f>EXP(LN('Données projet'!B114)/'Données projet'!A114)</f>
        <v>1.185906184594963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C8" sqref="C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1.399832</v>
      </c>
      <c r="C6" s="156">
        <f ca="1">IF(OR('Données projet'!B9="",'Données projet'!C9="",'Données projet'!C9=0%),0,Calculateur!S3)</f>
        <v>160.24926890971085</v>
      </c>
      <c r="D6" s="156">
        <f>IF(OR('Données projet'!B9="",'Données projet'!C9="",'Données projet'!C9=0%),0,Calculateur!T3)</f>
        <v>323.52368436151721</v>
      </c>
      <c r="E6" s="156">
        <f ca="1">MIN(C6,D6)</f>
        <v>160.24926890971085</v>
      </c>
      <c r="F6" s="156">
        <f ca="1">E6*B6</f>
        <v>224.32205459641835</v>
      </c>
      <c r="G6" s="156">
        <f ca="1">F6*(100%-'Données projet'!$C$24)*(100%-'Données projet'!$C$25)*(100%-'Données projet'!$C$26)*(100%-'Données projet'!$C$27)</f>
        <v>171.60637176626003</v>
      </c>
      <c r="H6" s="157">
        <f>IF(OR('Données projet'!B9="",'Données projet'!C9="",'Données projet'!C9=0%),0,AVERAGE(Calculateur!$AC$3:$AC$33)*B6)</f>
        <v>13.271799667793927</v>
      </c>
      <c r="I6" s="158">
        <f>H6*(100%-'Données projet'!$C$24)*(100%-'Données projet'!$C$25)*(100%-'Données projet'!$C$26)*(100%-'Données projet'!$C$27)</f>
        <v>10.152926745862354</v>
      </c>
      <c r="J6" s="159">
        <f>IF(OR('Données projet'!B9="",'Données projet'!C9="",'Données projet'!C9=0%),0,SUM(Calculateur!$V$3:$V$33)*VLOOKUP('Données projet'!$B$9,Paramètres!$A$1:$I$89,9,0)*B6)</f>
        <v>99.108105599999988</v>
      </c>
      <c r="K6" s="160">
        <f>J6*(100%-'Données projet'!$C$24)*(100%-'Données projet'!$C$25)*(100%-'Données projet'!$C$26)*(100%-'Données projet'!$C$27)</f>
        <v>75.817700783999982</v>
      </c>
      <c r="L6" s="161">
        <f ca="1">G6+I6+K6</f>
        <v>257.57699929612238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chevelu</v>
      </c>
      <c r="B7" s="163">
        <f>'Données projet'!D10</f>
        <v>0.1862</v>
      </c>
      <c r="C7" s="156">
        <f ca="1">IF(OR('Données projet'!B10="",'Données projet'!C10="",'Données projet'!C10=0%),0,Calculateur!AN3)</f>
        <v>320.63267332485663</v>
      </c>
      <c r="D7" s="156">
        <f>IF(OR('Données projet'!B10="",'Données projet'!C10="",'Données projet'!C10=0%),0,Calculateur!AO3)</f>
        <v>201.96012789473809</v>
      </c>
      <c r="E7" s="156">
        <f t="shared" ref="E7:E15" ca="1" si="0">MIN(C7,D7)</f>
        <v>201.96012789473809</v>
      </c>
      <c r="F7" s="156">
        <f t="shared" ref="F7:F15" ca="1" si="1">E7*B7</f>
        <v>37.604975814000234</v>
      </c>
      <c r="G7" s="156">
        <f ca="1">F7*(100%-'Données projet'!$C$24)*(100%-'Données projet'!$C$25)*(100%-'Données projet'!$C$26)*(100%-'Données projet'!$C$27)</f>
        <v>28.767806497710179</v>
      </c>
      <c r="H7" s="164">
        <f>IF(OR('Données projet'!B10="",'Données projet'!C10="",'Données projet'!C10=0%),0,AVERAGE(Calculateur!$AX$3:$AX$33)*B7)</f>
        <v>0.10580075555718711</v>
      </c>
      <c r="I7" s="158">
        <f>H7*(100%-'Données projet'!$C$24)*(100%-'Données projet'!$C$25)*(100%-'Données projet'!$C$26)*(100%-'Données projet'!$C$27)</f>
        <v>8.0937578001248137E-2</v>
      </c>
      <c r="J7" s="159">
        <f>IF(OR('Données projet'!B10="",'Données projet'!C10="",'Données projet'!C10=0%),0,SUM(Calculateur!$AQ$3:$AQ$33)*VLOOKUP('Données projet'!$B$10,Paramètres!$A$1:$I$89,9,0)*B7)</f>
        <v>1.34995</v>
      </c>
      <c r="K7" s="160">
        <f>J7*(100%-'Données projet'!$C$24)*(100%-'Données projet'!$C$25)*(100%-'Données projet'!$C$26)*(100%-'Données projet'!$C$27)</f>
        <v>1.03271175</v>
      </c>
      <c r="L7" s="161">
        <f t="shared" ref="L7:L15" ca="1" si="2">G7+I7+K7</f>
        <v>29.881455825711427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0.1862</v>
      </c>
      <c r="C8" s="156">
        <f ca="1">IF(OR('Données projet'!B11="",'Données projet'!C11="",'Données projet'!C11=0%),0,Calculateur!BI3)</f>
        <v>267.00333505765792</v>
      </c>
      <c r="D8" s="156">
        <f>IF(OR('Données projet'!B11="",'Données projet'!C11="",'Données projet'!C11=0%),0,Calculateur!BJ3)</f>
        <v>172.25613380618557</v>
      </c>
      <c r="E8" s="156">
        <f t="shared" ca="1" si="0"/>
        <v>172.25613380618557</v>
      </c>
      <c r="F8" s="156">
        <f t="shared" ca="1" si="1"/>
        <v>32.074092114711753</v>
      </c>
      <c r="G8" s="156">
        <f ca="1">F8*(100%-'Données projet'!$C$24)*(100%-'Données projet'!$C$25)*(100%-'Données projet'!$C$26)*(100%-'Données projet'!$C$27)</f>
        <v>24.536680467754493</v>
      </c>
      <c r="H8" s="164">
        <f>IF(OR('Données projet'!B11="",'Données projet'!C11="",'Données projet'!C11=0%),0,AVERAGE(Calculateur!$BS$3:$BS$33)*B8)</f>
        <v>9.158871376592316E-2</v>
      </c>
      <c r="I8" s="158">
        <f>H8*(100%-'Données projet'!$C$24)*(100%-'Données projet'!$C$25)*(100%-'Données projet'!$C$26)*(100%-'Données projet'!$C$27)</f>
        <v>7.006536603093122E-2</v>
      </c>
      <c r="J8" s="159">
        <f>IF(OR('Données projet'!B11="",'Données projet'!C11="",'Données projet'!C11=0%),0,SUM(Calculateur!$BL$3:$BL$33)*VLOOKUP('Données projet'!$B$11,Paramètres!$A$1:$I$89,9,0)*B8)</f>
        <v>1.34995</v>
      </c>
      <c r="K8" s="160">
        <f>J8*(100%-'Données projet'!$C$24)*(100%-'Données projet'!$C$25)*(100%-'Données projet'!$C$26)*(100%-'Données projet'!$C$27)</f>
        <v>1.03271175</v>
      </c>
      <c r="L8" s="161">
        <f t="shared" ca="1" si="2"/>
        <v>25.639457583785425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pubescent</v>
      </c>
      <c r="B9" s="163">
        <f>'Données projet'!D12</f>
        <v>0.1862</v>
      </c>
      <c r="C9" s="156">
        <f ca="1">IF(OR('Données projet'!B12="",'Données projet'!C12="",'Données projet'!C12=0%),0,Calculateur!CD3)</f>
        <v>308.72872453744998</v>
      </c>
      <c r="D9" s="156">
        <f>IF(OR('Données projet'!B12="",'Données projet'!C12="",'Données projet'!C12=0%),0,Calculateur!CE3)</f>
        <v>195.3674411454258</v>
      </c>
      <c r="E9" s="156">
        <f t="shared" ca="1" si="0"/>
        <v>195.3674411454258</v>
      </c>
      <c r="F9" s="156">
        <f t="shared" ca="1" si="1"/>
        <v>36.377417541278284</v>
      </c>
      <c r="G9" s="156">
        <f ca="1">F9*(100%-'Données projet'!$C$24)*(100%-'Données projet'!$C$25)*(100%-'Données projet'!$C$26)*(100%-'Données projet'!$C$27)</f>
        <v>27.828724419077883</v>
      </c>
      <c r="H9" s="164">
        <f>IF(OR('Données projet'!B12="",'Données projet'!C12="",'Données projet'!C12=0%),0,AVERAGE(Calculateur!$CN$3:$CN$33)*B9)</f>
        <v>0.10264252404801735</v>
      </c>
      <c r="I9" s="158">
        <f>H9*(100%-'Données projet'!$C$24)*(100%-'Données projet'!$C$25)*(100%-'Données projet'!$C$26)*(100%-'Données projet'!$C$27)</f>
        <v>7.8521530896733277E-2</v>
      </c>
      <c r="J9" s="159">
        <f>IF(OR('Données projet'!B12="",'Données projet'!C12="",'Données projet'!C12=0%),0,SUM(Calculateur!$CG$3:$CG$33)*VLOOKUP('Données projet'!$B$12,Paramètres!$A$1:$I$89,9,0)*B9)</f>
        <v>1.34995</v>
      </c>
      <c r="K9" s="160">
        <f>J9*(100%-'Données projet'!$C$24)*(100%-'Données projet'!$C$25)*(100%-'Données projet'!$C$26)*(100%-'Données projet'!$C$27)</f>
        <v>1.03271175</v>
      </c>
      <c r="L9" s="161">
        <f t="shared" ca="1" si="2"/>
        <v>28.939957699974617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330.37854006640862</v>
      </c>
      <c r="G16" s="175">
        <f t="shared" ca="1" si="3"/>
        <v>252.73958315080259</v>
      </c>
      <c r="H16" s="176">
        <f t="shared" si="3"/>
        <v>13.571831661165053</v>
      </c>
      <c r="I16" s="176">
        <f t="shared" si="3"/>
        <v>10.382451220791266</v>
      </c>
      <c r="J16" s="177">
        <f t="shared" si="3"/>
        <v>103.15795560000001</v>
      </c>
      <c r="K16" s="177">
        <f t="shared" si="3"/>
        <v>78.915836033999994</v>
      </c>
      <c r="L16" s="178">
        <f t="shared" ca="1" si="3"/>
        <v>342.03787040559388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chevelu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pubescent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B4" zoomScale="80" zoomScaleNormal="80" workbookViewId="0">
      <selection activeCell="I23" sqref="I2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3931.174849877631</v>
      </c>
      <c r="U10" s="190">
        <f>'Données projet'!D9</f>
        <v>1.399832</v>
      </c>
      <c r="V10" s="189">
        <f>U10*T10</f>
        <v>5502.9843524539037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chevelu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545.92806442508015</v>
      </c>
      <c r="U11" s="190">
        <f>'Données projet'!D10</f>
        <v>0.1862</v>
      </c>
      <c r="V11" s="189">
        <f t="shared" ref="V11" si="0">U11*T11</f>
        <v>101.65180559594992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590.78406703025667</v>
      </c>
      <c r="U12" s="190">
        <f>'Données projet'!D11</f>
        <v>0.1862</v>
      </c>
      <c r="V12" s="189">
        <f t="shared" ref="V12:V19" si="1">U12*T12</f>
        <v>110.0039932810338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pubescent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590.78406703025667</v>
      </c>
      <c r="U13" s="190">
        <f>'Données projet'!D12</f>
        <v>0.1862</v>
      </c>
      <c r="V13" s="189">
        <f t="shared" si="1"/>
        <v>110.0039932810338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60.000000000000057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25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1500.0000000000014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(1921/1.96)+(3129/1.96)</f>
        <v>2576.5306122448983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4</v>
      </c>
      <c r="I21" s="204">
        <f>364/1.96</f>
        <v>185.71428571428572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5</v>
      </c>
      <c r="I22" s="204">
        <f>2465/1.96</f>
        <v>1257.6530612244899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>
        <v>15</v>
      </c>
      <c r="D23" s="194">
        <f>B23*C23</f>
        <v>420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-1508.6340140801958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>
        <v>20</v>
      </c>
      <c r="D24" s="194">
        <f t="shared" ref="D24:D42" si="2">B24*C24</f>
        <v>800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209.58968434537536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>
        <v>30</v>
      </c>
      <c r="D25" s="194">
        <f t="shared" si="2"/>
        <v>1560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-1718.2236984255712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34</v>
      </c>
      <c r="B26" s="193">
        <f>'Données projet'!D39</f>
        <v>325</v>
      </c>
      <c r="C26" s="206">
        <v>38</v>
      </c>
      <c r="D26" s="194">
        <f t="shared" si="2"/>
        <v>12350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chevelu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8</v>
      </c>
      <c r="C54" s="292">
        <v>4</v>
      </c>
      <c r="D54" s="191">
        <f>B54*C54</f>
        <v>32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21</v>
      </c>
      <c r="C55" s="292">
        <v>8</v>
      </c>
      <c r="D55" s="191">
        <f t="shared" ref="D55:D73" si="4">B55*C55</f>
        <v>168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21</v>
      </c>
      <c r="C56" s="292">
        <v>10</v>
      </c>
      <c r="D56" s="191">
        <f t="shared" si="4"/>
        <v>210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21</v>
      </c>
      <c r="C57" s="292">
        <v>10</v>
      </c>
      <c r="D57" s="191">
        <f t="shared" si="4"/>
        <v>210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21</v>
      </c>
      <c r="C58" s="292">
        <v>10</v>
      </c>
      <c r="D58" s="191">
        <f t="shared" si="4"/>
        <v>210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21</v>
      </c>
      <c r="C59" s="292">
        <v>10</v>
      </c>
      <c r="D59" s="191">
        <f t="shared" si="4"/>
        <v>210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21</v>
      </c>
      <c r="C60" s="292">
        <v>15</v>
      </c>
      <c r="D60" s="191">
        <f t="shared" si="4"/>
        <v>315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21</v>
      </c>
      <c r="C61" s="292">
        <v>15</v>
      </c>
      <c r="D61" s="191">
        <f t="shared" si="4"/>
        <v>315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21</v>
      </c>
      <c r="C62" s="292">
        <v>15</v>
      </c>
      <c r="D62" s="191">
        <f t="shared" si="4"/>
        <v>315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21</v>
      </c>
      <c r="C63" s="292">
        <v>15</v>
      </c>
      <c r="D63" s="191">
        <f t="shared" si="4"/>
        <v>315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21</v>
      </c>
      <c r="C64" s="292">
        <v>20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21</v>
      </c>
      <c r="C65" s="292">
        <v>20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21</v>
      </c>
      <c r="C66" s="292">
        <v>20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21</v>
      </c>
      <c r="C67" s="292">
        <v>20</v>
      </c>
      <c r="D67" s="191">
        <f t="shared" si="4"/>
        <v>420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21</v>
      </c>
      <c r="C68" s="292">
        <v>30</v>
      </c>
      <c r="D68" s="191">
        <f t="shared" si="4"/>
        <v>630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21</v>
      </c>
      <c r="C69" s="292">
        <v>30</v>
      </c>
      <c r="D69" s="191">
        <f t="shared" si="4"/>
        <v>630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20</v>
      </c>
      <c r="C70" s="292">
        <v>40</v>
      </c>
      <c r="D70" s="191">
        <f t="shared" si="4"/>
        <v>800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19</v>
      </c>
      <c r="C71" s="292">
        <v>50</v>
      </c>
      <c r="D71" s="191">
        <f t="shared" si="4"/>
        <v>950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18</v>
      </c>
      <c r="C72" s="292">
        <v>70</v>
      </c>
      <c r="D72" s="191">
        <f t="shared" si="4"/>
        <v>1260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305</v>
      </c>
      <c r="C73" s="292">
        <v>150</v>
      </c>
      <c r="D73" s="191">
        <f t="shared" si="4"/>
        <v>45750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292">
        <v>4</v>
      </c>
      <c r="D85" s="191">
        <f>B85*C85</f>
        <v>32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292">
        <v>8</v>
      </c>
      <c r="D86" s="191">
        <f t="shared" ref="D86:D104" si="6">B86*C86</f>
        <v>168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292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292">
        <v>10</v>
      </c>
      <c r="D88" s="191">
        <f t="shared" si="6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292">
        <v>10</v>
      </c>
      <c r="D89" s="191">
        <f t="shared" si="6"/>
        <v>210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292">
        <v>10</v>
      </c>
      <c r="D90" s="191">
        <f t="shared" si="6"/>
        <v>210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292">
        <v>15</v>
      </c>
      <c r="D91" s="191">
        <f t="shared" si="6"/>
        <v>315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292">
        <v>15</v>
      </c>
      <c r="D92" s="191">
        <f t="shared" si="6"/>
        <v>315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292">
        <v>15</v>
      </c>
      <c r="D93" s="191">
        <f t="shared" si="6"/>
        <v>315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292">
        <v>15</v>
      </c>
      <c r="D94" s="191">
        <f t="shared" si="6"/>
        <v>315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292">
        <v>20</v>
      </c>
      <c r="D95" s="191">
        <f t="shared" si="6"/>
        <v>420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292">
        <v>20</v>
      </c>
      <c r="D96" s="191">
        <f t="shared" si="6"/>
        <v>420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292">
        <v>20</v>
      </c>
      <c r="D97" s="191">
        <f t="shared" si="6"/>
        <v>420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292">
        <v>20</v>
      </c>
      <c r="D98" s="191">
        <f t="shared" si="6"/>
        <v>420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292">
        <v>30</v>
      </c>
      <c r="D99" s="191">
        <f t="shared" si="6"/>
        <v>630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292">
        <v>30</v>
      </c>
      <c r="D100" s="191">
        <f t="shared" si="6"/>
        <v>630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292">
        <v>40</v>
      </c>
      <c r="D101" s="191">
        <f t="shared" si="6"/>
        <v>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292">
        <v>50</v>
      </c>
      <c r="D102" s="191">
        <f t="shared" si="6"/>
        <v>950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292">
        <v>70</v>
      </c>
      <c r="D103" s="191">
        <f t="shared" si="6"/>
        <v>1260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305</v>
      </c>
      <c r="C104" s="292">
        <v>150</v>
      </c>
      <c r="D104" s="191">
        <f t="shared" si="6"/>
        <v>45750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pubescent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25</v>
      </c>
      <c r="B116" s="193">
        <f>'Données projet'!D114</f>
        <v>8</v>
      </c>
      <c r="C116" s="292">
        <v>4</v>
      </c>
      <c r="D116" s="191">
        <f>B116*C116</f>
        <v>32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30</v>
      </c>
      <c r="B117" s="193">
        <f>'Données projet'!D115</f>
        <v>21</v>
      </c>
      <c r="C117" s="292">
        <v>8</v>
      </c>
      <c r="D117" s="191">
        <f t="shared" ref="D117:D135" si="8">B117*C117</f>
        <v>168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35</v>
      </c>
      <c r="B118" s="193">
        <f>'Données projet'!D116</f>
        <v>21</v>
      </c>
      <c r="C118" s="292">
        <v>10</v>
      </c>
      <c r="D118" s="191">
        <f t="shared" si="8"/>
        <v>210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40</v>
      </c>
      <c r="B119" s="193">
        <f>'Données projet'!D117</f>
        <v>21</v>
      </c>
      <c r="C119" s="292">
        <v>10</v>
      </c>
      <c r="D119" s="191">
        <f t="shared" si="8"/>
        <v>210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45</v>
      </c>
      <c r="B120" s="193">
        <f>'Données projet'!D118</f>
        <v>21</v>
      </c>
      <c r="C120" s="292">
        <v>10</v>
      </c>
      <c r="D120" s="191">
        <f t="shared" si="8"/>
        <v>210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50</v>
      </c>
      <c r="B121" s="193">
        <f>'Données projet'!D119</f>
        <v>21</v>
      </c>
      <c r="C121" s="292">
        <v>10</v>
      </c>
      <c r="D121" s="191">
        <f t="shared" si="8"/>
        <v>210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55</v>
      </c>
      <c r="B122" s="193">
        <f>'Données projet'!D120</f>
        <v>21</v>
      </c>
      <c r="C122" s="292">
        <v>15</v>
      </c>
      <c r="D122" s="191">
        <f t="shared" si="8"/>
        <v>315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60</v>
      </c>
      <c r="B123" s="193">
        <f>'Données projet'!D121</f>
        <v>21</v>
      </c>
      <c r="C123" s="292">
        <v>15</v>
      </c>
      <c r="D123" s="191">
        <f t="shared" si="8"/>
        <v>315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65</v>
      </c>
      <c r="B124" s="193">
        <f>'Données projet'!D122</f>
        <v>21</v>
      </c>
      <c r="C124" s="292">
        <v>15</v>
      </c>
      <c r="D124" s="191">
        <f t="shared" si="8"/>
        <v>315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70</v>
      </c>
      <c r="B125" s="193">
        <f>'Données projet'!D123</f>
        <v>21</v>
      </c>
      <c r="C125" s="292">
        <v>15</v>
      </c>
      <c r="D125" s="191">
        <f t="shared" si="8"/>
        <v>315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75</v>
      </c>
      <c r="B126" s="193">
        <f>'Données projet'!D124</f>
        <v>21</v>
      </c>
      <c r="C126" s="292">
        <v>20</v>
      </c>
      <c r="D126" s="191">
        <f t="shared" si="8"/>
        <v>420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80</v>
      </c>
      <c r="B127" s="193">
        <f>'Données projet'!D125</f>
        <v>21</v>
      </c>
      <c r="C127" s="292">
        <v>20</v>
      </c>
      <c r="D127" s="191">
        <f t="shared" si="8"/>
        <v>420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85</v>
      </c>
      <c r="B128" s="193">
        <f>'Données projet'!D126</f>
        <v>21</v>
      </c>
      <c r="C128" s="292">
        <v>20</v>
      </c>
      <c r="D128" s="191">
        <f t="shared" si="8"/>
        <v>420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90</v>
      </c>
      <c r="B129" s="193">
        <f>'Données projet'!D127</f>
        <v>21</v>
      </c>
      <c r="C129" s="292">
        <v>20</v>
      </c>
      <c r="D129" s="191">
        <f t="shared" si="8"/>
        <v>420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95</v>
      </c>
      <c r="B130" s="193">
        <f>'Données projet'!D128</f>
        <v>21</v>
      </c>
      <c r="C130" s="292">
        <v>30</v>
      </c>
      <c r="D130" s="191">
        <f t="shared" si="8"/>
        <v>630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100</v>
      </c>
      <c r="B131" s="193">
        <f>'Données projet'!D129</f>
        <v>21</v>
      </c>
      <c r="C131" s="292">
        <v>30</v>
      </c>
      <c r="D131" s="191">
        <f t="shared" si="8"/>
        <v>630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105</v>
      </c>
      <c r="B132" s="193">
        <f>'Données projet'!D130</f>
        <v>20</v>
      </c>
      <c r="C132" s="292">
        <v>40</v>
      </c>
      <c r="D132" s="191">
        <f t="shared" si="8"/>
        <v>800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110</v>
      </c>
      <c r="B133" s="193">
        <f>'Données projet'!D131</f>
        <v>19</v>
      </c>
      <c r="C133" s="292">
        <v>50</v>
      </c>
      <c r="D133" s="191">
        <f t="shared" si="8"/>
        <v>950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115</v>
      </c>
      <c r="B134" s="193">
        <f>'Données projet'!D132</f>
        <v>18</v>
      </c>
      <c r="C134" s="292">
        <v>70</v>
      </c>
      <c r="D134" s="191">
        <f t="shared" si="8"/>
        <v>1260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120</v>
      </c>
      <c r="B135" s="193">
        <f>'Données projet'!D133</f>
        <v>305</v>
      </c>
      <c r="C135" s="292">
        <v>150</v>
      </c>
      <c r="D135" s="191">
        <f t="shared" si="8"/>
        <v>45750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2024-05-31T14:34:39Z</dcterms:modified>
</cp:coreProperties>
</file>