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#BAREL/GF DES CHARMERAIS/"/>
    </mc:Choice>
  </mc:AlternateContent>
  <xr:revisionPtr revIDLastSave="42" documentId="8_{C93AC2EF-B29F-4C13-95C4-548FF5694630}" xr6:coauthVersionLast="47" xr6:coauthVersionMax="47" xr10:uidLastSave="{13BF69A4-F8E5-40A3-9343-98931BBCF63A}"/>
  <bookViews>
    <workbookView xWindow="-98" yWindow="-98" windowWidth="17115" windowHeight="1075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C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G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V33" i="2"/>
  <c r="EB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HG38" i="2"/>
  <c r="EW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EB130" i="2"/>
  <c r="EX130" i="2"/>
  <c r="EW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FR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G156" i="2"/>
  <c r="FS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W162" i="2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HG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I163" i="2"/>
  <c r="FR164" i="2"/>
  <c r="EA164" i="2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Q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EV185" i="2"/>
  <c r="EB185" i="2"/>
  <c r="HH185" i="2"/>
  <c r="HI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G190" i="2"/>
  <c r="EW190" i="2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A192" i="2"/>
  <c r="HH192" i="2"/>
  <c r="EB192" i="2"/>
  <c r="HI192" i="2"/>
  <c r="EW192" i="2"/>
  <c r="EC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B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EB195" i="2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X202" i="2"/>
  <c r="HH202" i="2"/>
  <c r="FZ6" i="2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CS105" i="2" a="1"/>
  <c r="CS10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CS77" i="2" l="1" a="1"/>
  <c r="CS77" i="2" s="1"/>
  <c r="CS66" i="2" a="1"/>
  <c r="CS66" i="2" s="1"/>
  <c r="CS38" i="2" a="1"/>
  <c r="CS38" i="2" s="1"/>
  <c r="CS137" i="2" a="1"/>
  <c r="CS137" i="2" s="1"/>
  <c r="CS114" i="2" a="1"/>
  <c r="CS114" i="2" s="1"/>
  <c r="CS161" i="2" a="1"/>
  <c r="CS161" i="2" s="1"/>
  <c r="CS116" i="2" a="1"/>
  <c r="CS116" i="2" s="1"/>
  <c r="CS56" i="2" a="1"/>
  <c r="CS56" i="2" s="1"/>
  <c r="AH163" i="2" a="1"/>
  <c r="AH163" i="2" s="1"/>
  <c r="CS185" i="2" a="1"/>
  <c r="CS185" i="2" s="1"/>
  <c r="AH62" i="2" a="1"/>
  <c r="AH62" i="2" s="1"/>
  <c r="BP203" i="2"/>
  <c r="HH203" i="2"/>
  <c r="CS72" i="2" a="1"/>
  <c r="CS72" i="2" s="1"/>
  <c r="CS120" i="2" a="1"/>
  <c r="CS120" i="2" s="1"/>
  <c r="AH199" i="2" a="1"/>
  <c r="AH199" i="2" s="1"/>
  <c r="CS129" i="2" a="1"/>
  <c r="CS129" i="2" s="1"/>
  <c r="CS134" i="2" a="1"/>
  <c r="CS134" i="2" s="1"/>
  <c r="AH166" i="2" a="1"/>
  <c r="AH166" i="2" s="1"/>
  <c r="CS52" i="2" a="1"/>
  <c r="CS52" i="2" s="1"/>
  <c r="HG203" i="2"/>
  <c r="BC18" i="2" a="1"/>
  <c r="BC18" i="2" s="1"/>
  <c r="BC55" i="2" a="1"/>
  <c r="BC55" i="2" s="1"/>
  <c r="BC117" i="2" a="1"/>
  <c r="BC117" i="2" s="1"/>
  <c r="BC38" i="2" a="1"/>
  <c r="BC38" i="2" s="1"/>
  <c r="BC130" i="2" a="1"/>
  <c r="BC130" i="2" s="1"/>
  <c r="BC181" i="2" a="1"/>
  <c r="BC181" i="2" s="1"/>
  <c r="BC151" i="2" a="1"/>
  <c r="BC151" i="2" s="1"/>
  <c r="BC114" i="2" a="1"/>
  <c r="BC114" i="2" s="1"/>
  <c r="BC7" i="2" a="1"/>
  <c r="BC7" i="2" s="1"/>
  <c r="BC126" i="2" a="1"/>
  <c r="BC126" i="2" s="1"/>
  <c r="BC185" i="2" a="1"/>
  <c r="BC185" i="2" s="1"/>
  <c r="BC82" i="2" a="1"/>
  <c r="BC82" i="2" s="1"/>
  <c r="AH19" i="2" a="1"/>
  <c r="AH19" i="2" s="1"/>
  <c r="AH90" i="2" a="1"/>
  <c r="AH90" i="2" s="1"/>
  <c r="AH92" i="2" a="1"/>
  <c r="AH92" i="2" s="1"/>
  <c r="AH151" i="2" a="1"/>
  <c r="AH151" i="2" s="1"/>
  <c r="DN46" i="2" a="1"/>
  <c r="DN46" i="2" s="1"/>
  <c r="DN162" i="2" a="1"/>
  <c r="DN162" i="2" s="1"/>
  <c r="FY86" i="2" a="1"/>
  <c r="FY86" i="2" s="1"/>
  <c r="DN114" i="2" a="1"/>
  <c r="DN114" i="2" s="1"/>
  <c r="DN177" i="2" a="1"/>
  <c r="DN177" i="2" s="1"/>
  <c r="DN43" i="2" a="1"/>
  <c r="DN43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DN16" i="2" a="1"/>
  <c r="DN16" i="2" s="1"/>
  <c r="DN41" i="2" a="1"/>
  <c r="DN41" i="2" s="1"/>
  <c r="FY133" i="2" a="1"/>
  <c r="FY133" i="2" s="1"/>
  <c r="DN49" i="2" a="1"/>
  <c r="DN49" i="2" s="1"/>
  <c r="FY58" i="2" a="1"/>
  <c r="FY58" i="2" s="1"/>
  <c r="DN103" i="2" a="1"/>
  <c r="DN103" i="2" s="1"/>
  <c r="DN115" i="2" a="1"/>
  <c r="DN115" i="2" s="1"/>
  <c r="DN186" i="2" a="1"/>
  <c r="DN186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DN132" i="2" a="1"/>
  <c r="DN132" i="2" s="1"/>
  <c r="DN164" i="2" a="1"/>
  <c r="DN164" i="2" s="1"/>
  <c r="FY121" i="2" a="1"/>
  <c r="FY121" i="2" s="1"/>
  <c r="DN153" i="2" a="1"/>
  <c r="DN153" i="2" s="1"/>
  <c r="DN137" i="2" a="1"/>
  <c r="DN137" i="2" s="1"/>
  <c r="FY24" i="2" a="1"/>
  <c r="FY24" i="2" s="1"/>
  <c r="FY78" i="2" a="1"/>
  <c r="FY78" i="2" s="1"/>
  <c r="FY191" i="2" a="1"/>
  <c r="FY191" i="2" s="1"/>
  <c r="FY35" i="2" a="1"/>
  <c r="FY35" i="2" s="1"/>
  <c r="DN30" i="2" a="1"/>
  <c r="DN30" i="2" s="1"/>
  <c r="FY173" i="2" a="1"/>
  <c r="FY173" i="2" s="1"/>
  <c r="DN187" i="2" a="1"/>
  <c r="DN187" i="2" s="1"/>
  <c r="DN190" i="2" a="1"/>
  <c r="DN190" i="2" s="1"/>
  <c r="DN135" i="2" a="1"/>
  <c r="DN135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188" i="2" a="1"/>
  <c r="DN188" i="2" s="1"/>
  <c r="FY34" i="2" a="1"/>
  <c r="FY34" i="2" s="1"/>
  <c r="DN133" i="2" a="1"/>
  <c r="DN133" i="2" s="1"/>
  <c r="DN38" i="2" a="1"/>
  <c r="DN38" i="2" s="1"/>
  <c r="FY142" i="2" a="1"/>
  <c r="FY142" i="2" s="1"/>
  <c r="DN123" i="2" a="1"/>
  <c r="DN123" i="2" s="1"/>
  <c r="DN129" i="2" a="1"/>
  <c r="DN129" i="2" s="1"/>
  <c r="FY169" i="2" a="1"/>
  <c r="FY169" i="2" s="1"/>
  <c r="FY99" i="2" a="1"/>
  <c r="FY99" i="2" s="1"/>
  <c r="FY153" i="2" a="1"/>
  <c r="FY153" i="2" s="1"/>
  <c r="FY146" i="2" a="1"/>
  <c r="FY146" i="2" s="1"/>
  <c r="FY115" i="2" a="1"/>
  <c r="FY115" i="2" s="1"/>
  <c r="FY126" i="2" a="1"/>
  <c r="FY126" i="2" s="1"/>
  <c r="DN176" i="2" a="1"/>
  <c r="DN176" i="2" s="1"/>
  <c r="BX107" i="2" a="1"/>
  <c r="BX107" i="2" s="1"/>
  <c r="DN65" i="2" a="1"/>
  <c r="DN65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86" i="2" a="1"/>
  <c r="DN86" i="2" s="1"/>
  <c r="FY109" i="2" a="1"/>
  <c r="FY109" i="2" s="1"/>
  <c r="DN70" i="2" a="1"/>
  <c r="DN7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29" i="2" a="1"/>
  <c r="DN29" i="2" s="1"/>
  <c r="DN45" i="2" a="1"/>
  <c r="DN45" i="2" s="1"/>
  <c r="DN55" i="2" a="1"/>
  <c r="DN55" i="2" s="1"/>
  <c r="DN80" i="2" a="1"/>
  <c r="DN80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10" i="2" a="1"/>
  <c r="DN110" i="2" s="1"/>
  <c r="FY196" i="2" a="1"/>
  <c r="FY196" i="2" s="1"/>
  <c r="DN192" i="2" a="1"/>
  <c r="DN192" i="2" s="1"/>
  <c r="DN184" i="2" a="1"/>
  <c r="DN184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36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33" i="2" l="1"/>
  <c r="CD111" i="2"/>
  <c r="CD60" i="2"/>
  <c r="CD102" i="2"/>
  <c r="CD84" i="2"/>
  <c r="CD27" i="2"/>
  <c r="CD14" i="2"/>
  <c r="CD105" i="2"/>
  <c r="CD199" i="2"/>
  <c r="CD198" i="2"/>
  <c r="CD46" i="2"/>
  <c r="CD201" i="2"/>
  <c r="CD197" i="2"/>
  <c r="CD203" i="2"/>
  <c r="CD186" i="2"/>
  <c r="CD171" i="2"/>
  <c r="CD117" i="2"/>
  <c r="CD10" i="2"/>
  <c r="CD92" i="2"/>
  <c r="CD48" i="2"/>
  <c r="CD12" i="2"/>
  <c r="CD144" i="2"/>
  <c r="CD120" i="2"/>
  <c r="CD86" i="2"/>
  <c r="CD82" i="2"/>
  <c r="CD33" i="2"/>
  <c r="CD76" i="2"/>
  <c r="CD113" i="2"/>
  <c r="CD75" i="2"/>
  <c r="CD155" i="2"/>
  <c r="CD200" i="2"/>
  <c r="CD7" i="2"/>
  <c r="CD189" i="2"/>
  <c r="CD28" i="2"/>
  <c r="CD15" i="2"/>
  <c r="CD187" i="2"/>
  <c r="CD44" i="2"/>
  <c r="CD162" i="2"/>
  <c r="CD131" i="2"/>
  <c r="CD24" i="2"/>
  <c r="CD35" i="2"/>
  <c r="CD145" i="2"/>
  <c r="CD20" i="2"/>
  <c r="CD51" i="2"/>
  <c r="CD181" i="2"/>
  <c r="CD43" i="2"/>
  <c r="CD173" i="2"/>
  <c r="CD45" i="2"/>
  <c r="CD104" i="2"/>
  <c r="CD62" i="2"/>
  <c r="CD77" i="2"/>
  <c r="CD93" i="2"/>
  <c r="CD39" i="2"/>
  <c r="CD115" i="2"/>
  <c r="CD58" i="2"/>
  <c r="CD100" i="2"/>
  <c r="CD96" i="2"/>
  <c r="CD148" i="2"/>
  <c r="CD54" i="2"/>
  <c r="CD63" i="2"/>
  <c r="CD109" i="2"/>
  <c r="CD53" i="2"/>
  <c r="CD72" i="2"/>
  <c r="CD73" i="2"/>
  <c r="CD18" i="2"/>
  <c r="CD191" i="2"/>
  <c r="CD13" i="2"/>
  <c r="CD6" i="2"/>
  <c r="CD11" i="2"/>
  <c r="CD149" i="2"/>
  <c r="CD134" i="2"/>
  <c r="CD47" i="2"/>
  <c r="CD80" i="2"/>
  <c r="CD110" i="2"/>
  <c r="CD183" i="2"/>
  <c r="CD9" i="2"/>
  <c r="CD87" i="2"/>
  <c r="CD190" i="2"/>
  <c r="CD8" i="2"/>
  <c r="CD177" i="2"/>
  <c r="CD67" i="2"/>
  <c r="CD127" i="2"/>
  <c r="CD122" i="2"/>
  <c r="CD59" i="2"/>
  <c r="CD103" i="2"/>
  <c r="CD159" i="2"/>
  <c r="CD160" i="2"/>
  <c r="CD146" i="2"/>
  <c r="CD192" i="2"/>
  <c r="CD85" i="2"/>
  <c r="CD17" i="2"/>
  <c r="CD3" i="2"/>
  <c r="C9" i="4" s="1"/>
  <c r="E9" i="4" s="1"/>
  <c r="F9" i="4" s="1"/>
  <c r="G9" i="4" s="1"/>
  <c r="L9" i="4" s="1"/>
  <c r="CD38" i="2"/>
  <c r="CD29" i="2"/>
  <c r="CD121" i="2"/>
  <c r="CD168" i="2"/>
  <c r="CD68" i="2"/>
  <c r="CD106" i="2"/>
  <c r="CD166" i="2"/>
  <c r="CD165" i="2"/>
  <c r="CD22" i="2"/>
  <c r="CD36" i="2"/>
  <c r="CD193" i="2"/>
  <c r="CD125" i="2"/>
  <c r="CD118" i="2"/>
  <c r="CD50" i="2"/>
  <c r="CD91" i="2"/>
  <c r="CD141" i="2"/>
  <c r="CD138" i="2"/>
  <c r="CD40" i="2"/>
  <c r="CD132" i="2"/>
  <c r="CD5" i="2"/>
  <c r="CD185" i="2"/>
  <c r="CD130" i="2"/>
  <c r="CD157" i="2"/>
  <c r="CD176" i="2"/>
  <c r="CD188" i="2"/>
  <c r="CD182" i="2"/>
  <c r="CD172" i="2"/>
  <c r="CD99" i="2"/>
  <c r="CD98" i="2"/>
  <c r="CD129" i="2"/>
  <c r="CD152" i="2"/>
  <c r="CD107" i="2"/>
  <c r="CD19" i="2"/>
  <c r="CD31" i="2"/>
  <c r="CD128" i="2"/>
  <c r="CD194" i="2"/>
  <c r="CD88" i="2"/>
  <c r="CD161" i="2"/>
  <c r="CD170" i="2"/>
  <c r="CD142" i="2"/>
  <c r="CD112" i="2"/>
  <c r="CD169" i="2"/>
  <c r="CD202" i="2"/>
  <c r="CD74" i="2"/>
  <c r="CD164" i="2"/>
  <c r="CD23" i="2"/>
  <c r="CD90" i="2"/>
  <c r="CD70" i="2"/>
  <c r="CD116" i="2"/>
  <c r="CD37" i="2"/>
  <c r="CD95" i="2"/>
  <c r="CD16" i="2"/>
  <c r="CD32" i="2"/>
  <c r="CD156" i="2"/>
  <c r="CD89" i="2"/>
  <c r="CD69" i="2"/>
  <c r="CD163" i="2"/>
  <c r="CD135" i="2"/>
  <c r="CD196" i="2"/>
  <c r="CD81" i="2"/>
  <c r="CD34" i="2"/>
  <c r="CD184" i="2"/>
  <c r="CD175" i="2"/>
  <c r="CD114" i="2"/>
  <c r="CD167" i="2"/>
  <c r="CD147" i="2"/>
  <c r="CD94" i="2"/>
  <c r="CD124" i="2"/>
  <c r="CD65" i="2"/>
  <c r="CD52" i="2"/>
  <c r="CD179" i="2"/>
  <c r="CD4" i="2"/>
  <c r="CD180" i="2"/>
  <c r="CD139" i="2"/>
  <c r="CD42" i="2"/>
  <c r="CD55" i="2"/>
  <c r="CD137" i="2"/>
  <c r="CD61" i="2"/>
  <c r="CD25" i="2"/>
  <c r="CD30" i="2"/>
  <c r="CD178" i="2"/>
  <c r="CD119" i="2"/>
  <c r="CD66" i="2"/>
  <c r="CD26" i="2"/>
  <c r="CD21" i="2"/>
  <c r="CD57" i="2"/>
  <c r="CD49" i="2"/>
  <c r="CD151" i="2"/>
  <c r="CD83" i="2"/>
  <c r="CD56" i="2"/>
  <c r="CD174" i="2"/>
  <c r="CD158" i="2"/>
  <c r="CD153" i="2"/>
  <c r="CD123" i="2"/>
  <c r="CD101" i="2"/>
  <c r="CD108" i="2"/>
  <c r="CD150" i="2"/>
  <c r="CD154" i="2"/>
  <c r="CD143" i="2"/>
  <c r="CD126" i="2"/>
  <c r="CD71" i="2"/>
  <c r="CD78" i="2"/>
  <c r="CD41" i="2"/>
  <c r="CD140" i="2"/>
  <c r="CD64" i="2"/>
  <c r="CD195" i="2"/>
  <c r="CD79" i="2"/>
  <c r="CD97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93" i="2" l="1"/>
  <c r="AN122" i="2"/>
  <c r="AN104" i="2"/>
  <c r="AN85" i="2"/>
  <c r="AN68" i="2"/>
  <c r="AN152" i="2"/>
  <c r="AN123" i="2"/>
  <c r="AN32" i="2"/>
  <c r="AN97" i="2"/>
  <c r="AN200" i="2"/>
  <c r="AN120" i="2"/>
  <c r="AN127" i="2"/>
  <c r="AN124" i="2"/>
  <c r="AN192" i="2"/>
  <c r="AN114" i="2"/>
  <c r="AN137" i="2"/>
  <c r="AN19" i="2"/>
  <c r="AN13" i="2"/>
  <c r="AN46" i="2"/>
  <c r="AN35" i="2"/>
  <c r="AN169" i="2"/>
  <c r="AN64" i="2"/>
  <c r="AN174" i="2"/>
  <c r="AN179" i="2"/>
  <c r="AN92" i="2"/>
  <c r="AN11" i="2"/>
  <c r="AN39" i="2"/>
  <c r="AN50" i="2"/>
  <c r="AN102" i="2"/>
  <c r="AN89" i="2"/>
  <c r="AN15" i="2"/>
  <c r="AN18" i="2"/>
  <c r="AN165" i="2"/>
  <c r="AN59" i="2"/>
  <c r="AN58" i="2"/>
  <c r="AN54" i="2"/>
  <c r="AN108" i="2"/>
  <c r="AN170" i="2"/>
  <c r="AN168" i="2"/>
  <c r="AN101" i="2"/>
  <c r="AN157" i="2"/>
  <c r="AN129" i="2"/>
  <c r="AN195" i="2"/>
  <c r="AN110" i="2"/>
  <c r="AN186" i="2"/>
  <c r="AN99" i="2"/>
  <c r="AN133" i="2"/>
  <c r="AN190" i="2"/>
  <c r="AN103" i="2"/>
  <c r="AN145" i="2"/>
  <c r="AN63" i="2"/>
  <c r="AN70" i="2"/>
  <c r="AN112" i="2"/>
  <c r="AN43" i="2"/>
  <c r="AN71" i="2"/>
  <c r="AN31" i="2"/>
  <c r="AN117" i="2"/>
  <c r="AN4" i="2"/>
  <c r="AN135" i="2"/>
  <c r="AN84" i="2"/>
  <c r="AN143" i="2"/>
  <c r="AN10" i="2"/>
  <c r="AN118" i="2"/>
  <c r="AN197" i="2"/>
  <c r="AN37" i="2"/>
  <c r="AN44" i="2"/>
  <c r="AN128" i="2"/>
  <c r="AN182" i="2"/>
  <c r="AN14" i="2"/>
  <c r="AN53" i="2"/>
  <c r="AN17" i="2"/>
  <c r="AN42" i="2"/>
  <c r="AN47" i="2"/>
  <c r="AN155" i="2"/>
  <c r="AN26" i="2"/>
  <c r="AN146" i="2"/>
  <c r="AN131" i="2"/>
  <c r="AN105" i="2"/>
  <c r="AN153" i="2"/>
  <c r="AN72" i="2"/>
  <c r="AN202" i="2"/>
  <c r="AN94" i="2"/>
  <c r="AN158" i="2"/>
  <c r="AN96" i="2"/>
  <c r="AN90" i="2"/>
  <c r="AN107" i="2"/>
  <c r="AN25" i="2"/>
  <c r="AN161" i="2"/>
  <c r="AN164" i="2"/>
  <c r="AN36" i="2"/>
  <c r="AN20" i="2"/>
  <c r="AN74" i="2"/>
  <c r="AN126" i="2"/>
  <c r="AN80" i="2"/>
  <c r="AN69" i="2"/>
  <c r="AN55" i="2"/>
  <c r="AN66" i="2"/>
  <c r="AN16" i="2"/>
  <c r="AN56" i="2"/>
  <c r="AN51" i="2"/>
  <c r="AN173" i="2"/>
  <c r="AN134" i="2"/>
  <c r="AN201" i="2"/>
  <c r="AN8" i="2"/>
  <c r="AN76" i="2"/>
  <c r="AN121" i="2"/>
  <c r="AN5" i="2"/>
  <c r="AN7" i="2"/>
  <c r="AN78" i="2"/>
  <c r="AN172" i="2"/>
  <c r="AN86" i="2"/>
  <c r="AN40" i="2"/>
  <c r="AN187" i="2"/>
  <c r="AN61" i="2"/>
  <c r="AN176" i="2"/>
  <c r="AN125" i="2"/>
  <c r="AN52" i="2"/>
  <c r="AN57" i="2"/>
  <c r="AN6" i="2"/>
  <c r="AN177" i="2"/>
  <c r="AN178" i="2"/>
  <c r="AN22" i="2"/>
  <c r="AN180" i="2"/>
  <c r="AN48" i="2"/>
  <c r="AN75" i="2"/>
  <c r="AN147" i="2"/>
  <c r="AN144" i="2"/>
  <c r="AN88" i="2"/>
  <c r="AN79" i="2"/>
  <c r="AN87" i="2"/>
  <c r="AN199" i="2"/>
  <c r="AN132" i="2"/>
  <c r="AN163" i="2"/>
  <c r="AN196" i="2"/>
  <c r="AN38" i="2"/>
  <c r="AN100" i="2"/>
  <c r="AN34" i="2"/>
  <c r="AN77" i="2"/>
  <c r="AN138" i="2"/>
  <c r="AN12" i="2"/>
  <c r="AN151" i="2"/>
  <c r="AN21" i="2"/>
  <c r="AN45" i="2"/>
  <c r="AN139" i="2"/>
  <c r="AN156" i="2"/>
  <c r="AN184" i="2"/>
  <c r="AN62" i="2"/>
  <c r="AN33" i="2"/>
  <c r="AN116" i="2"/>
  <c r="AN81" i="2"/>
  <c r="AN91" i="2"/>
  <c r="AN154" i="2"/>
  <c r="AN142" i="2"/>
  <c r="AN24" i="2"/>
  <c r="AN130" i="2"/>
  <c r="AN65" i="2"/>
  <c r="AN29" i="2"/>
  <c r="AN159" i="2"/>
  <c r="AN73" i="2"/>
  <c r="AN149" i="2"/>
  <c r="AN113" i="2"/>
  <c r="AN148" i="2"/>
  <c r="AN106" i="2"/>
  <c r="AN28" i="2"/>
  <c r="AN162" i="2"/>
  <c r="AN27" i="2"/>
  <c r="AN9" i="2"/>
  <c r="AN49" i="2"/>
  <c r="AN171" i="2"/>
  <c r="AN93" i="2"/>
  <c r="AN191" i="2"/>
  <c r="AN189" i="2"/>
  <c r="AN183" i="2"/>
  <c r="AN140" i="2"/>
  <c r="AN3" i="2"/>
  <c r="C7" i="4" s="1"/>
  <c r="E7" i="4" s="1"/>
  <c r="F7" i="4" s="1"/>
  <c r="G7" i="4" s="1"/>
  <c r="L7" i="4" s="1"/>
  <c r="AN41" i="2"/>
  <c r="AN167" i="2"/>
  <c r="AN67" i="2"/>
  <c r="AN188" i="2"/>
  <c r="AN95" i="2"/>
  <c r="AN111" i="2"/>
  <c r="AN119" i="2"/>
  <c r="AN115" i="2"/>
  <c r="AN198" i="2"/>
  <c r="AN141" i="2"/>
  <c r="AN82" i="2"/>
  <c r="AN109" i="2"/>
  <c r="AN150" i="2"/>
  <c r="AN181" i="2"/>
  <c r="AN160" i="2"/>
  <c r="AN23" i="2"/>
  <c r="AN166" i="2"/>
  <c r="AN185" i="2"/>
  <c r="AN30" i="2"/>
  <c r="AN98" i="2"/>
  <c r="AN83" i="2"/>
  <c r="AN203" i="2"/>
  <c r="AN194" i="2"/>
  <c r="AN136" i="2"/>
  <c r="AN175" i="2"/>
  <c r="AN6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71" i="2" l="1"/>
  <c r="BI117" i="2"/>
  <c r="BI198" i="2"/>
  <c r="BI39" i="2"/>
  <c r="BI82" i="2"/>
  <c r="BI130" i="2"/>
  <c r="BI11" i="2"/>
  <c r="BI138" i="2"/>
  <c r="BI159" i="2"/>
  <c r="BI99" i="2"/>
  <c r="BI188" i="2"/>
  <c r="BI24" i="2"/>
  <c r="BI161" i="2"/>
  <c r="BI179" i="2"/>
  <c r="BI175" i="2"/>
  <c r="BI109" i="2"/>
  <c r="BI170" i="2"/>
  <c r="BI125" i="2"/>
  <c r="BI172" i="2"/>
  <c r="BI85" i="2"/>
  <c r="BI121" i="2"/>
  <c r="BI47" i="2"/>
  <c r="BI95" i="2"/>
  <c r="BI20" i="2"/>
  <c r="BI5" i="2"/>
  <c r="BI21" i="2"/>
  <c r="BI201" i="2"/>
  <c r="BI171" i="2"/>
  <c r="BI58" i="2"/>
  <c r="BI139" i="2"/>
  <c r="BI186" i="2"/>
  <c r="BI113" i="2"/>
  <c r="BI49" i="2"/>
  <c r="BI199" i="2"/>
  <c r="BI123" i="2"/>
  <c r="BI101" i="2"/>
  <c r="BI103" i="2"/>
  <c r="BI86" i="2"/>
  <c r="BI12" i="2"/>
  <c r="BI88" i="2"/>
  <c r="BI168" i="2"/>
  <c r="BI52" i="2"/>
  <c r="BI162" i="2"/>
  <c r="BI29" i="2"/>
  <c r="BI157" i="2"/>
  <c r="BI136" i="2"/>
  <c r="BI43" i="2"/>
  <c r="BI22" i="2"/>
  <c r="BI183" i="2"/>
  <c r="BI42" i="2"/>
  <c r="BI177" i="2"/>
  <c r="BI200" i="2"/>
  <c r="BI72" i="2"/>
  <c r="BI187" i="2"/>
  <c r="BI156" i="2"/>
  <c r="BI182" i="2"/>
  <c r="BI30" i="2"/>
  <c r="BI105" i="2"/>
  <c r="BI104" i="2"/>
  <c r="BI44" i="2"/>
  <c r="BI120" i="2"/>
  <c r="BI160" i="2"/>
  <c r="BI10" i="2"/>
  <c r="BI13" i="2"/>
  <c r="BI178" i="2"/>
  <c r="BI16" i="2"/>
  <c r="BI94" i="2"/>
  <c r="BI192" i="2"/>
  <c r="BI134" i="2"/>
  <c r="BI87" i="2"/>
  <c r="BI142" i="2"/>
  <c r="BI59" i="2"/>
  <c r="BI131" i="2"/>
  <c r="BI34" i="2"/>
  <c r="BI122" i="2"/>
  <c r="BI41" i="2"/>
  <c r="BI119" i="2"/>
  <c r="BI149" i="2"/>
  <c r="BI32" i="2"/>
  <c r="BI189" i="2"/>
  <c r="BI73" i="2"/>
  <c r="BI79" i="2"/>
  <c r="BI84" i="2"/>
  <c r="BI8" i="2"/>
  <c r="BI53" i="2"/>
  <c r="BI151" i="2"/>
  <c r="BI61" i="2"/>
  <c r="BI191" i="2"/>
  <c r="BI196" i="2"/>
  <c r="BI63" i="2"/>
  <c r="BI35" i="2"/>
  <c r="BI48" i="2"/>
  <c r="BI166" i="2"/>
  <c r="BI31" i="2"/>
  <c r="BI57" i="2"/>
  <c r="BI26" i="2"/>
  <c r="BI163" i="2"/>
  <c r="BI68" i="2"/>
  <c r="BI147" i="2"/>
  <c r="BI154" i="2"/>
  <c r="BI116" i="2"/>
  <c r="BI98" i="2"/>
  <c r="BI33" i="2"/>
  <c r="BI46" i="2"/>
  <c r="BI50" i="2"/>
  <c r="BI140" i="2"/>
  <c r="BI65" i="2"/>
  <c r="BI129" i="2"/>
  <c r="BI69" i="2"/>
  <c r="BI83" i="2"/>
  <c r="BI107" i="2"/>
  <c r="BI91" i="2"/>
  <c r="BI146" i="2"/>
  <c r="BI97" i="2"/>
  <c r="BI110" i="2"/>
  <c r="BI203" i="2"/>
  <c r="BI75" i="2"/>
  <c r="BI3" i="2"/>
  <c r="C8" i="4" s="1"/>
  <c r="E8" i="4" s="1"/>
  <c r="F8" i="4" s="1"/>
  <c r="G8" i="4" s="1"/>
  <c r="L8" i="4" s="1"/>
  <c r="BI9" i="2"/>
  <c r="BI27" i="2"/>
  <c r="BI174" i="2"/>
  <c r="BI176" i="2"/>
  <c r="BI4" i="2"/>
  <c r="BI141" i="2"/>
  <c r="BI126" i="2"/>
  <c r="BI145" i="2"/>
  <c r="BI150" i="2"/>
  <c r="BI89" i="2"/>
  <c r="BI202" i="2"/>
  <c r="BI143" i="2"/>
  <c r="BI45" i="2"/>
  <c r="BI66" i="2"/>
  <c r="BI74" i="2"/>
  <c r="BI106" i="2"/>
  <c r="BI195" i="2"/>
  <c r="BI78" i="2"/>
  <c r="BI180" i="2"/>
  <c r="BI115" i="2"/>
  <c r="BI51" i="2"/>
  <c r="BI193" i="2"/>
  <c r="BI28" i="2"/>
  <c r="BI190" i="2"/>
  <c r="BI100" i="2"/>
  <c r="BI6" i="2"/>
  <c r="BI54" i="2"/>
  <c r="BI92" i="2"/>
  <c r="BI19" i="2"/>
  <c r="BI81" i="2"/>
  <c r="BI14" i="2"/>
  <c r="BI173" i="2"/>
  <c r="BI56" i="2"/>
  <c r="BI153" i="2"/>
  <c r="BI64" i="2"/>
  <c r="BI114" i="2"/>
  <c r="BI102" i="2"/>
  <c r="BI194" i="2"/>
  <c r="BI118" i="2"/>
  <c r="BI108" i="2"/>
  <c r="BI135" i="2"/>
  <c r="BI62" i="2"/>
  <c r="BI148" i="2"/>
  <c r="BI111" i="2"/>
  <c r="BI128" i="2"/>
  <c r="BI155" i="2"/>
  <c r="BI137" i="2"/>
  <c r="BI40" i="2"/>
  <c r="BI67" i="2"/>
  <c r="BI197" i="2"/>
  <c r="BI77" i="2"/>
  <c r="BI164" i="2"/>
  <c r="BI169" i="2"/>
  <c r="BI127" i="2"/>
  <c r="BI124" i="2"/>
  <c r="BI55" i="2"/>
  <c r="BI158" i="2"/>
  <c r="BI80" i="2"/>
  <c r="BI167" i="2"/>
  <c r="BI7" i="2"/>
  <c r="BI133" i="2"/>
  <c r="BI112" i="2"/>
  <c r="BI90" i="2"/>
  <c r="BI60" i="2"/>
  <c r="BI18" i="2"/>
  <c r="BI181" i="2"/>
  <c r="BI70" i="2"/>
  <c r="BI15" i="2"/>
  <c r="BI96" i="2"/>
  <c r="BI23" i="2"/>
  <c r="BI17" i="2"/>
  <c r="BI144" i="2"/>
  <c r="BI132" i="2"/>
  <c r="BI184" i="2"/>
  <c r="BI25" i="2"/>
  <c r="BI76" i="2"/>
  <c r="BI36" i="2"/>
  <c r="BI185" i="2"/>
  <c r="BI37" i="2"/>
  <c r="BI38" i="2"/>
  <c r="BI165" i="2"/>
  <c r="BI93" i="2"/>
  <c r="BI15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<sst xmlns="http://schemas.openxmlformats.org/spreadsheetml/2006/main" count="1173" uniqueCount="324">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</sst>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2.1334285104713615</c:v>
                </c:pt>
                <c:pt idx="2">
                  <c:v>2.9353408895492845</c:v>
                </c:pt>
                <c:pt idx="3">
                  <c:v>4.039964437386435</c:v>
                </c:pt>
                <c:pt idx="4">
                  <c:v>5.56202642625703</c:v>
                </c:pt>
                <c:pt idx="5">
                  <c:v>7.6598976599795643</c:v>
                </c:pt>
                <c:pt idx="6">
                  <c:v>10.55225204441256</c:v>
                </c:pt>
                <c:pt idx="7">
                  <c:v>14.541105476202981</c:v>
                </c:pt>
                <c:pt idx="8">
                  <c:v>20.043683844100759</c:v>
                </c:pt>
                <c:pt idx="9">
                  <c:v>27.636513156144243</c:v>
                </c:pt>
                <c:pt idx="10">
                  <c:v>38.116432033448227</c:v>
                </c:pt>
                <c:pt idx="11">
                  <c:v>52.585038820898312</c:v>
                </c:pt>
                <c:pt idx="12">
                  <c:v>72.565597674284803</c:v>
                </c:pt>
                <c:pt idx="13">
                  <c:v>100.16491122227438</c:v>
                </c:pt>
                <c:pt idx="14">
                  <c:v>138.2974979090055</c:v>
                </c:pt>
                <c:pt idx="15">
                  <c:v>190.99611197319894</c:v>
                </c:pt>
                <c:pt idx="16">
                  <c:v>155.256978631686</c:v>
                </c:pt>
                <c:pt idx="17">
                  <c:v>185.00517186105367</c:v>
                </c:pt>
                <c:pt idx="18">
                  <c:v>214.64142025602294</c:v>
                </c:pt>
                <c:pt idx="19">
                  <c:v>244.18337108523338</c:v>
                </c:pt>
                <c:pt idx="20">
                  <c:v>273.64403918646246</c:v>
                </c:pt>
                <c:pt idx="21">
                  <c:v>233.89014607034687</c:v>
                </c:pt>
                <c:pt idx="22">
                  <c:v>265.06349566455668</c:v>
                </c:pt>
                <c:pt idx="23">
                  <c:v>296.15414676007953</c:v>
                </c:pt>
                <c:pt idx="24">
                  <c:v>327.17199695479388</c:v>
                </c:pt>
                <c:pt idx="25">
                  <c:v>358.12491265217704</c:v>
                </c:pt>
                <c:pt idx="26">
                  <c:v>389.01928929133305</c:v>
                </c:pt>
                <c:pt idx="27">
                  <c:v>349.30264839689653</c:v>
                </c:pt>
                <c:pt idx="28">
                  <c:v>381.18143660146501</c:v>
                </c:pt>
                <c:pt idx="29">
                  <c:v>413.00225010505613</c:v>
                </c:pt>
                <c:pt idx="30">
                  <c:v>444.77017787716136</c:v>
                </c:pt>
                <c:pt idx="31">
                  <c:v>476.48952312680632</c:v>
                </c:pt>
                <c:pt idx="32">
                  <c:v>508.16396992698787</c:v>
                </c:pt>
                <c:pt idx="33">
                  <c:v>436.83767056079637</c:v>
                </c:pt>
                <c:pt idx="34">
                  <c:v>466.44941609934472</c:v>
                </c:pt>
                <c:pt idx="35">
                  <c:v>496.0211046581191</c:v>
                </c:pt>
                <c:pt idx="36">
                  <c:v>525.55545685100537</c:v>
                </c:pt>
                <c:pt idx="37">
                  <c:v>555.0548629154506</c:v>
                </c:pt>
                <c:pt idx="38">
                  <c:v>584.52143860798708</c:v>
                </c:pt>
                <c:pt idx="39">
                  <c:v>613.95706924671242</c:v>
                </c:pt>
                <c:pt idx="40">
                  <c:v>643.36344487291547</c:v>
                </c:pt>
                <c:pt idx="41">
                  <c:v>520.78320077784304</c:v>
                </c:pt>
                <c:pt idx="42">
                  <c:v>545.51100151163848</c:v>
                </c:pt>
                <c:pt idx="43">
                  <c:v>570.21528899315069</c:v>
                </c:pt>
                <c:pt idx="44">
                  <c:v>594.89722403219321</c:v>
                </c:pt>
                <c:pt idx="45">
                  <c:v>619.55786337057941</c:v>
                </c:pt>
                <c:pt idx="46">
                  <c:v>644.19817286540308</c:v>
                </c:pt>
                <c:pt idx="47">
                  <c:v>668.81903855203529</c:v>
                </c:pt>
                <c:pt idx="48">
                  <c:v>693.4212759948449</c:v>
                </c:pt>
                <c:pt idx="49">
                  <c:v>580.12446097271857</c:v>
                </c:pt>
                <c:pt idx="50">
                  <c:v>600.8029190934418</c:v>
                </c:pt>
                <c:pt idx="51">
                  <c:v>621.46659067212056</c:v>
                </c:pt>
                <c:pt idx="52">
                  <c:v>642.11603608146129</c:v>
                </c:pt>
                <c:pt idx="53">
                  <c:v>662.75177675014834</c:v>
                </c:pt>
                <c:pt idx="54">
                  <c:v>683.37429902203985</c:v>
                </c:pt>
                <c:pt idx="55">
                  <c:v>703.9840575257158</c:v>
                </c:pt>
                <c:pt idx="56">
                  <c:v>724.58147812929258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2.960180135833768</c:v>
                </c:pt>
                <c:pt idx="2">
                  <c:v>3.9237067344317325</c:v>
                </c:pt>
                <c:pt idx="3">
                  <c:v>5.2021316205038444</c:v>
                </c:pt>
                <c:pt idx="4">
                  <c:v>6.8987609437734179</c:v>
                </c:pt>
                <c:pt idx="5">
                  <c:v>9.1509115101883225</c:v>
                </c:pt>
                <c:pt idx="6">
                  <c:v>12.141144374404339</c:v>
                </c:pt>
                <c:pt idx="7">
                  <c:v>16.11221994593167</c:v>
                </c:pt>
                <c:pt idx="8">
                  <c:v>21.387010849605417</c:v>
                </c:pt>
                <c:pt idx="9">
                  <c:v>28.395020459691725</c:v>
                </c:pt>
                <c:pt idx="10">
                  <c:v>37.707704103648126</c:v>
                </c:pt>
                <c:pt idx="11">
                  <c:v>48.776942901623109</c:v>
                </c:pt>
                <c:pt idx="12">
                  <c:v>59.779070072598138</c:v>
                </c:pt>
                <c:pt idx="13">
                  <c:v>70.728268705575786</c:v>
                </c:pt>
                <c:pt idx="14">
                  <c:v>81.633925024362284</c:v>
                </c:pt>
                <c:pt idx="15">
                  <c:v>92.502694232812303</c:v>
                </c:pt>
                <c:pt idx="16">
                  <c:v>106.29001477996559</c:v>
                </c:pt>
                <c:pt idx="17">
                  <c:v>120.03320224797081</c:v>
                </c:pt>
                <c:pt idx="18">
                  <c:v>133.73802986245019</c:v>
                </c:pt>
                <c:pt idx="19">
                  <c:v>147.40898710077457</c:v>
                </c:pt>
                <c:pt idx="20">
                  <c:v>161.04966060230029</c:v>
                </c:pt>
                <c:pt idx="21">
                  <c:v>107.51878303147443</c:v>
                </c:pt>
                <c:pt idx="22">
                  <c:v>120.03320224797085</c:v>
                </c:pt>
                <c:pt idx="23">
                  <c:v>132.5158206320838</c:v>
                </c:pt>
                <c:pt idx="24">
                  <c:v>144.97005937250771</c:v>
                </c:pt>
                <c:pt idx="25">
                  <c:v>157.39870247339451</c:v>
                </c:pt>
                <c:pt idx="26">
                  <c:v>137.64730252623576</c:v>
                </c:pt>
                <c:pt idx="27">
                  <c:v>149.60319730872018</c:v>
                </c:pt>
                <c:pt idx="28">
                  <c:v>161.53630582331013</c:v>
                </c:pt>
                <c:pt idx="29">
                  <c:v>173.4485499884569</c:v>
                </c:pt>
                <c:pt idx="30">
                  <c:v>185.34156577928127</c:v>
                </c:pt>
                <c:pt idx="31">
                  <c:v>163.72578137276358</c:v>
                </c:pt>
                <c:pt idx="32">
                  <c:v>174.90584046860883</c:v>
                </c:pt>
                <c:pt idx="33">
                  <c:v>186.06911742079558</c:v>
                </c:pt>
                <c:pt idx="34">
                  <c:v>197.21676179675683</c:v>
                </c:pt>
                <c:pt idx="35">
                  <c:v>208.34978244075828</c:v>
                </c:pt>
                <c:pt idx="36">
                  <c:v>186.31161985532663</c:v>
                </c:pt>
                <c:pt idx="37">
                  <c:v>196.97458062885701</c:v>
                </c:pt>
                <c:pt idx="38">
                  <c:v>207.62414355187082</c:v>
                </c:pt>
                <c:pt idx="39">
                  <c:v>218.26109325373406</c:v>
                </c:pt>
                <c:pt idx="40">
                  <c:v>228.88613156261309</c:v>
                </c:pt>
                <c:pt idx="41">
                  <c:v>205.93075783265542</c:v>
                </c:pt>
                <c:pt idx="42">
                  <c:v>215.60299864573815</c:v>
                </c:pt>
                <c:pt idx="43">
                  <c:v>225.26525702563353</c:v>
                </c:pt>
                <c:pt idx="44">
                  <c:v>234.91802190600583</c:v>
                </c:pt>
                <c:pt idx="45">
                  <c:v>244.56173871800979</c:v>
                </c:pt>
                <c:pt idx="46">
                  <c:v>222.12608711761615</c:v>
                </c:pt>
                <c:pt idx="47">
                  <c:v>231.05802575997782</c:v>
                </c:pt>
                <c:pt idx="48">
                  <c:v>239.98207476037268</c:v>
                </c:pt>
                <c:pt idx="49">
                  <c:v>248.89856916975486</c:v>
                </c:pt>
                <c:pt idx="50">
                  <c:v>257.80781804825409</c:v>
                </c:pt>
                <c:pt idx="51">
                  <c:v>236.84747556089317</c:v>
                </c:pt>
                <c:pt idx="52">
                  <c:v>244.80271930729043</c:v>
                </c:pt>
                <c:pt idx="53">
                  <c:v>252.75208922948957</c:v>
                </c:pt>
                <c:pt idx="54">
                  <c:v>260.69579633265539</c:v>
                </c:pt>
                <c:pt idx="55">
                  <c:v>268.634037698241</c:v>
                </c:pt>
                <c:pt idx="56">
                  <c:v>248.1758840777369</c:v>
                </c:pt>
                <c:pt idx="57">
                  <c:v>255.40061079374706</c:v>
                </c:pt>
                <c:pt idx="58">
                  <c:v>262.62071316927694</c:v>
                </c:pt>
                <c:pt idx="59">
                  <c:v>269.83633643082231</c:v>
                </c:pt>
                <c:pt idx="60">
                  <c:v>277.04761739436213</c:v>
                </c:pt>
                <c:pt idx="61">
                  <c:v>258.52988086829174</c:v>
                </c:pt>
                <c:pt idx="62">
                  <c:v>265.26695436236224</c:v>
                </c:pt>
                <c:pt idx="63">
                  <c:v>272.00017064364744</c:v>
                </c:pt>
                <c:pt idx="64">
                  <c:v>278.72963878977959</c:v>
                </c:pt>
                <c:pt idx="65">
                  <c:v>285.45546217473253</c:v>
                </c:pt>
                <c:pt idx="66">
                  <c:v>266.95061568376815</c:v>
                </c:pt>
                <c:pt idx="67">
                  <c:v>272.48096998433113</c:v>
                </c:pt>
                <c:pt idx="68">
                  <c:v>278.00880045970376</c:v>
                </c:pt>
                <c:pt idx="69">
                  <c:v>283.53416445003467</c:v>
                </c:pt>
                <c:pt idx="70">
                  <c:v>289.05711687492357</c:v>
                </c:pt>
                <c:pt idx="71">
                  <c:v>274.88468122257467</c:v>
                </c:pt>
                <c:pt idx="72">
                  <c:v>279.93094310002658</c:v>
                </c:pt>
                <c:pt idx="73">
                  <c:v>284.97516497066772</c:v>
                </c:pt>
                <c:pt idx="74">
                  <c:v>290.01738809665164</c:v>
                </c:pt>
                <c:pt idx="75">
                  <c:v>295.05765218605103</c:v>
                </c:pt>
                <c:pt idx="76">
                  <c:v>281.61257498707738</c:v>
                </c:pt>
                <c:pt idx="77">
                  <c:v>286.17587406704183</c:v>
                </c:pt>
                <c:pt idx="78">
                  <c:v>290.73754485732599</c:v>
                </c:pt>
                <c:pt idx="79">
                  <c:v>295.2976165536416</c:v>
                </c:pt>
                <c:pt idx="80">
                  <c:v>299.85611737495435</c:v>
                </c:pt>
                <c:pt idx="81">
                  <c:v>286.8962453669518</c:v>
                </c:pt>
                <c:pt idx="82">
                  <c:v>290.73754485732587</c:v>
                </c:pt>
                <c:pt idx="83">
                  <c:v>294.57771038094808</c:v>
                </c:pt>
                <c:pt idx="84">
                  <c:v>298.41675883334591</c:v>
                </c:pt>
                <c:pt idx="85">
                  <c:v>302.25470663909692</c:v>
                </c:pt>
                <c:pt idx="86">
                  <c:v>291.45766175336928</c:v>
                </c:pt>
                <c:pt idx="87">
                  <c:v>295.05765218605086</c:v>
                </c:pt>
                <c:pt idx="88">
                  <c:v>298.6566626487475</c:v>
                </c:pt>
                <c:pt idx="89">
                  <c:v>302.25470663909681</c:v>
                </c:pt>
                <c:pt idx="90">
                  <c:v>305.85179730658695</c:v>
                </c:pt>
                <c:pt idx="91">
                  <c:v>295.0576521860508</c:v>
                </c:pt>
                <c:pt idx="92">
                  <c:v>298.6566626487475</c:v>
                </c:pt>
                <c:pt idx="93">
                  <c:v>302.25470663909692</c:v>
                </c:pt>
                <c:pt idx="94">
                  <c:v>305.85179730658695</c:v>
                </c:pt>
                <c:pt idx="95">
                  <c:v>309.44794746562098</c:v>
                </c:pt>
                <c:pt idx="96">
                  <c:v>298.65666264874767</c:v>
                </c:pt>
                <c:pt idx="97">
                  <c:v>302.25470663909704</c:v>
                </c:pt>
                <c:pt idx="98">
                  <c:v>305.85179730658712</c:v>
                </c:pt>
                <c:pt idx="99">
                  <c:v>309.4479474656211</c:v>
                </c:pt>
                <c:pt idx="100">
                  <c:v>313.0431696079408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796875" customWidth="1"/>
    <col min="2" max="13" width="15.7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80" zoomScaleNormal="80" workbookViewId="0">
      <selection activeCell="C26" sqref="C26"/>
    </sheetView>
  </sheetViews>
  <sheetFormatPr baseColWidth="10" defaultColWidth="11.46484375" defaultRowHeight="14.25" x14ac:dyDescent="0.45"/>
  <cols>
    <col min="1" max="1" width="13.796875" style="23" customWidth="1"/>
    <col min="2" max="2" width="36.19921875" style="23" customWidth="1"/>
    <col min="3" max="3" width="14.796875" style="23" bestFit="1" customWidth="1"/>
    <col min="4" max="4" width="16.46484375" style="23" customWidth="1"/>
    <col min="5" max="5" width="23.19921875" style="23" customWidth="1"/>
    <col min="6" max="6" width="28.796875" style="23" bestFit="1" customWidth="1"/>
    <col min="7" max="8" width="14.796875" style="23" customWidth="1"/>
    <col min="9" max="9" width="17" style="23" customWidth="1"/>
    <col min="10" max="10" width="13.7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36</v>
      </c>
      <c r="C9" s="32">
        <v>0.7</v>
      </c>
      <c r="D9" s="33">
        <f t="shared" ref="D9:D18" si="0">C9*$C$5</f>
        <v>6.3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14</v>
      </c>
      <c r="C10" s="32">
        <v>0.16</v>
      </c>
      <c r="D10" s="33">
        <f t="shared" si="0"/>
        <v>1.44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7.0000000000000007E-2</v>
      </c>
      <c r="D11" s="33">
        <f t="shared" si="0"/>
        <v>0.63000000000000012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13</v>
      </c>
      <c r="C12" s="32">
        <v>7.0000000000000007E-2</v>
      </c>
      <c r="D12" s="33">
        <f t="shared" si="0"/>
        <v>0.63000000000000012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9.0000000000000018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15</v>
      </c>
      <c r="B36" s="60">
        <v>143.9</v>
      </c>
      <c r="C36" s="60">
        <v>1</v>
      </c>
      <c r="D36" s="60">
        <v>50.480000000000004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9.5933333333333337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20</v>
      </c>
      <c r="B37" s="60">
        <v>208.05</v>
      </c>
      <c r="C37" s="60">
        <v>2</v>
      </c>
      <c r="D37" s="60">
        <v>55.160000000000025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22.926000000000002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26</v>
      </c>
      <c r="B38" s="60">
        <v>298.32</v>
      </c>
      <c r="C38" s="60">
        <v>3</v>
      </c>
      <c r="D38" s="60">
        <v>56.150000000000006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24.238333333333333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32</v>
      </c>
      <c r="B39" s="60">
        <v>392.16</v>
      </c>
      <c r="C39" s="60">
        <v>4</v>
      </c>
      <c r="D39" s="60">
        <v>79.57000000000005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24.998333333333338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40</v>
      </c>
      <c r="B40" s="60">
        <v>499.21</v>
      </c>
      <c r="C40" s="60">
        <v>5</v>
      </c>
      <c r="D40" s="60">
        <v>116.63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23.327500000000001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538.97</v>
      </c>
      <c r="C41" s="60">
        <v>6</v>
      </c>
      <c r="D41" s="60">
        <v>106.28000000000003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19.548750000000005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56</v>
      </c>
      <c r="B42" s="60">
        <v>563.75</v>
      </c>
      <c r="C42" s="60">
        <v>7</v>
      </c>
      <c r="D42" s="60">
        <v>563.75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16.3825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10</v>
      </c>
      <c r="B114" s="60">
        <v>18.589743589743588</v>
      </c>
      <c r="C114" s="50">
        <v>0</v>
      </c>
      <c r="D114" s="60">
        <v>0</v>
      </c>
      <c r="E114" s="51">
        <v>0</v>
      </c>
      <c r="F114" s="51">
        <v>0.5</v>
      </c>
      <c r="G114" s="51">
        <v>0</v>
      </c>
      <c r="H114" s="51">
        <v>0.5</v>
      </c>
      <c r="I114" s="53">
        <f>IFERROR(B114/A114,"")</f>
        <v>1.8589743589743588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15</v>
      </c>
      <c r="B115" s="60">
        <v>46.794871794871796</v>
      </c>
      <c r="C115" s="50">
        <v>0</v>
      </c>
      <c r="D115" s="60">
        <v>0</v>
      </c>
      <c r="E115" s="51">
        <v>0</v>
      </c>
      <c r="F115" s="51">
        <v>0.5</v>
      </c>
      <c r="G115" s="51">
        <v>0</v>
      </c>
      <c r="H115" s="51">
        <v>0.5</v>
      </c>
      <c r="I115" s="53">
        <f t="shared" ref="I115:I133" si="4">IF(A115&lt;&gt;0,(B115-(B114-D114))/(A115-A114),"")</f>
        <v>5.6410256410256414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20</v>
      </c>
      <c r="B116" s="60">
        <v>82.692307692307679</v>
      </c>
      <c r="C116" s="50">
        <v>1</v>
      </c>
      <c r="D116" s="60">
        <v>34.615384615384613</v>
      </c>
      <c r="E116" s="51">
        <v>0</v>
      </c>
      <c r="F116" s="51">
        <v>0.5</v>
      </c>
      <c r="G116" s="51">
        <v>0</v>
      </c>
      <c r="H116" s="51">
        <v>0.5</v>
      </c>
      <c r="I116" s="53">
        <f t="shared" si="4"/>
        <v>7.1794871794871771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25</v>
      </c>
      <c r="B117" s="60">
        <v>80.769230769230774</v>
      </c>
      <c r="C117" s="50">
        <v>2</v>
      </c>
      <c r="D117" s="60">
        <v>16.666666666666668</v>
      </c>
      <c r="E117" s="51">
        <v>0</v>
      </c>
      <c r="F117" s="51">
        <v>0.5</v>
      </c>
      <c r="G117" s="51">
        <v>0</v>
      </c>
      <c r="H117" s="51">
        <v>0.5</v>
      </c>
      <c r="I117" s="53">
        <f t="shared" si="4"/>
        <v>6.5384615384615419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30</v>
      </c>
      <c r="B118" s="60">
        <v>95.512820512820511</v>
      </c>
      <c r="C118" s="50">
        <v>3</v>
      </c>
      <c r="D118" s="60">
        <v>17.307692307692307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4"/>
        <v>6.2820512820512819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35</v>
      </c>
      <c r="B119" s="60">
        <v>107.69230769230769</v>
      </c>
      <c r="C119" s="50">
        <v>4</v>
      </c>
      <c r="D119" s="60">
        <v>17.307692307692307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4"/>
        <v>5.8974358974358978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40</v>
      </c>
      <c r="B120" s="60">
        <v>118.58974358974359</v>
      </c>
      <c r="C120" s="60">
        <v>5</v>
      </c>
      <c r="D120" s="60">
        <v>17.307692307692307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5.6410256410256405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45</v>
      </c>
      <c r="B121" s="60">
        <v>126.92307692307692</v>
      </c>
      <c r="C121" s="60">
        <v>6</v>
      </c>
      <c r="D121" s="60">
        <v>16.666666666666668</v>
      </c>
      <c r="E121" s="87">
        <v>0</v>
      </c>
      <c r="F121" s="87">
        <v>0.5</v>
      </c>
      <c r="G121" s="87">
        <v>0</v>
      </c>
      <c r="H121" s="87">
        <v>0.5</v>
      </c>
      <c r="I121" s="53">
        <f t="shared" si="4"/>
        <v>5.1282051282051269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50</v>
      </c>
      <c r="B122" s="60">
        <v>133.97435897435898</v>
      </c>
      <c r="C122" s="60">
        <v>7</v>
      </c>
      <c r="D122" s="60">
        <v>15.384615384615383</v>
      </c>
      <c r="E122" s="87">
        <v>0.1</v>
      </c>
      <c r="F122" s="87">
        <v>0.5</v>
      </c>
      <c r="G122" s="87">
        <v>0</v>
      </c>
      <c r="H122" s="87">
        <v>0.4</v>
      </c>
      <c r="I122" s="53">
        <f t="shared" si="4"/>
        <v>4.7435897435897463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55</v>
      </c>
      <c r="B123" s="60">
        <v>139.74358974358975</v>
      </c>
      <c r="C123" s="60">
        <v>8</v>
      </c>
      <c r="D123" s="60">
        <v>14.743589743589743</v>
      </c>
      <c r="E123" s="87">
        <v>0.1</v>
      </c>
      <c r="F123" s="87">
        <v>0.5</v>
      </c>
      <c r="G123" s="87">
        <v>0</v>
      </c>
      <c r="H123" s="87">
        <v>0.4</v>
      </c>
      <c r="I123" s="53">
        <f t="shared" si="4"/>
        <v>4.2307692307692317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60</v>
      </c>
      <c r="B124" s="60">
        <v>144.23076923076923</v>
      </c>
      <c r="C124" s="60">
        <v>9</v>
      </c>
      <c r="D124" s="60">
        <v>13.461538461538462</v>
      </c>
      <c r="E124" s="87">
        <v>0.1</v>
      </c>
      <c r="F124" s="87">
        <v>0.5</v>
      </c>
      <c r="G124" s="87">
        <v>0</v>
      </c>
      <c r="H124" s="87">
        <v>0.4</v>
      </c>
      <c r="I124" s="53">
        <f t="shared" si="4"/>
        <v>3.8461538461538423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65</v>
      </c>
      <c r="B125" s="60">
        <v>148.7179487179487</v>
      </c>
      <c r="C125" s="60">
        <v>10</v>
      </c>
      <c r="D125" s="60">
        <v>12.820512820512819</v>
      </c>
      <c r="E125" s="87">
        <v>0.1</v>
      </c>
      <c r="F125" s="87">
        <v>0.5</v>
      </c>
      <c r="G125" s="87">
        <v>0</v>
      </c>
      <c r="H125" s="87">
        <v>0.4</v>
      </c>
      <c r="I125" s="53">
        <f t="shared" si="4"/>
        <v>3.5897435897435854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70</v>
      </c>
      <c r="B126" s="60">
        <v>150.64102564102564</v>
      </c>
      <c r="C126" s="60">
        <v>11</v>
      </c>
      <c r="D126" s="60">
        <v>10.256410256410255</v>
      </c>
      <c r="E126" s="65">
        <v>0.1</v>
      </c>
      <c r="F126" s="65">
        <v>0.5</v>
      </c>
      <c r="G126" s="65">
        <v>0</v>
      </c>
      <c r="H126" s="65">
        <v>0.4</v>
      </c>
      <c r="I126" s="53">
        <f t="shared" si="4"/>
        <v>2.9487179487179502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75</v>
      </c>
      <c r="B127" s="60">
        <v>153.84615384615384</v>
      </c>
      <c r="C127" s="60">
        <v>12</v>
      </c>
      <c r="D127" s="60">
        <v>9.615384615384615</v>
      </c>
      <c r="E127" s="65">
        <v>0.1</v>
      </c>
      <c r="F127" s="65">
        <v>0.5</v>
      </c>
      <c r="G127" s="65">
        <v>0</v>
      </c>
      <c r="H127" s="65">
        <v>0.4</v>
      </c>
      <c r="I127" s="53">
        <f t="shared" si="4"/>
        <v>2.6923076923076907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80</v>
      </c>
      <c r="B128" s="50">
        <v>156.41025641025641</v>
      </c>
      <c r="C128" s="50">
        <v>13</v>
      </c>
      <c r="D128" s="50">
        <v>8.9743589743589745</v>
      </c>
      <c r="E128" s="54">
        <v>0.1</v>
      </c>
      <c r="F128" s="54">
        <v>0.5</v>
      </c>
      <c r="G128" s="54">
        <v>0</v>
      </c>
      <c r="H128" s="54">
        <v>0.4</v>
      </c>
      <c r="I128" s="53">
        <f t="shared" si="4"/>
        <v>2.4358974358974366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85</v>
      </c>
      <c r="B129" s="50">
        <v>157.69230769230768</v>
      </c>
      <c r="C129" s="50">
        <v>14</v>
      </c>
      <c r="D129" s="50">
        <v>7.6923076923076916</v>
      </c>
      <c r="E129" s="54">
        <v>0.1</v>
      </c>
      <c r="F129" s="54">
        <v>0.5</v>
      </c>
      <c r="G129" s="54">
        <v>0</v>
      </c>
      <c r="H129" s="54">
        <v>0.4</v>
      </c>
      <c r="I129" s="53">
        <f t="shared" si="4"/>
        <v>2.0512820512820498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>
        <v>90</v>
      </c>
      <c r="B130" s="50">
        <v>159.61538461538458</v>
      </c>
      <c r="C130" s="50">
        <v>15</v>
      </c>
      <c r="D130" s="50">
        <v>7.6923076923076916</v>
      </c>
      <c r="E130" s="54">
        <v>0.1</v>
      </c>
      <c r="F130" s="54">
        <v>0.5</v>
      </c>
      <c r="G130" s="54">
        <v>0</v>
      </c>
      <c r="H130" s="54">
        <v>0.4</v>
      </c>
      <c r="I130" s="53">
        <f t="shared" si="4"/>
        <v>1.9230769230769169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>
        <v>95</v>
      </c>
      <c r="B131" s="50">
        <v>161.53846153846152</v>
      </c>
      <c r="C131" s="50">
        <v>16</v>
      </c>
      <c r="D131" s="50">
        <v>7.6923076923076916</v>
      </c>
      <c r="E131" s="54">
        <v>0.1</v>
      </c>
      <c r="F131" s="54">
        <v>0.5</v>
      </c>
      <c r="G131" s="54">
        <v>0</v>
      </c>
      <c r="H131" s="54">
        <v>0.4</v>
      </c>
      <c r="I131" s="53">
        <f t="shared" si="4"/>
        <v>1.9230769230769227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>
        <v>100</v>
      </c>
      <c r="B132" s="50">
        <v>163.46153846153845</v>
      </c>
      <c r="C132" s="50">
        <v>17</v>
      </c>
      <c r="D132" s="50">
        <v>163.46153846153845</v>
      </c>
      <c r="E132" s="54">
        <v>0.2</v>
      </c>
      <c r="F132" s="54">
        <v>0.4</v>
      </c>
      <c r="G132" s="54">
        <v>0</v>
      </c>
      <c r="H132" s="54">
        <v>0.4</v>
      </c>
      <c r="I132" s="53">
        <f t="shared" si="4"/>
        <v>1.9230769230769227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4" zoomScaleNormal="100" workbookViewId="0">
      <selection activeCell="F9" sqref="F9"/>
    </sheetView>
  </sheetViews>
  <sheetFormatPr baseColWidth="10" defaultColWidth="11.46484375" defaultRowHeight="14.25" x14ac:dyDescent="0.45"/>
  <cols>
    <col min="1" max="1" width="5.796875" style="1" customWidth="1"/>
    <col min="2" max="2" width="14.19921875" style="1" customWidth="1"/>
    <col min="3" max="3" width="62.1992187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796875" style="4" bestFit="1" customWidth="1"/>
    <col min="2" max="4" width="11.46484375" style="4"/>
    <col min="5" max="5" width="9.53125" style="4" customWidth="1"/>
    <col min="6" max="7" width="11.46484375" style="4"/>
    <col min="8" max="8" width="10.79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96875" style="4" bestFit="1" customWidth="1"/>
    <col min="25" max="25" width="14.53125" style="4" bestFit="1" customWidth="1"/>
    <col min="26" max="26" width="12.46484375" style="4" bestFit="1" customWidth="1"/>
    <col min="27" max="27" width="9.79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19921875" style="4" bestFit="1" customWidth="1"/>
    <col min="45" max="45" width="11.796875" style="4" bestFit="1" customWidth="1"/>
    <col min="46" max="46" width="8.46484375" style="4" bestFit="1" customWidth="1"/>
    <col min="47" max="47" width="9.46484375" style="4" bestFit="1" customWidth="1"/>
    <col min="48" max="48" width="9.79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1992187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19921875" style="4" bestFit="1" customWidth="1"/>
    <col min="66" max="66" width="11.796875" style="4" bestFit="1" customWidth="1"/>
    <col min="67" max="67" width="8.46484375" style="4" bestFit="1" customWidth="1"/>
    <col min="68" max="68" width="9.46484375" style="4" bestFit="1" customWidth="1"/>
    <col min="69" max="69" width="9.79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7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19921875" style="4" bestFit="1" customWidth="1"/>
    <col min="87" max="87" width="11.796875" style="4" bestFit="1" customWidth="1"/>
    <col min="88" max="88" width="8.46484375" style="4" bestFit="1" customWidth="1"/>
    <col min="89" max="89" width="9.46484375" style="4" bestFit="1" customWidth="1"/>
    <col min="90" max="90" width="9.79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19921875" style="4" bestFit="1" customWidth="1"/>
    <col min="108" max="108" width="11.796875" style="4" bestFit="1" customWidth="1"/>
    <col min="109" max="109" width="8.46484375" style="4" bestFit="1" customWidth="1"/>
    <col min="110" max="110" width="9.46484375" style="4" bestFit="1" customWidth="1"/>
    <col min="111" max="111" width="9.79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1992187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19921875" style="4" bestFit="1" customWidth="1"/>
    <col min="129" max="129" width="11.796875" style="4" bestFit="1" customWidth="1"/>
    <col min="130" max="130" width="8.46484375" style="4" bestFit="1" customWidth="1"/>
    <col min="131" max="131" width="9.46484375" style="4" bestFit="1" customWidth="1"/>
    <col min="132" max="132" width="9.79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19921875" style="4" bestFit="1" customWidth="1"/>
    <col min="150" max="150" width="11.796875" style="4" bestFit="1" customWidth="1"/>
    <col min="151" max="151" width="8.46484375" style="4" bestFit="1" customWidth="1"/>
    <col min="152" max="152" width="9.46484375" style="4" bestFit="1" customWidth="1"/>
    <col min="153" max="153" width="9.79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19921875" style="4" bestFit="1" customWidth="1"/>
    <col min="171" max="171" width="11.796875" style="4" bestFit="1" customWidth="1"/>
    <col min="172" max="172" width="8.19921875" style="4" bestFit="1" customWidth="1"/>
    <col min="173" max="173" width="9.46484375" style="4" bestFit="1" customWidth="1"/>
    <col min="174" max="174" width="9.79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1992187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9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1992187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19921875" style="4" bestFit="1" customWidth="1"/>
    <col min="213" max="213" width="11.796875" style="4" bestFit="1" customWidth="1"/>
    <col min="214" max="214" width="8.46484375" style="4" bestFit="1" customWidth="1"/>
    <col min="215" max="215" width="9.46484375" style="4" bestFit="1" customWidth="1"/>
    <col min="216" max="216" width="9.79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326.05837294177707</v>
      </c>
      <c r="T3" s="59">
        <f>IF('Données projet'!E9&gt;30,$R$33-$H$33,LOOKUP('Données projet'!$E$9,$A$3:$A$203,R3:R203)-LOOKUP('Données projet'!$E$9,$A$3:$A$203,$H$3:$H$203))</f>
        <v>406.74689878702014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490.21869105612649</v>
      </c>
      <c r="AO3" s="59">
        <f>IF('Données projet'!E10&gt;30,$AM$33-$H$33,LOOKUP('Données projet'!$E$10,$A$3:$A$203,AM3:AM203)-LOOKUP('Données projet'!$E$10,$A$3:$A$203,$H$3:$H$203))</f>
        <v>207.08773997010911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561.19833044503548</v>
      </c>
      <c r="BJ3" s="59">
        <f>IF('Données projet'!E11&gt;30,$BH$33-$H$33,LOOKUP('Données projet'!$E$11,$A$3:$A$203,BH3:BH203)-LOOKUP('Données projet'!$E$11,$A$3:$A$203,$H$3:$H$203))</f>
        <v>235.9089269943575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147.1862160897889</v>
      </c>
      <c r="CE3" s="59">
        <f>IF('Données projet'!E12&gt;30,$CC$33-$H$33,LOOKUP('Données projet'!$E$12,$A$3:$A$203,CC3:CC203)-LOOKUP('Données projet'!$E$12,$A$3:$A$203,$H$3:$H$203))</f>
        <v>147.31828668914011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9.5933333333333337</v>
      </c>
      <c r="N4" s="13">
        <f>IF('Données projet'!$A$36&gt;35,N3+M4-V3,IF(A4&lt;'Données projet'!$A$36,$K$205^A4,IF(A4='Données projet'!$A$36,'Données projet'!$B$36,N3+M4-V3)))</f>
        <v>1.3927421509577205</v>
      </c>
      <c r="O4" s="13">
        <f>N4*VLOOKUP('Données projet'!$B$9,Paramètres!$A$1:$I$89,3,0)*VLOOKUP('Données projet'!$B$9,Paramètres!$A$1:$I$89,5,0)</f>
        <v>0.83285980627271683</v>
      </c>
      <c r="P4" s="13">
        <f>EXP(-1.0587+0.8836*LN(O4)+0.284)</f>
        <v>0.39207522366299313</v>
      </c>
      <c r="Q4" s="20">
        <f t="shared" ref="Q4:Q34" si="2">(O4+P4)*0.475*44/12</f>
        <v>2.1334285104713615</v>
      </c>
      <c r="R4" s="59">
        <f t="shared" si="0"/>
        <v>295.46676184380465</v>
      </c>
      <c r="S4" s="59">
        <f ca="1">AVERAGE(OFFSET($R$3,0,0,'Données projet'!$E$9+1,1))-AVERAGE(OFFSET($H$3,0,0,'Données projet'!$E$9+1,1))</f>
        <v>326.05837294177707</v>
      </c>
      <c r="T4" s="59">
        <f>$T$3</f>
        <v>406.74689878702014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3.704509714285714</v>
      </c>
      <c r="AK4" s="13">
        <f>EXP(-1.0587+0.8836*LN(AJ4)+0.284)</f>
        <v>1.4658264193249637</v>
      </c>
      <c r="AL4" s="20">
        <f t="shared" ref="AL4:AL67" si="4">(AJ4+AK4)*0.475*44/12</f>
        <v>9.0050020993719304</v>
      </c>
      <c r="AM4" s="59">
        <f t="shared" ref="AM4:AM67" si="5">AL4+(AD4+AE4)*44/12</f>
        <v>302.33833543270526</v>
      </c>
      <c r="AN4" s="59">
        <f ca="1">AVERAGE(OFFSET($AM$3,0,0,'Données projet'!$E$10+1,1))-AVERAGE(OFFSET($H$3,0,0,'Données projet'!$E$10+1,1))</f>
        <v>490.21869105612649</v>
      </c>
      <c r="AO4" s="59">
        <f>$AO$3</f>
        <v>207.08773997010911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4.151605714285715</v>
      </c>
      <c r="BF4" s="13">
        <f>EXP(-1.0587+0.8836*LN(BE4)+0.284)</f>
        <v>1.6210925568488095</v>
      </c>
      <c r="BG4" s="20">
        <f t="shared" ref="BG4:BG67" si="7">(BE4+BF4)*0.475*44/12</f>
        <v>10.054116155559297</v>
      </c>
      <c r="BH4" s="59">
        <f t="shared" ref="BH4:BH67" si="8">BG4+(AY4+AZ4)*44/12</f>
        <v>303.38744948889263</v>
      </c>
      <c r="BI4" s="59">
        <f ca="1">AVERAGE(OFFSET($BH$3,0,0,'Données projet'!$E$11+1,1))-AVERAGE(OFFSET($H$3,0,0,'Données projet'!$E$11+1,1))</f>
        <v>561.19833044503548</v>
      </c>
      <c r="BJ4" s="59">
        <f>$BJ$3</f>
        <v>235.9089269943575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1.8589743589743588</v>
      </c>
      <c r="BY4" s="12">
        <f>IF('Données projet'!$A$114&gt;35,BY3+BX4-CG3,IF(A4&lt;'Données projet'!$A$114,$BV$205^A4,IF(A4='Données projet'!$A$114,'Données projet'!$B$114,BY3+BX4-CG3)))</f>
        <v>1.3394525703100604</v>
      </c>
      <c r="BZ4" s="13">
        <f>BY4*VLOOKUP('Données projet'!$B$12,Paramètres!$A$1:$I$89,3,0)*VLOOKUP('Données projet'!$B$12,Paramètres!$A$1:$I$89,5,0)</f>
        <v>1.1701457654228691</v>
      </c>
      <c r="CA4" s="13">
        <f>EXP(-1.0587+0.8836*LN(BZ4)+0.284)</f>
        <v>0.52947919295058632</v>
      </c>
      <c r="CB4" s="20">
        <f t="shared" ref="CB4:CB67" si="10">(BZ4+CA4)*0.475*44/12</f>
        <v>2.960180135833768</v>
      </c>
      <c r="CC4" s="59">
        <f t="shared" ref="CC4:CC67" si="11">CB4+(BT4+BU4)*44/12</f>
        <v>296.29351346916707</v>
      </c>
      <c r="CD4" s="59">
        <f ca="1">AVERAGE(OFFSET($CC$3,0,0,'Données projet'!$E$12+1,1))-AVERAGE(OFFSET($H$3,0,0,'Données projet'!$E$12+1,1))</f>
        <v>147.1862160897889</v>
      </c>
      <c r="CE4" s="59">
        <f>$CE$3</f>
        <v>147.31828668914011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9.5933333333333337</v>
      </c>
      <c r="N5" s="13">
        <f>IF('Données projet'!$A$36&gt;35,N4+M5-V4,IF(A5&lt;'Données projet'!$A$36,$K$205^A5,IF(A5='Données projet'!$A$36,'Données projet'!$B$36,N4+M5-V4)))</f>
        <v>1.9397306990543379</v>
      </c>
      <c r="O5" s="13">
        <f>N5*VLOOKUP('Données projet'!$B$9,Paramètres!$A$1:$I$89,3,0)*VLOOKUP('Données projet'!$B$9,Paramètres!$A$1:$I$89,5,0)</f>
        <v>1.1599589580344942</v>
      </c>
      <c r="P5" s="13">
        <f t="shared" ref="P5:P68" si="33">EXP(-1.0587+0.8836*LN(O5)+0.284)</f>
        <v>0.52540423213734377</v>
      </c>
      <c r="Q5" s="20">
        <f t="shared" si="2"/>
        <v>2.9353408895492845</v>
      </c>
      <c r="R5" s="59">
        <f t="shared" si="0"/>
        <v>296.26867422288262</v>
      </c>
      <c r="S5" s="59">
        <f ca="1">AVERAGE(OFFSET($R$3,0,0,'Données projet'!$E$9+1,1))-AVERAGE(OFFSET($H$3,0,0,'Données projet'!$E$9+1,1))</f>
        <v>326.05837294177707</v>
      </c>
      <c r="T5" s="59">
        <f t="shared" ref="T5:T68" si="34">$T$3</f>
        <v>406.74689878702014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7.4090194285714279</v>
      </c>
      <c r="AK5" s="13">
        <f t="shared" ref="AK5:AK68" si="35">EXP(-1.0587+0.8836*LN(AJ5)+0.284)</f>
        <v>2.7044107221075859</v>
      </c>
      <c r="AL5" s="20">
        <f t="shared" si="4"/>
        <v>17.614224179099281</v>
      </c>
      <c r="AM5" s="59">
        <f t="shared" si="5"/>
        <v>310.94755751243258</v>
      </c>
      <c r="AN5" s="59">
        <f ca="1">AVERAGE(OFFSET($AM$3,0,0,'Données projet'!$E$10+1,1))-AVERAGE(OFFSET($H$3,0,0,'Données projet'!$E$10+1,1))</f>
        <v>490.21869105612649</v>
      </c>
      <c r="AO5" s="59">
        <f t="shared" ref="AO5:AO68" si="36">$AO$3</f>
        <v>207.08773997010911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8.30321142857143</v>
      </c>
      <c r="BF5" s="13">
        <f t="shared" ref="BF5:BF68" si="37">EXP(-1.0587+0.8836*LN(BE5)+0.284)</f>
        <v>2.9908726125223399</v>
      </c>
      <c r="BG5" s="20">
        <f t="shared" si="7"/>
        <v>19.670529704904983</v>
      </c>
      <c r="BH5" s="59">
        <f t="shared" si="8"/>
        <v>313.00386303823831</v>
      </c>
      <c r="BI5" s="59">
        <f ca="1">AVERAGE(OFFSET($BH$3,0,0,'Données projet'!$E$11+1,1))-AVERAGE(OFFSET($H$3,0,0,'Données projet'!$E$11+1,1))</f>
        <v>561.19833044503548</v>
      </c>
      <c r="BJ5" s="59">
        <f t="shared" ref="BJ5:BJ68" si="38">$BJ$3</f>
        <v>235.9089269943575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1.8589743589743588</v>
      </c>
      <c r="BY5" s="12">
        <f>IF('Données projet'!$A$114&gt;35,BY4+BX5-CG4,IF(A5&lt;'Données projet'!$A$114,$BV$205^A5,IF(A5='Données projet'!$A$114,'Données projet'!$B$114,BY4+BX5-CG4)))</f>
        <v>1.7941331881102272</v>
      </c>
      <c r="BZ5" s="13">
        <f>BY5*VLOOKUP('Données projet'!$B$12,Paramètres!$A$1:$I$89,3,0)*VLOOKUP('Données projet'!$B$12,Paramètres!$A$1:$I$89,5,0)</f>
        <v>1.5673547531330945</v>
      </c>
      <c r="CA5" s="13">
        <f t="shared" ref="CA5:CA68" si="39">EXP(-1.0587+0.8836*LN(BZ5)+0.284)</f>
        <v>0.68549121878943176</v>
      </c>
      <c r="CB5" s="20">
        <f t="shared" si="10"/>
        <v>3.9237067344317325</v>
      </c>
      <c r="CC5" s="59">
        <f t="shared" si="11"/>
        <v>297.25704006776505</v>
      </c>
      <c r="CD5" s="59">
        <f ca="1">AVERAGE(OFFSET($CC$3,0,0,'Données projet'!$E$12+1,1))-AVERAGE(OFFSET($H$3,0,0,'Données projet'!$E$12+1,1))</f>
        <v>147.1862160897889</v>
      </c>
      <c r="CE5" s="59">
        <f t="shared" ref="CE5:CE68" si="40">$CE$3</f>
        <v>147.31828668914011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9.5933333333333337</v>
      </c>
      <c r="N6" s="13">
        <f>IF('Données projet'!$A$36&gt;35,N5+M6-V5,IF(A6&lt;'Données projet'!$A$36,$K$205^A6,IF(A6='Données projet'!$A$36,'Données projet'!$B$36,N5+M6-V5)))</f>
        <v>2.7015447060796616</v>
      </c>
      <c r="O6" s="13">
        <f>N6*VLOOKUP('Données projet'!$B$9,Paramètres!$A$1:$I$89,3,0)*VLOOKUP('Données projet'!$B$9,Paramètres!$A$1:$I$89,5,0)</f>
        <v>1.6155237342356377</v>
      </c>
      <c r="P6" s="13">
        <f t="shared" si="33"/>
        <v>0.70407307191925306</v>
      </c>
      <c r="Q6" s="20">
        <f t="shared" si="2"/>
        <v>4.039964437386435</v>
      </c>
      <c r="R6" s="59">
        <f t="shared" si="0"/>
        <v>297.37329777071977</v>
      </c>
      <c r="S6" s="59">
        <f ca="1">AVERAGE(OFFSET($R$3,0,0,'Données projet'!$E$9+1,1))-AVERAGE(OFFSET($H$3,0,0,'Données projet'!$E$9+1,1))</f>
        <v>326.05837294177707</v>
      </c>
      <c r="T6" s="59">
        <f t="shared" si="34"/>
        <v>406.74689878702014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11.113529142857143</v>
      </c>
      <c r="AK6" s="13">
        <f t="shared" si="35"/>
        <v>3.8696072280877138</v>
      </c>
      <c r="AL6" s="20">
        <f t="shared" si="4"/>
        <v>26.095629179395626</v>
      </c>
      <c r="AM6" s="59">
        <f t="shared" si="5"/>
        <v>319.42896251272896</v>
      </c>
      <c r="AN6" s="59">
        <f ca="1">AVERAGE(OFFSET($AM$3,0,0,'Données projet'!$E$10+1,1))-AVERAGE(OFFSET($H$3,0,0,'Données projet'!$E$10+1,1))</f>
        <v>490.21869105612649</v>
      </c>
      <c r="AO6" s="59">
        <f t="shared" si="36"/>
        <v>207.08773997010911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12.454817142857145</v>
      </c>
      <c r="BF6" s="13">
        <f t="shared" si="37"/>
        <v>4.279491345414665</v>
      </c>
      <c r="BG6" s="20">
        <f t="shared" si="7"/>
        <v>29.145587283740067</v>
      </c>
      <c r="BH6" s="59">
        <f t="shared" si="8"/>
        <v>322.47892061707336</v>
      </c>
      <c r="BI6" s="59">
        <f ca="1">AVERAGE(OFFSET($BH$3,0,0,'Données projet'!$E$11+1,1))-AVERAGE(OFFSET($H$3,0,0,'Données projet'!$E$11+1,1))</f>
        <v>561.19833044503548</v>
      </c>
      <c r="BJ6" s="59">
        <f t="shared" si="38"/>
        <v>235.9089269943575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1.8589743589743588</v>
      </c>
      <c r="BY6" s="12">
        <f>IF('Données projet'!$A$114&gt;35,BY5+BX6-CG5,IF(A6&lt;'Données projet'!$A$114,$BV$205^A6,IF(A6='Données projet'!$A$114,'Données projet'!$B$114,BY5+BX6-CG5)))</f>
        <v>2.4031563102928266</v>
      </c>
      <c r="BZ6" s="13">
        <f>BY6*VLOOKUP('Données projet'!$B$12,Paramètres!$A$1:$I$89,3,0)*VLOOKUP('Données projet'!$B$12,Paramètres!$A$1:$I$89,5,0)</f>
        <v>2.0993973526718133</v>
      </c>
      <c r="CA6" s="13">
        <f t="shared" si="39"/>
        <v>0.88747247728254719</v>
      </c>
      <c r="CB6" s="20">
        <f t="shared" si="10"/>
        <v>5.2021316205038444</v>
      </c>
      <c r="CC6" s="59">
        <f t="shared" si="11"/>
        <v>298.53546495383716</v>
      </c>
      <c r="CD6" s="59">
        <f ca="1">AVERAGE(OFFSET($CC$3,0,0,'Données projet'!$E$12+1,1))-AVERAGE(OFFSET($H$3,0,0,'Données projet'!$E$12+1,1))</f>
        <v>147.1862160897889</v>
      </c>
      <c r="CE6" s="59">
        <f t="shared" si="40"/>
        <v>147.31828668914011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9.5933333333333337</v>
      </c>
      <c r="N7" s="13">
        <f>IF('Données projet'!$A$36&gt;35,N6+M7-V6,IF(A7&lt;'Données projet'!$A$36,$K$205^A7,IF(A7='Données projet'!$A$36,'Données projet'!$B$36,N6+M7-V6)))</f>
        <v>3.7625551848538303</v>
      </c>
      <c r="O7" s="13">
        <f>N7*VLOOKUP('Données projet'!$B$9,Paramètres!$A$1:$I$89,3,0)*VLOOKUP('Données projet'!$B$9,Paramètres!$A$1:$I$89,5,0)</f>
        <v>2.2500080005425906</v>
      </c>
      <c r="P7" s="13">
        <f t="shared" si="33"/>
        <v>0.94349999539446006</v>
      </c>
      <c r="Q7" s="20">
        <f t="shared" si="2"/>
        <v>5.56202642625703</v>
      </c>
      <c r="R7" s="59">
        <f t="shared" si="0"/>
        <v>298.89535975959035</v>
      </c>
      <c r="S7" s="59">
        <f ca="1">AVERAGE(OFFSET($R$3,0,0,'Données projet'!$E$9+1,1))-AVERAGE(OFFSET($H$3,0,0,'Données projet'!$E$9+1,1))</f>
        <v>326.05837294177707</v>
      </c>
      <c r="T7" s="59">
        <f t="shared" si="34"/>
        <v>406.74689878702014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14.818038857142856</v>
      </c>
      <c r="AK7" s="13">
        <f t="shared" si="35"/>
        <v>4.9895657885731195</v>
      </c>
      <c r="AL7" s="20">
        <f t="shared" si="4"/>
        <v>34.49824475795532</v>
      </c>
      <c r="AM7" s="59">
        <f t="shared" si="5"/>
        <v>327.83157809128863</v>
      </c>
      <c r="AN7" s="59">
        <f ca="1">AVERAGE(OFFSET($AM$3,0,0,'Données projet'!$E$10+1,1))-AVERAGE(OFFSET($H$3,0,0,'Données projet'!$E$10+1,1))</f>
        <v>490.21869105612649</v>
      </c>
      <c r="AO7" s="59">
        <f t="shared" si="36"/>
        <v>207.08773997010911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16.60642285714286</v>
      </c>
      <c r="BF7" s="13">
        <f t="shared" si="37"/>
        <v>5.5180803505289857</v>
      </c>
      <c r="BG7" s="20">
        <f t="shared" si="7"/>
        <v>38.533509753361791</v>
      </c>
      <c r="BH7" s="59">
        <f t="shared" si="8"/>
        <v>331.8668430866951</v>
      </c>
      <c r="BI7" s="59">
        <f ca="1">AVERAGE(OFFSET($BH$3,0,0,'Données projet'!$E$11+1,1))-AVERAGE(OFFSET($H$3,0,0,'Données projet'!$E$11+1,1))</f>
        <v>561.19833044503548</v>
      </c>
      <c r="BJ7" s="59">
        <f t="shared" si="38"/>
        <v>235.9089269943575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1.8589743589743588</v>
      </c>
      <c r="BY7" s="12">
        <f>IF('Données projet'!$A$114&gt;35,BY6+BX7-CG6,IF(A7&lt;'Données projet'!$A$114,$BV$205^A7,IF(A7='Données projet'!$A$114,'Données projet'!$B$114,BY6+BX7-CG6)))</f>
        <v>3.2189138966785675</v>
      </c>
      <c r="BZ7" s="13">
        <f>BY7*VLOOKUP('Données projet'!$B$12,Paramètres!$A$1:$I$89,3,0)*VLOOKUP('Données projet'!$B$12,Paramètres!$A$1:$I$89,5,0)</f>
        <v>2.8120431801383967</v>
      </c>
      <c r="CA7" s="13">
        <f t="shared" si="39"/>
        <v>1.1489678880568672</v>
      </c>
      <c r="CB7" s="20">
        <f t="shared" si="10"/>
        <v>6.8987609437734179</v>
      </c>
      <c r="CC7" s="59">
        <f t="shared" si="11"/>
        <v>300.23209427710674</v>
      </c>
      <c r="CD7" s="59">
        <f ca="1">AVERAGE(OFFSET($CC$3,0,0,'Données projet'!$E$12+1,1))-AVERAGE(OFFSET($H$3,0,0,'Données projet'!$E$12+1,1))</f>
        <v>147.1862160897889</v>
      </c>
      <c r="CE7" s="59">
        <f t="shared" si="40"/>
        <v>147.31828668914011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9.5933333333333337</v>
      </c>
      <c r="N8" s="13">
        <f>IF('Données projet'!$A$36&gt;35,N7+M8-V7,IF(A8&lt;'Données projet'!$A$36,$K$205^A8,IF(A8='Données projet'!$A$36,'Données projet'!$B$36,N7+M8-V7)))</f>
        <v>5.240269201250447</v>
      </c>
      <c r="O8" s="13">
        <f>N8*VLOOKUP('Données projet'!$B$9,Paramètres!$A$1:$I$89,3,0)*VLOOKUP('Données projet'!$B$9,Paramètres!$A$1:$I$89,5,0)</f>
        <v>3.1336809823477676</v>
      </c>
      <c r="P8" s="13">
        <f t="shared" si="33"/>
        <v>1.2643463822338008</v>
      </c>
      <c r="Q8" s="20">
        <f t="shared" si="2"/>
        <v>7.6598976599795643</v>
      </c>
      <c r="R8" s="59">
        <f t="shared" si="0"/>
        <v>300.99323099331286</v>
      </c>
      <c r="S8" s="59">
        <f ca="1">AVERAGE(OFFSET($R$3,0,0,'Données projet'!$E$9+1,1))-AVERAGE(OFFSET($H$3,0,0,'Données projet'!$E$9+1,1))</f>
        <v>326.05837294177707</v>
      </c>
      <c r="T8" s="59">
        <f t="shared" si="34"/>
        <v>406.74689878702014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18.522548571428572</v>
      </c>
      <c r="AK8" s="13">
        <f t="shared" si="35"/>
        <v>6.0770448389896208</v>
      </c>
      <c r="AL8" s="20">
        <f t="shared" si="4"/>
        <v>42.84429185647835</v>
      </c>
      <c r="AM8" s="59">
        <f t="shared" si="5"/>
        <v>336.17762518981169</v>
      </c>
      <c r="AN8" s="59">
        <f ca="1">AVERAGE(OFFSET($AM$3,0,0,'Données projet'!$E$10+1,1))-AVERAGE(OFFSET($H$3,0,0,'Données projet'!$E$10+1,1))</f>
        <v>490.21869105612649</v>
      </c>
      <c r="AO8" s="59">
        <f t="shared" si="36"/>
        <v>207.08773997010911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20.758028571428575</v>
      </c>
      <c r="BF8" s="13">
        <f t="shared" si="37"/>
        <v>6.7207494872819238</v>
      </c>
      <c r="BG8" s="20">
        <f t="shared" si="7"/>
        <v>47.858871785587461</v>
      </c>
      <c r="BH8" s="59">
        <f t="shared" si="8"/>
        <v>341.19220511892075</v>
      </c>
      <c r="BI8" s="59">
        <f ca="1">AVERAGE(OFFSET($BH$3,0,0,'Données projet'!$E$11+1,1))-AVERAGE(OFFSET($H$3,0,0,'Données projet'!$E$11+1,1))</f>
        <v>561.19833044503548</v>
      </c>
      <c r="BJ8" s="59">
        <f t="shared" si="38"/>
        <v>235.9089269943575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1.8589743589743588</v>
      </c>
      <c r="BY8" s="12">
        <f>IF('Données projet'!$A$114&gt;35,BY7+BX8-CG7,IF(A8&lt;'Données projet'!$A$114,$BV$205^A8,IF(A8='Données projet'!$A$114,'Données projet'!$B$114,BY7+BX8-CG7)))</f>
        <v>4.3115824925128798</v>
      </c>
      <c r="BZ8" s="13">
        <f>BY8*VLOOKUP('Données projet'!$B$12,Paramètres!$A$1:$I$89,3,0)*VLOOKUP('Données projet'!$B$12,Paramètres!$A$1:$I$89,5,0)</f>
        <v>3.7665984654592521</v>
      </c>
      <c r="CA8" s="13">
        <f t="shared" si="39"/>
        <v>1.4875134064192117</v>
      </c>
      <c r="CB8" s="20">
        <f t="shared" si="10"/>
        <v>9.1509115101883225</v>
      </c>
      <c r="CC8" s="59">
        <f t="shared" si="11"/>
        <v>302.48424484352165</v>
      </c>
      <c r="CD8" s="59">
        <f ca="1">AVERAGE(OFFSET($CC$3,0,0,'Données projet'!$E$12+1,1))-AVERAGE(OFFSET($H$3,0,0,'Données projet'!$E$12+1,1))</f>
        <v>147.1862160897889</v>
      </c>
      <c r="CE8" s="59">
        <f t="shared" si="40"/>
        <v>147.31828668914011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9.5933333333333337</v>
      </c>
      <c r="N9" s="13">
        <f>IF('Données projet'!$A$36&gt;35,N8+M9-V8,IF(A9&lt;'Données projet'!$A$36,$K$205^A9,IF(A9='Données projet'!$A$36,'Données projet'!$B$36,N8+M9-V8)))</f>
        <v>7.2983437989470437</v>
      </c>
      <c r="O9" s="13">
        <f>N9*VLOOKUP('Données projet'!$B$9,Paramètres!$A$1:$I$89,3,0)*VLOOKUP('Données projet'!$B$9,Paramètres!$A$1:$I$89,5,0)</f>
        <v>4.3644095917703325</v>
      </c>
      <c r="P9" s="13">
        <f t="shared" si="33"/>
        <v>1.6942997160263542</v>
      </c>
      <c r="Q9" s="20">
        <f t="shared" si="2"/>
        <v>10.55225204441256</v>
      </c>
      <c r="R9" s="59">
        <f t="shared" si="0"/>
        <v>303.88558537774588</v>
      </c>
      <c r="S9" s="59">
        <f ca="1">AVERAGE(OFFSET($R$3,0,0,'Données projet'!$E$9+1,1))-AVERAGE(OFFSET($H$3,0,0,'Données projet'!$E$9+1,1))</f>
        <v>326.05837294177707</v>
      </c>
      <c r="T9" s="59">
        <f t="shared" si="34"/>
        <v>406.74689878702014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22.227058285714286</v>
      </c>
      <c r="AK9" s="13">
        <f t="shared" si="35"/>
        <v>7.1393223235836674</v>
      </c>
      <c r="AL9" s="20">
        <f t="shared" si="4"/>
        <v>51.146446227860601</v>
      </c>
      <c r="AM9" s="59">
        <f t="shared" si="5"/>
        <v>344.47977956119394</v>
      </c>
      <c r="AN9" s="59">
        <f ca="1">AVERAGE(OFFSET($AM$3,0,0,'Données projet'!$E$10+1,1))-AVERAGE(OFFSET($H$3,0,0,'Données projet'!$E$10+1,1))</f>
        <v>490.21869105612649</v>
      </c>
      <c r="AO9" s="59">
        <f t="shared" si="36"/>
        <v>207.08773997010911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24.90963428571429</v>
      </c>
      <c r="BF9" s="13">
        <f t="shared" si="37"/>
        <v>7.8955476085878011</v>
      </c>
      <c r="BG9" s="20">
        <f t="shared" si="7"/>
        <v>57.135691799242814</v>
      </c>
      <c r="BH9" s="59">
        <f t="shared" si="8"/>
        <v>350.46902513257612</v>
      </c>
      <c r="BI9" s="59">
        <f ca="1">AVERAGE(OFFSET($BH$3,0,0,'Données projet'!$E$11+1,1))-AVERAGE(OFFSET($H$3,0,0,'Données projet'!$E$11+1,1))</f>
        <v>561.19833044503548</v>
      </c>
      <c r="BJ9" s="59">
        <f t="shared" si="38"/>
        <v>235.9089269943575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1.8589743589743588</v>
      </c>
      <c r="BY9" s="12">
        <f>IF('Données projet'!$A$114&gt;35,BY8+BX9-CG8,IF(A9&lt;'Données projet'!$A$114,$BV$205^A9,IF(A9='Données projet'!$A$114,'Données projet'!$B$114,BY8+BX9-CG8)))</f>
        <v>5.7751602517002327</v>
      </c>
      <c r="BZ9" s="13">
        <f>BY9*VLOOKUP('Données projet'!$B$12,Paramètres!$A$1:$I$89,3,0)*VLOOKUP('Données projet'!$B$12,Paramètres!$A$1:$I$89,5,0)</f>
        <v>5.0451799958853245</v>
      </c>
      <c r="CA9" s="13">
        <f t="shared" si="39"/>
        <v>1.9258119894186028</v>
      </c>
      <c r="CB9" s="20">
        <f t="shared" si="10"/>
        <v>12.141144374404339</v>
      </c>
      <c r="CC9" s="59">
        <f t="shared" si="11"/>
        <v>305.47447770773766</v>
      </c>
      <c r="CD9" s="59">
        <f ca="1">AVERAGE(OFFSET($CC$3,0,0,'Données projet'!$E$12+1,1))-AVERAGE(OFFSET($H$3,0,0,'Données projet'!$E$12+1,1))</f>
        <v>147.1862160897889</v>
      </c>
      <c r="CE9" s="59">
        <f t="shared" si="40"/>
        <v>147.31828668914011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9.5933333333333337</v>
      </c>
      <c r="N10" s="13">
        <f>IF('Données projet'!$A$36&gt;35,N9+M10-V9,IF(A10&lt;'Données projet'!$A$36,$K$205^A10,IF(A10='Données projet'!$A$36,'Données projet'!$B$36,N9+M10-V9)))</f>
        <v>10.164711040974447</v>
      </c>
      <c r="O10" s="13">
        <f>N10*VLOOKUP('Données projet'!$B$9,Paramètres!$A$1:$I$89,3,0)*VLOOKUP('Données projet'!$B$9,Paramètres!$A$1:$I$89,5,0)</f>
        <v>6.07849720250272</v>
      </c>
      <c r="P10" s="13">
        <f t="shared" si="33"/>
        <v>2.2704628795276998</v>
      </c>
      <c r="Q10" s="20">
        <f t="shared" si="2"/>
        <v>14.541105476202981</v>
      </c>
      <c r="R10" s="59">
        <f t="shared" si="0"/>
        <v>307.87443880953629</v>
      </c>
      <c r="S10" s="59">
        <f ca="1">AVERAGE(OFFSET($R$3,0,0,'Données projet'!$E$9+1,1))-AVERAGE(OFFSET($H$3,0,0,'Données projet'!$E$9+1,1))</f>
        <v>326.05837294177707</v>
      </c>
      <c r="T10" s="59">
        <f t="shared" si="34"/>
        <v>406.74689878702014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25.931567999999999</v>
      </c>
      <c r="AK10" s="13">
        <f t="shared" si="35"/>
        <v>8.1810900516051337</v>
      </c>
      <c r="AL10" s="20">
        <f t="shared" si="4"/>
        <v>59.412879439878935</v>
      </c>
      <c r="AM10" s="59">
        <f t="shared" si="5"/>
        <v>352.74621277321228</v>
      </c>
      <c r="AN10" s="59">
        <f ca="1">AVERAGE(OFFSET($AM$3,0,0,'Données projet'!$E$10+1,1))-AVERAGE(OFFSET($H$3,0,0,'Données projet'!$E$10+1,1))</f>
        <v>490.21869105612649</v>
      </c>
      <c r="AO10" s="59">
        <f t="shared" si="36"/>
        <v>207.08773997010911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29.061240000000002</v>
      </c>
      <c r="BF10" s="13">
        <f t="shared" si="37"/>
        <v>9.0476634987070454</v>
      </c>
      <c r="BG10" s="20">
        <f t="shared" si="7"/>
        <v>66.373006926914783</v>
      </c>
      <c r="BH10" s="59">
        <f t="shared" si="8"/>
        <v>359.70634026024811</v>
      </c>
      <c r="BI10" s="59">
        <f ca="1">AVERAGE(OFFSET($BH$3,0,0,'Données projet'!$E$11+1,1))-AVERAGE(OFFSET($H$3,0,0,'Données projet'!$E$11+1,1))</f>
        <v>561.19833044503548</v>
      </c>
      <c r="BJ10" s="59">
        <f t="shared" si="38"/>
        <v>235.9089269943575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1.8589743589743588</v>
      </c>
      <c r="BY10" s="12">
        <f>IF('Données projet'!$A$114&gt;35,BY9+BX10-CG9,IF(A10&lt;'Données projet'!$A$114,$BV$205^A10,IF(A10='Données projet'!$A$114,'Données projet'!$B$114,BY9+BX10-CG9)))</f>
        <v>7.7355532430923715</v>
      </c>
      <c r="BZ10" s="13">
        <f>BY10*VLOOKUP('Données projet'!$B$12,Paramètres!$A$1:$I$89,3,0)*VLOOKUP('Données projet'!$B$12,Paramètres!$A$1:$I$89,5,0)</f>
        <v>6.7577793131654973</v>
      </c>
      <c r="CA10" s="13">
        <f t="shared" si="39"/>
        <v>2.4932560624890496</v>
      </c>
      <c r="CB10" s="20">
        <f t="shared" si="10"/>
        <v>16.11221994593167</v>
      </c>
      <c r="CC10" s="59">
        <f t="shared" si="11"/>
        <v>309.44555327926497</v>
      </c>
      <c r="CD10" s="59">
        <f ca="1">AVERAGE(OFFSET($CC$3,0,0,'Données projet'!$E$12+1,1))-AVERAGE(OFFSET($H$3,0,0,'Données projet'!$E$12+1,1))</f>
        <v>147.1862160897889</v>
      </c>
      <c r="CE10" s="59">
        <f t="shared" si="40"/>
        <v>147.31828668914011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9.5933333333333337</v>
      </c>
      <c r="N11" s="13">
        <f>IF('Données projet'!$A$36&gt;35,N10+M11-V10,IF(A11&lt;'Données projet'!$A$36,$K$205^A11,IF(A11='Données projet'!$A$36,'Données projet'!$B$36,N10+M11-V10)))</f>
        <v>14.156821519070441</v>
      </c>
      <c r="O11" s="13">
        <f>N11*VLOOKUP('Données projet'!$B$9,Paramètres!$A$1:$I$89,3,0)*VLOOKUP('Données projet'!$B$9,Paramètres!$A$1:$I$89,5,0)</f>
        <v>8.4657792684041251</v>
      </c>
      <c r="P11" s="13">
        <f t="shared" si="33"/>
        <v>3.0425559530891335</v>
      </c>
      <c r="Q11" s="20">
        <f t="shared" si="2"/>
        <v>20.043683844100759</v>
      </c>
      <c r="R11" s="59">
        <f t="shared" si="0"/>
        <v>313.37701717743408</v>
      </c>
      <c r="S11" s="59">
        <f ca="1">AVERAGE(OFFSET($R$3,0,0,'Données projet'!$E$9+1,1))-AVERAGE(OFFSET($H$3,0,0,'Données projet'!$E$9+1,1))</f>
        <v>326.05837294177707</v>
      </c>
      <c r="T11" s="59">
        <f t="shared" si="34"/>
        <v>406.74689878702014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29.636077714285712</v>
      </c>
      <c r="AK11" s="13">
        <f t="shared" si="35"/>
        <v>9.205616053429063</v>
      </c>
      <c r="AL11" s="20">
        <f t="shared" si="4"/>
        <v>67.649283312103222</v>
      </c>
      <c r="AM11" s="59">
        <f t="shared" si="5"/>
        <v>360.98261664543656</v>
      </c>
      <c r="AN11" s="59">
        <f ca="1">AVERAGE(OFFSET($AM$3,0,0,'Données projet'!$E$10+1,1))-AVERAGE(OFFSET($H$3,0,0,'Données projet'!$E$10+1,1))</f>
        <v>490.21869105612649</v>
      </c>
      <c r="AO11" s="59">
        <f t="shared" si="36"/>
        <v>207.08773997010911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33.21284571428572</v>
      </c>
      <c r="BF11" s="13">
        <f t="shared" si="37"/>
        <v>10.180711350730137</v>
      </c>
      <c r="BG11" s="20">
        <f t="shared" si="7"/>
        <v>75.577111888235933</v>
      </c>
      <c r="BH11" s="59">
        <f t="shared" si="8"/>
        <v>368.91044522156926</v>
      </c>
      <c r="BI11" s="59">
        <f ca="1">AVERAGE(OFFSET($BH$3,0,0,'Données projet'!$E$11+1,1))-AVERAGE(OFFSET($H$3,0,0,'Données projet'!$E$11+1,1))</f>
        <v>561.19833044503548</v>
      </c>
      <c r="BJ11" s="59">
        <f t="shared" si="38"/>
        <v>235.9089269943575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1.8589743589743588</v>
      </c>
      <c r="BY11" s="12">
        <f>IF('Données projet'!$A$114&gt;35,BY10+BX11-CG10,IF(A11&lt;'Données projet'!$A$114,$BV$205^A11,IF(A11='Données projet'!$A$114,'Données projet'!$B$114,BY10+BX11-CG10)))</f>
        <v>10.3614066742304</v>
      </c>
      <c r="BZ11" s="13">
        <f>BY11*VLOOKUP('Données projet'!$B$12,Paramètres!$A$1:$I$89,3,0)*VLOOKUP('Données projet'!$B$12,Paramètres!$A$1:$I$89,5,0)</f>
        <v>9.0517248706076785</v>
      </c>
      <c r="CA11" s="13">
        <f t="shared" si="39"/>
        <v>3.2278985837112213</v>
      </c>
      <c r="CB11" s="20">
        <f t="shared" si="10"/>
        <v>21.387010849605417</v>
      </c>
      <c r="CC11" s="59">
        <f t="shared" si="11"/>
        <v>314.72034418293873</v>
      </c>
      <c r="CD11" s="59">
        <f ca="1">AVERAGE(OFFSET($CC$3,0,0,'Données projet'!$E$12+1,1))-AVERAGE(OFFSET($H$3,0,0,'Données projet'!$E$12+1,1))</f>
        <v>147.1862160897889</v>
      </c>
      <c r="CE11" s="59">
        <f t="shared" si="40"/>
        <v>147.31828668914011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9.5933333333333337</v>
      </c>
      <c r="N12" s="13">
        <f>IF('Données projet'!$A$36&gt;35,N11+M12-V11,IF(A12&lt;'Données projet'!$A$36,$K$205^A12,IF(A12='Données projet'!$A$36,'Données projet'!$B$36,N11+M12-V11)))</f>
        <v>19.716802053194709</v>
      </c>
      <c r="O12" s="13">
        <f>N12*VLOOKUP('Données projet'!$B$9,Paramètres!$A$1:$I$89,3,0)*VLOOKUP('Données projet'!$B$9,Paramètres!$A$1:$I$89,5,0)</f>
        <v>11.790647627810438</v>
      </c>
      <c r="P12" s="13">
        <f t="shared" si="33"/>
        <v>4.0772068159087427</v>
      </c>
      <c r="Q12" s="20">
        <f t="shared" si="2"/>
        <v>27.636513156144243</v>
      </c>
      <c r="R12" s="59">
        <f t="shared" si="0"/>
        <v>320.96984648947756</v>
      </c>
      <c r="S12" s="59">
        <f ca="1">AVERAGE(OFFSET($R$3,0,0,'Données projet'!$E$9+1,1))-AVERAGE(OFFSET($H$3,0,0,'Données projet'!$E$9+1,1))</f>
        <v>326.05837294177707</v>
      </c>
      <c r="T12" s="59">
        <f t="shared" si="34"/>
        <v>406.74689878702014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33.340587428571432</v>
      </c>
      <c r="AK12" s="13">
        <f t="shared" si="35"/>
        <v>10.215302372953809</v>
      </c>
      <c r="AL12" s="20">
        <f t="shared" si="4"/>
        <v>75.85984140432312</v>
      </c>
      <c r="AM12" s="59">
        <f t="shared" si="5"/>
        <v>369.19317473765642</v>
      </c>
      <c r="AN12" s="59">
        <f ca="1">AVERAGE(OFFSET($AM$3,0,0,'Données projet'!$E$10+1,1))-AVERAGE(OFFSET($H$3,0,0,'Données projet'!$E$10+1,1))</f>
        <v>490.21869105612649</v>
      </c>
      <c r="AO12" s="59">
        <f t="shared" si="36"/>
        <v>207.08773997010911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37.364451428571435</v>
      </c>
      <c r="BF12" s="13">
        <f t="shared" si="37"/>
        <v>11.297347642554788</v>
      </c>
      <c r="BG12" s="20">
        <f t="shared" si="7"/>
        <v>84.752633382211499</v>
      </c>
      <c r="BH12" s="59">
        <f t="shared" si="8"/>
        <v>378.08596671554483</v>
      </c>
      <c r="BI12" s="59">
        <f ca="1">AVERAGE(OFFSET($BH$3,0,0,'Données projet'!$E$11+1,1))-AVERAGE(OFFSET($H$3,0,0,'Données projet'!$E$11+1,1))</f>
        <v>561.19833044503548</v>
      </c>
      <c r="BJ12" s="59">
        <f t="shared" si="38"/>
        <v>235.9089269943575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1.8589743589743588</v>
      </c>
      <c r="BY12" s="12">
        <f>IF('Données projet'!$A$114&gt;35,BY11+BX12-CG11,IF(A12&lt;'Données projet'!$A$114,$BV$205^A12,IF(A12='Données projet'!$A$114,'Données projet'!$B$114,BY11+BX12-CG11)))</f>
        <v>13.878612801825724</v>
      </c>
      <c r="BZ12" s="13">
        <f>BY12*VLOOKUP('Données projet'!$B$12,Paramètres!$A$1:$I$89,3,0)*VLOOKUP('Données projet'!$B$12,Paramètres!$A$1:$I$89,5,0)</f>
        <v>12.124356143674955</v>
      </c>
      <c r="CA12" s="13">
        <f t="shared" si="39"/>
        <v>4.1790048858131188</v>
      </c>
      <c r="CB12" s="20">
        <f t="shared" si="10"/>
        <v>28.395020459691725</v>
      </c>
      <c r="CC12" s="59">
        <f t="shared" si="11"/>
        <v>321.72835379302506</v>
      </c>
      <c r="CD12" s="59">
        <f ca="1">AVERAGE(OFFSET($CC$3,0,0,'Données projet'!$E$12+1,1))-AVERAGE(OFFSET($H$3,0,0,'Données projet'!$E$12+1,1))</f>
        <v>147.1862160897889</v>
      </c>
      <c r="CE12" s="59">
        <f t="shared" si="40"/>
        <v>147.31828668914011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9.5933333333333337</v>
      </c>
      <c r="N13" s="13">
        <f>IF('Données projet'!$A$36&gt;35,N12+M13-V12,IF(A13&lt;'Données projet'!$A$36,$K$205^A13,IF(A13='Données projet'!$A$36,'Données projet'!$B$36,N12+M13-V12)))</f>
        <v>27.460421301574002</v>
      </c>
      <c r="O13" s="13">
        <f>N13*VLOOKUP('Données projet'!$B$9,Paramètres!$A$1:$I$89,3,0)*VLOOKUP('Données projet'!$B$9,Paramètres!$A$1:$I$89,5,0)</f>
        <v>16.421331938341254</v>
      </c>
      <c r="P13" s="13">
        <f t="shared" si="33"/>
        <v>5.4637008081362</v>
      </c>
      <c r="Q13" s="20">
        <f t="shared" si="2"/>
        <v>38.116432033448227</v>
      </c>
      <c r="R13" s="59">
        <f t="shared" si="0"/>
        <v>331.44976536678155</v>
      </c>
      <c r="S13" s="59">
        <f ca="1">AVERAGE(OFFSET($R$3,0,0,'Données projet'!$E$9+1,1))-AVERAGE(OFFSET($H$3,0,0,'Données projet'!$E$9+1,1))</f>
        <v>326.05837294177707</v>
      </c>
      <c r="T13" s="59">
        <f t="shared" si="34"/>
        <v>406.74689878702014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37.045097142857145</v>
      </c>
      <c r="AK13" s="13">
        <f t="shared" si="35"/>
        <v>11.211985951829543</v>
      </c>
      <c r="AL13" s="20">
        <f t="shared" si="4"/>
        <v>84.04775305657931</v>
      </c>
      <c r="AM13" s="59">
        <f t="shared" si="5"/>
        <v>377.38108638991264</v>
      </c>
      <c r="AN13" s="59">
        <f ca="1">AVERAGE(OFFSET($AM$3,0,0,'Données projet'!$E$10+1,1))-AVERAGE(OFFSET($H$3,0,0,'Données projet'!$E$10+1,1))</f>
        <v>490.21869105612649</v>
      </c>
      <c r="AO13" s="59">
        <f t="shared" si="36"/>
        <v>207.08773997010911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41.51605714285715</v>
      </c>
      <c r="BF13" s="13">
        <f t="shared" si="37"/>
        <v>12.399603891963192</v>
      </c>
      <c r="BG13" s="20">
        <f t="shared" si="7"/>
        <v>93.903109635645436</v>
      </c>
      <c r="BH13" s="59">
        <f t="shared" si="8"/>
        <v>387.23644296897874</v>
      </c>
      <c r="BI13" s="59">
        <f ca="1">AVERAGE(OFFSET($BH$3,0,0,'Données projet'!$E$11+1,1))-AVERAGE(OFFSET($H$3,0,0,'Données projet'!$E$11+1,1))</f>
        <v>561.19833044503548</v>
      </c>
      <c r="BJ13" s="59">
        <f t="shared" si="38"/>
        <v>235.9089269943575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18.589743589743588</v>
      </c>
      <c r="BW13" s="12">
        <f>VLOOKUP(A13,'Données projet'!$A$113:$I$133,9,0)</f>
        <v>1.8589743589743588</v>
      </c>
      <c r="BX13" s="12">
        <f t="array" ref="BX13">INDEX(BW:BW,MIN(IF(ISNUMBER(BW13:BW209),ROW(BW13:BW209),"")))</f>
        <v>1.8589743589743588</v>
      </c>
      <c r="BY13" s="12">
        <f>IF('Données projet'!$A$114&gt;35,BY12+BX13-CG12,IF(A13&lt;'Données projet'!$A$114,$BV$205^A13,IF(A13='Données projet'!$A$114,'Données projet'!$B$114,BY12+BX13-CG12)))</f>
        <v>18.589743589743588</v>
      </c>
      <c r="BZ13" s="13">
        <f>BY13*VLOOKUP('Données projet'!$B$12,Paramètres!$A$1:$I$89,3,0)*VLOOKUP('Données projet'!$B$12,Paramètres!$A$1:$I$89,5,0)</f>
        <v>16.240000000000002</v>
      </c>
      <c r="CA13" s="13">
        <f t="shared" si="39"/>
        <v>5.4103564231472481</v>
      </c>
      <c r="CB13" s="20">
        <f t="shared" si="10"/>
        <v>37.707704103648126</v>
      </c>
      <c r="CC13" s="59">
        <f t="shared" si="11"/>
        <v>331.04103743698147</v>
      </c>
      <c r="CD13" s="59">
        <f ca="1">AVERAGE(OFFSET($CC$3,0,0,'Données projet'!$E$12+1,1))-AVERAGE(OFFSET($H$3,0,0,'Données projet'!$E$12+1,1))</f>
        <v>147.1862160897889</v>
      </c>
      <c r="CE13" s="59">
        <f t="shared" si="40"/>
        <v>147.31828668914011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0.215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9.5933333333333337</v>
      </c>
      <c r="N14" s="13">
        <f>IF('Données projet'!$A$36&gt;35,N13+M14-V13,IF(A14&lt;'Données projet'!$A$36,$K$205^A14,IF(A14='Données projet'!$A$36,'Données projet'!$B$36,N13+M14-V13)))</f>
        <v>38.24528622975938</v>
      </c>
      <c r="O14" s="13">
        <f>N14*VLOOKUP('Données projet'!$B$9,Paramètres!$A$1:$I$89,3,0)*VLOOKUP('Données projet'!$B$9,Paramètres!$A$1:$I$89,5,0)</f>
        <v>22.87068116539611</v>
      </c>
      <c r="P14" s="13">
        <f t="shared" si="33"/>
        <v>7.3216856217225361</v>
      </c>
      <c r="Q14" s="20">
        <f t="shared" si="2"/>
        <v>52.585038820898312</v>
      </c>
      <c r="R14" s="59">
        <f t="shared" si="0"/>
        <v>345.91837215423163</v>
      </c>
      <c r="S14" s="59">
        <f ca="1">AVERAGE(OFFSET($R$3,0,0,'Données projet'!$E$9+1,1))-AVERAGE(OFFSET($H$3,0,0,'Données projet'!$E$9+1,1))</f>
        <v>326.05837294177707</v>
      </c>
      <c r="T14" s="59">
        <f t="shared" si="34"/>
        <v>406.74689878702014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40.749606857142865</v>
      </c>
      <c r="AK14" s="13">
        <f t="shared" si="35"/>
        <v>12.197115083595657</v>
      </c>
      <c r="AL14" s="20">
        <f t="shared" si="4"/>
        <v>92.215540713452924</v>
      </c>
      <c r="AM14" s="59">
        <f t="shared" si="5"/>
        <v>385.54887404678624</v>
      </c>
      <c r="AN14" s="59">
        <f ca="1">AVERAGE(OFFSET($AM$3,0,0,'Données projet'!$E$10+1,1))-AVERAGE(OFFSET($H$3,0,0,'Données projet'!$E$10+1,1))</f>
        <v>490.21869105612649</v>
      </c>
      <c r="AO14" s="59">
        <f t="shared" si="36"/>
        <v>207.08773997010911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45.667662857142872</v>
      </c>
      <c r="BF14" s="13">
        <f t="shared" si="37"/>
        <v>13.489081801480216</v>
      </c>
      <c r="BG14" s="20">
        <f t="shared" si="7"/>
        <v>103.03133028043521</v>
      </c>
      <c r="BH14" s="59">
        <f t="shared" si="8"/>
        <v>396.36466361376853</v>
      </c>
      <c r="BI14" s="59">
        <f ca="1">AVERAGE(OFFSET($BH$3,0,0,'Données projet'!$E$11+1,1))-AVERAGE(OFFSET($H$3,0,0,'Données projet'!$E$11+1,1))</f>
        <v>561.19833044503548</v>
      </c>
      <c r="BJ14" s="59">
        <f t="shared" si="38"/>
        <v>235.9089269943575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5.6410256410256414</v>
      </c>
      <c r="BY14" s="12">
        <f>IF('Données projet'!$A$114&gt;35,BY13+BX14-CG13,IF(A14&lt;'Données projet'!$A$114,$BV$205^A14,IF(A14='Données projet'!$A$114,'Données projet'!$B$114,BY13+BX14-CG13)))</f>
        <v>24.23076923076923</v>
      </c>
      <c r="BZ14" s="13">
        <f>BY14*VLOOKUP('Données projet'!$B$12,Paramètres!$A$1:$I$89,3,0)*VLOOKUP('Données projet'!$B$12,Paramètres!$A$1:$I$89,5,0)</f>
        <v>21.168000000000003</v>
      </c>
      <c r="CA14" s="13">
        <f t="shared" si="39"/>
        <v>6.8379002305970005</v>
      </c>
      <c r="CB14" s="20">
        <f t="shared" si="10"/>
        <v>48.776942901623109</v>
      </c>
      <c r="CC14" s="59">
        <f t="shared" si="11"/>
        <v>342.11027623495642</v>
      </c>
      <c r="CD14" s="59">
        <f ca="1">AVERAGE(OFFSET($CC$3,0,0,'Données projet'!$E$12+1,1))-AVERAGE(OFFSET($H$3,0,0,'Données projet'!$E$12+1,1))</f>
        <v>147.1862160897889</v>
      </c>
      <c r="CE14" s="59">
        <f t="shared" si="40"/>
        <v>147.31828668914011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9.5933333333333337</v>
      </c>
      <c r="N15" s="13">
        <f>IF('Données projet'!$A$36&gt;35,N14+M15-V14,IF(A15&lt;'Données projet'!$A$36,$K$205^A15,IF(A15='Données projet'!$A$36,'Données projet'!$B$36,N14+M15-V14)))</f>
        <v>53.265822207628766</v>
      </c>
      <c r="O15" s="13">
        <f>N15*VLOOKUP('Données projet'!$B$9,Paramètres!$A$1:$I$89,3,0)*VLOOKUP('Données projet'!$B$9,Paramètres!$A$1:$I$89,5,0)</f>
        <v>31.852961680162004</v>
      </c>
      <c r="P15" s="13">
        <f t="shared" si="33"/>
        <v>9.811496314642671</v>
      </c>
      <c r="Q15" s="20">
        <f t="shared" si="2"/>
        <v>72.565597674284803</v>
      </c>
      <c r="R15" s="59">
        <f t="shared" si="0"/>
        <v>365.8989310076181</v>
      </c>
      <c r="S15" s="59">
        <f ca="1">AVERAGE(OFFSET($R$3,0,0,'Données projet'!$E$9+1,1))-AVERAGE(OFFSET($H$3,0,0,'Données projet'!$E$9+1,1))</f>
        <v>326.05837294177707</v>
      </c>
      <c r="T15" s="59">
        <f t="shared" si="34"/>
        <v>406.74689878702014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44.454116571428585</v>
      </c>
      <c r="AK15" s="13">
        <f t="shared" si="35"/>
        <v>13.17185963217473</v>
      </c>
      <c r="AL15" s="20">
        <f t="shared" si="4"/>
        <v>100.36524188794243</v>
      </c>
      <c r="AM15" s="59">
        <f t="shared" si="5"/>
        <v>393.69857522127575</v>
      </c>
      <c r="AN15" s="59">
        <f ca="1">AVERAGE(OFFSET($AM$3,0,0,'Données projet'!$E$10+1,1))-AVERAGE(OFFSET($H$3,0,0,'Données projet'!$E$10+1,1))</f>
        <v>490.21869105612649</v>
      </c>
      <c r="AO15" s="59">
        <f t="shared" si="36"/>
        <v>207.08773997010911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49.819268571428587</v>
      </c>
      <c r="BF15" s="13">
        <f t="shared" si="37"/>
        <v>14.567075151646579</v>
      </c>
      <c r="BG15" s="20">
        <f t="shared" si="7"/>
        <v>112.13954865102259</v>
      </c>
      <c r="BH15" s="59">
        <f t="shared" si="8"/>
        <v>405.47288198435592</v>
      </c>
      <c r="BI15" s="59">
        <f ca="1">AVERAGE(OFFSET($BH$3,0,0,'Données projet'!$E$11+1,1))-AVERAGE(OFFSET($H$3,0,0,'Données projet'!$E$11+1,1))</f>
        <v>561.19833044503548</v>
      </c>
      <c r="BJ15" s="59">
        <f t="shared" si="38"/>
        <v>235.9089269943575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5.6410256410256414</v>
      </c>
      <c r="BY15" s="12">
        <f>IF('Données projet'!$A$114&gt;35,BY14+BX15-CG14,IF(A15&lt;'Données projet'!$A$114,$BV$205^A15,IF(A15='Données projet'!$A$114,'Données projet'!$B$114,BY14+BX15-CG14)))</f>
        <v>29.871794871794872</v>
      </c>
      <c r="BZ15" s="13">
        <f>BY15*VLOOKUP('Données projet'!$B$12,Paramètres!$A$1:$I$89,3,0)*VLOOKUP('Données projet'!$B$12,Paramètres!$A$1:$I$89,5,0)</f>
        <v>26.096000000000004</v>
      </c>
      <c r="CA15" s="13">
        <f t="shared" si="39"/>
        <v>8.2269110464678299</v>
      </c>
      <c r="CB15" s="20">
        <f t="shared" si="10"/>
        <v>59.779070072598138</v>
      </c>
      <c r="CC15" s="59">
        <f t="shared" si="11"/>
        <v>353.11240340593145</v>
      </c>
      <c r="CD15" s="59">
        <f ca="1">AVERAGE(OFFSET($CC$3,0,0,'Données projet'!$E$12+1,1))-AVERAGE(OFFSET($H$3,0,0,'Données projet'!$E$12+1,1))</f>
        <v>147.1862160897889</v>
      </c>
      <c r="CE15" s="59">
        <f t="shared" si="40"/>
        <v>147.31828668914011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9.5933333333333337</v>
      </c>
      <c r="N16" s="13">
        <f>IF('Données projet'!$A$36&gt;35,N15+M16-V15,IF(A16&lt;'Données projet'!$A$36,$K$205^A16,IF(A16='Données projet'!$A$36,'Données projet'!$B$36,N15+M16-V15)))</f>
        <v>74.185555793984392</v>
      </c>
      <c r="O16" s="13">
        <f>N16*VLOOKUP('Données projet'!$B$9,Paramètres!$A$1:$I$89,3,0)*VLOOKUP('Données projet'!$B$9,Paramètres!$A$1:$I$89,5,0)</f>
        <v>44.362962364802677</v>
      </c>
      <c r="P16" s="13">
        <f t="shared" si="33"/>
        <v>13.147991447029501</v>
      </c>
      <c r="Q16" s="20">
        <f t="shared" si="2"/>
        <v>100.16491122227438</v>
      </c>
      <c r="R16" s="59">
        <f t="shared" si="0"/>
        <v>393.4982445556077</v>
      </c>
      <c r="S16" s="59">
        <f ca="1">AVERAGE(OFFSET($R$3,0,0,'Données projet'!$E$9+1,1))-AVERAGE(OFFSET($H$3,0,0,'Données projet'!$E$9+1,1))</f>
        <v>326.05837294177707</v>
      </c>
      <c r="T16" s="59">
        <f t="shared" si="34"/>
        <v>406.74689878702014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48.158626285714305</v>
      </c>
      <c r="AK16" s="13">
        <f t="shared" si="35"/>
        <v>14.137183365739432</v>
      </c>
      <c r="AL16" s="20">
        <f t="shared" si="4"/>
        <v>108.4985351429486</v>
      </c>
      <c r="AM16" s="59">
        <f t="shared" si="5"/>
        <v>401.8318684762819</v>
      </c>
      <c r="AN16" s="59">
        <f ca="1">AVERAGE(OFFSET($AM$3,0,0,'Données projet'!$E$10+1,1))-AVERAGE(OFFSET($H$3,0,0,'Données projet'!$E$10+1,1))</f>
        <v>490.21869105612649</v>
      </c>
      <c r="AO16" s="59">
        <f t="shared" si="36"/>
        <v>207.08773997010911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53.970874285714309</v>
      </c>
      <c r="BF16" s="13">
        <f t="shared" si="37"/>
        <v>15.634649796775355</v>
      </c>
      <c r="BG16" s="20">
        <f t="shared" si="7"/>
        <v>121.22962111033615</v>
      </c>
      <c r="BH16" s="59">
        <f t="shared" si="8"/>
        <v>414.56295444366947</v>
      </c>
      <c r="BI16" s="59">
        <f ca="1">AVERAGE(OFFSET($BH$3,0,0,'Données projet'!$E$11+1,1))-AVERAGE(OFFSET($H$3,0,0,'Données projet'!$E$11+1,1))</f>
        <v>561.19833044503548</v>
      </c>
      <c r="BJ16" s="59">
        <f t="shared" si="38"/>
        <v>235.9089269943575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5.6410256410256414</v>
      </c>
      <c r="BY16" s="12">
        <f>IF('Données projet'!$A$114&gt;35,BY15+BX16-CG15,IF(A16&lt;'Données projet'!$A$114,$BV$205^A16,IF(A16='Données projet'!$A$114,'Données projet'!$B$114,BY15+BX16-CG15)))</f>
        <v>35.512820512820511</v>
      </c>
      <c r="BZ16" s="13">
        <f>BY16*VLOOKUP('Données projet'!$B$12,Paramètres!$A$1:$I$89,3,0)*VLOOKUP('Données projet'!$B$12,Paramètres!$A$1:$I$89,5,0)</f>
        <v>31.024000000000001</v>
      </c>
      <c r="CA16" s="13">
        <f t="shared" si="39"/>
        <v>9.5855322711439861</v>
      </c>
      <c r="CB16" s="20">
        <f t="shared" si="10"/>
        <v>70.728268705575786</v>
      </c>
      <c r="CC16" s="59">
        <f t="shared" si="11"/>
        <v>364.06160203890909</v>
      </c>
      <c r="CD16" s="59">
        <f ca="1">AVERAGE(OFFSET($CC$3,0,0,'Données projet'!$E$12+1,1))-AVERAGE(OFFSET($H$3,0,0,'Données projet'!$E$12+1,1))</f>
        <v>147.1862160897889</v>
      </c>
      <c r="CE16" s="59">
        <f t="shared" si="40"/>
        <v>147.31828668914011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9.5933333333333337</v>
      </c>
      <c r="N17" s="13">
        <f>IF('Données projet'!$A$36&gt;35,N16+M17-V16,IF(A17&lt;'Données projet'!$A$36,$K$205^A17,IF(A17='Données projet'!$A$36,'Données projet'!$B$36,N16+M17-V16)))</f>
        <v>103.32135054650782</v>
      </c>
      <c r="O17" s="13">
        <f>N17*VLOOKUP('Données projet'!$B$9,Paramètres!$A$1:$I$89,3,0)*VLOOKUP('Données projet'!$B$9,Paramètres!$A$1:$I$89,5,0)</f>
        <v>61.786167626811675</v>
      </c>
      <c r="P17" s="13">
        <f t="shared" si="33"/>
        <v>17.61909433051207</v>
      </c>
      <c r="Q17" s="20">
        <f t="shared" si="2"/>
        <v>138.2974979090055</v>
      </c>
      <c r="R17" s="59">
        <f t="shared" si="0"/>
        <v>431.63083124233879</v>
      </c>
      <c r="S17" s="59">
        <f ca="1">AVERAGE(OFFSET($R$3,0,0,'Données projet'!$E$9+1,1))-AVERAGE(OFFSET($H$3,0,0,'Données projet'!$E$9+1,1))</f>
        <v>326.05837294177707</v>
      </c>
      <c r="T17" s="59">
        <f t="shared" si="34"/>
        <v>406.74689878702014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51.863136000000019</v>
      </c>
      <c r="AK17" s="13">
        <f t="shared" si="35"/>
        <v>15.093893357630675</v>
      </c>
      <c r="AL17" s="20">
        <f t="shared" si="4"/>
        <v>116.61682613120678</v>
      </c>
      <c r="AM17" s="59">
        <f t="shared" si="5"/>
        <v>409.95015946454009</v>
      </c>
      <c r="AN17" s="59">
        <f ca="1">AVERAGE(OFFSET($AM$3,0,0,'Données projet'!$E$10+1,1))-AVERAGE(OFFSET($H$3,0,0,'Données projet'!$E$10+1,1))</f>
        <v>490.21869105612649</v>
      </c>
      <c r="AO17" s="59">
        <f t="shared" si="36"/>
        <v>207.08773997010911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58.122480000000031</v>
      </c>
      <c r="BF17" s="13">
        <f t="shared" si="37"/>
        <v>16.692698298610935</v>
      </c>
      <c r="BG17" s="20">
        <f t="shared" si="7"/>
        <v>130.30310220341408</v>
      </c>
      <c r="BH17" s="59">
        <f t="shared" si="8"/>
        <v>423.6364355367474</v>
      </c>
      <c r="BI17" s="59">
        <f ca="1">AVERAGE(OFFSET($BH$3,0,0,'Données projet'!$E$11+1,1))-AVERAGE(OFFSET($H$3,0,0,'Données projet'!$E$11+1,1))</f>
        <v>561.19833044503548</v>
      </c>
      <c r="BJ17" s="59">
        <f t="shared" si="38"/>
        <v>235.9089269943575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5.6410256410256414</v>
      </c>
      <c r="BY17" s="12">
        <f>IF('Données projet'!$A$114&gt;35,BY16+BX17-CG16,IF(A17&lt;'Données projet'!$A$114,$BV$205^A17,IF(A17='Données projet'!$A$114,'Données projet'!$B$114,BY16+BX17-CG16)))</f>
        <v>41.153846153846153</v>
      </c>
      <c r="BZ17" s="13">
        <f>BY17*VLOOKUP('Données projet'!$B$12,Paramètres!$A$1:$I$89,3,0)*VLOOKUP('Données projet'!$B$12,Paramètres!$A$1:$I$89,5,0)</f>
        <v>35.952000000000005</v>
      </c>
      <c r="CA17" s="13">
        <f t="shared" si="39"/>
        <v>10.919153124035761</v>
      </c>
      <c r="CB17" s="20">
        <f t="shared" si="10"/>
        <v>81.633925024362284</v>
      </c>
      <c r="CC17" s="59">
        <f t="shared" si="11"/>
        <v>374.96725835769558</v>
      </c>
      <c r="CD17" s="59">
        <f ca="1">AVERAGE(OFFSET($CC$3,0,0,'Données projet'!$E$12+1,1))-AVERAGE(OFFSET($H$3,0,0,'Données projet'!$E$12+1,1))</f>
        <v>147.1862160897889</v>
      </c>
      <c r="CE17" s="59">
        <f t="shared" si="40"/>
        <v>147.31828668914011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143.9</v>
      </c>
      <c r="L18" s="12">
        <f>VLOOKUP(A18,'Données projet'!$A$35:$I$55,9,0)</f>
        <v>9.5933333333333337</v>
      </c>
      <c r="M18" s="12">
        <f t="array" ref="M18">INDEX(L:L,MIN(IF(ISNUMBER(L18:L214),ROW(L18:L214),"")))</f>
        <v>9.5933333333333337</v>
      </c>
      <c r="N18" s="13">
        <f>IF('Données projet'!$A$36&gt;35,N17+M18-V17,IF(A18&lt;'Données projet'!$A$36,$K$205^A18,IF(A18='Données projet'!$A$36,'Données projet'!$B$36,N17+M18-V17)))</f>
        <v>143.9</v>
      </c>
      <c r="O18" s="13">
        <f>N18*VLOOKUP('Données projet'!$B$9,Paramètres!$A$1:$I$89,3,0)*VLOOKUP('Données projet'!$B$9,Paramètres!$A$1:$I$89,5,0)</f>
        <v>86.052200000000013</v>
      </c>
      <c r="P18" s="13">
        <f t="shared" si="33"/>
        <v>23.610639410449146</v>
      </c>
      <c r="Q18" s="20">
        <f t="shared" si="2"/>
        <v>190.99611197319894</v>
      </c>
      <c r="R18" s="59">
        <f t="shared" si="0"/>
        <v>484.32944530653225</v>
      </c>
      <c r="S18" s="59">
        <f ca="1">AVERAGE(OFFSET($R$3,0,0,'Données projet'!$E$9+1,1))-AVERAGE(OFFSET($H$3,0,0,'Données projet'!$E$9+1,1))</f>
        <v>326.05837294177707</v>
      </c>
      <c r="T18" s="59">
        <f t="shared" si="34"/>
        <v>406.74689878702014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50.480000000000004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0.22500000000000001</v>
      </c>
      <c r="Y18" s="16">
        <f>IF(ISNA(VLOOKUP(A18,'Données projet'!$A$35:$I$55,7,0)),0%,VLOOKUP(A18,'Données projet'!$A$35:$I$55,7,0))</f>
        <v>0.5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8.9746608694215499</v>
      </c>
      <c r="AB18" s="21">
        <f>EXP(-LN(2)/2)*AB17+(1-EXP(-LN(2)/2))/(LN(2)/2)*V18*Y18*VLOOKUP('Données projet'!$B$9,Paramètres!$A$1:$I$89,3,0)*0.475*44/12</f>
        <v>17.089370827361666</v>
      </c>
      <c r="AC18" s="22">
        <f t="shared" si="3"/>
        <v>26.064031696783218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55.567645714285739</v>
      </c>
      <c r="AK18" s="13">
        <f t="shared" si="35"/>
        <v>16.042674851771864</v>
      </c>
      <c r="AL18" s="20">
        <f t="shared" si="4"/>
        <v>124.72130831921697</v>
      </c>
      <c r="AM18" s="59">
        <f t="shared" si="5"/>
        <v>418.05464165255029</v>
      </c>
      <c r="AN18" s="59">
        <f ca="1">AVERAGE(OFFSET($AM$3,0,0,'Données projet'!$E$10+1,1))-AVERAGE(OFFSET($H$3,0,0,'Données projet'!$E$10+1,1))</f>
        <v>490.21869105612649</v>
      </c>
      <c r="AO18" s="59">
        <f t="shared" si="36"/>
        <v>207.08773997010911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62.274085714285746</v>
      </c>
      <c r="BF18" s="13">
        <f t="shared" si="37"/>
        <v>17.741978484825932</v>
      </c>
      <c r="BG18" s="20">
        <f t="shared" si="7"/>
        <v>139.36131181345283</v>
      </c>
      <c r="BH18" s="59">
        <f t="shared" si="8"/>
        <v>432.69464514678612</v>
      </c>
      <c r="BI18" s="59">
        <f ca="1">AVERAGE(OFFSET($BH$3,0,0,'Données projet'!$E$11+1,1))-AVERAGE(OFFSET($H$3,0,0,'Données projet'!$E$11+1,1))</f>
        <v>561.19833044503548</v>
      </c>
      <c r="BJ18" s="59">
        <f t="shared" si="38"/>
        <v>235.9089269943575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46.794871794871796</v>
      </c>
      <c r="BW18" s="12">
        <f>VLOOKUP(A18,'Données projet'!$A$113:$I$133,9,0)</f>
        <v>5.6410256410256414</v>
      </c>
      <c r="BX18" s="12">
        <f t="array" ref="BX18">INDEX(BW:BW,MIN(IF(ISNUMBER(BW18:BW214),ROW(BW18:BW214),"")))</f>
        <v>5.6410256410256414</v>
      </c>
      <c r="BY18" s="12">
        <f>IF('Données projet'!$A$114&gt;35,BY17+BX18-CG17,IF(A18&lt;'Données projet'!$A$114,$BV$205^A18,IF(A18='Données projet'!$A$114,'Données projet'!$B$114,BY17+BX18-CG17)))</f>
        <v>46.794871794871796</v>
      </c>
      <c r="BZ18" s="13">
        <f>BY18*VLOOKUP('Données projet'!$B$12,Paramètres!$A$1:$I$89,3,0)*VLOOKUP('Données projet'!$B$12,Paramètres!$A$1:$I$89,5,0)</f>
        <v>40.880000000000003</v>
      </c>
      <c r="CA18" s="13">
        <f t="shared" si="39"/>
        <v>12.231594774820467</v>
      </c>
      <c r="CB18" s="20">
        <f t="shared" si="10"/>
        <v>92.502694232812303</v>
      </c>
      <c r="CC18" s="59">
        <f t="shared" si="11"/>
        <v>385.83602756614562</v>
      </c>
      <c r="CD18" s="59">
        <f ca="1">AVERAGE(OFFSET($CC$3,0,0,'Données projet'!$E$12+1,1))-AVERAGE(OFFSET($H$3,0,0,'Données projet'!$E$12+1,1))</f>
        <v>147.1862160897889</v>
      </c>
      <c r="CE18" s="59">
        <f t="shared" si="40"/>
        <v>147.31828668914011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0.215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22.926000000000002</v>
      </c>
      <c r="N19" s="13">
        <f>IF('Données projet'!$A$36&gt;35,N18+M19-V18,IF(A19&lt;'Données projet'!$A$36,$K$205^A19,IF(A19='Données projet'!$A$36,'Données projet'!$B$36,N18+M19-V18)))</f>
        <v>116.34600000000002</v>
      </c>
      <c r="O19" s="13">
        <f>N19*VLOOKUP('Données projet'!$B$9,Paramètres!$A$1:$I$89,3,0)*VLOOKUP('Données projet'!$B$9,Paramètres!$A$1:$I$89,5,0)</f>
        <v>69.574908000000022</v>
      </c>
      <c r="P19" s="13">
        <f t="shared" si="33"/>
        <v>19.567854850728789</v>
      </c>
      <c r="Q19" s="20">
        <f t="shared" si="2"/>
        <v>155.256978631686</v>
      </c>
      <c r="R19" s="59">
        <f t="shared" si="0"/>
        <v>448.59031196501928</v>
      </c>
      <c r="S19" s="59">
        <f ca="1">AVERAGE(OFFSET($R$3,0,0,'Données projet'!$E$9+1,1))-AVERAGE(OFFSET($H$3,0,0,'Données projet'!$E$9+1,1))</f>
        <v>326.05837294177707</v>
      </c>
      <c r="T19" s="59">
        <f t="shared" si="34"/>
        <v>406.74689878702014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8.729248295990315</v>
      </c>
      <c r="AB19" s="21">
        <f>EXP(-LN(2)/2)*AB18+(1-EXP(-LN(2)/2))/(LN(2)/2)*V19*Y19*VLOOKUP('Données projet'!$B$9,Paramètres!$A$1:$I$89,3,0)*0.475*44/12</f>
        <v>12.084009998238995</v>
      </c>
      <c r="AC19" s="22">
        <f t="shared" si="3"/>
        <v>20.813258294229311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59.272155428571445</v>
      </c>
      <c r="AK19" s="13">
        <f t="shared" si="35"/>
        <v>16.984116557241595</v>
      </c>
      <c r="AL19" s="20">
        <f t="shared" si="4"/>
        <v>132.81300704195772</v>
      </c>
      <c r="AM19" s="59">
        <f t="shared" si="5"/>
        <v>426.14634037529106</v>
      </c>
      <c r="AN19" s="59">
        <f ca="1">AVERAGE(OFFSET($AM$3,0,0,'Données projet'!$E$10+1,1))-AVERAGE(OFFSET($H$3,0,0,'Données projet'!$E$10+1,1))</f>
        <v>490.21869105612649</v>
      </c>
      <c r="AO19" s="59">
        <f t="shared" si="36"/>
        <v>207.08773997010911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66.425691428571454</v>
      </c>
      <c r="BF19" s="13">
        <f t="shared" si="37"/>
        <v>18.783141422895284</v>
      </c>
      <c r="BG19" s="20">
        <f t="shared" si="7"/>
        <v>148.40538388297122</v>
      </c>
      <c r="BH19" s="59">
        <f t="shared" si="8"/>
        <v>441.73871721630451</v>
      </c>
      <c r="BI19" s="59">
        <f ca="1">AVERAGE(OFFSET($BH$3,0,0,'Données projet'!$E$11+1,1))-AVERAGE(OFFSET($H$3,0,0,'Données projet'!$E$11+1,1))</f>
        <v>561.19833044503548</v>
      </c>
      <c r="BJ19" s="59">
        <f t="shared" si="38"/>
        <v>235.9089269943575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7.1794871794871771</v>
      </c>
      <c r="BY19" s="12">
        <f>IF('Données projet'!$A$114&gt;35,BY18+BX19-CG18,IF(A19&lt;'Données projet'!$A$114,$BV$205^A19,IF(A19='Données projet'!$A$114,'Données projet'!$B$114,BY18+BX19-CG18)))</f>
        <v>53.974358974358971</v>
      </c>
      <c r="BZ19" s="13">
        <f>BY19*VLOOKUP('Données projet'!$B$12,Paramètres!$A$1:$I$89,3,0)*VLOOKUP('Données projet'!$B$12,Paramètres!$A$1:$I$89,5,0)</f>
        <v>47.152000000000001</v>
      </c>
      <c r="CA19" s="13">
        <f t="shared" si="39"/>
        <v>13.875759682276897</v>
      </c>
      <c r="CB19" s="20">
        <f t="shared" si="10"/>
        <v>106.29001477996559</v>
      </c>
      <c r="CC19" s="59">
        <f t="shared" si="11"/>
        <v>399.6233481132989</v>
      </c>
      <c r="CD19" s="59">
        <f ca="1">AVERAGE(OFFSET($CC$3,0,0,'Données projet'!$E$12+1,1))-AVERAGE(OFFSET($H$3,0,0,'Données projet'!$E$12+1,1))</f>
        <v>147.1862160897889</v>
      </c>
      <c r="CE19" s="59">
        <f t="shared" si="40"/>
        <v>147.31828668914011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22.926000000000002</v>
      </c>
      <c r="N20" s="13">
        <f>IF('Données projet'!$A$36&gt;35,N19+M20-V19,IF(A20&lt;'Données projet'!$A$36,$K$205^A20,IF(A20='Données projet'!$A$36,'Données projet'!$B$36,N19+M20-V19)))</f>
        <v>139.27200000000002</v>
      </c>
      <c r="O20" s="13">
        <f>N20*VLOOKUP('Données projet'!$B$9,Paramètres!$A$1:$I$89,3,0)*VLOOKUP('Données projet'!$B$9,Paramètres!$A$1:$I$89,5,0)</f>
        <v>83.284656000000012</v>
      </c>
      <c r="P20" s="13">
        <f t="shared" si="33"/>
        <v>22.938409183380077</v>
      </c>
      <c r="Q20" s="20">
        <f t="shared" si="2"/>
        <v>185.00517186105367</v>
      </c>
      <c r="R20" s="59">
        <f t="shared" si="0"/>
        <v>478.33850519438698</v>
      </c>
      <c r="S20" s="59">
        <f ca="1">AVERAGE(OFFSET($R$3,0,0,'Données projet'!$E$9+1,1))-AVERAGE(OFFSET($H$3,0,0,'Données projet'!$E$9+1,1))</f>
        <v>326.05837294177707</v>
      </c>
      <c r="T20" s="59">
        <f t="shared" si="34"/>
        <v>406.74689878702014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8.4905465422852426</v>
      </c>
      <c r="AB20" s="21">
        <f>EXP(-LN(2)/2)*AB19+(1-EXP(-LN(2)/2))/(LN(2)/2)*V20*Y20*VLOOKUP('Données projet'!$B$9,Paramètres!$A$1:$I$89,3,0)*0.475*44/12</f>
        <v>8.5446854136808348</v>
      </c>
      <c r="AC20" s="22">
        <f t="shared" si="3"/>
        <v>17.035231955966076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62.976665142857165</v>
      </c>
      <c r="AK20" s="13">
        <f t="shared" si="35"/>
        <v>17.918729435240664</v>
      </c>
      <c r="AL20" s="20">
        <f t="shared" si="4"/>
        <v>140.89281222352039</v>
      </c>
      <c r="AM20" s="59">
        <f t="shared" si="5"/>
        <v>434.22614555685368</v>
      </c>
      <c r="AN20" s="59">
        <f ca="1">AVERAGE(OFFSET($AM$3,0,0,'Données projet'!$E$10+1,1))-AVERAGE(OFFSET($H$3,0,0,'Données projet'!$E$10+1,1))</f>
        <v>490.21869105612649</v>
      </c>
      <c r="AO20" s="59">
        <f t="shared" si="36"/>
        <v>207.08773997010911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70.577297142857176</v>
      </c>
      <c r="BF20" s="13">
        <f t="shared" si="37"/>
        <v>19.816752197053003</v>
      </c>
      <c r="BG20" s="20">
        <f t="shared" si="7"/>
        <v>157.43630260034357</v>
      </c>
      <c r="BH20" s="59">
        <f t="shared" si="8"/>
        <v>450.76963593367691</v>
      </c>
      <c r="BI20" s="59">
        <f ca="1">AVERAGE(OFFSET($BH$3,0,0,'Données projet'!$E$11+1,1))-AVERAGE(OFFSET($H$3,0,0,'Données projet'!$E$11+1,1))</f>
        <v>561.19833044503548</v>
      </c>
      <c r="BJ20" s="59">
        <f t="shared" si="38"/>
        <v>235.9089269943575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7.1794871794871771</v>
      </c>
      <c r="BY20" s="12">
        <f>IF('Données projet'!$A$114&gt;35,BY19+BX20-CG19,IF(A20&lt;'Données projet'!$A$114,$BV$205^A20,IF(A20='Données projet'!$A$114,'Données projet'!$B$114,BY19+BX20-CG19)))</f>
        <v>61.153846153846146</v>
      </c>
      <c r="BZ20" s="13">
        <f>BY20*VLOOKUP('Données projet'!$B$12,Paramètres!$A$1:$I$89,3,0)*VLOOKUP('Données projet'!$B$12,Paramètres!$A$1:$I$89,5,0)</f>
        <v>53.423999999999999</v>
      </c>
      <c r="CA20" s="13">
        <f t="shared" si="39"/>
        <v>15.494585022758363</v>
      </c>
      <c r="CB20" s="20">
        <f t="shared" si="10"/>
        <v>120.03320224797081</v>
      </c>
      <c r="CC20" s="59">
        <f t="shared" si="11"/>
        <v>413.36653558130411</v>
      </c>
      <c r="CD20" s="59">
        <f ca="1">AVERAGE(OFFSET($CC$3,0,0,'Données projet'!$E$12+1,1))-AVERAGE(OFFSET($H$3,0,0,'Données projet'!$E$12+1,1))</f>
        <v>147.1862160897889</v>
      </c>
      <c r="CE20" s="59">
        <f t="shared" si="40"/>
        <v>147.31828668914011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22.926000000000002</v>
      </c>
      <c r="N21" s="13">
        <f>IF('Données projet'!$A$36&gt;35,N20+M21-V20,IF(A21&lt;'Données projet'!$A$36,$K$205^A21,IF(A21='Données projet'!$A$36,'Données projet'!$B$36,N20+M21-V20)))</f>
        <v>162.19800000000004</v>
      </c>
      <c r="O21" s="13">
        <f>N21*VLOOKUP('Données projet'!$B$9,Paramètres!$A$1:$I$89,3,0)*VLOOKUP('Données projet'!$B$9,Paramètres!$A$1:$I$89,5,0)</f>
        <v>96.994404000000017</v>
      </c>
      <c r="P21" s="13">
        <f t="shared" si="33"/>
        <v>26.24468896996531</v>
      </c>
      <c r="Q21" s="20">
        <f t="shared" si="2"/>
        <v>214.64142025602294</v>
      </c>
      <c r="R21" s="59">
        <f t="shared" si="0"/>
        <v>507.97475358935628</v>
      </c>
      <c r="S21" s="59">
        <f ca="1">AVERAGE(OFFSET($R$3,0,0,'Données projet'!$E$9+1,1))-AVERAGE(OFFSET($H$3,0,0,'Données projet'!$E$9+1,1))</f>
        <v>326.05837294177707</v>
      </c>
      <c r="T21" s="59">
        <f t="shared" si="34"/>
        <v>406.74689878702014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8.2583721005880157</v>
      </c>
      <c r="AB21" s="21">
        <f>EXP(-LN(2)/2)*AB20+(1-EXP(-LN(2)/2))/(LN(2)/2)*V21*Y21*VLOOKUP('Données projet'!$B$9,Paramètres!$A$1:$I$89,3,0)*0.475*44/12</f>
        <v>6.0420049991194986</v>
      </c>
      <c r="AC21" s="22">
        <f t="shared" si="3"/>
        <v>14.300377099707514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66.681174857142892</v>
      </c>
      <c r="AK21" s="13">
        <f t="shared" si="35"/>
        <v>18.846960938055496</v>
      </c>
      <c r="AL21" s="20">
        <f t="shared" si="4"/>
        <v>148.96150317663719</v>
      </c>
      <c r="AM21" s="59">
        <f t="shared" si="5"/>
        <v>442.29483650997054</v>
      </c>
      <c r="AN21" s="59">
        <f ca="1">AVERAGE(OFFSET($AM$3,0,0,'Données projet'!$E$10+1,1))-AVERAGE(OFFSET($H$3,0,0,'Données projet'!$E$10+1,1))</f>
        <v>490.21869105612649</v>
      </c>
      <c r="AO21" s="59">
        <f t="shared" si="36"/>
        <v>207.08773997010911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74.728902857142899</v>
      </c>
      <c r="BF21" s="13">
        <f t="shared" si="37"/>
        <v>20.843305655503205</v>
      </c>
      <c r="BG21" s="20">
        <f t="shared" si="7"/>
        <v>166.45492982619194</v>
      </c>
      <c r="BH21" s="59">
        <f t="shared" si="8"/>
        <v>459.78826315952529</v>
      </c>
      <c r="BI21" s="59">
        <f ca="1">AVERAGE(OFFSET($BH$3,0,0,'Données projet'!$E$11+1,1))-AVERAGE(OFFSET($H$3,0,0,'Données projet'!$E$11+1,1))</f>
        <v>561.19833044503548</v>
      </c>
      <c r="BJ21" s="59">
        <f t="shared" si="38"/>
        <v>235.9089269943575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7.1794871794871771</v>
      </c>
      <c r="BY21" s="12">
        <f>IF('Données projet'!$A$114&gt;35,BY20+BX21-CG20,IF(A21&lt;'Données projet'!$A$114,$BV$205^A21,IF(A21='Données projet'!$A$114,'Données projet'!$B$114,BY20+BX21-CG20)))</f>
        <v>68.333333333333329</v>
      </c>
      <c r="BZ21" s="13">
        <f>BY21*VLOOKUP('Données projet'!$B$12,Paramètres!$A$1:$I$89,3,0)*VLOOKUP('Données projet'!$B$12,Paramètres!$A$1:$I$89,5,0)</f>
        <v>59.695999999999998</v>
      </c>
      <c r="CA21" s="13">
        <f t="shared" si="39"/>
        <v>17.091385566957058</v>
      </c>
      <c r="CB21" s="20">
        <f t="shared" si="10"/>
        <v>133.73802986245019</v>
      </c>
      <c r="CC21" s="59">
        <f t="shared" si="11"/>
        <v>427.07136319578353</v>
      </c>
      <c r="CD21" s="59">
        <f ca="1">AVERAGE(OFFSET($CC$3,0,0,'Données projet'!$E$12+1,1))-AVERAGE(OFFSET($H$3,0,0,'Données projet'!$E$12+1,1))</f>
        <v>147.1862160897889</v>
      </c>
      <c r="CE21" s="59">
        <f t="shared" si="40"/>
        <v>147.31828668914011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22.926000000000002</v>
      </c>
      <c r="N22" s="13">
        <f>IF('Données projet'!$A$36&gt;35,N21+M22-V21,IF(A22&lt;'Données projet'!$A$36,$K$205^A22,IF(A22='Données projet'!$A$36,'Données projet'!$B$36,N21+M22-V21)))</f>
        <v>185.12400000000002</v>
      </c>
      <c r="O22" s="13">
        <f>N22*VLOOKUP('Données projet'!$B$9,Paramètres!$A$1:$I$89,3,0)*VLOOKUP('Données projet'!$B$9,Paramètres!$A$1:$I$89,5,0)</f>
        <v>110.70415200000002</v>
      </c>
      <c r="P22" s="13">
        <f t="shared" si="33"/>
        <v>29.496826613531113</v>
      </c>
      <c r="Q22" s="20">
        <f t="shared" si="2"/>
        <v>244.18337108523338</v>
      </c>
      <c r="R22" s="59">
        <f t="shared" si="0"/>
        <v>537.51670441856663</v>
      </c>
      <c r="S22" s="59">
        <f ca="1">AVERAGE(OFFSET($R$3,0,0,'Données projet'!$E$9+1,1))-AVERAGE(OFFSET($H$3,0,0,'Données projet'!$E$9+1,1))</f>
        <v>326.05837294177707</v>
      </c>
      <c r="T22" s="59">
        <f t="shared" si="34"/>
        <v>406.74689878702014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8.0325464812085219</v>
      </c>
      <c r="AB22" s="21">
        <f>EXP(-LN(2)/2)*AB21+(1-EXP(-LN(2)/2))/(LN(2)/2)*V22*Y22*VLOOKUP('Données projet'!$B$9,Paramètres!$A$1:$I$89,3,0)*0.475*44/12</f>
        <v>4.2723427068404183</v>
      </c>
      <c r="AC22" s="22">
        <f t="shared" si="3"/>
        <v>12.304889188048939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70.385684571428612</v>
      </c>
      <c r="AK22" s="13">
        <f t="shared" si="35"/>
        <v>19.769205993092573</v>
      </c>
      <c r="AL22" s="20">
        <f t="shared" si="4"/>
        <v>157.01976773320771</v>
      </c>
      <c r="AM22" s="59">
        <f t="shared" si="5"/>
        <v>450.35310106654106</v>
      </c>
      <c r="AN22" s="59">
        <f ca="1">AVERAGE(OFFSET($AM$3,0,0,'Données projet'!$E$10+1,1))-AVERAGE(OFFSET($H$3,0,0,'Données projet'!$E$10+1,1))</f>
        <v>490.21869105612649</v>
      </c>
      <c r="AO22" s="59">
        <f t="shared" si="36"/>
        <v>207.08773997010911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78.880508571428621</v>
      </c>
      <c r="BF22" s="13">
        <f t="shared" si="37"/>
        <v>21.863238557926771</v>
      </c>
      <c r="BG22" s="20">
        <f t="shared" si="7"/>
        <v>175.462026250294</v>
      </c>
      <c r="BH22" s="59">
        <f t="shared" si="8"/>
        <v>468.79535958362732</v>
      </c>
      <c r="BI22" s="59">
        <f ca="1">AVERAGE(OFFSET($BH$3,0,0,'Données projet'!$E$11+1,1))-AVERAGE(OFFSET($H$3,0,0,'Données projet'!$E$11+1,1))</f>
        <v>561.19833044503548</v>
      </c>
      <c r="BJ22" s="59">
        <f t="shared" si="38"/>
        <v>235.9089269943575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7.1794871794871771</v>
      </c>
      <c r="BY22" s="12">
        <f>IF('Données projet'!$A$114&gt;35,BY21+BX22-CG21,IF(A22&lt;'Données projet'!$A$114,$BV$205^A22,IF(A22='Données projet'!$A$114,'Données projet'!$B$114,BY21+BX22-CG21)))</f>
        <v>75.512820512820511</v>
      </c>
      <c r="BZ22" s="13">
        <f>BY22*VLOOKUP('Données projet'!$B$12,Paramètres!$A$1:$I$89,3,0)*VLOOKUP('Données projet'!$B$12,Paramètres!$A$1:$I$89,5,0)</f>
        <v>65.968000000000018</v>
      </c>
      <c r="CA22" s="13">
        <f t="shared" si="39"/>
        <v>18.668739005229408</v>
      </c>
      <c r="CB22" s="20">
        <f t="shared" si="10"/>
        <v>147.40898710077457</v>
      </c>
      <c r="CC22" s="59">
        <f t="shared" si="11"/>
        <v>440.74232043410791</v>
      </c>
      <c r="CD22" s="59">
        <f ca="1">AVERAGE(OFFSET($CC$3,0,0,'Données projet'!$E$12+1,1))-AVERAGE(OFFSET($H$3,0,0,'Données projet'!$E$12+1,1))</f>
        <v>147.1862160897889</v>
      </c>
      <c r="CE22" s="59">
        <f t="shared" si="40"/>
        <v>147.31828668914011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208.05</v>
      </c>
      <c r="L23" s="12">
        <f>VLOOKUP(A23,'Données projet'!$A$35:$I$55,9,0)</f>
        <v>22.926000000000002</v>
      </c>
      <c r="M23" s="12">
        <f t="array" ref="M23">INDEX(L:L,MIN(IF(ISNUMBER(L23:L219),ROW(L23:L219),"")))</f>
        <v>22.926000000000002</v>
      </c>
      <c r="N23" s="13">
        <f>IF('Données projet'!$A$36&gt;35,N22+M23-V22,IF(A23&lt;'Données projet'!$A$36,$K$205^A23,IF(A23='Données projet'!$A$36,'Données projet'!$B$36,N22+M23-V22)))</f>
        <v>208.05</v>
      </c>
      <c r="O23" s="13">
        <f>N23*VLOOKUP('Données projet'!$B$9,Paramètres!$A$1:$I$89,3,0)*VLOOKUP('Données projet'!$B$9,Paramètres!$A$1:$I$89,5,0)</f>
        <v>124.41390000000001</v>
      </c>
      <c r="P23" s="13">
        <f t="shared" si="33"/>
        <v>32.702294748208111</v>
      </c>
      <c r="Q23" s="20">
        <f t="shared" si="2"/>
        <v>273.64403918646246</v>
      </c>
      <c r="R23" s="59">
        <f t="shared" si="0"/>
        <v>566.97737251979584</v>
      </c>
      <c r="S23" s="59">
        <f ca="1">AVERAGE(OFFSET($R$3,0,0,'Données projet'!$E$9+1,1))-AVERAGE(OFFSET($H$3,0,0,'Données projet'!$E$9+1,1))</f>
        <v>326.05837294177707</v>
      </c>
      <c r="T23" s="59">
        <f t="shared" si="34"/>
        <v>406.74689878702014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55.160000000000025</v>
      </c>
      <c r="W23" s="16">
        <f>IF(ISNA(VLOOKUP(A23,'Données projet'!$A$35:$I$55,5,0)),0%,VLOOKUP(A23,'Données projet'!$A$35:$I$55,5,0)*VLOOKUP('Données projet'!$B$9,Paramètres!$A$1:$I$89,7,0))</f>
        <v>0.1125</v>
      </c>
      <c r="X23" s="16">
        <f>IF(ISNA(VLOOKUP(A23,'Données projet'!$A$35:$I$55,6,0)),0%,VLOOKUP(A23,'Données projet'!$A$35:$I$55,6,0)*VLOOKUP('Données projet'!$B$9,Paramètres!$A$1:$I$89,7,0))</f>
        <v>0.16650000000000001</v>
      </c>
      <c r="Y23" s="16">
        <f>IF(ISNA(VLOOKUP(A23,'Données projet'!$A$35:$I$55,7,0)),0%,VLOOKUP(A23,'Données projet'!$A$35:$I$55,7,0))</f>
        <v>0.38</v>
      </c>
      <c r="Z23" s="21">
        <f>EXP(-LN(2)/35)*Z22+(1-EXP(-LN(2)/35))/(LN(2)/35)*V23*W23*VLOOKUP('Données projet'!$B$9,Paramètres!$A$1:$I$89,3,0)*0.475*44/12</f>
        <v>4.9227334454815823</v>
      </c>
      <c r="AA23" s="21">
        <f>EXP(-LN(2)/25)*AA22+(1-EXP(-LN(2)/25))/(LN(2)/25)*Calculateur!V23*Calculateur!X23*VLOOKUP('Données projet'!$B$9,Paramètres!$A$1:$I$89,3,0)*0.475*44/12</f>
        <v>15.06985521219999</v>
      </c>
      <c r="AB23" s="21">
        <f>EXP(-LN(2)/2)*AB22+(1-EXP(-LN(2)/2))/(LN(2)/2)*V23*Y23*VLOOKUP('Données projet'!$B$9,Paramètres!$A$1:$I$89,3,0)*0.475*44/12</f>
        <v>17.213034355271418</v>
      </c>
      <c r="AC23" s="22">
        <f t="shared" si="3"/>
        <v>37.205623012952991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74.090194285714318</v>
      </c>
      <c r="AK23" s="13">
        <f t="shared" si="35"/>
        <v>20.685815608516002</v>
      </c>
      <c r="AL23" s="20">
        <f t="shared" si="4"/>
        <v>165.06821723245113</v>
      </c>
      <c r="AM23" s="59">
        <f t="shared" si="5"/>
        <v>458.40155056578442</v>
      </c>
      <c r="AN23" s="59">
        <f ca="1">AVERAGE(OFFSET($AM$3,0,0,'Données projet'!$E$10+1,1))-AVERAGE(OFFSET($H$3,0,0,'Données projet'!$E$10+1,1))</f>
        <v>490.21869105612649</v>
      </c>
      <c r="AO23" s="59">
        <f t="shared" si="36"/>
        <v>207.08773997010911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83.032114285714343</v>
      </c>
      <c r="BF23" s="13">
        <f t="shared" si="37"/>
        <v>22.876939092662138</v>
      </c>
      <c r="BG23" s="20">
        <f t="shared" si="7"/>
        <v>184.45826796733903</v>
      </c>
      <c r="BH23" s="59">
        <f t="shared" si="8"/>
        <v>477.79160130067237</v>
      </c>
      <c r="BI23" s="59">
        <f ca="1">AVERAGE(OFFSET($BH$3,0,0,'Données projet'!$E$11+1,1))-AVERAGE(OFFSET($H$3,0,0,'Données projet'!$E$11+1,1))</f>
        <v>561.19833044503548</v>
      </c>
      <c r="BJ23" s="59">
        <f t="shared" si="38"/>
        <v>235.9089269943575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82.692307692307679</v>
      </c>
      <c r="BW23" s="12">
        <f>VLOOKUP(A23,'Données projet'!$A$113:$I$133,9,0)</f>
        <v>7.1794871794871771</v>
      </c>
      <c r="BX23" s="12">
        <f t="array" ref="BX23">INDEX(BW:BW,MIN(IF(ISNUMBER(BW23:BW219),ROW(BW23:BW219),"")))</f>
        <v>7.1794871794871771</v>
      </c>
      <c r="BY23" s="12">
        <f>IF('Données projet'!$A$114&gt;35,BY22+BX23-CG22,IF(A23&lt;'Données projet'!$A$114,$BV$205^A23,IF(A23='Données projet'!$A$114,'Données projet'!$B$114,BY22+BX23-CG22)))</f>
        <v>82.692307692307693</v>
      </c>
      <c r="BZ23" s="13">
        <f>BY23*VLOOKUP('Données projet'!$B$12,Paramètres!$A$1:$I$89,3,0)*VLOOKUP('Données projet'!$B$12,Paramètres!$A$1:$I$89,5,0)</f>
        <v>72.240000000000009</v>
      </c>
      <c r="CA23" s="13">
        <f t="shared" si="39"/>
        <v>20.228704652038434</v>
      </c>
      <c r="CB23" s="20">
        <f t="shared" si="10"/>
        <v>161.04966060230029</v>
      </c>
      <c r="CC23" s="59">
        <f t="shared" si="11"/>
        <v>454.38299393563364</v>
      </c>
      <c r="CD23" s="59">
        <f ca="1">AVERAGE(OFFSET($CC$3,0,0,'Données projet'!$E$12+1,1))-AVERAGE(OFFSET($H$3,0,0,'Données projet'!$E$12+1,1))</f>
        <v>147.1862160897889</v>
      </c>
      <c r="CE23" s="59">
        <f t="shared" si="40"/>
        <v>147.31828668914011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34.615384615384613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0.215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7.1590269776589848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7.1590269776589848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24.238333333333333</v>
      </c>
      <c r="N24" s="13">
        <f>IF('Données projet'!$A$36&gt;35,N23+M24-V23,IF(A24&lt;'Données projet'!$A$36,$K$205^A24,IF(A24='Données projet'!$A$36,'Données projet'!$B$36,N23+M24-V23)))</f>
        <v>177.12833333333333</v>
      </c>
      <c r="O24" s="13">
        <f>N24*VLOOKUP('Données projet'!$B$9,Paramètres!$A$1:$I$89,3,0)*VLOOKUP('Données projet'!$B$9,Paramètres!$A$1:$I$89,5,0)</f>
        <v>105.92274333333334</v>
      </c>
      <c r="P24" s="13">
        <f t="shared" si="33"/>
        <v>28.368249625717503</v>
      </c>
      <c r="Q24" s="20">
        <f t="shared" si="2"/>
        <v>233.89014607034687</v>
      </c>
      <c r="R24" s="59">
        <f t="shared" si="0"/>
        <v>527.22347940368013</v>
      </c>
      <c r="S24" s="59">
        <f ca="1">AVERAGE(OFFSET($R$3,0,0,'Données projet'!$E$9+1,1))-AVERAGE(OFFSET($H$3,0,0,'Données projet'!$E$9+1,1))</f>
        <v>326.05837294177707</v>
      </c>
      <c r="T24" s="59">
        <f t="shared" si="34"/>
        <v>406.74689878702014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4.826201645186611</v>
      </c>
      <c r="AA24" s="21">
        <f>EXP(-LN(2)/25)*AA23+(1-EXP(-LN(2)/25))/(LN(2)/25)*Calculateur!V24*Calculateur!X24*VLOOKUP('Données projet'!$B$9,Paramètres!$A$1:$I$89,3,0)*0.475*44/12</f>
        <v>14.657769228933137</v>
      </c>
      <c r="AB24" s="21">
        <f>EXP(-LN(2)/2)*AB23+(1-EXP(-LN(2)/2))/(LN(2)/2)*V24*Y24*VLOOKUP('Données projet'!$B$9,Paramètres!$A$1:$I$89,3,0)*0.475*44/12</f>
        <v>12.171453317409432</v>
      </c>
      <c r="AC24" s="22">
        <f t="shared" si="3"/>
        <v>31.655424191529178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77.794704000000038</v>
      </c>
      <c r="AK24" s="13">
        <f t="shared" si="35"/>
        <v>21.597103708846074</v>
      </c>
      <c r="AL24" s="20">
        <f t="shared" si="4"/>
        <v>173.10739842624028</v>
      </c>
      <c r="AM24" s="59">
        <f t="shared" si="5"/>
        <v>466.44073175957362</v>
      </c>
      <c r="AN24" s="59">
        <f ca="1">AVERAGE(OFFSET($AM$3,0,0,'Données projet'!$E$10+1,1))-AVERAGE(OFFSET($H$3,0,0,'Données projet'!$E$10+1,1))</f>
        <v>490.21869105612649</v>
      </c>
      <c r="AO24" s="59">
        <f t="shared" si="36"/>
        <v>207.08773997010911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87.183720000000051</v>
      </c>
      <c r="BF24" s="13">
        <f t="shared" si="37"/>
        <v>23.884754436357664</v>
      </c>
      <c r="BG24" s="20">
        <f t="shared" si="7"/>
        <v>193.44425964332299</v>
      </c>
      <c r="BH24" s="59">
        <f t="shared" si="8"/>
        <v>486.77759297665631</v>
      </c>
      <c r="BI24" s="59">
        <f ca="1">AVERAGE(OFFSET($BH$3,0,0,'Données projet'!$E$11+1,1))-AVERAGE(OFFSET($H$3,0,0,'Données projet'!$E$11+1,1))</f>
        <v>561.19833044503548</v>
      </c>
      <c r="BJ24" s="59">
        <f t="shared" si="38"/>
        <v>235.9089269943575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6.5384615384615419</v>
      </c>
      <c r="BY24" s="12">
        <f>IF('Données projet'!$A$114&gt;35,BY23+BX24-CG23,IF(A24&lt;'Données projet'!$A$114,$BV$205^A24,IF(A24='Données projet'!$A$114,'Données projet'!$B$114,BY23+BX24-CG23)))</f>
        <v>54.615384615384627</v>
      </c>
      <c r="BZ24" s="13">
        <f>BY24*VLOOKUP('Données projet'!$B$12,Paramètres!$A$1:$I$89,3,0)*VLOOKUP('Données projet'!$B$12,Paramètres!$A$1:$I$89,5,0)</f>
        <v>47.712000000000018</v>
      </c>
      <c r="CA24" s="13">
        <f t="shared" si="39"/>
        <v>14.021272553956601</v>
      </c>
      <c r="CB24" s="20">
        <f t="shared" si="10"/>
        <v>107.51878303147443</v>
      </c>
      <c r="CC24" s="59">
        <f t="shared" si="11"/>
        <v>400.85211636480773</v>
      </c>
      <c r="CD24" s="59">
        <f ca="1">AVERAGE(OFFSET($CC$3,0,0,'Données projet'!$E$12+1,1))-AVERAGE(OFFSET($H$3,0,0,'Données projet'!$E$12+1,1))</f>
        <v>147.1862160897889</v>
      </c>
      <c r="CE24" s="59">
        <f t="shared" si="40"/>
        <v>147.31828668914011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6.9632630084780329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6.9632630084780329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24.238333333333333</v>
      </c>
      <c r="N25" s="13">
        <f>IF('Données projet'!$A$36&gt;35,N24+M25-V24,IF(A25&lt;'Données projet'!$A$36,$K$205^A25,IF(A25='Données projet'!$A$36,'Données projet'!$B$36,N24+M25-V24)))</f>
        <v>201.36666666666667</v>
      </c>
      <c r="O25" s="13">
        <f>N25*VLOOKUP('Données projet'!$B$9,Paramètres!$A$1:$I$89,3,0)*VLOOKUP('Données projet'!$B$9,Paramètres!$A$1:$I$89,5,0)</f>
        <v>120.41726666666668</v>
      </c>
      <c r="P25" s="13">
        <f t="shared" si="33"/>
        <v>31.772300222074016</v>
      </c>
      <c r="Q25" s="20">
        <f t="shared" si="2"/>
        <v>265.06349566455668</v>
      </c>
      <c r="R25" s="59">
        <f t="shared" si="0"/>
        <v>558.39682899789</v>
      </c>
      <c r="S25" s="59">
        <f ca="1">AVERAGE(OFFSET($R$3,0,0,'Données projet'!$E$9+1,1))-AVERAGE(OFFSET($H$3,0,0,'Données projet'!$E$9+1,1))</f>
        <v>326.05837294177707</v>
      </c>
      <c r="T25" s="59">
        <f t="shared" si="34"/>
        <v>406.74689878702014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4.7315627746168394</v>
      </c>
      <c r="AA25" s="21">
        <f>EXP(-LN(2)/25)*AA24+(1-EXP(-LN(2)/25))/(LN(2)/25)*Calculateur!V25*Calculateur!X25*VLOOKUP('Données projet'!$B$9,Paramètres!$A$1:$I$89,3,0)*0.475*44/12</f>
        <v>14.256951758549377</v>
      </c>
      <c r="AB25" s="21">
        <f>EXP(-LN(2)/2)*AB24+(1-EXP(-LN(2)/2))/(LN(2)/2)*V25*Y25*VLOOKUP('Données projet'!$B$9,Paramètres!$A$1:$I$89,3,0)*0.475*44/12</f>
        <v>8.606517177635709</v>
      </c>
      <c r="AC25" s="22">
        <f t="shared" si="3"/>
        <v>27.595031710801926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81.499213714285759</v>
      </c>
      <c r="AK25" s="13">
        <f t="shared" si="35"/>
        <v>22.503352631648468</v>
      </c>
      <c r="AL25" s="20">
        <f t="shared" si="4"/>
        <v>181.13780305250211</v>
      </c>
      <c r="AM25" s="59">
        <f t="shared" si="5"/>
        <v>474.47113638583539</v>
      </c>
      <c r="AN25" s="59">
        <f ca="1">AVERAGE(OFFSET($AM$3,0,0,'Données projet'!$E$10+1,1))-AVERAGE(OFFSET($H$3,0,0,'Données projet'!$E$10+1,1))</f>
        <v>490.21869105612649</v>
      </c>
      <c r="AO25" s="59">
        <f t="shared" si="36"/>
        <v>207.08773997010911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91.335325714285773</v>
      </c>
      <c r="BF25" s="13">
        <f t="shared" si="37"/>
        <v>24.886996832891736</v>
      </c>
      <c r="BG25" s="20">
        <f t="shared" si="7"/>
        <v>202.42054510300082</v>
      </c>
      <c r="BH25" s="59">
        <f t="shared" si="8"/>
        <v>495.75387843633416</v>
      </c>
      <c r="BI25" s="59">
        <f ca="1">AVERAGE(OFFSET($BH$3,0,0,'Données projet'!$E$11+1,1))-AVERAGE(OFFSET($H$3,0,0,'Données projet'!$E$11+1,1))</f>
        <v>561.19833044503548</v>
      </c>
      <c r="BJ25" s="59">
        <f t="shared" si="38"/>
        <v>235.9089269943575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6.5384615384615419</v>
      </c>
      <c r="BY25" s="12">
        <f>IF('Données projet'!$A$114&gt;35,BY24+BX25-CG24,IF(A25&lt;'Données projet'!$A$114,$BV$205^A25,IF(A25='Données projet'!$A$114,'Données projet'!$B$114,BY24+BX25-CG24)))</f>
        <v>61.153846153846168</v>
      </c>
      <c r="BZ25" s="13">
        <f>BY25*VLOOKUP('Données projet'!$B$12,Paramètres!$A$1:$I$89,3,0)*VLOOKUP('Données projet'!$B$12,Paramètres!$A$1:$I$89,5,0)</f>
        <v>53.424000000000021</v>
      </c>
      <c r="CA25" s="13">
        <f t="shared" si="39"/>
        <v>15.49458502275837</v>
      </c>
      <c r="CB25" s="20">
        <f t="shared" si="10"/>
        <v>120.03320224797085</v>
      </c>
      <c r="CC25" s="59">
        <f t="shared" si="11"/>
        <v>413.36653558130416</v>
      </c>
      <c r="CD25" s="59">
        <f ca="1">AVERAGE(OFFSET($CC$3,0,0,'Données projet'!$E$12+1,1))-AVERAGE(OFFSET($H$3,0,0,'Données projet'!$E$12+1,1))</f>
        <v>147.1862160897889</v>
      </c>
      <c r="CE25" s="59">
        <f t="shared" si="40"/>
        <v>147.31828668914011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6.772852215329114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6.772852215329114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24.238333333333333</v>
      </c>
      <c r="N26" s="13">
        <f>IF('Données projet'!$A$36&gt;35,N25+M26-V25,IF(A26&lt;'Données projet'!$A$36,$K$205^A26,IF(A26='Données projet'!$A$36,'Données projet'!$B$36,N25+M26-V25)))</f>
        <v>225.60500000000002</v>
      </c>
      <c r="O26" s="13">
        <f>N26*VLOOKUP('Données projet'!$B$9,Paramètres!$A$1:$I$89,3,0)*VLOOKUP('Données projet'!$B$9,Paramètres!$A$1:$I$89,5,0)</f>
        <v>134.91179000000002</v>
      </c>
      <c r="P26" s="13">
        <f t="shared" si="33"/>
        <v>35.128868426839887</v>
      </c>
      <c r="Q26" s="20">
        <f t="shared" si="2"/>
        <v>296.15414676007953</v>
      </c>
      <c r="R26" s="59">
        <f t="shared" si="0"/>
        <v>589.48748009341284</v>
      </c>
      <c r="S26" s="59">
        <f ca="1">AVERAGE(OFFSET($R$3,0,0,'Données projet'!$E$9+1,1))-AVERAGE(OFFSET($H$3,0,0,'Données projet'!$E$9+1,1))</f>
        <v>326.05837294177707</v>
      </c>
      <c r="T26" s="59">
        <f t="shared" si="34"/>
        <v>406.74689878702014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4.6387797145749303</v>
      </c>
      <c r="AA26" s="21">
        <f>EXP(-LN(2)/25)*AA25+(1-EXP(-LN(2)/25))/(LN(2)/25)*Calculateur!V26*Calculateur!X26*VLOOKUP('Données projet'!$B$9,Paramètres!$A$1:$I$89,3,0)*0.475*44/12</f>
        <v>13.867094662971336</v>
      </c>
      <c r="AB26" s="21">
        <f>EXP(-LN(2)/2)*AB25+(1-EXP(-LN(2)/2))/(LN(2)/2)*V26*Y26*VLOOKUP('Données projet'!$B$9,Paramètres!$A$1:$I$89,3,0)*0.475*44/12</f>
        <v>6.0857266587047159</v>
      </c>
      <c r="AC26" s="22">
        <f t="shared" si="3"/>
        <v>24.591601036250982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85.203723428571479</v>
      </c>
      <c r="AK26" s="13">
        <f t="shared" si="35"/>
        <v>23.404817596574706</v>
      </c>
      <c r="AL26" s="20">
        <f t="shared" si="4"/>
        <v>189.15987561879626</v>
      </c>
      <c r="AM26" s="59">
        <f t="shared" si="5"/>
        <v>482.49320895212958</v>
      </c>
      <c r="AN26" s="59">
        <f ca="1">AVERAGE(OFFSET($AM$3,0,0,'Données projet'!$E$10+1,1))-AVERAGE(OFFSET($H$3,0,0,'Données projet'!$E$10+1,1))</f>
        <v>490.21869105612649</v>
      </c>
      <c r="AO26" s="59">
        <f t="shared" si="36"/>
        <v>207.08773997010911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95.486931428571495</v>
      </c>
      <c r="BF26" s="13">
        <f t="shared" si="37"/>
        <v>25.883948535791781</v>
      </c>
      <c r="BG26" s="20">
        <f t="shared" si="7"/>
        <v>211.38761593793268</v>
      </c>
      <c r="BH26" s="59">
        <f t="shared" si="8"/>
        <v>504.72094927126602</v>
      </c>
      <c r="BI26" s="59">
        <f ca="1">AVERAGE(OFFSET($BH$3,0,0,'Données projet'!$E$11+1,1))-AVERAGE(OFFSET($H$3,0,0,'Données projet'!$E$11+1,1))</f>
        <v>561.19833044503548</v>
      </c>
      <c r="BJ26" s="59">
        <f t="shared" si="38"/>
        <v>235.9089269943575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6.5384615384615419</v>
      </c>
      <c r="BY26" s="12">
        <f>IF('Données projet'!$A$114&gt;35,BY25+BX26-CG25,IF(A26&lt;'Données projet'!$A$114,$BV$205^A26,IF(A26='Données projet'!$A$114,'Données projet'!$B$114,BY25+BX26-CG25)))</f>
        <v>67.692307692307708</v>
      </c>
      <c r="BZ26" s="13">
        <f>BY26*VLOOKUP('Données projet'!$B$12,Paramètres!$A$1:$I$89,3,0)*VLOOKUP('Données projet'!$B$12,Paramètres!$A$1:$I$89,5,0)</f>
        <v>59.136000000000024</v>
      </c>
      <c r="CA26" s="13">
        <f t="shared" si="39"/>
        <v>16.94963864043088</v>
      </c>
      <c r="CB26" s="20">
        <f t="shared" si="10"/>
        <v>132.5158206320838</v>
      </c>
      <c r="CC26" s="59">
        <f t="shared" si="11"/>
        <v>425.84915396541714</v>
      </c>
      <c r="CD26" s="59">
        <f ca="1">AVERAGE(OFFSET($CC$3,0,0,'Données projet'!$E$12+1,1))-AVERAGE(OFFSET($H$3,0,0,'Données projet'!$E$12+1,1))</f>
        <v>147.1862160897889</v>
      </c>
      <c r="CE26" s="59">
        <f t="shared" si="40"/>
        <v>147.31828668914011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6.5876482153321207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6.5876482153321207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24.238333333333333</v>
      </c>
      <c r="N27" s="13">
        <f>IF('Données projet'!$A$36&gt;35,N26+M27-V26,IF(A27&lt;'Données projet'!$A$36,$K$205^A27,IF(A27='Données projet'!$A$36,'Données projet'!$B$36,N26+M27-V26)))</f>
        <v>249.84333333333336</v>
      </c>
      <c r="O27" s="13">
        <f>N27*VLOOKUP('Données projet'!$B$9,Paramètres!$A$1:$I$89,3,0)*VLOOKUP('Données projet'!$B$9,Paramètres!$A$1:$I$89,5,0)</f>
        <v>149.40631333333337</v>
      </c>
      <c r="P27" s="13">
        <f t="shared" si="33"/>
        <v>38.443637071332986</v>
      </c>
      <c r="Q27" s="20">
        <f t="shared" si="2"/>
        <v>327.17199695479388</v>
      </c>
      <c r="R27" s="59">
        <f t="shared" si="0"/>
        <v>620.5053302881272</v>
      </c>
      <c r="S27" s="59">
        <f ca="1">AVERAGE(OFFSET($R$3,0,0,'Données projet'!$E$9+1,1))-AVERAGE(OFFSET($H$3,0,0,'Données projet'!$E$9+1,1))</f>
        <v>326.05837294177707</v>
      </c>
      <c r="T27" s="59">
        <f t="shared" si="34"/>
        <v>406.74689878702014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4.5478160737483639</v>
      </c>
      <c r="AA27" s="21">
        <f>EXP(-LN(2)/25)*AA26+(1-EXP(-LN(2)/25))/(LN(2)/25)*Calculateur!V27*Calculateur!X27*VLOOKUP('Données projet'!$B$9,Paramètres!$A$1:$I$89,3,0)*0.475*44/12</f>
        <v>13.48789823017357</v>
      </c>
      <c r="AB27" s="21">
        <f>EXP(-LN(2)/2)*AB26+(1-EXP(-LN(2)/2))/(LN(2)/2)*V27*Y27*VLOOKUP('Données projet'!$B$9,Paramètres!$A$1:$I$89,3,0)*0.475*44/12</f>
        <v>4.3032585888178545</v>
      </c>
      <c r="AC27" s="22">
        <f t="shared" si="3"/>
        <v>22.33897289273979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88.908233142857185</v>
      </c>
      <c r="AK27" s="13">
        <f t="shared" si="35"/>
        <v>24.301730375247274</v>
      </c>
      <c r="AL27" s="20">
        <f t="shared" si="4"/>
        <v>197.17401979403192</v>
      </c>
      <c r="AM27" s="59">
        <f t="shared" si="5"/>
        <v>490.50735312736526</v>
      </c>
      <c r="AN27" s="59">
        <f ca="1">AVERAGE(OFFSET($AM$3,0,0,'Données projet'!$E$10+1,1))-AVERAGE(OFFSET($H$3,0,0,'Données projet'!$E$10+1,1))</f>
        <v>490.21869105612649</v>
      </c>
      <c r="AO27" s="59">
        <f t="shared" si="36"/>
        <v>207.08773997010911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99.638537142857203</v>
      </c>
      <c r="BF27" s="13">
        <f t="shared" si="37"/>
        <v>26.875865866848134</v>
      </c>
      <c r="BG27" s="20">
        <f t="shared" si="7"/>
        <v>220.34591857523677</v>
      </c>
      <c r="BH27" s="59">
        <f t="shared" si="8"/>
        <v>513.67925190857011</v>
      </c>
      <c r="BI27" s="59">
        <f ca="1">AVERAGE(OFFSET($BH$3,0,0,'Données projet'!$E$11+1,1))-AVERAGE(OFFSET($H$3,0,0,'Données projet'!$E$11+1,1))</f>
        <v>561.19833044503548</v>
      </c>
      <c r="BJ27" s="59">
        <f t="shared" si="38"/>
        <v>235.9089269943575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6.5384615384615419</v>
      </c>
      <c r="BY27" s="12">
        <f>IF('Données projet'!$A$114&gt;35,BY26+BX27-CG26,IF(A27&lt;'Données projet'!$A$114,$BV$205^A27,IF(A27='Données projet'!$A$114,'Données projet'!$B$114,BY26+BX27-CG26)))</f>
        <v>74.230769230769255</v>
      </c>
      <c r="BZ27" s="13">
        <f>BY27*VLOOKUP('Données projet'!$B$12,Paramètres!$A$1:$I$89,3,0)*VLOOKUP('Données projet'!$B$12,Paramètres!$A$1:$I$89,5,0)</f>
        <v>64.848000000000027</v>
      </c>
      <c r="CA27" s="13">
        <f t="shared" si="39"/>
        <v>18.38839772584172</v>
      </c>
      <c r="CB27" s="20">
        <f t="shared" si="10"/>
        <v>144.97005937250771</v>
      </c>
      <c r="CC27" s="59">
        <f t="shared" si="11"/>
        <v>438.30339270584102</v>
      </c>
      <c r="CD27" s="59">
        <f ca="1">AVERAGE(OFFSET($CC$3,0,0,'Données projet'!$E$12+1,1))-AVERAGE(OFFSET($H$3,0,0,'Données projet'!$E$12+1,1))</f>
        <v>147.1862160897889</v>
      </c>
      <c r="CE27" s="59">
        <f t="shared" si="40"/>
        <v>147.31828668914011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6.4075086284545009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6.4075086284545009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24.238333333333333</v>
      </c>
      <c r="N28" s="13">
        <f>IF('Données projet'!$A$36&gt;35,N27+M28-V27,IF(A28&lt;'Données projet'!$A$36,$K$205^A28,IF(A28='Données projet'!$A$36,'Données projet'!$B$36,N27+M28-V27)))</f>
        <v>274.08166666666671</v>
      </c>
      <c r="O28" s="13">
        <f>N28*VLOOKUP('Données projet'!$B$9,Paramètres!$A$1:$I$89,3,0)*VLOOKUP('Données projet'!$B$9,Paramètres!$A$1:$I$89,5,0)</f>
        <v>163.90083666666669</v>
      </c>
      <c r="P28" s="13">
        <f t="shared" si="33"/>
        <v>41.721122750851265</v>
      </c>
      <c r="Q28" s="20">
        <f t="shared" si="2"/>
        <v>358.12491265217704</v>
      </c>
      <c r="R28" s="59">
        <f t="shared" si="0"/>
        <v>651.4582459855103</v>
      </c>
      <c r="S28" s="59">
        <f ca="1">AVERAGE(OFFSET($R$3,0,0,'Données projet'!$E$9+1,1))-AVERAGE(OFFSET($H$3,0,0,'Données projet'!$E$9+1,1))</f>
        <v>326.05837294177707</v>
      </c>
      <c r="T28" s="59">
        <f t="shared" si="34"/>
        <v>406.74689878702014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4.4586361744360641</v>
      </c>
      <c r="AA28" s="21">
        <f>EXP(-LN(2)/25)*AA27+(1-EXP(-LN(2)/25))/(LN(2)/25)*Calculateur!V28*Calculateur!X28*VLOOKUP('Données projet'!$B$9,Paramètres!$A$1:$I$89,3,0)*0.475*44/12</f>
        <v>13.119070943771733</v>
      </c>
      <c r="AB28" s="21">
        <f>EXP(-LN(2)/2)*AB27+(1-EXP(-LN(2)/2))/(LN(2)/2)*V28*Y28*VLOOKUP('Données projet'!$B$9,Paramètres!$A$1:$I$89,3,0)*0.475*44/12</f>
        <v>3.0428633293523579</v>
      </c>
      <c r="AC28" s="22">
        <f t="shared" si="3"/>
        <v>20.620570447560155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92.612742857142905</v>
      </c>
      <c r="AK28" s="13">
        <f t="shared" si="35"/>
        <v>25.194302332262133</v>
      </c>
      <c r="AL28" s="20">
        <f t="shared" si="4"/>
        <v>205.18060370488044</v>
      </c>
      <c r="AM28" s="59">
        <f t="shared" si="5"/>
        <v>498.51393703821373</v>
      </c>
      <c r="AN28" s="59">
        <f ca="1">AVERAGE(OFFSET($AM$3,0,0,'Données projet'!$E$10+1,1))-AVERAGE(OFFSET($H$3,0,0,'Données projet'!$E$10+1,1))</f>
        <v>490.21869105612649</v>
      </c>
      <c r="AO28" s="59">
        <f t="shared" si="36"/>
        <v>207.08773997010911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103.79014285714292</v>
      </c>
      <c r="BF28" s="13">
        <f t="shared" si="37"/>
        <v>27.862982579231517</v>
      </c>
      <c r="BG28" s="20">
        <f t="shared" si="7"/>
        <v>229.29586013501878</v>
      </c>
      <c r="BH28" s="59">
        <f t="shared" si="8"/>
        <v>522.62919346835213</v>
      </c>
      <c r="BI28" s="59">
        <f ca="1">AVERAGE(OFFSET($BH$3,0,0,'Données projet'!$E$11+1,1))-AVERAGE(OFFSET($H$3,0,0,'Données projet'!$E$11+1,1))</f>
        <v>561.19833044503548</v>
      </c>
      <c r="BJ28" s="59">
        <f t="shared" si="38"/>
        <v>235.9089269943575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80.769230769230774</v>
      </c>
      <c r="BW28" s="12">
        <f>VLOOKUP(A28,'Données projet'!$A$113:$I$133,9,0)</f>
        <v>6.5384615384615419</v>
      </c>
      <c r="BX28" s="12">
        <f t="array" ref="BX28">INDEX(BW:BW,MIN(IF(ISNUMBER(BW28:BW224),ROW(BW28:BW224),"")))</f>
        <v>6.5384615384615419</v>
      </c>
      <c r="BY28" s="12">
        <f>IF('Données projet'!$A$114&gt;35,BY27+BX28-CG27,IF(A28&lt;'Données projet'!$A$114,$BV$205^A28,IF(A28='Données projet'!$A$114,'Données projet'!$B$114,BY27+BX28-CG27)))</f>
        <v>80.769230769230802</v>
      </c>
      <c r="BZ28" s="13">
        <f>BY28*VLOOKUP('Données projet'!$B$12,Paramètres!$A$1:$I$89,3,0)*VLOOKUP('Données projet'!$B$12,Paramètres!$A$1:$I$89,5,0)</f>
        <v>70.560000000000045</v>
      </c>
      <c r="CA28" s="13">
        <f t="shared" si="39"/>
        <v>19.812460750274312</v>
      </c>
      <c r="CB28" s="20">
        <f t="shared" si="10"/>
        <v>157.39870247339451</v>
      </c>
      <c r="CC28" s="59">
        <f t="shared" si="11"/>
        <v>450.73203580672782</v>
      </c>
      <c r="CD28" s="59">
        <f ca="1">AVERAGE(OFFSET($CC$3,0,0,'Données projet'!$E$12+1,1))-AVERAGE(OFFSET($H$3,0,0,'Données projet'!$E$12+1,1))</f>
        <v>147.1862160897889</v>
      </c>
      <c r="CE28" s="59">
        <f t="shared" si="40"/>
        <v>147.31828668914011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16.666666666666668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0.215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9.6792338832223201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9.6792338832223201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298.32</v>
      </c>
      <c r="L29" s="12">
        <f>VLOOKUP(A29,'Données projet'!$A$35:$I$55,9,0)</f>
        <v>24.238333333333333</v>
      </c>
      <c r="M29" s="12">
        <f t="array" ref="M29">INDEX(L:L,MIN(IF(ISNUMBER(L29:L225),ROW(L29:L225),"")))</f>
        <v>24.238333333333333</v>
      </c>
      <c r="N29" s="13">
        <f>IF('Données projet'!$A$36&gt;35,N28+M29-V28,IF(A29&lt;'Données projet'!$A$36,$K$205^A29,IF(A29='Données projet'!$A$36,'Données projet'!$B$36,N28+M29-V28)))</f>
        <v>298.32000000000005</v>
      </c>
      <c r="O29" s="13">
        <f>N29*VLOOKUP('Données projet'!$B$9,Paramètres!$A$1:$I$89,3,0)*VLOOKUP('Données projet'!$B$9,Paramètres!$A$1:$I$89,5,0)</f>
        <v>178.39536000000007</v>
      </c>
      <c r="P29" s="13">
        <f t="shared" si="33"/>
        <v>44.964997487846667</v>
      </c>
      <c r="Q29" s="20">
        <f t="shared" si="2"/>
        <v>389.01928929133305</v>
      </c>
      <c r="R29" s="59">
        <f t="shared" si="0"/>
        <v>682.35262262466631</v>
      </c>
      <c r="S29" s="59">
        <f ca="1">AVERAGE(OFFSET($R$3,0,0,'Données projet'!$E$9+1,1))-AVERAGE(OFFSET($H$3,0,0,'Données projet'!$E$9+1,1))</f>
        <v>326.05837294177707</v>
      </c>
      <c r="T29" s="59">
        <f t="shared" si="34"/>
        <v>406.74689878702014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56.150000000000006</v>
      </c>
      <c r="W29" s="16">
        <f>IF(ISNA(VLOOKUP(A29,'Données projet'!$A$35:$I$55,5,0)),0%,VLOOKUP(A29,'Données projet'!$A$35:$I$55,5,0)*VLOOKUP('Données projet'!$B$9,Paramètres!$A$1:$I$89,7,0))</f>
        <v>0.27</v>
      </c>
      <c r="X29" s="16">
        <f>IF(ISNA(VLOOKUP(A29,'Données projet'!$A$35:$I$55,6,0)),0%,VLOOKUP(A29,'Données projet'!$A$35:$I$55,6,0)*VLOOKUP('Données projet'!$B$9,Paramètres!$A$1:$I$89,7,0))</f>
        <v>9.0000000000000011E-2</v>
      </c>
      <c r="Y29" s="16">
        <f>IF(ISNA(VLOOKUP(A29,'Données projet'!$A$35:$I$55,7,0)),0%,VLOOKUP(A29,'Données projet'!$A$35:$I$55,7,0))</f>
        <v>0.2</v>
      </c>
      <c r="Z29" s="21">
        <f>EXP(-LN(2)/35)*Z28+(1-EXP(-LN(2)/35))/(LN(2)/35)*V29*W29*VLOOKUP('Données projet'!$B$9,Paramètres!$A$1:$I$89,3,0)*0.475*44/12</f>
        <v>16.397810533716221</v>
      </c>
      <c r="AA29" s="21">
        <f>EXP(-LN(2)/25)*AA28+(1-EXP(-LN(2)/25))/(LN(2)/25)*Calculateur!V29*Calculateur!X29*VLOOKUP('Données projet'!$B$9,Paramètres!$A$1:$I$89,3,0)*0.475*44/12</f>
        <v>16.753413314522639</v>
      </c>
      <c r="AB29" s="21">
        <f>EXP(-LN(2)/2)*AB28+(1-EXP(-LN(2)/2))/(LN(2)/2)*V29*Y29*VLOOKUP('Données projet'!$B$9,Paramètres!$A$1:$I$89,3,0)*0.475*44/12</f>
        <v>9.7551805777398108</v>
      </c>
      <c r="AC29" s="22">
        <f t="shared" si="3"/>
        <v>42.906404425978664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96.317252571428625</v>
      </c>
      <c r="AK29" s="13">
        <f t="shared" si="35"/>
        <v>26.082726965934707</v>
      </c>
      <c r="AL29" s="20">
        <f t="shared" si="4"/>
        <v>213.1799643609078</v>
      </c>
      <c r="AM29" s="59">
        <f t="shared" si="5"/>
        <v>506.51329769424115</v>
      </c>
      <c r="AN29" s="59">
        <f ca="1">AVERAGE(OFFSET($AM$3,0,0,'Données projet'!$E$10+1,1))-AVERAGE(OFFSET($H$3,0,0,'Données projet'!$E$10+1,1))</f>
        <v>490.21869105612649</v>
      </c>
      <c r="AO29" s="59">
        <f t="shared" si="36"/>
        <v>207.08773997010911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107.94174857142863</v>
      </c>
      <c r="BF29" s="13">
        <f t="shared" si="37"/>
        <v>28.845512667364968</v>
      </c>
      <c r="BG29" s="20">
        <f t="shared" si="7"/>
        <v>238.23781332423221</v>
      </c>
      <c r="BH29" s="59">
        <f t="shared" si="8"/>
        <v>531.57114665756558</v>
      </c>
      <c r="BI29" s="59">
        <f ca="1">AVERAGE(OFFSET($BH$3,0,0,'Données projet'!$E$11+1,1))-AVERAGE(OFFSET($H$3,0,0,'Données projet'!$E$11+1,1))</f>
        <v>561.19833044503548</v>
      </c>
      <c r="BJ29" s="59">
        <f t="shared" si="38"/>
        <v>235.9089269943575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6.2820512820512819</v>
      </c>
      <c r="BY29" s="12">
        <f>IF('Données projet'!$A$114&gt;35,BY28+BX29-CG28,IF(A29&lt;'Données projet'!$A$114,$BV$205^A29,IF(A29='Données projet'!$A$114,'Données projet'!$B$114,BY28+BX29-CG28)))</f>
        <v>70.384615384615415</v>
      </c>
      <c r="BZ29" s="13">
        <f>BY29*VLOOKUP('Données projet'!$B$12,Paramètres!$A$1:$I$89,3,0)*VLOOKUP('Données projet'!$B$12,Paramètres!$A$1:$I$89,5,0)</f>
        <v>61.488000000000035</v>
      </c>
      <c r="CA29" s="13">
        <f t="shared" si="39"/>
        <v>17.543944034202312</v>
      </c>
      <c r="CB29" s="20">
        <f t="shared" si="10"/>
        <v>137.64730252623576</v>
      </c>
      <c r="CC29" s="59">
        <f t="shared" si="11"/>
        <v>430.98063585956908</v>
      </c>
      <c r="CD29" s="59">
        <f ca="1">AVERAGE(OFFSET($CC$3,0,0,'Données projet'!$E$12+1,1))-AVERAGE(OFFSET($H$3,0,0,'Données projet'!$E$12+1,1))</f>
        <v>147.1862160897889</v>
      </c>
      <c r="CE29" s="59">
        <f t="shared" si="40"/>
        <v>147.31828668914011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9.4145547236768188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9.4145547236768188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24.998333333333338</v>
      </c>
      <c r="N30" s="13">
        <f>IF('Données projet'!$A$36&gt;35,N29+M30-V29,IF(A30&lt;'Données projet'!$A$36,$K$205^A30,IF(A30='Données projet'!$A$36,'Données projet'!$B$36,N29+M30-V29)))</f>
        <v>267.16833333333341</v>
      </c>
      <c r="O30" s="13">
        <f>N30*VLOOKUP('Données projet'!$B$9,Paramètres!$A$1:$I$89,3,0)*VLOOKUP('Données projet'!$B$9,Paramètres!$A$1:$I$89,5,0)</f>
        <v>159.76666333333338</v>
      </c>
      <c r="P30" s="13">
        <f t="shared" si="33"/>
        <v>40.789881200769877</v>
      </c>
      <c r="Q30" s="20">
        <f t="shared" si="2"/>
        <v>349.30264839689653</v>
      </c>
      <c r="R30" s="59">
        <f t="shared" si="0"/>
        <v>642.63598173022979</v>
      </c>
      <c r="S30" s="59">
        <f ca="1">AVERAGE(OFFSET($R$3,0,0,'Données projet'!$E$9+1,1))-AVERAGE(OFFSET($H$3,0,0,'Données projet'!$E$9+1,1))</f>
        <v>326.05837294177707</v>
      </c>
      <c r="T30" s="59">
        <f t="shared" si="34"/>
        <v>406.74689878702014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16.076259470826887</v>
      </c>
      <c r="AA30" s="21">
        <f>EXP(-LN(2)/25)*AA29+(1-EXP(-LN(2)/25))/(LN(2)/25)*Calculateur!V30*Calculateur!X30*VLOOKUP('Données projet'!$B$9,Paramètres!$A$1:$I$89,3,0)*0.475*44/12</f>
        <v>16.295290346413303</v>
      </c>
      <c r="AB30" s="21">
        <f>EXP(-LN(2)/2)*AB29+(1-EXP(-LN(2)/2))/(LN(2)/2)*V30*Y30*VLOOKUP('Données projet'!$B$9,Paramètres!$A$1:$I$89,3,0)*0.475*44/12</f>
        <v>6.8979543382191233</v>
      </c>
      <c r="AC30" s="22">
        <f t="shared" si="3"/>
        <v>39.269504155459316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100.02176228571433</v>
      </c>
      <c r="AK30" s="13">
        <f t="shared" si="35"/>
        <v>26.967182047167292</v>
      </c>
      <c r="AL30" s="20">
        <f t="shared" si="4"/>
        <v>221.17241137976885</v>
      </c>
      <c r="AM30" s="59">
        <f t="shared" si="5"/>
        <v>514.5057447131021</v>
      </c>
      <c r="AN30" s="59">
        <f ca="1">AVERAGE(OFFSET($AM$3,0,0,'Données projet'!$E$10+1,1))-AVERAGE(OFFSET($H$3,0,0,'Données projet'!$E$10+1,1))</f>
        <v>490.21869105612649</v>
      </c>
      <c r="AO30" s="59">
        <f t="shared" si="36"/>
        <v>207.08773997010911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112.09335428571437</v>
      </c>
      <c r="BF30" s="13">
        <f t="shared" si="37"/>
        <v>29.823652732348606</v>
      </c>
      <c r="BG30" s="20">
        <f t="shared" si="7"/>
        <v>247.17212055645965</v>
      </c>
      <c r="BH30" s="59">
        <f t="shared" si="8"/>
        <v>540.50545388979299</v>
      </c>
      <c r="BI30" s="59">
        <f ca="1">AVERAGE(OFFSET($BH$3,0,0,'Données projet'!$E$11+1,1))-AVERAGE(OFFSET($H$3,0,0,'Données projet'!$E$11+1,1))</f>
        <v>561.19833044503548</v>
      </c>
      <c r="BJ30" s="59">
        <f t="shared" si="38"/>
        <v>235.9089269943575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6.2820512820512819</v>
      </c>
      <c r="BY30" s="12">
        <f>IF('Données projet'!$A$114&gt;35,BY29+BX30-CG29,IF(A30&lt;'Données projet'!$A$114,$BV$205^A30,IF(A30='Données projet'!$A$114,'Données projet'!$B$114,BY29+BX30-CG29)))</f>
        <v>76.6666666666667</v>
      </c>
      <c r="BZ30" s="13">
        <f>BY30*VLOOKUP('Données projet'!$B$12,Paramètres!$A$1:$I$89,3,0)*VLOOKUP('Données projet'!$B$12,Paramètres!$A$1:$I$89,5,0)</f>
        <v>66.976000000000042</v>
      </c>
      <c r="CA30" s="13">
        <f t="shared" si="39"/>
        <v>18.920572617446965</v>
      </c>
      <c r="CB30" s="20">
        <f t="shared" si="10"/>
        <v>149.60319730872018</v>
      </c>
      <c r="CC30" s="59">
        <f t="shared" si="11"/>
        <v>442.93653064205353</v>
      </c>
      <c r="CD30" s="59">
        <f ca="1">AVERAGE(OFFSET($CC$3,0,0,'Données projet'!$E$12+1,1))-AVERAGE(OFFSET($H$3,0,0,'Données projet'!$E$12+1,1))</f>
        <v>147.1862160897889</v>
      </c>
      <c r="CE30" s="59">
        <f t="shared" si="40"/>
        <v>147.31828668914011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9.15711322966796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9.15711322966796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24.998333333333338</v>
      </c>
      <c r="N31" s="13">
        <f>IF('Données projet'!$A$36&gt;35,N30+M31-V30,IF(A31&lt;'Données projet'!$A$36,$K$205^A31,IF(A31='Données projet'!$A$36,'Données projet'!$B$36,N30+M31-V30)))</f>
        <v>292.16666666666674</v>
      </c>
      <c r="O31" s="13">
        <f>N31*VLOOKUP('Données projet'!$B$9,Paramètres!$A$1:$I$89,3,0)*VLOOKUP('Données projet'!$B$9,Paramètres!$A$1:$I$89,5,0)</f>
        <v>174.71566666666672</v>
      </c>
      <c r="P31" s="13">
        <f t="shared" si="33"/>
        <v>44.144488319820347</v>
      </c>
      <c r="Q31" s="20">
        <f t="shared" si="2"/>
        <v>381.18143660146501</v>
      </c>
      <c r="R31" s="59">
        <f t="shared" si="0"/>
        <v>674.51476993479832</v>
      </c>
      <c r="S31" s="59">
        <f ca="1">AVERAGE(OFFSET($R$3,0,0,'Données projet'!$E$9+1,1))-AVERAGE(OFFSET($H$3,0,0,'Données projet'!$E$9+1,1))</f>
        <v>326.05837294177707</v>
      </c>
      <c r="T31" s="59">
        <f t="shared" si="34"/>
        <v>406.74689878702014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15.761013828154031</v>
      </c>
      <c r="AA31" s="21">
        <f>EXP(-LN(2)/25)*AA30+(1-EXP(-LN(2)/25))/(LN(2)/25)*Calculateur!V31*Calculateur!X31*VLOOKUP('Données projet'!$B$9,Paramètres!$A$1:$I$89,3,0)*0.475*44/12</f>
        <v>15.849694774958555</v>
      </c>
      <c r="AB31" s="21">
        <f>EXP(-LN(2)/2)*AB30+(1-EXP(-LN(2)/2))/(LN(2)/2)*V31*Y31*VLOOKUP('Données projet'!$B$9,Paramètres!$A$1:$I$89,3,0)*0.475*44/12</f>
        <v>4.8775902888699063</v>
      </c>
      <c r="AC31" s="22">
        <f t="shared" si="3"/>
        <v>36.488298891982488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103.72627200000005</v>
      </c>
      <c r="AK31" s="13">
        <f t="shared" si="35"/>
        <v>27.847831432539717</v>
      </c>
      <c r="AL31" s="20">
        <f t="shared" si="4"/>
        <v>229.15823014500677</v>
      </c>
      <c r="AM31" s="59">
        <f t="shared" si="5"/>
        <v>522.49156347834014</v>
      </c>
      <c r="AN31" s="59">
        <f ca="1">AVERAGE(OFFSET($AM$3,0,0,'Données projet'!$E$10+1,1))-AVERAGE(OFFSET($H$3,0,0,'Données projet'!$E$10+1,1))</f>
        <v>490.21869105612649</v>
      </c>
      <c r="AO31" s="59">
        <f t="shared" si="36"/>
        <v>207.08773997010911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116.24496000000008</v>
      </c>
      <c r="BF31" s="13">
        <f t="shared" si="37"/>
        <v>30.797583987099902</v>
      </c>
      <c r="BG31" s="20">
        <f t="shared" si="7"/>
        <v>256.09909744419912</v>
      </c>
      <c r="BH31" s="59">
        <f t="shared" si="8"/>
        <v>549.43243077753243</v>
      </c>
      <c r="BI31" s="59">
        <f ca="1">AVERAGE(OFFSET($BH$3,0,0,'Données projet'!$E$11+1,1))-AVERAGE(OFFSET($H$3,0,0,'Données projet'!$E$11+1,1))</f>
        <v>561.19833044503548</v>
      </c>
      <c r="BJ31" s="59">
        <f t="shared" si="38"/>
        <v>235.9089269943575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6.2820512820512819</v>
      </c>
      <c r="BY31" s="12">
        <f>IF('Données projet'!$A$114&gt;35,BY30+BX31-CG30,IF(A31&lt;'Données projet'!$A$114,$BV$205^A31,IF(A31='Données projet'!$A$114,'Données projet'!$B$114,BY30+BX31-CG30)))</f>
        <v>82.948717948717984</v>
      </c>
      <c r="BZ31" s="13">
        <f>BY31*VLOOKUP('Données projet'!$B$12,Paramètres!$A$1:$I$89,3,0)*VLOOKUP('Données projet'!$B$12,Paramètres!$A$1:$I$89,5,0)</f>
        <v>72.464000000000041</v>
      </c>
      <c r="CA31" s="13">
        <f t="shared" si="39"/>
        <v>20.284118176063192</v>
      </c>
      <c r="CB31" s="20">
        <f t="shared" si="10"/>
        <v>161.53630582331013</v>
      </c>
      <c r="CC31" s="59">
        <f t="shared" si="11"/>
        <v>454.86963915664342</v>
      </c>
      <c r="CD31" s="59">
        <f ca="1">AVERAGE(OFFSET($CC$3,0,0,'Données projet'!$E$12+1,1))-AVERAGE(OFFSET($H$3,0,0,'Données projet'!$E$12+1,1))</f>
        <v>147.1862160897889</v>
      </c>
      <c r="CE31" s="59">
        <f t="shared" si="40"/>
        <v>147.31828668914011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8.9067114868510338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8.9067114868510338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24.998333333333338</v>
      </c>
      <c r="N32" s="13">
        <f>IF('Données projet'!$A$36&gt;35,N31+M32-V31,IF(A32&lt;'Données projet'!$A$36,$K$205^A32,IF(A32='Données projet'!$A$36,'Données projet'!$B$36,N31+M32-V31)))</f>
        <v>317.16500000000008</v>
      </c>
      <c r="O32" s="13">
        <f>N32*VLOOKUP('Données projet'!$B$9,Paramètres!$A$1:$I$89,3,0)*VLOOKUP('Données projet'!$B$9,Paramètres!$A$1:$I$89,5,0)</f>
        <v>189.66467000000006</v>
      </c>
      <c r="P32" s="13">
        <f t="shared" si="33"/>
        <v>47.465808529218805</v>
      </c>
      <c r="Q32" s="20">
        <f t="shared" si="2"/>
        <v>413.00225010505613</v>
      </c>
      <c r="R32" s="59">
        <f t="shared" si="0"/>
        <v>706.33558343838945</v>
      </c>
      <c r="S32" s="59">
        <f ca="1">AVERAGE(OFFSET($R$3,0,0,'Données projet'!$E$9+1,1))-AVERAGE(OFFSET($H$3,0,0,'Données projet'!$E$9+1,1))</f>
        <v>326.05837294177707</v>
      </c>
      <c r="T32" s="59">
        <f t="shared" si="34"/>
        <v>406.74689878702014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15.451949960253135</v>
      </c>
      <c r="AA32" s="21">
        <f>EXP(-LN(2)/25)*AA31+(1-EXP(-LN(2)/25))/(LN(2)/25)*Calculateur!V32*Calculateur!X32*VLOOKUP('Données projet'!$B$9,Paramètres!$A$1:$I$89,3,0)*0.475*44/12</f>
        <v>15.416284037838091</v>
      </c>
      <c r="AB32" s="21">
        <f>EXP(-LN(2)/2)*AB31+(1-EXP(-LN(2)/2))/(LN(2)/2)*V32*Y32*VLOOKUP('Données projet'!$B$9,Paramètres!$A$1:$I$89,3,0)*0.475*44/12</f>
        <v>3.4489771691095621</v>
      </c>
      <c r="AC32" s="22">
        <f t="shared" si="3"/>
        <v>34.317211167200789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107.43078171428577</v>
      </c>
      <c r="AK32" s="13">
        <f t="shared" si="35"/>
        <v>28.724826611108305</v>
      </c>
      <c r="AL32" s="20">
        <f t="shared" si="4"/>
        <v>237.13768450006134</v>
      </c>
      <c r="AM32" s="59">
        <f t="shared" si="5"/>
        <v>530.47101783339463</v>
      </c>
      <c r="AN32" s="59">
        <f ca="1">AVERAGE(OFFSET($AM$3,0,0,'Données projet'!$E$10+1,1))-AVERAGE(OFFSET($H$3,0,0,'Données projet'!$E$10+1,1))</f>
        <v>490.21869105612649</v>
      </c>
      <c r="AO32" s="59">
        <f t="shared" si="36"/>
        <v>207.08773997010911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120.39656571428579</v>
      </c>
      <c r="BF32" s="13">
        <f t="shared" si="37"/>
        <v>31.767473966995706</v>
      </c>
      <c r="BG32" s="20">
        <f t="shared" si="7"/>
        <v>265.01903577823191</v>
      </c>
      <c r="BH32" s="59">
        <f t="shared" si="8"/>
        <v>558.35236911156517</v>
      </c>
      <c r="BI32" s="59">
        <f ca="1">AVERAGE(OFFSET($BH$3,0,0,'Données projet'!$E$11+1,1))-AVERAGE(OFFSET($H$3,0,0,'Données projet'!$E$11+1,1))</f>
        <v>561.19833044503548</v>
      </c>
      <c r="BJ32" s="59">
        <f t="shared" si="38"/>
        <v>235.9089269943575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6.2820512820512819</v>
      </c>
      <c r="BY32" s="12">
        <f>IF('Données projet'!$A$114&gt;35,BY31+BX32-CG31,IF(A32&lt;'Données projet'!$A$114,$BV$205^A32,IF(A32='Données projet'!$A$114,'Données projet'!$B$114,BY31+BX32-CG31)))</f>
        <v>89.230769230769269</v>
      </c>
      <c r="BZ32" s="13">
        <f>BY32*VLOOKUP('Données projet'!$B$12,Paramètres!$A$1:$I$89,3,0)*VLOOKUP('Données projet'!$B$12,Paramètres!$A$1:$I$89,5,0)</f>
        <v>77.952000000000041</v>
      </c>
      <c r="CA32" s="13">
        <f t="shared" si="39"/>
        <v>21.635684203898673</v>
      </c>
      <c r="CB32" s="20">
        <f t="shared" si="10"/>
        <v>173.4485499884569</v>
      </c>
      <c r="CC32" s="59">
        <f t="shared" si="11"/>
        <v>466.78188332179025</v>
      </c>
      <c r="CD32" s="59">
        <f ca="1">AVERAGE(OFFSET($CC$3,0,0,'Données projet'!$E$12+1,1))-AVERAGE(OFFSET($H$3,0,0,'Données projet'!$E$12+1,1))</f>
        <v>147.1862160897889</v>
      </c>
      <c r="CE32" s="59">
        <f t="shared" si="40"/>
        <v>147.31828668914011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8.6631569928594914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8.6631569928594914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24.998333333333338</v>
      </c>
      <c r="N33" s="13">
        <f>IF('Données projet'!$A$36&gt;35,N32+M33-V32,IF(A33&lt;'Données projet'!$A$36,$K$205^A33,IF(A33='Données projet'!$A$36,'Données projet'!$B$36,N32+M33-V32)))</f>
        <v>342.16333333333341</v>
      </c>
      <c r="O33" s="13">
        <f>N33*VLOOKUP('Données projet'!$B$9,Paramètres!$A$1:$I$89,3,0)*VLOOKUP('Données projet'!$B$9,Paramètres!$A$1:$I$89,5,0)</f>
        <v>204.6136733333334</v>
      </c>
      <c r="P33" s="13">
        <f t="shared" si="33"/>
        <v>50.756763725323886</v>
      </c>
      <c r="Q33" s="20">
        <f t="shared" si="2"/>
        <v>444.77017787716136</v>
      </c>
      <c r="R33" s="59">
        <f t="shared" si="0"/>
        <v>738.10351121049462</v>
      </c>
      <c r="S33" s="59">
        <f ca="1">AVERAGE(OFFSET($R$3,0,0,'Données projet'!$E$9+1,1))-AVERAGE(OFFSET($H$3,0,0,'Données projet'!$E$9+1,1))</f>
        <v>326.05837294177707</v>
      </c>
      <c r="T33" s="59">
        <f t="shared" si="34"/>
        <v>406.74689878702014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15.14894664629143</v>
      </c>
      <c r="AA33" s="21">
        <f>EXP(-LN(2)/25)*AA32+(1-EXP(-LN(2)/25))/(LN(2)/25)*Calculateur!V33*Calculateur!X33*VLOOKUP('Données projet'!$B$9,Paramètres!$A$1:$I$89,3,0)*0.475*44/12</f>
        <v>14.994724940116265</v>
      </c>
      <c r="AB33" s="21">
        <f>EXP(-LN(2)/2)*AB32+(1-EXP(-LN(2)/2))/(LN(2)/2)*V33*Y33*VLOOKUP('Données projet'!$B$9,Paramètres!$A$1:$I$89,3,0)*0.475*44/12</f>
        <v>2.4387951444349536</v>
      </c>
      <c r="AC33" s="22">
        <f t="shared" si="3"/>
        <v>32.582466730842647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111.13529142857149</v>
      </c>
      <c r="AK33" s="13">
        <f t="shared" si="35"/>
        <v>29.598308031859261</v>
      </c>
      <c r="AL33" s="20">
        <f t="shared" si="4"/>
        <v>245.11101906025024</v>
      </c>
      <c r="AM33" s="59">
        <f t="shared" si="5"/>
        <v>538.44435239358359</v>
      </c>
      <c r="AN33" s="59">
        <f ca="1">AVERAGE(OFFSET($AM$3,0,0,'Données projet'!$E$10+1,1))-AVERAGE(OFFSET($H$3,0,0,'Données projet'!$E$10+1,1))</f>
        <v>490.21869105612649</v>
      </c>
      <c r="AO33" s="59">
        <f t="shared" si="36"/>
        <v>207.08773997010911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124.54817142857152</v>
      </c>
      <c r="BF33" s="13">
        <f t="shared" si="37"/>
        <v>32.733477997934884</v>
      </c>
      <c r="BG33" s="20">
        <f t="shared" si="7"/>
        <v>273.93220608449866</v>
      </c>
      <c r="BH33" s="59">
        <f t="shared" si="8"/>
        <v>567.26553941783197</v>
      </c>
      <c r="BI33" s="59">
        <f ca="1">AVERAGE(OFFSET($BH$3,0,0,'Données projet'!$E$11+1,1))-AVERAGE(OFFSET($H$3,0,0,'Données projet'!$E$11+1,1))</f>
        <v>561.19833044503548</v>
      </c>
      <c r="BJ33" s="59">
        <f t="shared" si="38"/>
        <v>235.9089269943575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95.512820512820511</v>
      </c>
      <c r="BW33" s="12">
        <f>VLOOKUP(A33,'Données projet'!$A$113:$I$133,9,0)</f>
        <v>6.2820512820512819</v>
      </c>
      <c r="BX33" s="12">
        <f t="array" ref="BX33">INDEX(BW:BW,MIN(IF(ISNUMBER(BW33:BW229),ROW(BW33:BW229),"")))</f>
        <v>6.2820512820512819</v>
      </c>
      <c r="BY33" s="12">
        <f>IF('Données projet'!$A$114&gt;35,BY32+BX33-CG32,IF(A33&lt;'Données projet'!$A$114,$BV$205^A33,IF(A33='Données projet'!$A$114,'Données projet'!$B$114,BY32+BX33-CG32)))</f>
        <v>95.512820512820554</v>
      </c>
      <c r="BZ33" s="13">
        <f>BY33*VLOOKUP('Données projet'!$B$12,Paramètres!$A$1:$I$89,3,0)*VLOOKUP('Données projet'!$B$12,Paramètres!$A$1:$I$89,5,0)</f>
        <v>83.440000000000055</v>
      </c>
      <c r="CA33" s="13">
        <f t="shared" si="39"/>
        <v>22.976210016812146</v>
      </c>
      <c r="CB33" s="20">
        <f t="shared" si="10"/>
        <v>185.34156577928127</v>
      </c>
      <c r="CC33" s="59">
        <f t="shared" si="11"/>
        <v>478.67489911261458</v>
      </c>
      <c r="CD33" s="59">
        <f ca="1">AVERAGE(OFFSET($CC$3,0,0,'Données projet'!$E$12+1,1))-AVERAGE(OFFSET($H$3,0,0,'Données projet'!$E$12+1,1))</f>
        <v>147.1862160897889</v>
      </c>
      <c r="CE33" s="59">
        <f t="shared" si="40"/>
        <v>147.31828668914011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17.307692307692307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12.005775998143616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12.005775998143616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24.998333333333338</v>
      </c>
      <c r="N34" s="13">
        <f>IF('Données projet'!$A$36&gt;35,N33+M34-V33,IF(A34&lt;'Données projet'!$A$36,$K$205^A34,IF(A34='Données projet'!$A$36,'Données projet'!$B$36,N33+M34-V33)))</f>
        <v>367.16166666666675</v>
      </c>
      <c r="O34" s="13">
        <f>N34*VLOOKUP('Données projet'!$B$9,Paramètres!$A$1:$I$89,3,0)*VLOOKUP('Données projet'!$B$9,Paramètres!$A$1:$I$89,5,0)</f>
        <v>219.56267666666673</v>
      </c>
      <c r="P34" s="13">
        <f t="shared" si="33"/>
        <v>54.019824650159855</v>
      </c>
      <c r="Q34" s="20">
        <f t="shared" si="2"/>
        <v>476.48952312680632</v>
      </c>
      <c r="R34" s="59">
        <f t="shared" si="0"/>
        <v>769.82285646013963</v>
      </c>
      <c r="S34" s="59">
        <f ca="1">AVERAGE(OFFSET($R$3,0,0,'Données projet'!$E$9+1,1))-AVERAGE(OFFSET($H$3,0,0,'Données projet'!$E$9+1,1))</f>
        <v>326.05837294177707</v>
      </c>
      <c r="T34" s="59">
        <f t="shared" si="34"/>
        <v>406.74689878702014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14.85188504250274</v>
      </c>
      <c r="AA34" s="21">
        <f>EXP(-LN(2)/25)*AA33+(1-EXP(-LN(2)/25))/(LN(2)/25)*Calculateur!V34*Calculateur!X34*VLOOKUP('Données projet'!$B$9,Paramètres!$A$1:$I$89,3,0)*0.475*44/12</f>
        <v>14.584693398090472</v>
      </c>
      <c r="AB34" s="21">
        <f>EXP(-LN(2)/2)*AB33+(1-EXP(-LN(2)/2))/(LN(2)/2)*V34*Y34*VLOOKUP('Données projet'!$B$9,Paramètres!$A$1:$I$89,3,0)*0.475*44/12</f>
        <v>1.7244885845547815</v>
      </c>
      <c r="AC34" s="22">
        <f t="shared" si="3"/>
        <v>31.161067025147993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114.83980114285721</v>
      </c>
      <c r="AK34" s="13">
        <f t="shared" si="35"/>
        <v>30.468406249196239</v>
      </c>
      <c r="AL34" s="20">
        <f t="shared" si="4"/>
        <v>253.07846120782642</v>
      </c>
      <c r="AM34" s="59">
        <f t="shared" si="5"/>
        <v>546.41179454115968</v>
      </c>
      <c r="AN34" s="59">
        <f ca="1">AVERAGE(OFFSET($AM$3,0,0,'Données projet'!$E$10+1,1))-AVERAGE(OFFSET($H$3,0,0,'Données projet'!$E$10+1,1))</f>
        <v>490.21869105612649</v>
      </c>
      <c r="AO34" s="59">
        <f t="shared" si="36"/>
        <v>207.08773997010911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128.69977714285722</v>
      </c>
      <c r="BF34" s="13">
        <f t="shared" si="37"/>
        <v>33.69574046316044</v>
      </c>
      <c r="BG34" s="20">
        <f t="shared" si="7"/>
        <v>282.83885983048071</v>
      </c>
      <c r="BH34" s="59">
        <f t="shared" si="8"/>
        <v>576.17219316381397</v>
      </c>
      <c r="BI34" s="59">
        <f ca="1">AVERAGE(OFFSET($BH$3,0,0,'Données projet'!$E$11+1,1))-AVERAGE(OFFSET($H$3,0,0,'Données projet'!$E$11+1,1))</f>
        <v>561.19833044503548</v>
      </c>
      <c r="BJ34" s="59">
        <f t="shared" si="38"/>
        <v>235.9089269943575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5.8974358974358978</v>
      </c>
      <c r="BY34" s="12">
        <f>IF('Données projet'!$A$114&gt;35,BY33+BX34-CG33,IF(A34&lt;'Données projet'!$A$114,$BV$205^A34,IF(A34='Données projet'!$A$114,'Données projet'!$B$114,BY33+BX34-CG33)))</f>
        <v>84.102564102564145</v>
      </c>
      <c r="BZ34" s="13">
        <f>BY34*VLOOKUP('Données projet'!$B$12,Paramètres!$A$1:$I$89,3,0)*VLOOKUP('Données projet'!$B$12,Paramètres!$A$1:$I$89,5,0)</f>
        <v>73.472000000000051</v>
      </c>
      <c r="CA34" s="13">
        <f t="shared" si="39"/>
        <v>20.533233324074725</v>
      </c>
      <c r="CB34" s="20">
        <f t="shared" si="10"/>
        <v>163.72578137276358</v>
      </c>
      <c r="CC34" s="59">
        <f t="shared" si="11"/>
        <v>457.05911470609692</v>
      </c>
      <c r="CD34" s="59">
        <f ca="1">AVERAGE(OFFSET($CC$3,0,0,'Données projet'!$E$12+1,1))-AVERAGE(OFFSET($H$3,0,0,'Données projet'!$E$12+1,1))</f>
        <v>147.1862160897889</v>
      </c>
      <c r="CE34" s="59">
        <f t="shared" si="40"/>
        <v>147.31828668914011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11.677477422118058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11.677477422118058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392.16</v>
      </c>
      <c r="L35" s="12">
        <f>VLOOKUP(A35,'Données projet'!$A$35:$I$55,9,0)</f>
        <v>24.998333333333338</v>
      </c>
      <c r="M35" s="12">
        <f t="array" ref="M35">INDEX(L:L,MIN(IF(ISNUMBER(L35:L231),ROW(L35:L231),"")))</f>
        <v>24.998333333333338</v>
      </c>
      <c r="N35" s="13">
        <f>IF('Données projet'!$A$36&gt;35,N34+M35-V34,IF(A35&lt;'Données projet'!$A$36,$K$205^A35,IF(A35='Données projet'!$A$36,'Données projet'!$B$36,N34+M35-V34)))</f>
        <v>392.16000000000008</v>
      </c>
      <c r="O35" s="13">
        <f>N35*VLOOKUP('Données projet'!$B$9,Paramètres!$A$1:$I$89,3,0)*VLOOKUP('Données projet'!$B$9,Paramètres!$A$1:$I$89,5,0)</f>
        <v>234.51168000000007</v>
      </c>
      <c r="P35" s="13">
        <f t="shared" si="33"/>
        <v>57.257106560949936</v>
      </c>
      <c r="Q35" s="20">
        <f t="shared" ref="Q35:Q66" si="53">(O35+P35)*0.475*44/12</f>
        <v>508.16396992698787</v>
      </c>
      <c r="R35" s="59">
        <f t="shared" si="0"/>
        <v>801.49730326032113</v>
      </c>
      <c r="S35" s="59">
        <f ca="1">AVERAGE(OFFSET($R$3,0,0,'Données projet'!$E$9+1,1))-AVERAGE(OFFSET($H$3,0,0,'Données projet'!$E$9+1,1))</f>
        <v>326.05837294177707</v>
      </c>
      <c r="T35" s="59">
        <f t="shared" si="34"/>
        <v>406.74689878702014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79.57000000000005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9.0000000000000011E-2</v>
      </c>
      <c r="Y35" s="16">
        <f>IF(ISNA(VLOOKUP(A35,'Données projet'!$A$35:$I$55,7,0)),0%,VLOOKUP(A35,'Données projet'!$A$35:$I$55,7,0))</f>
        <v>0.2</v>
      </c>
      <c r="Z35" s="21">
        <f>EXP(-LN(2)/35)*Z34+(1-EXP(-LN(2)/35))/(LN(2)/35)*V35*W35*VLOOKUP('Données projet'!$B$9,Paramètres!$A$1:$I$89,3,0)*0.475*44/12</f>
        <v>31.60351594189676</v>
      </c>
      <c r="AA35" s="21">
        <f>EXP(-LN(2)/25)*AA34+(1-EXP(-LN(2)/25))/(LN(2)/25)*Calculateur!V35*Calculateur!X35*VLOOKUP('Données projet'!$B$9,Paramètres!$A$1:$I$89,3,0)*0.475*44/12</f>
        <v>19.844461871442515</v>
      </c>
      <c r="AB35" s="21">
        <f>EXP(-LN(2)/2)*AB34+(1-EXP(-LN(2)/2))/(LN(2)/2)*V35*Y35*VLOOKUP('Données projet'!$B$9,Paramètres!$A$1:$I$89,3,0)*0.475*44/12</f>
        <v>11.994367752353517</v>
      </c>
      <c r="AC35" s="22">
        <f t="shared" si="3"/>
        <v>63.442345565692797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118.54431085714293</v>
      </c>
      <c r="AK35" s="13">
        <f t="shared" si="35"/>
        <v>31.335242916471387</v>
      </c>
      <c r="AL35" s="20">
        <f t="shared" si="4"/>
        <v>261.04022282237821</v>
      </c>
      <c r="AM35" s="59">
        <f t="shared" si="5"/>
        <v>554.37355615571153</v>
      </c>
      <c r="AN35" s="59">
        <f ca="1">AVERAGE(OFFSET($AM$3,0,0,'Données projet'!$E$10+1,1))-AVERAGE(OFFSET($H$3,0,0,'Données projet'!$E$10+1,1))</f>
        <v>490.21869105612649</v>
      </c>
      <c r="AO35" s="59">
        <f t="shared" si="36"/>
        <v>207.08773997010911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132.85138285714297</v>
      </c>
      <c r="BF35" s="13">
        <f t="shared" si="37"/>
        <v>34.654395902029187</v>
      </c>
      <c r="BG35" s="20">
        <f t="shared" si="7"/>
        <v>291.73923133889144</v>
      </c>
      <c r="BH35" s="59">
        <f t="shared" si="8"/>
        <v>585.07256467222476</v>
      </c>
      <c r="BI35" s="59">
        <f ca="1">AVERAGE(OFFSET($BH$3,0,0,'Données projet'!$E$11+1,1))-AVERAGE(OFFSET($H$3,0,0,'Données projet'!$E$11+1,1))</f>
        <v>561.19833044503548</v>
      </c>
      <c r="BJ35" s="59">
        <f t="shared" si="38"/>
        <v>235.9089269943575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5.8974358974358978</v>
      </c>
      <c r="BY35" s="12">
        <f>IF('Données projet'!$A$114&gt;35,BY34+BX35-CG34,IF(A35&lt;'Données projet'!$A$114,$BV$205^A35,IF(A35='Données projet'!$A$114,'Données projet'!$B$114,BY34+BX35-CG34)))</f>
        <v>90.000000000000043</v>
      </c>
      <c r="BZ35" s="13">
        <f>BY35*VLOOKUP('Données projet'!$B$12,Paramètres!$A$1:$I$89,3,0)*VLOOKUP('Données projet'!$B$12,Paramètres!$A$1:$I$89,5,0)</f>
        <v>78.624000000000038</v>
      </c>
      <c r="CA35" s="13">
        <f t="shared" si="39"/>
        <v>21.800406010684462</v>
      </c>
      <c r="CB35" s="20">
        <f t="shared" si="10"/>
        <v>174.90584046860883</v>
      </c>
      <c r="CC35" s="59">
        <f t="shared" si="11"/>
        <v>468.23917380194212</v>
      </c>
      <c r="CD35" s="59">
        <f ca="1">AVERAGE(OFFSET($CC$3,0,0,'Données projet'!$E$12+1,1))-AVERAGE(OFFSET($H$3,0,0,'Données projet'!$E$12+1,1))</f>
        <v>147.1862160897889</v>
      </c>
      <c r="CE35" s="59">
        <f t="shared" si="40"/>
        <v>147.31828668914011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11.358156187918391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11.358156187918391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23.327500000000001</v>
      </c>
      <c r="N36" s="13">
        <f>IF('Données projet'!$A$36&gt;35,N35+M36-V35,IF(A36&lt;'Données projet'!$A$36,$K$205^A36,IF(A36='Données projet'!$A$36,'Données projet'!$B$36,N35+M36-V35)))</f>
        <v>335.91750000000002</v>
      </c>
      <c r="O36" s="13">
        <f>N36*VLOOKUP('Données projet'!$B$9,Paramètres!$A$1:$I$89,3,0)*VLOOKUP('Données projet'!$B$9,Paramètres!$A$1:$I$89,5,0)</f>
        <v>200.87866500000001</v>
      </c>
      <c r="P36" s="13">
        <f t="shared" si="33"/>
        <v>49.937222403328057</v>
      </c>
      <c r="Q36" s="20">
        <f t="shared" si="53"/>
        <v>436.83767056079637</v>
      </c>
      <c r="R36" s="59">
        <f t="shared" si="0"/>
        <v>730.17100389412963</v>
      </c>
      <c r="S36" s="59">
        <f ca="1">AVERAGE(OFFSET($R$3,0,0,'Données projet'!$E$9+1,1))-AVERAGE(OFFSET($H$3,0,0,'Données projet'!$E$9+1,1))</f>
        <v>326.05837294177707</v>
      </c>
      <c r="T36" s="59">
        <f t="shared" si="34"/>
        <v>406.74689878702014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30.983790270517517</v>
      </c>
      <c r="AA36" s="21">
        <f>EXP(-LN(2)/25)*AA35+(1-EXP(-LN(2)/25))/(LN(2)/25)*Calculateur!V36*Calculateur!X36*VLOOKUP('Données projet'!$B$9,Paramètres!$A$1:$I$89,3,0)*0.475*44/12</f>
        <v>19.301814017993024</v>
      </c>
      <c r="AB36" s="21">
        <f>EXP(-LN(2)/2)*AB35+(1-EXP(-LN(2)/2))/(LN(2)/2)*V36*Y36*VLOOKUP('Données projet'!$B$9,Paramètres!$A$1:$I$89,3,0)*0.475*44/12</f>
        <v>8.4812987737344212</v>
      </c>
      <c r="AC36" s="22">
        <f t="shared" si="3"/>
        <v>58.766903062244964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122.24882057142865</v>
      </c>
      <c r="AK36" s="13">
        <f t="shared" si="35"/>
        <v>32.198931651835657</v>
      </c>
      <c r="AL36" s="20">
        <f t="shared" si="4"/>
        <v>268.99650178885196</v>
      </c>
      <c r="AM36" s="59">
        <f t="shared" si="5"/>
        <v>562.32983512218527</v>
      </c>
      <c r="AN36" s="59">
        <f ca="1">AVERAGE(OFFSET($AM$3,0,0,'Données projet'!$E$10+1,1))-AVERAGE(OFFSET($H$3,0,0,'Données projet'!$E$10+1,1))</f>
        <v>490.21869105612649</v>
      </c>
      <c r="AO36" s="59">
        <f t="shared" si="36"/>
        <v>207.08773997010911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137.00298857142866</v>
      </c>
      <c r="BF36" s="13">
        <f t="shared" si="37"/>
        <v>35.609569967576427</v>
      </c>
      <c r="BG36" s="20">
        <f t="shared" si="7"/>
        <v>300.63353945543383</v>
      </c>
      <c r="BH36" s="59">
        <f t="shared" si="8"/>
        <v>593.9668727887672</v>
      </c>
      <c r="BI36" s="59">
        <f ca="1">AVERAGE(OFFSET($BH$3,0,0,'Données projet'!$E$11+1,1))-AVERAGE(OFFSET($H$3,0,0,'Données projet'!$E$11+1,1))</f>
        <v>561.19833044503548</v>
      </c>
      <c r="BJ36" s="59">
        <f t="shared" si="38"/>
        <v>235.9089269943575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5.8974358974358978</v>
      </c>
      <c r="BY36" s="12">
        <f>IF('Données projet'!$A$114&gt;35,BY35+BX36-CG35,IF(A36&lt;'Données projet'!$A$114,$BV$205^A36,IF(A36='Données projet'!$A$114,'Données projet'!$B$114,BY35+BX36-CG35)))</f>
        <v>95.89743589743594</v>
      </c>
      <c r="BZ36" s="13">
        <f>BY36*VLOOKUP('Données projet'!$B$12,Paramètres!$A$1:$I$89,3,0)*VLOOKUP('Données projet'!$B$12,Paramètres!$A$1:$I$89,5,0)</f>
        <v>83.776000000000053</v>
      </c>
      <c r="CA36" s="13">
        <f t="shared" si="39"/>
        <v>23.057943016724696</v>
      </c>
      <c r="CB36" s="20">
        <f t="shared" si="10"/>
        <v>186.06911742079558</v>
      </c>
      <c r="CC36" s="59">
        <f t="shared" si="11"/>
        <v>479.40245075412889</v>
      </c>
      <c r="CD36" s="59">
        <f ca="1">AVERAGE(OFFSET($CC$3,0,0,'Données projet'!$E$12+1,1))-AVERAGE(OFFSET($H$3,0,0,'Données projet'!$E$12+1,1))</f>
        <v>147.1862160897889</v>
      </c>
      <c r="CE36" s="59">
        <f t="shared" si="40"/>
        <v>147.31828668914011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11.047566809660289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11.047566809660289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23.327500000000001</v>
      </c>
      <c r="N37" s="13">
        <f>IF('Données projet'!$A$36&gt;35,N36+M37-V36,IF(A37&lt;'Données projet'!$A$36,$K$205^A37,IF(A37='Données projet'!$A$36,'Données projet'!$B$36,N36+M37-V36)))</f>
        <v>359.245</v>
      </c>
      <c r="O37" s="13">
        <f>N37*VLOOKUP('Données projet'!$B$9,Paramètres!$A$1:$I$89,3,0)*VLOOKUP('Données projet'!$B$9,Paramètres!$A$1:$I$89,5,0)</f>
        <v>214.82851000000002</v>
      </c>
      <c r="P37" s="13">
        <f t="shared" si="33"/>
        <v>52.989336564217041</v>
      </c>
      <c r="Q37" s="20">
        <f t="shared" si="53"/>
        <v>466.44941609934472</v>
      </c>
      <c r="R37" s="59">
        <f t="shared" si="0"/>
        <v>759.78274943267797</v>
      </c>
      <c r="S37" s="59">
        <f ca="1">AVERAGE(OFFSET($R$3,0,0,'Données projet'!$E$9+1,1))-AVERAGE(OFFSET($H$3,0,0,'Données projet'!$E$9+1,1))</f>
        <v>326.05837294177707</v>
      </c>
      <c r="T37" s="59">
        <f t="shared" si="34"/>
        <v>406.74689878702014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30.376217041558686</v>
      </c>
      <c r="AA37" s="21">
        <f>EXP(-LN(2)/25)*AA36+(1-EXP(-LN(2)/25))/(LN(2)/25)*Calculateur!V37*Calculateur!X37*VLOOKUP('Données projet'!$B$9,Paramètres!$A$1:$I$89,3,0)*0.475*44/12</f>
        <v>18.774004898632722</v>
      </c>
      <c r="AB37" s="21">
        <f>EXP(-LN(2)/2)*AB36+(1-EXP(-LN(2)/2))/(LN(2)/2)*V37*Y37*VLOOKUP('Données projet'!$B$9,Paramètres!$A$1:$I$89,3,0)*0.475*44/12</f>
        <v>5.9971838761767593</v>
      </c>
      <c r="AC37" s="22">
        <f t="shared" si="3"/>
        <v>55.147405816368163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125.95333028571436</v>
      </c>
      <c r="AK37" s="13">
        <f t="shared" si="35"/>
        <v>33.059578796189285</v>
      </c>
      <c r="AL37" s="20">
        <f t="shared" si="4"/>
        <v>276.94748331764885</v>
      </c>
      <c r="AM37" s="59">
        <f t="shared" si="5"/>
        <v>570.28081665098216</v>
      </c>
      <c r="AN37" s="59">
        <f ca="1">AVERAGE(OFFSET($AM$3,0,0,'Données projet'!$E$10+1,1))-AVERAGE(OFFSET($H$3,0,0,'Données projet'!$E$10+1,1))</f>
        <v>490.21869105612649</v>
      </c>
      <c r="AO37" s="59">
        <f t="shared" si="36"/>
        <v>207.08773997010911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141.15459428571441</v>
      </c>
      <c r="BF37" s="13">
        <f t="shared" si="37"/>
        <v>36.561380264751591</v>
      </c>
      <c r="BG37" s="20">
        <f t="shared" si="7"/>
        <v>309.52198900872827</v>
      </c>
      <c r="BH37" s="59">
        <f t="shared" si="8"/>
        <v>602.85532234206153</v>
      </c>
      <c r="BI37" s="59">
        <f ca="1">AVERAGE(OFFSET($BH$3,0,0,'Données projet'!$E$11+1,1))-AVERAGE(OFFSET($H$3,0,0,'Données projet'!$E$11+1,1))</f>
        <v>561.19833044503548</v>
      </c>
      <c r="BJ37" s="59">
        <f t="shared" si="38"/>
        <v>235.9089269943575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5.8974358974358978</v>
      </c>
      <c r="BY37" s="12">
        <f>IF('Données projet'!$A$114&gt;35,BY36+BX37-CG36,IF(A37&lt;'Données projet'!$A$114,$BV$205^A37,IF(A37='Données projet'!$A$114,'Données projet'!$B$114,BY36+BX37-CG36)))</f>
        <v>101.79487179487184</v>
      </c>
      <c r="BZ37" s="13">
        <f>BY37*VLOOKUP('Données projet'!$B$12,Paramètres!$A$1:$I$89,3,0)*VLOOKUP('Données projet'!$B$12,Paramètres!$A$1:$I$89,5,0)</f>
        <v>88.928000000000054</v>
      </c>
      <c r="CA37" s="13">
        <f t="shared" si="39"/>
        <v>24.306504380912958</v>
      </c>
      <c r="CB37" s="20">
        <f t="shared" si="10"/>
        <v>197.21676179675683</v>
      </c>
      <c r="CC37" s="59">
        <f t="shared" si="11"/>
        <v>490.55009513009014</v>
      </c>
      <c r="CD37" s="59">
        <f ca="1">AVERAGE(OFFSET($CC$3,0,0,'Données projet'!$E$12+1,1))-AVERAGE(OFFSET($H$3,0,0,'Données projet'!$E$12+1,1))</f>
        <v>147.1862160897889</v>
      </c>
      <c r="CE37" s="59">
        <f t="shared" si="40"/>
        <v>147.31828668914011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10.74547051428384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10.74547051428384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23.327500000000001</v>
      </c>
      <c r="N38" s="13">
        <f>IF('Données projet'!$A$36&gt;35,N37+M38-V37,IF(A38&lt;'Données projet'!$A$36,$K$205^A38,IF(A38='Données projet'!$A$36,'Données projet'!$B$36,N37+M38-V37)))</f>
        <v>382.57249999999999</v>
      </c>
      <c r="O38" s="13">
        <f>N38*VLOOKUP('Données projet'!$B$9,Paramètres!$A$1:$I$89,3,0)*VLOOKUP('Données projet'!$B$9,Paramètres!$A$1:$I$89,5,0)</f>
        <v>228.778355</v>
      </c>
      <c r="P38" s="13">
        <f t="shared" si="33"/>
        <v>56.018451502269343</v>
      </c>
      <c r="Q38" s="20">
        <f t="shared" si="53"/>
        <v>496.0211046581191</v>
      </c>
      <c r="R38" s="59">
        <f t="shared" si="0"/>
        <v>789.35443799145241</v>
      </c>
      <c r="S38" s="59">
        <f ca="1">AVERAGE(OFFSET($R$3,0,0,'Données projet'!$E$9+1,1))-AVERAGE(OFFSET($H$3,0,0,'Données projet'!$E$9+1,1))</f>
        <v>326.05837294177707</v>
      </c>
      <c r="T38" s="59">
        <f t="shared" si="34"/>
        <v>406.74689878702014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29.780557953036659</v>
      </c>
      <c r="AA38" s="21">
        <f>EXP(-LN(2)/25)*AA37+(1-EXP(-LN(2)/25))/(LN(2)/25)*Calculateur!V38*Calculateur!X38*VLOOKUP('Données projet'!$B$9,Paramètres!$A$1:$I$89,3,0)*0.475*44/12</f>
        <v>18.2606287473976</v>
      </c>
      <c r="AB38" s="21">
        <f>EXP(-LN(2)/2)*AB37+(1-EXP(-LN(2)/2))/(LN(2)/2)*V38*Y38*VLOOKUP('Données projet'!$B$9,Paramètres!$A$1:$I$89,3,0)*0.475*44/12</f>
        <v>4.2406493868672106</v>
      </c>
      <c r="AC38" s="22">
        <f t="shared" si="3"/>
        <v>52.281836087301471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129.65784000000008</v>
      </c>
      <c r="AK38" s="13">
        <f t="shared" si="35"/>
        <v>33.917284079455818</v>
      </c>
      <c r="AL38" s="20">
        <f t="shared" si="4"/>
        <v>284.89334110505234</v>
      </c>
      <c r="AM38" s="59">
        <f t="shared" si="5"/>
        <v>578.22667443838566</v>
      </c>
      <c r="AN38" s="59">
        <f ca="1">AVERAGE(OFFSET($AM$3,0,0,'Données projet'!$E$10+1,1))-AVERAGE(OFFSET($H$3,0,0,'Données projet'!$E$10+1,1))</f>
        <v>490.21869105612649</v>
      </c>
      <c r="AO38" s="59">
        <f t="shared" si="36"/>
        <v>207.08773997010911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145.3062000000001</v>
      </c>
      <c r="BF38" s="13">
        <f t="shared" si="37"/>
        <v>37.509937087266451</v>
      </c>
      <c r="BG38" s="20">
        <f t="shared" si="7"/>
        <v>318.40477209365588</v>
      </c>
      <c r="BH38" s="59">
        <f t="shared" si="8"/>
        <v>611.73810542698925</v>
      </c>
      <c r="BI38" s="59">
        <f ca="1">AVERAGE(OFFSET($BH$3,0,0,'Données projet'!$E$11+1,1))-AVERAGE(OFFSET($H$3,0,0,'Données projet'!$E$11+1,1))</f>
        <v>561.19833044503548</v>
      </c>
      <c r="BJ38" s="59">
        <f t="shared" si="38"/>
        <v>235.9089269943575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107.69230769230769</v>
      </c>
      <c r="BW38" s="12">
        <f>VLOOKUP(A38,'Données projet'!$A$113:$I$133,9,0)</f>
        <v>5.8974358974358978</v>
      </c>
      <c r="BX38" s="12">
        <f t="array" ref="BX38">INDEX(BW:BW,MIN(IF(ISNUMBER(BW38:BW234),ROW(BW38:BW234),"")))</f>
        <v>5.8974358974358978</v>
      </c>
      <c r="BY38" s="12">
        <f>IF('Données projet'!$A$114&gt;35,BY37+BX38-CG37,IF(A38&lt;'Données projet'!$A$114,$BV$205^A38,IF(A38='Données projet'!$A$114,'Données projet'!$B$114,BY37+BX38-CG37)))</f>
        <v>107.69230769230774</v>
      </c>
      <c r="BZ38" s="13">
        <f>BY38*VLOOKUP('Données projet'!$B$12,Paramètres!$A$1:$I$89,3,0)*VLOOKUP('Données projet'!$B$12,Paramètres!$A$1:$I$89,5,0)</f>
        <v>94.080000000000041</v>
      </c>
      <c r="CA38" s="13">
        <f t="shared" si="39"/>
        <v>25.54666934397601</v>
      </c>
      <c r="CB38" s="20">
        <f t="shared" si="10"/>
        <v>208.34978244075828</v>
      </c>
      <c r="CC38" s="59">
        <f t="shared" si="11"/>
        <v>501.68311577409156</v>
      </c>
      <c r="CD38" s="59">
        <f ca="1">AVERAGE(OFFSET($CC$3,0,0,'Données projet'!$E$12+1,1))-AVERAGE(OFFSET($H$3,0,0,'Données projet'!$E$12+1,1))</f>
        <v>147.1862160897889</v>
      </c>
      <c r="CE38" s="59">
        <f t="shared" si="40"/>
        <v>147.31828668914011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17.307692307692307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14.031148546820505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14.031148546820505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23.327500000000001</v>
      </c>
      <c r="N39" s="13">
        <f>IF('Données projet'!$A$36&gt;35,N38+M39-V38,IF(A39&lt;'Données projet'!$A$36,$K$205^A39,IF(A39='Données projet'!$A$36,'Données projet'!$B$36,N38+M39-V38)))</f>
        <v>405.9</v>
      </c>
      <c r="O39" s="13">
        <f>N39*VLOOKUP('Données projet'!$B$9,Paramètres!$A$1:$I$89,3,0)*VLOOKUP('Données projet'!$B$9,Paramètres!$A$1:$I$89,5,0)</f>
        <v>242.72820000000002</v>
      </c>
      <c r="P39" s="13">
        <f t="shared" si="33"/>
        <v>59.026129292443294</v>
      </c>
      <c r="Q39" s="20">
        <f t="shared" si="53"/>
        <v>525.55545685100537</v>
      </c>
      <c r="R39" s="59">
        <f t="shared" si="0"/>
        <v>818.88879018433863</v>
      </c>
      <c r="S39" s="59">
        <f ca="1">AVERAGE(OFFSET($R$3,0,0,'Données projet'!$E$9+1,1))-AVERAGE(OFFSET($H$3,0,0,'Données projet'!$E$9+1,1))</f>
        <v>326.05837294177707</v>
      </c>
      <c r="T39" s="59">
        <f t="shared" si="34"/>
        <v>406.74689878702014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29.196579375924383</v>
      </c>
      <c r="AA39" s="21">
        <f>EXP(-LN(2)/25)*AA38+(1-EXP(-LN(2)/25))/(LN(2)/25)*Calculateur!V39*Calculateur!X39*VLOOKUP('Données projet'!$B$9,Paramètres!$A$1:$I$89,3,0)*0.475*44/12</f>
        <v>17.761290894015282</v>
      </c>
      <c r="AB39" s="21">
        <f>EXP(-LN(2)/2)*AB38+(1-EXP(-LN(2)/2))/(LN(2)/2)*V39*Y39*VLOOKUP('Données projet'!$B$9,Paramètres!$A$1:$I$89,3,0)*0.475*44/12</f>
        <v>2.9985919380883796</v>
      </c>
      <c r="AC39" s="22">
        <f t="shared" si="3"/>
        <v>49.956462208028043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133.36234971428578</v>
      </c>
      <c r="AK39" s="13">
        <f t="shared" si="35"/>
        <v>34.772141208569977</v>
      </c>
      <c r="AL39" s="20">
        <f t="shared" si="4"/>
        <v>292.83423835730713</v>
      </c>
      <c r="AM39" s="59">
        <f t="shared" si="5"/>
        <v>586.16757169064044</v>
      </c>
      <c r="AN39" s="59">
        <f ca="1">AVERAGE(OFFSET($AM$3,0,0,'Données projet'!$E$10+1,1))-AVERAGE(OFFSET($H$3,0,0,'Données projet'!$E$10+1,1))</f>
        <v>490.21869105612649</v>
      </c>
      <c r="AO39" s="59">
        <f t="shared" si="36"/>
        <v>207.08773997010911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149.45780571428583</v>
      </c>
      <c r="BF39" s="13">
        <f t="shared" si="37"/>
        <v>38.455344067865383</v>
      </c>
      <c r="BG39" s="20">
        <f t="shared" si="7"/>
        <v>327.2820692039133</v>
      </c>
      <c r="BH39" s="59">
        <f t="shared" si="8"/>
        <v>620.61540253724661</v>
      </c>
      <c r="BI39" s="59">
        <f ca="1">AVERAGE(OFFSET($BH$3,0,0,'Données projet'!$E$11+1,1))-AVERAGE(OFFSET($H$3,0,0,'Données projet'!$E$11+1,1))</f>
        <v>561.19833044503548</v>
      </c>
      <c r="BJ39" s="59">
        <f t="shared" si="38"/>
        <v>235.9089269943575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5.6410256410256405</v>
      </c>
      <c r="BY39" s="12">
        <f>IF('Données projet'!$A$114&gt;35,BY38+BX39-CG38,IF(A39&lt;'Données projet'!$A$114,$BV$205^A39,IF(A39='Données projet'!$A$114,'Données projet'!$B$114,BY38+BX39-CG38)))</f>
        <v>96.025641025641065</v>
      </c>
      <c r="BZ39" s="13">
        <f>BY39*VLOOKUP('Données projet'!$B$12,Paramètres!$A$1:$I$89,3,0)*VLOOKUP('Données projet'!$B$12,Paramètres!$A$1:$I$89,5,0)</f>
        <v>83.888000000000048</v>
      </c>
      <c r="CA39" s="13">
        <f t="shared" si="39"/>
        <v>23.085178864302343</v>
      </c>
      <c r="CB39" s="20">
        <f t="shared" si="10"/>
        <v>186.31161985532663</v>
      </c>
      <c r="CC39" s="59">
        <f t="shared" si="11"/>
        <v>479.64495318865994</v>
      </c>
      <c r="CD39" s="59">
        <f ca="1">AVERAGE(OFFSET($CC$3,0,0,'Données projet'!$E$12+1,1))-AVERAGE(OFFSET($H$3,0,0,'Données projet'!$E$12+1,1))</f>
        <v>147.1862160897889</v>
      </c>
      <c r="CE39" s="59">
        <f t="shared" si="40"/>
        <v>147.31828668914011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13.647466051941665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13.647466051941665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23.327500000000001</v>
      </c>
      <c r="N40" s="13">
        <f>IF('Données projet'!$A$36&gt;35,N39+M40-V39,IF(A40&lt;'Données projet'!$A$36,$K$205^A40,IF(A40='Données projet'!$A$36,'Données projet'!$B$36,N39+M40-V39)))</f>
        <v>429.22749999999996</v>
      </c>
      <c r="O40" s="13">
        <f>N40*VLOOKUP('Données projet'!$B$9,Paramètres!$A$1:$I$89,3,0)*VLOOKUP('Données projet'!$B$9,Paramètres!$A$1:$I$89,5,0)</f>
        <v>256.678045</v>
      </c>
      <c r="P40" s="13">
        <f t="shared" si="33"/>
        <v>62.013742319875981</v>
      </c>
      <c r="Q40" s="20">
        <f t="shared" si="53"/>
        <v>555.0548629154506</v>
      </c>
      <c r="R40" s="59">
        <f t="shared" si="0"/>
        <v>848.38819624878397</v>
      </c>
      <c r="S40" s="59">
        <f ca="1">AVERAGE(OFFSET($R$3,0,0,'Données projet'!$E$9+1,1))-AVERAGE(OFFSET($H$3,0,0,'Données projet'!$E$9+1,1))</f>
        <v>326.05837294177707</v>
      </c>
      <c r="T40" s="59">
        <f t="shared" si="34"/>
        <v>406.74689878702014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28.624052262517516</v>
      </c>
      <c r="AA40" s="21">
        <f>EXP(-LN(2)/25)*AA39+(1-EXP(-LN(2)/25))/(LN(2)/25)*Calculateur!V40*Calculateur!X40*VLOOKUP('Données projet'!$B$9,Paramètres!$A$1:$I$89,3,0)*0.475*44/12</f>
        <v>17.27560746049274</v>
      </c>
      <c r="AB40" s="21">
        <f>EXP(-LN(2)/2)*AB39+(1-EXP(-LN(2)/2))/(LN(2)/2)*V40*Y40*VLOOKUP('Données projet'!$B$9,Paramètres!$A$1:$I$89,3,0)*0.475*44/12</f>
        <v>2.1203246934336053</v>
      </c>
      <c r="AC40" s="22">
        <f t="shared" si="3"/>
        <v>48.019984416443862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137.06685942857152</v>
      </c>
      <c r="AK40" s="13">
        <f t="shared" si="35"/>
        <v>35.624238388297236</v>
      </c>
      <c r="AL40" s="20">
        <f t="shared" si="4"/>
        <v>300.77032869771307</v>
      </c>
      <c r="AM40" s="59">
        <f t="shared" si="5"/>
        <v>594.10366203104638</v>
      </c>
      <c r="AN40" s="59">
        <f ca="1">AVERAGE(OFFSET($AM$3,0,0,'Données projet'!$E$10+1,1))-AVERAGE(OFFSET($H$3,0,0,'Données projet'!$E$10+1,1))</f>
        <v>490.21869105612649</v>
      </c>
      <c r="AO40" s="59">
        <f t="shared" si="36"/>
        <v>207.08773997010911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153.60941142857155</v>
      </c>
      <c r="BF40" s="13">
        <f t="shared" si="37"/>
        <v>39.397698754311712</v>
      </c>
      <c r="BG40" s="20">
        <f t="shared" si="7"/>
        <v>336.15405023518832</v>
      </c>
      <c r="BH40" s="59">
        <f t="shared" si="8"/>
        <v>629.48738356852164</v>
      </c>
      <c r="BI40" s="59">
        <f ca="1">AVERAGE(OFFSET($BH$3,0,0,'Données projet'!$E$11+1,1))-AVERAGE(OFFSET($H$3,0,0,'Données projet'!$E$11+1,1))</f>
        <v>561.19833044503548</v>
      </c>
      <c r="BJ40" s="59">
        <f t="shared" si="38"/>
        <v>235.9089269943575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5.6410256410256405</v>
      </c>
      <c r="BY40" s="12">
        <f>IF('Données projet'!$A$114&gt;35,BY39+BX40-CG39,IF(A40&lt;'Données projet'!$A$114,$BV$205^A40,IF(A40='Données projet'!$A$114,'Données projet'!$B$114,BY39+BX40-CG39)))</f>
        <v>101.6666666666667</v>
      </c>
      <c r="BZ40" s="13">
        <f>BY40*VLOOKUP('Données projet'!$B$12,Paramètres!$A$1:$I$89,3,0)*VLOOKUP('Données projet'!$B$12,Paramètres!$A$1:$I$89,5,0)</f>
        <v>88.816000000000045</v>
      </c>
      <c r="CA40" s="13">
        <f t="shared" si="39"/>
        <v>24.27945299264514</v>
      </c>
      <c r="CB40" s="20">
        <f t="shared" si="10"/>
        <v>196.97458062885701</v>
      </c>
      <c r="CC40" s="59">
        <f t="shared" si="11"/>
        <v>490.30791396219036</v>
      </c>
      <c r="CD40" s="59">
        <f ca="1">AVERAGE(OFFSET($CC$3,0,0,'Données projet'!$E$12+1,1))-AVERAGE(OFFSET($H$3,0,0,'Données projet'!$E$12+1,1))</f>
        <v>147.1862160897889</v>
      </c>
      <c r="CE40" s="59">
        <f t="shared" si="40"/>
        <v>147.31828668914011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13.274275375062272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13.274275375062272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23.327500000000001</v>
      </c>
      <c r="N41" s="13">
        <f>IF('Données projet'!$A$36&gt;35,N40+M41-V40,IF(A41&lt;'Données projet'!$A$36,$K$205^A41,IF(A41='Données projet'!$A$36,'Données projet'!$B$36,N40+M41-V40)))</f>
        <v>452.55499999999995</v>
      </c>
      <c r="O41" s="13">
        <f>N41*VLOOKUP('Données projet'!$B$9,Paramètres!$A$1:$I$89,3,0)*VLOOKUP('Données projet'!$B$9,Paramètres!$A$1:$I$89,5,0)</f>
        <v>270.62788999999998</v>
      </c>
      <c r="P41" s="13">
        <f t="shared" si="33"/>
        <v>64.982505373007044</v>
      </c>
      <c r="Q41" s="20">
        <f t="shared" si="53"/>
        <v>584.52143860798708</v>
      </c>
      <c r="R41" s="59">
        <f t="shared" si="0"/>
        <v>877.85477194132045</v>
      </c>
      <c r="S41" s="59">
        <f ca="1">AVERAGE(OFFSET($R$3,0,0,'Données projet'!$E$9+1,1))-AVERAGE(OFFSET($H$3,0,0,'Données projet'!$E$9+1,1))</f>
        <v>326.05837294177707</v>
      </c>
      <c r="T41" s="59">
        <f t="shared" si="34"/>
        <v>406.74689878702014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28.0627520565975</v>
      </c>
      <c r="AA41" s="21">
        <f>EXP(-LN(2)/25)*AA40+(1-EXP(-LN(2)/25))/(LN(2)/25)*Calculateur!V41*Calculateur!X41*VLOOKUP('Données projet'!$B$9,Paramètres!$A$1:$I$89,3,0)*0.475*44/12</f>
        <v>16.803205066000853</v>
      </c>
      <c r="AB41" s="21">
        <f>EXP(-LN(2)/2)*AB40+(1-EXP(-LN(2)/2))/(LN(2)/2)*V41*Y41*VLOOKUP('Données projet'!$B$9,Paramètres!$A$1:$I$89,3,0)*0.475*44/12</f>
        <v>1.4992959690441898</v>
      </c>
      <c r="AC41" s="22">
        <f t="shared" si="3"/>
        <v>46.365253091642543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140.77136914285722</v>
      </c>
      <c r="AK41" s="13">
        <f t="shared" si="35"/>
        <v>36.473658784165018</v>
      </c>
      <c r="AL41" s="20">
        <f t="shared" si="4"/>
        <v>308.70175697289704</v>
      </c>
      <c r="AM41" s="59">
        <f t="shared" si="5"/>
        <v>602.03509030623036</v>
      </c>
      <c r="AN41" s="59">
        <f ca="1">AVERAGE(OFFSET($AM$3,0,0,'Données projet'!$E$10+1,1))-AVERAGE(OFFSET($H$3,0,0,'Données projet'!$E$10+1,1))</f>
        <v>490.21869105612649</v>
      </c>
      <c r="AO41" s="59">
        <f t="shared" si="36"/>
        <v>207.08773997010911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157.76101714285727</v>
      </c>
      <c r="BF41" s="13">
        <f t="shared" si="37"/>
        <v>40.337093121354812</v>
      </c>
      <c r="BG41" s="20">
        <f t="shared" si="7"/>
        <v>345.02087537683605</v>
      </c>
      <c r="BH41" s="59">
        <f t="shared" si="8"/>
        <v>638.35420871016936</v>
      </c>
      <c r="BI41" s="59">
        <f ca="1">AVERAGE(OFFSET($BH$3,0,0,'Données projet'!$E$11+1,1))-AVERAGE(OFFSET($H$3,0,0,'Données projet'!$E$11+1,1))</f>
        <v>561.19833044503548</v>
      </c>
      <c r="BJ41" s="59">
        <f t="shared" si="38"/>
        <v>235.9089269943575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5.6410256410256405</v>
      </c>
      <c r="BY41" s="12">
        <f>IF('Données projet'!$A$114&gt;35,BY40+BX41-CG40,IF(A41&lt;'Données projet'!$A$114,$BV$205^A41,IF(A41='Données projet'!$A$114,'Données projet'!$B$114,BY40+BX41-CG40)))</f>
        <v>107.30769230769234</v>
      </c>
      <c r="BZ41" s="13">
        <f>BY41*VLOOKUP('Données projet'!$B$12,Paramètres!$A$1:$I$89,3,0)*VLOOKUP('Données projet'!$B$12,Paramètres!$A$1:$I$89,5,0)</f>
        <v>93.744000000000042</v>
      </c>
      <c r="CA41" s="13">
        <f t="shared" si="39"/>
        <v>25.466034575236794</v>
      </c>
      <c r="CB41" s="20">
        <f t="shared" si="10"/>
        <v>207.62414355187082</v>
      </c>
      <c r="CC41" s="59">
        <f t="shared" si="11"/>
        <v>500.95747688520413</v>
      </c>
      <c r="CD41" s="59">
        <f ca="1">AVERAGE(OFFSET($CC$3,0,0,'Données projet'!$E$12+1,1))-AVERAGE(OFFSET($H$3,0,0,'Données projet'!$E$12+1,1))</f>
        <v>147.1862160897889</v>
      </c>
      <c r="CE41" s="59">
        <f t="shared" si="40"/>
        <v>147.31828668914011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12.911289616867391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12.911289616867391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23.327500000000001</v>
      </c>
      <c r="N42" s="13">
        <f>IF('Données projet'!$A$36&gt;35,N41+M42-V41,IF(A42&lt;'Données projet'!$A$36,$K$205^A42,IF(A42='Données projet'!$A$36,'Données projet'!$B$36,N41+M42-V41)))</f>
        <v>475.88249999999994</v>
      </c>
      <c r="O42" s="13">
        <f>N42*VLOOKUP('Données projet'!$B$9,Paramètres!$A$1:$I$89,3,0)*VLOOKUP('Données projet'!$B$9,Paramètres!$A$1:$I$89,5,0)</f>
        <v>284.57773500000002</v>
      </c>
      <c r="P42" s="13">
        <f t="shared" si="33"/>
        <v>67.933500931126744</v>
      </c>
      <c r="Q42" s="20">
        <f t="shared" si="53"/>
        <v>613.95706924671242</v>
      </c>
      <c r="R42" s="59">
        <f t="shared" si="0"/>
        <v>907.29040258004579</v>
      </c>
      <c r="S42" s="59">
        <f ca="1">AVERAGE(OFFSET($R$3,0,0,'Données projet'!$E$9+1,1))-AVERAGE(OFFSET($H$3,0,0,'Données projet'!$E$9+1,1))</f>
        <v>326.05837294177707</v>
      </c>
      <c r="T42" s="59">
        <f t="shared" si="34"/>
        <v>406.74689878702014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27.512458605356255</v>
      </c>
      <c r="AA42" s="21">
        <f>EXP(-LN(2)/25)*AA41+(1-EXP(-LN(2)/25))/(LN(2)/25)*Calculateur!V42*Calculateur!X42*VLOOKUP('Données projet'!$B$9,Paramètres!$A$1:$I$89,3,0)*0.475*44/12</f>
        <v>16.343720539828908</v>
      </c>
      <c r="AB42" s="21">
        <f>EXP(-LN(2)/2)*AB41+(1-EXP(-LN(2)/2))/(LN(2)/2)*V42*Y42*VLOOKUP('Données projet'!$B$9,Paramètres!$A$1:$I$89,3,0)*0.475*44/12</f>
        <v>1.0601623467168027</v>
      </c>
      <c r="AC42" s="22">
        <f t="shared" si="3"/>
        <v>44.916341491901967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144.47587885714296</v>
      </c>
      <c r="AK42" s="13">
        <f t="shared" si="35"/>
        <v>37.320480935293446</v>
      </c>
      <c r="AL42" s="20">
        <f t="shared" si="4"/>
        <v>316.62865997182678</v>
      </c>
      <c r="AM42" s="59">
        <f t="shared" si="5"/>
        <v>609.96199330516015</v>
      </c>
      <c r="AN42" s="59">
        <f ca="1">AVERAGE(OFFSET($AM$3,0,0,'Données projet'!$E$10+1,1))-AVERAGE(OFFSET($H$3,0,0,'Données projet'!$E$10+1,1))</f>
        <v>490.21869105612649</v>
      </c>
      <c r="AO42" s="59">
        <f t="shared" si="36"/>
        <v>207.08773997010911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161.91262285714299</v>
      </c>
      <c r="BF42" s="13">
        <f t="shared" si="37"/>
        <v>41.273614027289312</v>
      </c>
      <c r="BG42" s="20">
        <f t="shared" si="7"/>
        <v>353.88269590705289</v>
      </c>
      <c r="BH42" s="59">
        <f t="shared" si="8"/>
        <v>647.21602924038621</v>
      </c>
      <c r="BI42" s="59">
        <f ca="1">AVERAGE(OFFSET($BH$3,0,0,'Données projet'!$E$11+1,1))-AVERAGE(OFFSET($H$3,0,0,'Données projet'!$E$11+1,1))</f>
        <v>561.19833044503548</v>
      </c>
      <c r="BJ42" s="59">
        <f t="shared" si="38"/>
        <v>235.9089269943575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5.6410256410256405</v>
      </c>
      <c r="BY42" s="12">
        <f>IF('Données projet'!$A$114&gt;35,BY41+BX42-CG41,IF(A42&lt;'Données projet'!$A$114,$BV$205^A42,IF(A42='Données projet'!$A$114,'Données projet'!$B$114,BY41+BX42-CG41)))</f>
        <v>112.94871794871797</v>
      </c>
      <c r="BZ42" s="13">
        <f>BY42*VLOOKUP('Données projet'!$B$12,Paramètres!$A$1:$I$89,3,0)*VLOOKUP('Données projet'!$B$12,Paramètres!$A$1:$I$89,5,0)</f>
        <v>98.672000000000025</v>
      </c>
      <c r="CA42" s="13">
        <f t="shared" si="39"/>
        <v>26.64537411697647</v>
      </c>
      <c r="CB42" s="20">
        <f t="shared" si="10"/>
        <v>218.26109325373406</v>
      </c>
      <c r="CC42" s="59">
        <f t="shared" si="11"/>
        <v>511.59442658706735</v>
      </c>
      <c r="CD42" s="59">
        <f ca="1">AVERAGE(OFFSET($CC$3,0,0,'Données projet'!$E$12+1,1))-AVERAGE(OFFSET($H$3,0,0,'Données projet'!$E$12+1,1))</f>
        <v>147.1862160897889</v>
      </c>
      <c r="CE42" s="59">
        <f t="shared" si="40"/>
        <v>147.31828668914011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12.55822972331894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12.55822972331894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499.21</v>
      </c>
      <c r="L43" s="12">
        <f>VLOOKUP(A43,'Données projet'!$A$35:$I$55,9,0)</f>
        <v>23.327500000000001</v>
      </c>
      <c r="M43" s="12">
        <f t="array" ref="M43">INDEX(L:L,MIN(IF(ISNUMBER(L43:L239),ROW(L43:L239),"")))</f>
        <v>23.327500000000001</v>
      </c>
      <c r="N43" s="13">
        <f>IF('Données projet'!$A$36&gt;35,N42+M43-V42,IF(A43&lt;'Données projet'!$A$36,$K$205^A43,IF(A43='Données projet'!$A$36,'Données projet'!$B$36,N42+M43-V42)))</f>
        <v>499.20999999999992</v>
      </c>
      <c r="O43" s="13">
        <f>N43*VLOOKUP('Données projet'!$B$9,Paramètres!$A$1:$I$89,3,0)*VLOOKUP('Données projet'!$B$9,Paramètres!$A$1:$I$89,5,0)</f>
        <v>298.52758</v>
      </c>
      <c r="P43" s="13">
        <f t="shared" si="33"/>
        <v>70.867699352870133</v>
      </c>
      <c r="Q43" s="20">
        <f t="shared" si="53"/>
        <v>643.36344487291547</v>
      </c>
      <c r="R43" s="59">
        <f t="shared" si="0"/>
        <v>936.69677820624884</v>
      </c>
      <c r="S43" s="59">
        <f ca="1">AVERAGE(OFFSET($R$3,0,0,'Données projet'!$E$9+1,1))-AVERAGE(OFFSET($H$3,0,0,'Données projet'!$E$9+1,1))</f>
        <v>326.05837294177707</v>
      </c>
      <c r="T43" s="59">
        <f t="shared" si="34"/>
        <v>406.74689878702014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116.63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51.953597193273517</v>
      </c>
      <c r="AA43" s="21">
        <f>EXP(-LN(2)/25)*AA42+(1-EXP(-LN(2)/25))/(LN(2)/25)*Calculateur!V43*Calculateur!X43*VLOOKUP('Données projet'!$B$9,Paramètres!$A$1:$I$89,3,0)*0.475*44/12</f>
        <v>24.190894914776614</v>
      </c>
      <c r="AB43" s="21">
        <f>EXP(-LN(2)/2)*AB42+(1-EXP(-LN(2)/2))/(LN(2)/2)*V43*Y43*VLOOKUP('Données projet'!$B$9,Paramètres!$A$1:$I$89,3,0)*0.475*44/12</f>
        <v>16.543097426639296</v>
      </c>
      <c r="AC43" s="22">
        <f t="shared" si="3"/>
        <v>92.687589534689423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148.18038857142867</v>
      </c>
      <c r="AK43" s="13">
        <f t="shared" si="35"/>
        <v>38.16477912369308</v>
      </c>
      <c r="AL43" s="20">
        <f t="shared" si="4"/>
        <v>324.55116706900372</v>
      </c>
      <c r="AM43" s="59">
        <f t="shared" si="5"/>
        <v>617.88450040233704</v>
      </c>
      <c r="AN43" s="59">
        <f ca="1">AVERAGE(OFFSET($AM$3,0,0,'Données projet'!$E$10+1,1))-AVERAGE(OFFSET($H$3,0,0,'Données projet'!$E$10+1,1))</f>
        <v>490.21869105612649</v>
      </c>
      <c r="AO43" s="59">
        <f t="shared" si="36"/>
        <v>207.08773997010911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166.06422857142869</v>
      </c>
      <c r="BF43" s="13">
        <f t="shared" si="37"/>
        <v>42.20734362237048</v>
      </c>
      <c r="BG43" s="20">
        <f t="shared" si="7"/>
        <v>362.73965490420022</v>
      </c>
      <c r="BH43" s="59">
        <f t="shared" si="8"/>
        <v>656.07298823753354</v>
      </c>
      <c r="BI43" s="59">
        <f ca="1">AVERAGE(OFFSET($BH$3,0,0,'Données projet'!$E$11+1,1))-AVERAGE(OFFSET($H$3,0,0,'Données projet'!$E$11+1,1))</f>
        <v>561.19833044503548</v>
      </c>
      <c r="BJ43" s="59">
        <f t="shared" si="38"/>
        <v>235.9089269943575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118.58974358974359</v>
      </c>
      <c r="BW43" s="12">
        <f>VLOOKUP(A43,'Données projet'!$A$113:$I$133,9,0)</f>
        <v>5.6410256410256405</v>
      </c>
      <c r="BX43" s="12">
        <f t="array" ref="BX43">INDEX(BW:BW,MIN(IF(ISNUMBER(BW43:BW239),ROW(BW43:BW239),"")))</f>
        <v>5.6410256410256405</v>
      </c>
      <c r="BY43" s="12">
        <f>IF('Données projet'!$A$114&gt;35,BY42+BX43-CG42,IF(A43&lt;'Données projet'!$A$114,$BV$205^A43,IF(A43='Données projet'!$A$114,'Données projet'!$B$114,BY42+BX43-CG42)))</f>
        <v>118.58974358974361</v>
      </c>
      <c r="BZ43" s="13">
        <f>BY43*VLOOKUP('Données projet'!$B$12,Paramètres!$A$1:$I$89,3,0)*VLOOKUP('Données projet'!$B$12,Paramètres!$A$1:$I$89,5,0)</f>
        <v>103.60000000000002</v>
      </c>
      <c r="CA43" s="13">
        <f t="shared" si="39"/>
        <v>27.817874581404631</v>
      </c>
      <c r="CB43" s="20">
        <f t="shared" si="10"/>
        <v>228.88613156261309</v>
      </c>
      <c r="CC43" s="59">
        <f t="shared" si="11"/>
        <v>522.21946489594643</v>
      </c>
      <c r="CD43" s="59">
        <f ca="1">AVERAGE(OFFSET($CC$3,0,0,'Données projet'!$E$12+1,1))-AVERAGE(OFFSET($H$3,0,0,'Données projet'!$E$12+1,1))</f>
        <v>147.1862160897889</v>
      </c>
      <c r="CE43" s="59">
        <f t="shared" si="40"/>
        <v>147.31828668914011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17.307692307692307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15.794337759955678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15.794337759955678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19.548750000000005</v>
      </c>
      <c r="N44" s="13">
        <f>IF('Données projet'!$A$36&gt;35,N43+M44-V43,IF(A44&lt;'Données projet'!$A$36,$K$205^A44,IF(A44='Données projet'!$A$36,'Données projet'!$B$36,N43+M44-V43)))</f>
        <v>402.12874999999997</v>
      </c>
      <c r="O44" s="13">
        <f>N44*VLOOKUP('Données projet'!$B$9,Paramètres!$A$1:$I$89,3,0)*VLOOKUP('Données projet'!$B$9,Paramètres!$A$1:$I$89,5,0)</f>
        <v>240.47299249999998</v>
      </c>
      <c r="P44" s="13">
        <f t="shared" si="33"/>
        <v>58.541285458570243</v>
      </c>
      <c r="Q44" s="20">
        <f t="shared" si="53"/>
        <v>520.78320077784304</v>
      </c>
      <c r="R44" s="59">
        <f t="shared" si="0"/>
        <v>814.11653411117641</v>
      </c>
      <c r="S44" s="59">
        <f ca="1">AVERAGE(OFFSET($R$3,0,0,'Données projet'!$E$9+1,1))-AVERAGE(OFFSET($H$3,0,0,'Données projet'!$E$9+1,1))</f>
        <v>326.05837294177707</v>
      </c>
      <c r="T44" s="59">
        <f t="shared" si="34"/>
        <v>406.74689878702014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50.934818840878727</v>
      </c>
      <c r="AA44" s="21">
        <f>EXP(-LN(2)/25)*AA43+(1-EXP(-LN(2)/25))/(LN(2)/25)*Calculateur!V44*Calculateur!X44*VLOOKUP('Données projet'!$B$9,Paramètres!$A$1:$I$89,3,0)*0.475*44/12</f>
        <v>23.529393621188174</v>
      </c>
      <c r="AB44" s="21">
        <f>EXP(-LN(2)/2)*AB43+(1-EXP(-LN(2)/2))/(LN(2)/2)*V44*Y44*VLOOKUP('Données projet'!$B$9,Paramètres!$A$1:$I$89,3,0)*0.475*44/12</f>
        <v>11.697736372206371</v>
      </c>
      <c r="AC44" s="22">
        <f t="shared" si="3"/>
        <v>86.161948834273261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151.88489828571437</v>
      </c>
      <c r="AK44" s="13">
        <f t="shared" si="35"/>
        <v>39.006623705593562</v>
      </c>
      <c r="AL44" s="20">
        <f t="shared" si="4"/>
        <v>332.46940080152797</v>
      </c>
      <c r="AM44" s="59">
        <f t="shared" si="5"/>
        <v>625.80273413486134</v>
      </c>
      <c r="AN44" s="59">
        <f ca="1">AVERAGE(OFFSET($AM$3,0,0,'Données projet'!$E$10+1,1))-AVERAGE(OFFSET($H$3,0,0,'Données projet'!$E$10+1,1))</f>
        <v>490.21869105612649</v>
      </c>
      <c r="AO44" s="59">
        <f t="shared" si="36"/>
        <v>207.08773997010911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170.21583428571441</v>
      </c>
      <c r="BF44" s="13">
        <f t="shared" si="37"/>
        <v>43.138359715238352</v>
      </c>
      <c r="BG44" s="20">
        <f t="shared" si="7"/>
        <v>371.59188788499273</v>
      </c>
      <c r="BH44" s="59">
        <f t="shared" si="8"/>
        <v>664.92522121832599</v>
      </c>
      <c r="BI44" s="59">
        <f ca="1">AVERAGE(OFFSET($BH$3,0,0,'Données projet'!$E$11+1,1))-AVERAGE(OFFSET($H$3,0,0,'Données projet'!$E$11+1,1))</f>
        <v>561.19833044503548</v>
      </c>
      <c r="BJ44" s="59">
        <f t="shared" si="38"/>
        <v>235.9089269943575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5.1282051282051269</v>
      </c>
      <c r="BY44" s="12">
        <f>IF('Données projet'!$A$114&gt;35,BY43+BX44-CG43,IF(A44&lt;'Données projet'!$A$114,$BV$205^A44,IF(A44='Données projet'!$A$114,'Données projet'!$B$114,BY43+BX44-CG43)))</f>
        <v>106.41025641025642</v>
      </c>
      <c r="BZ44" s="13">
        <f>BY44*VLOOKUP('Données projet'!$B$12,Paramètres!$A$1:$I$89,3,0)*VLOOKUP('Données projet'!$B$12,Paramètres!$A$1:$I$89,5,0)</f>
        <v>92.960000000000022</v>
      </c>
      <c r="CA44" s="13">
        <f t="shared" si="39"/>
        <v>25.277755693390663</v>
      </c>
      <c r="CB44" s="20">
        <f t="shared" si="10"/>
        <v>205.93075783265542</v>
      </c>
      <c r="CC44" s="59">
        <f t="shared" si="11"/>
        <v>499.2640911659887</v>
      </c>
      <c r="CD44" s="59">
        <f ca="1">AVERAGE(OFFSET($CC$3,0,0,'Données projet'!$E$12+1,1))-AVERAGE(OFFSET($H$3,0,0,'Données projet'!$E$12+1,1))</f>
        <v>147.1862160897889</v>
      </c>
      <c r="CE44" s="59">
        <f t="shared" si="40"/>
        <v>147.31828668914011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15.362440763321565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15.362440763321565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19.548750000000005</v>
      </c>
      <c r="N45" s="13">
        <f>IF('Données projet'!$A$36&gt;35,N44+M45-V44,IF(A45&lt;'Données projet'!$A$36,$K$205^A45,IF(A45='Données projet'!$A$36,'Données projet'!$B$36,N44+M45-V44)))</f>
        <v>421.67749999999995</v>
      </c>
      <c r="O45" s="13">
        <f>N45*VLOOKUP('Données projet'!$B$9,Paramètres!$A$1:$I$89,3,0)*VLOOKUP('Données projet'!$B$9,Paramètres!$A$1:$I$89,5,0)</f>
        <v>252.16314499999999</v>
      </c>
      <c r="P45" s="13">
        <f t="shared" si="33"/>
        <v>61.048913284194377</v>
      </c>
      <c r="Q45" s="20">
        <f t="shared" si="53"/>
        <v>545.51100151163848</v>
      </c>
      <c r="R45" s="59">
        <f t="shared" si="0"/>
        <v>838.84433484497185</v>
      </c>
      <c r="S45" s="59">
        <f ca="1">AVERAGE(OFFSET($R$3,0,0,'Données projet'!$E$9+1,1))-AVERAGE(OFFSET($H$3,0,0,'Données projet'!$E$9+1,1))</f>
        <v>326.05837294177707</v>
      </c>
      <c r="T45" s="59">
        <f t="shared" si="34"/>
        <v>406.74689878702014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49.93601811058096</v>
      </c>
      <c r="AA45" s="21">
        <f>EXP(-LN(2)/25)*AA44+(1-EXP(-LN(2)/25))/(LN(2)/25)*Calculateur!V45*Calculateur!X45*VLOOKUP('Données projet'!$B$9,Paramètres!$A$1:$I$89,3,0)*0.475*44/12</f>
        <v>22.885981115259749</v>
      </c>
      <c r="AB45" s="21">
        <f>EXP(-LN(2)/2)*AB44+(1-EXP(-LN(2)/2))/(LN(2)/2)*V45*Y45*VLOOKUP('Données projet'!$B$9,Paramètres!$A$1:$I$89,3,0)*0.475*44/12</f>
        <v>8.2715487133196497</v>
      </c>
      <c r="AC45" s="22">
        <f t="shared" si="3"/>
        <v>81.093547939160359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155.58940800000011</v>
      </c>
      <c r="AK45" s="13">
        <f t="shared" si="35"/>
        <v>39.846081409537142</v>
      </c>
      <c r="AL45" s="20">
        <f t="shared" si="4"/>
        <v>340.3834773882773</v>
      </c>
      <c r="AM45" s="59">
        <f t="shared" si="5"/>
        <v>633.71681072161061</v>
      </c>
      <c r="AN45" s="59">
        <f ca="1">AVERAGE(OFFSET($AM$3,0,0,'Données projet'!$E$10+1,1))-AVERAGE(OFFSET($H$3,0,0,'Données projet'!$E$10+1,1))</f>
        <v>490.21869105612649</v>
      </c>
      <c r="AO45" s="59">
        <f t="shared" si="36"/>
        <v>207.08773997010911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15.254654682209745</v>
      </c>
      <c r="AW45" s="21">
        <f>EXP(-LN(2)/2)*AW44+(1-EXP(-LN(2)/2))/(LN(2)/2)*AQ45*AT45*VLOOKUP('Données projet'!$B$10,Paramètres!$A$1:$I$89,3,0)*0.475*44/12</f>
        <v>7.599665462085774</v>
      </c>
      <c r="AX45" s="21">
        <f t="shared" si="6"/>
        <v>22.854320144295521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174.36744000000013</v>
      </c>
      <c r="BF45" s="13">
        <f t="shared" si="37"/>
        <v>44.066736102586425</v>
      </c>
      <c r="BG45" s="20">
        <f t="shared" si="7"/>
        <v>380.43952337867154</v>
      </c>
      <c r="BH45" s="59">
        <f t="shared" si="8"/>
        <v>673.7728567120048</v>
      </c>
      <c r="BI45" s="59">
        <f ca="1">AVERAGE(OFFSET($BH$3,0,0,'Données projet'!$E$11+1,1))-AVERAGE(OFFSET($H$3,0,0,'Données projet'!$E$11+1,1))</f>
        <v>561.19833044503548</v>
      </c>
      <c r="BJ45" s="59">
        <f t="shared" si="38"/>
        <v>235.9089269943575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17.095733695579888</v>
      </c>
      <c r="BR45" s="21">
        <f>EXP(-LN(2)/2)*BR44+(1-EXP(-LN(2)/2))/(LN(2)/2)*BL45*BO45*VLOOKUP('Données projet'!$B$11,Paramètres!$A$1:$I$89,3,0)*0.475*44/12</f>
        <v>8.5168664661306082</v>
      </c>
      <c r="BS45" s="22">
        <f t="shared" si="9"/>
        <v>25.612600161710496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5.1282051282051269</v>
      </c>
      <c r="BY45" s="12">
        <f>IF('Données projet'!$A$114&gt;35,BY44+BX45-CG44,IF(A45&lt;'Données projet'!$A$114,$BV$205^A45,IF(A45='Données projet'!$A$114,'Données projet'!$B$114,BY44+BX45-CG44)))</f>
        <v>111.53846153846155</v>
      </c>
      <c r="BZ45" s="13">
        <f>BY45*VLOOKUP('Données projet'!$B$12,Paramètres!$A$1:$I$89,3,0)*VLOOKUP('Données projet'!$B$12,Paramètres!$A$1:$I$89,5,0)</f>
        <v>97.440000000000026</v>
      </c>
      <c r="CA45" s="13">
        <f t="shared" si="39"/>
        <v>26.351195394682179</v>
      </c>
      <c r="CB45" s="20">
        <f t="shared" si="10"/>
        <v>215.60299864573815</v>
      </c>
      <c r="CC45" s="59">
        <f t="shared" si="11"/>
        <v>508.9363319790715</v>
      </c>
      <c r="CD45" s="59">
        <f ca="1">AVERAGE(OFFSET($CC$3,0,0,'Données projet'!$E$12+1,1))-AVERAGE(OFFSET($H$3,0,0,'Données projet'!$E$12+1,1))</f>
        <v>147.1862160897889</v>
      </c>
      <c r="CE45" s="59">
        <f t="shared" si="40"/>
        <v>147.31828668914011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14.942354012772888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14.942354012772888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19.548750000000005</v>
      </c>
      <c r="N46" s="13">
        <f>IF('Données projet'!$A$36&gt;35,N45+M46-V45,IF(A46&lt;'Données projet'!$A$36,$K$205^A46,IF(A46='Données projet'!$A$36,'Données projet'!$B$36,N45+M46-V45)))</f>
        <v>441.22624999999994</v>
      </c>
      <c r="O46" s="13">
        <f>N46*VLOOKUP('Données projet'!$B$9,Paramètres!$A$1:$I$89,3,0)*VLOOKUP('Données projet'!$B$9,Paramètres!$A$1:$I$89,5,0)</f>
        <v>263.8532975</v>
      </c>
      <c r="P46" s="13">
        <f t="shared" si="33"/>
        <v>63.543040677885536</v>
      </c>
      <c r="Q46" s="20">
        <f t="shared" si="53"/>
        <v>570.21528899315069</v>
      </c>
      <c r="R46" s="59">
        <f t="shared" si="0"/>
        <v>863.54862232648406</v>
      </c>
      <c r="S46" s="59">
        <f ca="1">AVERAGE(OFFSET($R$3,0,0,'Données projet'!$E$9+1,1))-AVERAGE(OFFSET($H$3,0,0,'Données projet'!$E$9+1,1))</f>
        <v>326.05837294177707</v>
      </c>
      <c r="T46" s="59">
        <f t="shared" si="34"/>
        <v>406.74689878702014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48.956803253396039</v>
      </c>
      <c r="AA46" s="21">
        <f>EXP(-LN(2)/25)*AA45+(1-EXP(-LN(2)/25))/(LN(2)/25)*Calculateur!V46*Calculateur!X46*VLOOKUP('Données projet'!$B$9,Paramètres!$A$1:$I$89,3,0)*0.475*44/12</f>
        <v>22.260162758141533</v>
      </c>
      <c r="AB46" s="21">
        <f>EXP(-LN(2)/2)*AB45+(1-EXP(-LN(2)/2))/(LN(2)/2)*V46*Y46*VLOOKUP('Données projet'!$B$9,Paramètres!$A$1:$I$89,3,0)*0.475*44/12</f>
        <v>5.8488681861031866</v>
      </c>
      <c r="AC46" s="22">
        <f t="shared" si="3"/>
        <v>77.065834197640768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124.4642880000001</v>
      </c>
      <c r="AK46" s="13">
        <f t="shared" si="35"/>
        <v>32.713997336243899</v>
      </c>
      <c r="AL46" s="20">
        <f t="shared" si="4"/>
        <v>273.75218029395825</v>
      </c>
      <c r="AM46" s="59">
        <f t="shared" si="5"/>
        <v>567.08551362729156</v>
      </c>
      <c r="AN46" s="59">
        <f ca="1">AVERAGE(OFFSET($AM$3,0,0,'Données projet'!$E$10+1,1))-AVERAGE(OFFSET($H$3,0,0,'Données projet'!$E$10+1,1))</f>
        <v>490.21869105612649</v>
      </c>
      <c r="AO46" s="59">
        <f t="shared" si="36"/>
        <v>207.08773997010911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14.837515347717295</v>
      </c>
      <c r="AW46" s="21">
        <f>EXP(-LN(2)/2)*AW45+(1-EXP(-LN(2)/2))/(LN(2)/2)*AQ46*AT46*VLOOKUP('Données projet'!$B$10,Paramètres!$A$1:$I$89,3,0)*0.475*44/12</f>
        <v>5.3737749829900485</v>
      </c>
      <c r="AX46" s="21">
        <f t="shared" si="6"/>
        <v>20.211290330707342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139.48584000000011</v>
      </c>
      <c r="BF46" s="13">
        <f t="shared" si="37"/>
        <v>36.179193448415994</v>
      </c>
      <c r="BG46" s="20">
        <f t="shared" si="7"/>
        <v>305.94993325599131</v>
      </c>
      <c r="BH46" s="59">
        <f t="shared" si="8"/>
        <v>599.28326658932463</v>
      </c>
      <c r="BI46" s="59">
        <f ca="1">AVERAGE(OFFSET($BH$3,0,0,'Données projet'!$E$11+1,1))-AVERAGE(OFFSET($H$3,0,0,'Données projet'!$E$11+1,1))</f>
        <v>561.19833044503548</v>
      </c>
      <c r="BJ46" s="59">
        <f t="shared" si="38"/>
        <v>235.9089269943575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16.628249958648695</v>
      </c>
      <c r="BR46" s="21">
        <f>EXP(-LN(2)/2)*BR45+(1-EXP(-LN(2)/2))/(LN(2)/2)*BL46*BO46*VLOOKUP('Données projet'!$B$11,Paramètres!$A$1:$I$89,3,0)*0.475*44/12</f>
        <v>6.0223340326612602</v>
      </c>
      <c r="BS46" s="22">
        <f t="shared" si="9"/>
        <v>22.650583991309954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5.1282051282051269</v>
      </c>
      <c r="BY46" s="12">
        <f>IF('Données projet'!$A$114&gt;35,BY45+BX46-CG45,IF(A46&lt;'Données projet'!$A$114,$BV$205^A46,IF(A46='Données projet'!$A$114,'Données projet'!$B$114,BY45+BX46-CG45)))</f>
        <v>116.66666666666667</v>
      </c>
      <c r="BZ46" s="13">
        <f>BY46*VLOOKUP('Données projet'!$B$12,Paramètres!$A$1:$I$89,3,0)*VLOOKUP('Données projet'!$B$12,Paramètres!$A$1:$I$89,5,0)</f>
        <v>101.92000000000002</v>
      </c>
      <c r="CA46" s="13">
        <f t="shared" si="39"/>
        <v>27.418903555387644</v>
      </c>
      <c r="CB46" s="20">
        <f t="shared" si="10"/>
        <v>225.26525702563353</v>
      </c>
      <c r="CC46" s="59">
        <f t="shared" si="11"/>
        <v>518.59859035896682</v>
      </c>
      <c r="CD46" s="59">
        <f ca="1">AVERAGE(OFFSET($CC$3,0,0,'Données projet'!$E$12+1,1))-AVERAGE(OFFSET($H$3,0,0,'Données projet'!$E$12+1,1))</f>
        <v>147.1862160897889</v>
      </c>
      <c r="CE46" s="59">
        <f t="shared" si="40"/>
        <v>147.31828668914011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14.533754556509367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14.533754556509367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19.548750000000005</v>
      </c>
      <c r="N47" s="13">
        <f>IF('Données projet'!$A$36&gt;35,N46+M47-V46,IF(A47&lt;'Données projet'!$A$36,$K$205^A47,IF(A47='Données projet'!$A$36,'Données projet'!$B$36,N46+M47-V46)))</f>
        <v>460.77499999999992</v>
      </c>
      <c r="O47" s="13">
        <f>N47*VLOOKUP('Données projet'!$B$9,Paramètres!$A$1:$I$89,3,0)*VLOOKUP('Données projet'!$B$9,Paramètres!$A$1:$I$89,5,0)</f>
        <v>275.54345000000001</v>
      </c>
      <c r="P47" s="13">
        <f t="shared" si="33"/>
        <v>66.024334133316685</v>
      </c>
      <c r="Q47" s="20">
        <f t="shared" si="53"/>
        <v>594.89722403219321</v>
      </c>
      <c r="R47" s="59">
        <f t="shared" si="0"/>
        <v>888.23055736552647</v>
      </c>
      <c r="S47" s="59">
        <f ca="1">AVERAGE(OFFSET($R$3,0,0,'Données projet'!$E$9+1,1))-AVERAGE(OFFSET($H$3,0,0,'Données projet'!$E$9+1,1))</f>
        <v>326.05837294177707</v>
      </c>
      <c r="T47" s="59">
        <f t="shared" si="34"/>
        <v>406.74689878702014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47.996790202298428</v>
      </c>
      <c r="AA47" s="21">
        <f>EXP(-LN(2)/25)*AA46+(1-EXP(-LN(2)/25))/(LN(2)/25)*Calculateur!V47*Calculateur!X47*VLOOKUP('Données projet'!$B$9,Paramètres!$A$1:$I$89,3,0)*0.475*44/12</f>
        <v>21.65145743690907</v>
      </c>
      <c r="AB47" s="21">
        <f>EXP(-LN(2)/2)*AB46+(1-EXP(-LN(2)/2))/(LN(2)/2)*V47*Y47*VLOOKUP('Données projet'!$B$9,Paramètres!$A$1:$I$89,3,0)*0.475*44/12</f>
        <v>4.1357743566598257</v>
      </c>
      <c r="AC47" s="22">
        <f t="shared" si="3"/>
        <v>73.78402199586732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133.61181600000012</v>
      </c>
      <c r="AK47" s="13">
        <f t="shared" si="35"/>
        <v>34.829608206917271</v>
      </c>
      <c r="AL47" s="20">
        <f t="shared" si="4"/>
        <v>293.36881382704775</v>
      </c>
      <c r="AM47" s="59">
        <f t="shared" si="5"/>
        <v>586.70214716038106</v>
      </c>
      <c r="AN47" s="59">
        <f ca="1">AVERAGE(OFFSET($AM$3,0,0,'Données projet'!$E$10+1,1))-AVERAGE(OFFSET($H$3,0,0,'Données projet'!$E$10+1,1))</f>
        <v>490.21869105612649</v>
      </c>
      <c r="AO47" s="59">
        <f t="shared" si="36"/>
        <v>207.08773997010911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14.431782710262945</v>
      </c>
      <c r="AW47" s="21">
        <f>EXP(-LN(2)/2)*AW46+(1-EXP(-LN(2)/2))/(LN(2)/2)*AQ47*AT47*VLOOKUP('Données projet'!$B$10,Paramètres!$A$1:$I$89,3,0)*0.475*44/12</f>
        <v>3.7998327310428874</v>
      </c>
      <c r="AX47" s="21">
        <f t="shared" si="6"/>
        <v>18.231615441305834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149.73738000000014</v>
      </c>
      <c r="BF47" s="13">
        <f t="shared" si="37"/>
        <v>38.518898198188772</v>
      </c>
      <c r="BG47" s="20">
        <f t="shared" si="7"/>
        <v>327.87968452851231</v>
      </c>
      <c r="BH47" s="59">
        <f t="shared" si="8"/>
        <v>621.21301786184563</v>
      </c>
      <c r="BI47" s="59">
        <f ca="1">AVERAGE(OFFSET($BH$3,0,0,'Données projet'!$E$11+1,1))-AVERAGE(OFFSET($H$3,0,0,'Données projet'!$E$11+1,1))</f>
        <v>561.19833044503548</v>
      </c>
      <c r="BJ47" s="59">
        <f t="shared" si="38"/>
        <v>235.9089269943575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16.173549589087784</v>
      </c>
      <c r="BR47" s="21">
        <f>EXP(-LN(2)/2)*BR46+(1-EXP(-LN(2)/2))/(LN(2)/2)*BL47*BO47*VLOOKUP('Données projet'!$B$11,Paramètres!$A$1:$I$89,3,0)*0.475*44/12</f>
        <v>4.2584332330653041</v>
      </c>
      <c r="BS47" s="22">
        <f t="shared" si="9"/>
        <v>20.431982822153088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5.1282051282051269</v>
      </c>
      <c r="BY47" s="12">
        <f>IF('Données projet'!$A$114&gt;35,BY46+BX47-CG46,IF(A47&lt;'Données projet'!$A$114,$BV$205^A47,IF(A47='Données projet'!$A$114,'Données projet'!$B$114,BY46+BX47-CG46)))</f>
        <v>121.7948717948718</v>
      </c>
      <c r="BZ47" s="13">
        <f>BY47*VLOOKUP('Données projet'!$B$12,Paramètres!$A$1:$I$89,3,0)*VLOOKUP('Données projet'!$B$12,Paramètres!$A$1:$I$89,5,0)</f>
        <v>106.40000000000002</v>
      </c>
      <c r="CA47" s="13">
        <f t="shared" si="39"/>
        <v>28.481160902969844</v>
      </c>
      <c r="CB47" s="20">
        <f t="shared" si="10"/>
        <v>234.91802190600583</v>
      </c>
      <c r="CC47" s="59">
        <f t="shared" si="11"/>
        <v>528.25135523933909</v>
      </c>
      <c r="CD47" s="59">
        <f ca="1">AVERAGE(OFFSET($CC$3,0,0,'Données projet'!$E$12+1,1))-AVERAGE(OFFSET($H$3,0,0,'Données projet'!$E$12+1,1))</f>
        <v>147.1862160897889</v>
      </c>
      <c r="CE47" s="59">
        <f t="shared" si="40"/>
        <v>147.31828668914011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14.136328273864683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14.136328273864683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19.548750000000005</v>
      </c>
      <c r="N48" s="13">
        <f>IF('Données projet'!$A$36&gt;35,N47+M48-V47,IF(A48&lt;'Données projet'!$A$36,$K$205^A48,IF(A48='Données projet'!$A$36,'Données projet'!$B$36,N47+M48-V47)))</f>
        <v>480.3237499999999</v>
      </c>
      <c r="O48" s="13">
        <f>N48*VLOOKUP('Données projet'!$B$9,Paramètres!$A$1:$I$89,3,0)*VLOOKUP('Données projet'!$B$9,Paramètres!$A$1:$I$89,5,0)</f>
        <v>287.23360249999996</v>
      </c>
      <c r="P48" s="13">
        <f t="shared" si="33"/>
        <v>68.493400392198751</v>
      </c>
      <c r="Q48" s="20">
        <f t="shared" si="53"/>
        <v>619.55786337057941</v>
      </c>
      <c r="R48" s="59">
        <f t="shared" si="0"/>
        <v>912.89119670391278</v>
      </c>
      <c r="S48" s="59">
        <f ca="1">AVERAGE(OFFSET($R$3,0,0,'Données projet'!$E$9+1,1))-AVERAGE(OFFSET($H$3,0,0,'Données projet'!$E$9+1,1))</f>
        <v>326.05837294177707</v>
      </c>
      <c r="T48" s="59">
        <f t="shared" si="34"/>
        <v>406.74689878702014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47.055602421582698</v>
      </c>
      <c r="AA48" s="21">
        <f>EXP(-LN(2)/25)*AA47+(1-EXP(-LN(2)/25))/(LN(2)/25)*Calculateur!V48*Calculateur!X48*VLOOKUP('Données projet'!$B$9,Paramètres!$A$1:$I$89,3,0)*0.475*44/12</f>
        <v>21.059397194696128</v>
      </c>
      <c r="AB48" s="21">
        <f>EXP(-LN(2)/2)*AB47+(1-EXP(-LN(2)/2))/(LN(2)/2)*V48*Y48*VLOOKUP('Données projet'!$B$9,Paramètres!$A$1:$I$89,3,0)*0.475*44/12</f>
        <v>2.9244340930515937</v>
      </c>
      <c r="AC48" s="22">
        <f t="shared" si="3"/>
        <v>71.03943370933041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142.75934400000011</v>
      </c>
      <c r="AK48" s="13">
        <f t="shared" si="35"/>
        <v>36.928412609012774</v>
      </c>
      <c r="AL48" s="20">
        <f t="shared" si="4"/>
        <v>312.95617609403075</v>
      </c>
      <c r="AM48" s="59">
        <f t="shared" si="5"/>
        <v>606.28950942736401</v>
      </c>
      <c r="AN48" s="59">
        <f ca="1">AVERAGE(OFFSET($AM$3,0,0,'Données projet'!$E$10+1,1))-AVERAGE(OFFSET($H$3,0,0,'Données projet'!$E$10+1,1))</f>
        <v>490.21869105612649</v>
      </c>
      <c r="AO48" s="59">
        <f t="shared" si="36"/>
        <v>207.08773997010911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14.037144853116336</v>
      </c>
      <c r="AW48" s="21">
        <f>EXP(-LN(2)/2)*AW47+(1-EXP(-LN(2)/2))/(LN(2)/2)*AQ48*AT48*VLOOKUP('Données projet'!$B$10,Paramètres!$A$1:$I$89,3,0)*0.475*44/12</f>
        <v>2.6868874914950243</v>
      </c>
      <c r="AX48" s="21">
        <f t="shared" si="6"/>
        <v>16.724032344611359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159.98892000000018</v>
      </c>
      <c r="BF48" s="13">
        <f t="shared" si="37"/>
        <v>40.840016271695262</v>
      </c>
      <c r="BG48" s="20">
        <f t="shared" si="7"/>
        <v>349.77706400653625</v>
      </c>
      <c r="BH48" s="59">
        <f t="shared" si="8"/>
        <v>643.11039733986956</v>
      </c>
      <c r="BI48" s="59">
        <f ca="1">AVERAGE(OFFSET($BH$3,0,0,'Données projet'!$E$11+1,1))-AVERAGE(OFFSET($H$3,0,0,'Données projet'!$E$11+1,1))</f>
        <v>561.19833044503548</v>
      </c>
      <c r="BJ48" s="59">
        <f t="shared" si="38"/>
        <v>235.9089269943575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15.731283025044171</v>
      </c>
      <c r="BR48" s="21">
        <f>EXP(-LN(2)/2)*BR47+(1-EXP(-LN(2)/2))/(LN(2)/2)*BL48*BO48*VLOOKUP('Données projet'!$B$11,Paramètres!$A$1:$I$89,3,0)*0.475*44/12</f>
        <v>3.0111670163306301</v>
      </c>
      <c r="BS48" s="22">
        <f t="shared" si="9"/>
        <v>18.742450041374802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126.92307692307692</v>
      </c>
      <c r="BW48" s="12">
        <f>VLOOKUP(A48,'Données projet'!$A$113:$I$133,9,0)</f>
        <v>5.1282051282051269</v>
      </c>
      <c r="BX48" s="12">
        <f t="array" ref="BX48">INDEX(BW:BW,MIN(IF(ISNUMBER(BW48:BW244),ROW(BW48:BW244),"")))</f>
        <v>5.1282051282051269</v>
      </c>
      <c r="BY48" s="12">
        <f>IF('Données projet'!$A$114&gt;35,BY47+BX48-CG47,IF(A48&lt;'Données projet'!$A$114,$BV$205^A48,IF(A48='Données projet'!$A$114,'Données projet'!$B$114,BY47+BX48-CG47)))</f>
        <v>126.92307692307692</v>
      </c>
      <c r="BZ48" s="13">
        <f>BY48*VLOOKUP('Données projet'!$B$12,Paramètres!$A$1:$I$89,3,0)*VLOOKUP('Données projet'!$B$12,Paramètres!$A$1:$I$89,5,0)</f>
        <v>110.88000000000001</v>
      </c>
      <c r="CA48" s="13">
        <f t="shared" si="39"/>
        <v>29.538223187374008</v>
      </c>
      <c r="CB48" s="20">
        <f t="shared" si="10"/>
        <v>244.56173871800979</v>
      </c>
      <c r="CC48" s="59">
        <f t="shared" si="11"/>
        <v>537.89507205134305</v>
      </c>
      <c r="CD48" s="59">
        <f ca="1">AVERAGE(OFFSET($CC$3,0,0,'Données projet'!$E$12+1,1))-AVERAGE(OFFSET($H$3,0,0,'Données projet'!$E$12+1,1))</f>
        <v>147.1862160897889</v>
      </c>
      <c r="CE48" s="59">
        <f t="shared" si="40"/>
        <v>147.31828668914011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16.666666666666668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17.1967085489878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17.1967085489878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19.548750000000005</v>
      </c>
      <c r="N49" s="13">
        <f>IF('Données projet'!$A$36&gt;35,N48+M49-V48,IF(A49&lt;'Données projet'!$A$36,$K$205^A49,IF(A49='Données projet'!$A$36,'Données projet'!$B$36,N48+M49-V48)))</f>
        <v>499.87249999999989</v>
      </c>
      <c r="O49" s="13">
        <f>N49*VLOOKUP('Données projet'!$B$9,Paramètres!$A$1:$I$89,3,0)*VLOOKUP('Données projet'!$B$9,Paramètres!$A$1:$I$89,5,0)</f>
        <v>298.92375499999997</v>
      </c>
      <c r="P49" s="13">
        <f t="shared" si="33"/>
        <v>70.950794013628567</v>
      </c>
      <c r="Q49" s="20">
        <f t="shared" si="53"/>
        <v>644.19817286540308</v>
      </c>
      <c r="R49" s="59">
        <f t="shared" si="0"/>
        <v>937.53150619873645</v>
      </c>
      <c r="S49" s="59">
        <f ca="1">AVERAGE(OFFSET($R$3,0,0,'Données projet'!$E$9+1,1))-AVERAGE(OFFSET($H$3,0,0,'Données projet'!$E$9+1,1))</f>
        <v>326.05837294177707</v>
      </c>
      <c r="T49" s="59">
        <f t="shared" si="34"/>
        <v>406.74689878702014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46.132870759178942</v>
      </c>
      <c r="AA49" s="21">
        <f>EXP(-LN(2)/25)*AA48+(1-EXP(-LN(2)/25))/(LN(2)/25)*Calculateur!V49*Calculateur!X49*VLOOKUP('Données projet'!$B$9,Paramètres!$A$1:$I$89,3,0)*0.475*44/12</f>
        <v>20.483526870941596</v>
      </c>
      <c r="AB49" s="21">
        <f>EXP(-LN(2)/2)*AB48+(1-EXP(-LN(2)/2))/(LN(2)/2)*V49*Y49*VLOOKUP('Données projet'!$B$9,Paramètres!$A$1:$I$89,3,0)*0.475*44/12</f>
        <v>2.0678871783299129</v>
      </c>
      <c r="AC49" s="22">
        <f t="shared" si="3"/>
        <v>68.684284808450442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151.90687200000013</v>
      </c>
      <c r="AK49" s="13">
        <f t="shared" si="35"/>
        <v>39.011610015763097</v>
      </c>
      <c r="AL49" s="20">
        <f t="shared" si="4"/>
        <v>332.51635617745427</v>
      </c>
      <c r="AM49" s="59">
        <f t="shared" si="5"/>
        <v>625.84968951078758</v>
      </c>
      <c r="AN49" s="59">
        <f ca="1">AVERAGE(OFFSET($AM$3,0,0,'Données projet'!$E$10+1,1))-AVERAGE(OFFSET($H$3,0,0,'Données projet'!$E$10+1,1))</f>
        <v>490.21869105612649</v>
      </c>
      <c r="AO49" s="59">
        <f t="shared" si="36"/>
        <v>207.08773997010911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13.653298388926505</v>
      </c>
      <c r="AW49" s="21">
        <f>EXP(-LN(2)/2)*AW48+(1-EXP(-LN(2)/2))/(LN(2)/2)*AQ49*AT49*VLOOKUP('Données projet'!$B$10,Paramètres!$A$1:$I$89,3,0)*0.475*44/12</f>
        <v>1.8999163655214437</v>
      </c>
      <c r="AX49" s="21">
        <f t="shared" si="6"/>
        <v>15.553214754447948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170.24046000000016</v>
      </c>
      <c r="BF49" s="13">
        <f t="shared" si="37"/>
        <v>43.143874195121747</v>
      </c>
      <c r="BG49" s="20">
        <f t="shared" si="7"/>
        <v>371.64438205650396</v>
      </c>
      <c r="BH49" s="59">
        <f t="shared" si="8"/>
        <v>664.97771538983727</v>
      </c>
      <c r="BI49" s="59">
        <f ca="1">AVERAGE(OFFSET($BH$3,0,0,'Données projet'!$E$11+1,1))-AVERAGE(OFFSET($H$3,0,0,'Données projet'!$E$11+1,1))</f>
        <v>561.19833044503548</v>
      </c>
      <c r="BJ49" s="59">
        <f t="shared" si="38"/>
        <v>235.9089269943575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15.301110263452118</v>
      </c>
      <c r="BR49" s="21">
        <f>EXP(-LN(2)/2)*BR48+(1-EXP(-LN(2)/2))/(LN(2)/2)*BL49*BO49*VLOOKUP('Données projet'!$B$11,Paramètres!$A$1:$I$89,3,0)*0.475*44/12</f>
        <v>2.129216616532652</v>
      </c>
      <c r="BS49" s="22">
        <f t="shared" si="9"/>
        <v>17.430326879984769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4.7435897435897463</v>
      </c>
      <c r="BY49" s="12">
        <f>IF('Données projet'!$A$114&gt;35,BY48+BX49-CG48,IF(A49&lt;'Données projet'!$A$114,$BV$205^A49,IF(A49='Données projet'!$A$114,'Données projet'!$B$114,BY48+BX49-CG48)))</f>
        <v>114.99999999999999</v>
      </c>
      <c r="BZ49" s="13">
        <f>BY49*VLOOKUP('Données projet'!$B$12,Paramètres!$A$1:$I$89,3,0)*VLOOKUP('Données projet'!$B$12,Paramètres!$A$1:$I$89,5,0)</f>
        <v>100.46399999999998</v>
      </c>
      <c r="CA49" s="13">
        <f t="shared" si="39"/>
        <v>27.072509349827456</v>
      </c>
      <c r="CB49" s="20">
        <f t="shared" si="10"/>
        <v>222.12608711761615</v>
      </c>
      <c r="CC49" s="59">
        <f t="shared" si="11"/>
        <v>515.45942045094944</v>
      </c>
      <c r="CD49" s="59">
        <f ca="1">AVERAGE(OFFSET($CC$3,0,0,'Données projet'!$E$12+1,1))-AVERAGE(OFFSET($H$3,0,0,'Données projet'!$E$12+1,1))</f>
        <v>147.1862160897889</v>
      </c>
      <c r="CE49" s="59">
        <f t="shared" si="40"/>
        <v>147.31828668914011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16.726463649380129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16.726463649380129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19.548750000000005</v>
      </c>
      <c r="N50" s="13">
        <f>IF('Données projet'!$A$36&gt;35,N49+M50-V49,IF(A50&lt;'Données projet'!$A$36,$K$205^A50,IF(A50='Données projet'!$A$36,'Données projet'!$B$36,N49+M50-V49)))</f>
        <v>519.42124999999987</v>
      </c>
      <c r="O50" s="13">
        <f>N50*VLOOKUP('Données projet'!$B$9,Paramètres!$A$1:$I$89,3,0)*VLOOKUP('Données projet'!$B$9,Paramètres!$A$1:$I$89,5,0)</f>
        <v>310.61390749999993</v>
      </c>
      <c r="P50" s="13">
        <f t="shared" si="33"/>
        <v>73.397023726049056</v>
      </c>
      <c r="Q50" s="20">
        <f t="shared" si="53"/>
        <v>668.81903855203529</v>
      </c>
      <c r="R50" s="59">
        <f t="shared" si="0"/>
        <v>962.15237188536867</v>
      </c>
      <c r="S50" s="59">
        <f ca="1">AVERAGE(OFFSET($R$3,0,0,'Données projet'!$E$9+1,1))-AVERAGE(OFFSET($H$3,0,0,'Données projet'!$E$9+1,1))</f>
        <v>326.05837294177707</v>
      </c>
      <c r="T50" s="59">
        <f t="shared" si="34"/>
        <v>406.74689878702014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45.228233301864179</v>
      </c>
      <c r="AA50" s="21">
        <f>EXP(-LN(2)/25)*AA49+(1-EXP(-LN(2)/25))/(LN(2)/25)*Calculateur!V50*Calculateur!X50*VLOOKUP('Données projet'!$B$9,Paramètres!$A$1:$I$89,3,0)*0.475*44/12</f>
        <v>19.923403751473835</v>
      </c>
      <c r="AB50" s="21">
        <f>EXP(-LN(2)/2)*AB49+(1-EXP(-LN(2)/2))/(LN(2)/2)*V50*Y50*VLOOKUP('Données projet'!$B$9,Paramètres!$A$1:$I$89,3,0)*0.475*44/12</f>
        <v>1.4622170465257969</v>
      </c>
      <c r="AC50" s="22">
        <f t="shared" si="3"/>
        <v>66.613854099863815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161.05440000000016</v>
      </c>
      <c r="AK50" s="13">
        <f t="shared" si="35"/>
        <v>41.080247278685491</v>
      </c>
      <c r="AL50" s="20">
        <f t="shared" si="4"/>
        <v>352.05117734371078</v>
      </c>
      <c r="AM50" s="59">
        <f t="shared" si="5"/>
        <v>645.38451067704409</v>
      </c>
      <c r="AN50" s="59">
        <f ca="1">AVERAGE(OFFSET($AM$3,0,0,'Données projet'!$E$10+1,1))-AVERAGE(OFFSET($H$3,0,0,'Données projet'!$E$10+1,1))</f>
        <v>490.21869105612649</v>
      </c>
      <c r="AO50" s="59">
        <f t="shared" si="36"/>
        <v>207.08773997010911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13.279948226485553</v>
      </c>
      <c r="AW50" s="21">
        <f>EXP(-LN(2)/2)*AW49+(1-EXP(-LN(2)/2))/(LN(2)/2)*AQ50*AT50*VLOOKUP('Données projet'!$B$10,Paramètres!$A$1:$I$89,3,0)*0.475*44/12</f>
        <v>1.3434437457475121</v>
      </c>
      <c r="AX50" s="21">
        <f t="shared" si="6"/>
        <v>14.623391972233065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180.49200000000019</v>
      </c>
      <c r="BF50" s="13">
        <f t="shared" si="37"/>
        <v>45.431629706642696</v>
      </c>
      <c r="BG50" s="20">
        <f t="shared" si="7"/>
        <v>393.48365507240305</v>
      </c>
      <c r="BH50" s="59">
        <f t="shared" si="8"/>
        <v>686.81698840573631</v>
      </c>
      <c r="BI50" s="59">
        <f ca="1">AVERAGE(OFFSET($BH$3,0,0,'Données projet'!$E$11+1,1))-AVERAGE(OFFSET($H$3,0,0,'Données projet'!$E$11+1,1))</f>
        <v>561.19833044503548</v>
      </c>
      <c r="BJ50" s="59">
        <f t="shared" si="38"/>
        <v>235.9089269943575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14.882700598647602</v>
      </c>
      <c r="BR50" s="21">
        <f>EXP(-LN(2)/2)*BR49+(1-EXP(-LN(2)/2))/(LN(2)/2)*BL50*BO50*VLOOKUP('Données projet'!$B$11,Paramètres!$A$1:$I$89,3,0)*0.475*44/12</f>
        <v>1.5055835081653151</v>
      </c>
      <c r="BS50" s="22">
        <f t="shared" si="9"/>
        <v>16.388284106812918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4.7435897435897463</v>
      </c>
      <c r="BY50" s="12">
        <f>IF('Données projet'!$A$114&gt;35,BY49+BX50-CG49,IF(A50&lt;'Données projet'!$A$114,$BV$205^A50,IF(A50='Données projet'!$A$114,'Données projet'!$B$114,BY49+BX50-CG49)))</f>
        <v>119.74358974358974</v>
      </c>
      <c r="BZ50" s="13">
        <f>BY50*VLOOKUP('Données projet'!$B$12,Paramètres!$A$1:$I$89,3,0)*VLOOKUP('Données projet'!$B$12,Paramètres!$A$1:$I$89,5,0)</f>
        <v>104.608</v>
      </c>
      <c r="CA50" s="13">
        <f t="shared" si="39"/>
        <v>28.056895173193038</v>
      </c>
      <c r="CB50" s="20">
        <f t="shared" si="10"/>
        <v>231.05802575997782</v>
      </c>
      <c r="CC50" s="59">
        <f t="shared" si="11"/>
        <v>524.39135909331117</v>
      </c>
      <c r="CD50" s="59">
        <f ca="1">AVERAGE(OFFSET($CC$3,0,0,'Données projet'!$E$12+1,1))-AVERAGE(OFFSET($H$3,0,0,'Données projet'!$E$12+1,1))</f>
        <v>147.1862160897889</v>
      </c>
      <c r="CE50" s="59">
        <f t="shared" si="40"/>
        <v>147.31828668914011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16.269077621281333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16.269077621281333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538.97</v>
      </c>
      <c r="L51" s="12">
        <f>VLOOKUP(A51,'Données projet'!$A$35:$I$55,9,0)</f>
        <v>19.548750000000005</v>
      </c>
      <c r="M51" s="12">
        <f t="array" ref="M51">INDEX(L:L,MIN(IF(ISNUMBER(L51:L247),ROW(L51:L247),"")))</f>
        <v>19.548750000000005</v>
      </c>
      <c r="N51" s="13">
        <f>IF('Données projet'!$A$36&gt;35,N50+M51-V50,IF(A51&lt;'Données projet'!$A$36,$K$205^A51,IF(A51='Données projet'!$A$36,'Données projet'!$B$36,N50+M51-V50)))</f>
        <v>538.96999999999991</v>
      </c>
      <c r="O51" s="13">
        <f>N51*VLOOKUP('Données projet'!$B$9,Paramètres!$A$1:$I$89,3,0)*VLOOKUP('Données projet'!$B$9,Paramètres!$A$1:$I$89,5,0)</f>
        <v>322.30405999999999</v>
      </c>
      <c r="P51" s="13">
        <f t="shared" si="33"/>
        <v>75.832557796083151</v>
      </c>
      <c r="Q51" s="20">
        <f t="shared" si="53"/>
        <v>693.4212759948449</v>
      </c>
      <c r="R51" s="59">
        <f t="shared" si="0"/>
        <v>986.75460932817828</v>
      </c>
      <c r="S51" s="59">
        <f ca="1">AVERAGE(OFFSET($R$3,0,0,'Données projet'!$E$9+1,1))-AVERAGE(OFFSET($H$3,0,0,'Données projet'!$E$9+1,1))</f>
        <v>326.05837294177707</v>
      </c>
      <c r="T51" s="59">
        <f t="shared" si="34"/>
        <v>406.74689878702014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106.28000000000003</v>
      </c>
      <c r="W51" s="16">
        <f>IF(ISNA(VLOOKUP(A51,'Données projet'!$A$35:$I$55,5,0)),0%,VLOOKUP(A51,'Données projet'!$A$35:$I$55,5,0)*VLOOKUP('Données projet'!$B$9,Paramètres!$A$1:$I$89,7,0))</f>
        <v>0.27</v>
      </c>
      <c r="X51" s="16">
        <f>IF(ISNA(VLOOKUP(A51,'Données projet'!$A$35:$I$55,6,0)),0%,VLOOKUP(A51,'Données projet'!$A$35:$I$55,6,0)*VLOOKUP('Données projet'!$B$9,Paramètres!$A$1:$I$89,7,0))</f>
        <v>9.0000000000000011E-2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67.105139899844502</v>
      </c>
      <c r="AA51" s="21">
        <f>EXP(-LN(2)/25)*AA50+(1-EXP(-LN(2)/25))/(LN(2)/25)*Calculateur!V51*Calculateur!X51*VLOOKUP('Données projet'!$B$9,Paramètres!$A$1:$I$89,3,0)*0.475*44/12</f>
        <v>26.936655526120109</v>
      </c>
      <c r="AB51" s="21">
        <f>EXP(-LN(2)/2)*AB50+(1-EXP(-LN(2)/2))/(LN(2)/2)*V51*Y51*VLOOKUP('Données projet'!$B$9,Paramètres!$A$1:$I$89,3,0)*0.475*44/12</f>
        <v>15.425847959466049</v>
      </c>
      <c r="AC51" s="22">
        <f t="shared" si="3"/>
        <v>109.46764338543066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170.20192800000018</v>
      </c>
      <c r="AK51" s="13">
        <f t="shared" si="35"/>
        <v>43.135245614983553</v>
      </c>
      <c r="AL51" s="20">
        <f t="shared" si="4"/>
        <v>371.56224404609662</v>
      </c>
      <c r="AM51" s="59">
        <f t="shared" si="5"/>
        <v>664.89557737942994</v>
      </c>
      <c r="AN51" s="59">
        <f ca="1">AVERAGE(OFFSET($AM$3,0,0,'Données projet'!$E$10+1,1))-AVERAGE(OFFSET($H$3,0,0,'Données projet'!$E$10+1,1))</f>
        <v>490.21869105612649</v>
      </c>
      <c r="AO51" s="59">
        <f t="shared" si="36"/>
        <v>207.08773997010911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12.916807343870181</v>
      </c>
      <c r="AW51" s="21">
        <f>EXP(-LN(2)/2)*AW50+(1-EXP(-LN(2)/2))/(LN(2)/2)*AQ51*AT51*VLOOKUP('Données projet'!$B$10,Paramètres!$A$1:$I$89,3,0)*0.475*44/12</f>
        <v>0.94995818276072186</v>
      </c>
      <c r="AX51" s="21">
        <f t="shared" si="6"/>
        <v>13.866765526630903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190.74354000000019</v>
      </c>
      <c r="BF51" s="13">
        <f t="shared" si="37"/>
        <v>47.704301602434754</v>
      </c>
      <c r="BG51" s="20">
        <f t="shared" si="7"/>
        <v>415.29665745757416</v>
      </c>
      <c r="BH51" s="59">
        <f t="shared" si="8"/>
        <v>708.62999079090741</v>
      </c>
      <c r="BI51" s="59">
        <f ca="1">AVERAGE(OFFSET($BH$3,0,0,'Données projet'!$E$11+1,1))-AVERAGE(OFFSET($H$3,0,0,'Données projet'!$E$11+1,1))</f>
        <v>561.19833044503548</v>
      </c>
      <c r="BJ51" s="59">
        <f t="shared" si="38"/>
        <v>235.9089269943575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14.475732368130375</v>
      </c>
      <c r="BR51" s="21">
        <f>EXP(-LN(2)/2)*BR50+(1-EXP(-LN(2)/2))/(LN(2)/2)*BL51*BO51*VLOOKUP('Données projet'!$B$11,Paramètres!$A$1:$I$89,3,0)*0.475*44/12</f>
        <v>1.064608308266326</v>
      </c>
      <c r="BS51" s="22">
        <f t="shared" si="9"/>
        <v>15.540340676396701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4.7435897435897463</v>
      </c>
      <c r="BY51" s="12">
        <f>IF('Données projet'!$A$114&gt;35,BY50+BX51-CG50,IF(A51&lt;'Données projet'!$A$114,$BV$205^A51,IF(A51='Données projet'!$A$114,'Données projet'!$B$114,BY50+BX51-CG50)))</f>
        <v>124.48717948717949</v>
      </c>
      <c r="BZ51" s="13">
        <f>BY51*VLOOKUP('Données projet'!$B$12,Paramètres!$A$1:$I$89,3,0)*VLOOKUP('Données projet'!$B$12,Paramètres!$A$1:$I$89,5,0)</f>
        <v>108.75200000000001</v>
      </c>
      <c r="CA51" s="13">
        <f t="shared" si="39"/>
        <v>29.036751058587186</v>
      </c>
      <c r="CB51" s="20">
        <f t="shared" si="10"/>
        <v>239.98207476037268</v>
      </c>
      <c r="CC51" s="59">
        <f t="shared" si="11"/>
        <v>533.31540809370597</v>
      </c>
      <c r="CD51" s="59">
        <f ca="1">AVERAGE(OFFSET($CC$3,0,0,'Données projet'!$E$12+1,1))-AVERAGE(OFFSET($H$3,0,0,'Données projet'!$E$12+1,1))</f>
        <v>147.1862160897889</v>
      </c>
      <c r="CE51" s="59">
        <f t="shared" si="40"/>
        <v>147.31828668914011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15.824198838173787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15.824198838173787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16.3825</v>
      </c>
      <c r="N52" s="13">
        <f>IF('Données projet'!$A$36&gt;35,N51+M52-V51,IF(A52&lt;'Données projet'!$A$36,$K$205^A52,IF(A52='Données projet'!$A$36,'Données projet'!$B$36,N51+M52-V51)))</f>
        <v>449.07249999999993</v>
      </c>
      <c r="O52" s="13">
        <f>N52*VLOOKUP('Données projet'!$B$9,Paramètres!$A$1:$I$89,3,0)*VLOOKUP('Données projet'!$B$9,Paramètres!$A$1:$I$89,5,0)</f>
        <v>268.54535499999997</v>
      </c>
      <c r="P52" s="13">
        <f t="shared" si="33"/>
        <v>64.540459912565723</v>
      </c>
      <c r="Q52" s="20">
        <f t="shared" si="53"/>
        <v>580.12446097271857</v>
      </c>
      <c r="R52" s="59">
        <f t="shared" si="0"/>
        <v>873.45779430605194</v>
      </c>
      <c r="S52" s="59">
        <f ca="1">AVERAGE(OFFSET($R$3,0,0,'Données projet'!$E$9+1,1))-AVERAGE(OFFSET($H$3,0,0,'Données projet'!$E$9+1,1))</f>
        <v>326.05837294177707</v>
      </c>
      <c r="T52" s="59">
        <f t="shared" si="34"/>
        <v>406.74689878702014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65.789249036502383</v>
      </c>
      <c r="AA52" s="21">
        <f>EXP(-LN(2)/25)*AA51+(1-EXP(-LN(2)/25))/(LN(2)/25)*Calculateur!V52*Calculateur!X52*VLOOKUP('Données projet'!$B$9,Paramètres!$A$1:$I$89,3,0)*0.475*44/12</f>
        <v>26.200071264221204</v>
      </c>
      <c r="AB52" s="21">
        <f>EXP(-LN(2)/2)*AB51+(1-EXP(-LN(2)/2))/(LN(2)/2)*V52*Y52*VLOOKUP('Données projet'!$B$9,Paramètres!$A$1:$I$89,3,0)*0.475*44/12</f>
        <v>10.907721697691111</v>
      </c>
      <c r="AC52" s="22">
        <f t="shared" si="3"/>
        <v>102.89704199841471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179.34945600000017</v>
      </c>
      <c r="AK52" s="13">
        <f t="shared" si="35"/>
        <v>45.177421627371096</v>
      </c>
      <c r="AL52" s="20">
        <f t="shared" si="4"/>
        <v>391.0509785343383</v>
      </c>
      <c r="AM52" s="59">
        <f t="shared" si="5"/>
        <v>684.38431186767161</v>
      </c>
      <c r="AN52" s="59">
        <f ca="1">AVERAGE(OFFSET($AM$3,0,0,'Données projet'!$E$10+1,1))-AVERAGE(OFFSET($H$3,0,0,'Données projet'!$E$10+1,1))</f>
        <v>490.21869105612649</v>
      </c>
      <c r="AO52" s="59">
        <f t="shared" si="36"/>
        <v>207.08773997010911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12.563596567786675</v>
      </c>
      <c r="AW52" s="21">
        <f>EXP(-LN(2)/2)*AW51+(1-EXP(-LN(2)/2))/(LN(2)/2)*AQ52*AT52*VLOOKUP('Données projet'!$B$10,Paramètres!$A$1:$I$89,3,0)*0.475*44/12</f>
        <v>0.67172187287375607</v>
      </c>
      <c r="AX52" s="21">
        <f t="shared" si="6"/>
        <v>13.23531844066043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200.9950800000002</v>
      </c>
      <c r="BF52" s="13">
        <f t="shared" si="37"/>
        <v>49.962792983004405</v>
      </c>
      <c r="BG52" s="20">
        <f t="shared" si="7"/>
        <v>437.08496211206631</v>
      </c>
      <c r="BH52" s="59">
        <f t="shared" si="8"/>
        <v>730.41829544539962</v>
      </c>
      <c r="BI52" s="59">
        <f ca="1">AVERAGE(OFFSET($BH$3,0,0,'Données projet'!$E$11+1,1))-AVERAGE(OFFSET($H$3,0,0,'Données projet'!$E$11+1,1))</f>
        <v>561.19833044503548</v>
      </c>
      <c r="BJ52" s="59">
        <f t="shared" si="38"/>
        <v>235.9089269943575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14.079892705278169</v>
      </c>
      <c r="BR52" s="21">
        <f>EXP(-LN(2)/2)*BR51+(1-EXP(-LN(2)/2))/(LN(2)/2)*BL52*BO52*VLOOKUP('Données projet'!$B$11,Paramètres!$A$1:$I$89,3,0)*0.475*44/12</f>
        <v>0.75279175408265753</v>
      </c>
      <c r="BS52" s="22">
        <f t="shared" si="9"/>
        <v>14.832684459360827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4.7435897435897463</v>
      </c>
      <c r="BY52" s="12">
        <f>IF('Données projet'!$A$114&gt;35,BY51+BX52-CG51,IF(A52&lt;'Données projet'!$A$114,$BV$205^A52,IF(A52='Données projet'!$A$114,'Données projet'!$B$114,BY51+BX52-CG51)))</f>
        <v>129.23076923076923</v>
      </c>
      <c r="BZ52" s="13">
        <f>BY52*VLOOKUP('Données projet'!$B$12,Paramètres!$A$1:$I$89,3,0)*VLOOKUP('Données projet'!$B$12,Paramètres!$A$1:$I$89,5,0)</f>
        <v>112.896</v>
      </c>
      <c r="CA52" s="13">
        <f t="shared" si="39"/>
        <v>30.012269379763563</v>
      </c>
      <c r="CB52" s="20">
        <f t="shared" si="10"/>
        <v>248.89856916975486</v>
      </c>
      <c r="CC52" s="59">
        <f t="shared" si="11"/>
        <v>542.23190250308812</v>
      </c>
      <c r="CD52" s="59">
        <f ca="1">AVERAGE(OFFSET($CC$3,0,0,'Données projet'!$E$12+1,1))-AVERAGE(OFFSET($H$3,0,0,'Données projet'!$E$12+1,1))</f>
        <v>147.1862160897889</v>
      </c>
      <c r="CE52" s="59">
        <f t="shared" si="40"/>
        <v>147.31828668914011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15.391485288785475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15.391485288785475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16.3825</v>
      </c>
      <c r="N53" s="13">
        <f>IF('Données projet'!$A$36&gt;35,N52+M53-V52,IF(A53&lt;'Données projet'!$A$36,$K$205^A53,IF(A53='Données projet'!$A$36,'Données projet'!$B$36,N52+M53-V52)))</f>
        <v>465.45499999999993</v>
      </c>
      <c r="O53" s="13">
        <f>N53*VLOOKUP('Données projet'!$B$9,Paramètres!$A$1:$I$89,3,0)*VLOOKUP('Données projet'!$B$9,Paramètres!$A$1:$I$89,5,0)</f>
        <v>278.34208999999998</v>
      </c>
      <c r="P53" s="13">
        <f t="shared" si="33"/>
        <v>66.616523833555178</v>
      </c>
      <c r="Q53" s="20">
        <f t="shared" si="53"/>
        <v>600.8029190934418</v>
      </c>
      <c r="R53" s="59">
        <f t="shared" si="0"/>
        <v>894.13625242677517</v>
      </c>
      <c r="S53" s="59">
        <f ca="1">AVERAGE(OFFSET($R$3,0,0,'Données projet'!$E$9+1,1))-AVERAGE(OFFSET($H$3,0,0,'Données projet'!$E$9+1,1))</f>
        <v>326.05837294177707</v>
      </c>
      <c r="T53" s="59">
        <f t="shared" si="34"/>
        <v>406.74689878702014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64.499161990376223</v>
      </c>
      <c r="AA53" s="21">
        <f>EXP(-LN(2)/25)*AA52+(1-EXP(-LN(2)/25))/(LN(2)/25)*Calculateur!V53*Calculateur!X53*VLOOKUP('Données projet'!$B$9,Paramètres!$A$1:$I$89,3,0)*0.475*44/12</f>
        <v>25.483628937699208</v>
      </c>
      <c r="AB53" s="21">
        <f>EXP(-LN(2)/2)*AB52+(1-EXP(-LN(2)/2))/(LN(2)/2)*V53*Y53*VLOOKUP('Données projet'!$B$9,Paramètres!$A$1:$I$89,3,0)*0.475*44/12</f>
        <v>7.7129239797330253</v>
      </c>
      <c r="AC53" s="22">
        <f t="shared" si="3"/>
        <v>97.695714907808451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188.4969840000002</v>
      </c>
      <c r="AK53" s="13">
        <f t="shared" si="35"/>
        <v>47.207503913482938</v>
      </c>
      <c r="AL53" s="20">
        <f t="shared" si="4"/>
        <v>410.51864978264985</v>
      </c>
      <c r="AM53" s="59">
        <f t="shared" si="5"/>
        <v>703.8519831159831</v>
      </c>
      <c r="AN53" s="59">
        <f ca="1">AVERAGE(OFFSET($AM$3,0,0,'Données projet'!$E$10+1,1))-AVERAGE(OFFSET($H$3,0,0,'Données projet'!$E$10+1,1))</f>
        <v>490.21869105612649</v>
      </c>
      <c r="AO53" s="59">
        <f t="shared" si="36"/>
        <v>207.08773997010911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25.085911282565853</v>
      </c>
      <c r="AW53" s="21">
        <f>EXP(-LN(2)/2)*AW52+(1-EXP(-LN(2)/2))/(LN(2)/2)*AQ53*AT53*VLOOKUP('Données projet'!$B$10,Paramètres!$A$1:$I$89,3,0)*0.475*44/12</f>
        <v>6.8845823591112083</v>
      </c>
      <c r="AX53" s="21">
        <f t="shared" si="6"/>
        <v>31.970493641677059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211.24662000000023</v>
      </c>
      <c r="BF53" s="13">
        <f t="shared" si="37"/>
        <v>52.207909621932217</v>
      </c>
      <c r="BG53" s="20">
        <f t="shared" si="7"/>
        <v>458.84997242486565</v>
      </c>
      <c r="BH53" s="59">
        <f t="shared" si="8"/>
        <v>752.18330575819891</v>
      </c>
      <c r="BI53" s="59">
        <f ca="1">AVERAGE(OFFSET($BH$3,0,0,'Données projet'!$E$11+1,1))-AVERAGE(OFFSET($H$3,0,0,'Données projet'!$E$11+1,1))</f>
        <v>561.19833044503548</v>
      </c>
      <c r="BJ53" s="59">
        <f t="shared" si="38"/>
        <v>235.9089269943575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28.113521264944488</v>
      </c>
      <c r="BR53" s="21">
        <f>EXP(-LN(2)/2)*BR52+(1-EXP(-LN(2)/2))/(LN(2)/2)*BL53*BO53*VLOOKUP('Données projet'!$B$11,Paramètres!$A$1:$I$89,3,0)*0.475*44/12</f>
        <v>7.7154802300384224</v>
      </c>
      <c r="BS53" s="22">
        <f t="shared" si="9"/>
        <v>35.829001494982911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133.97435897435898</v>
      </c>
      <c r="BW53" s="12">
        <f>VLOOKUP(A53,'Données projet'!$A$113:$I$133,9,0)</f>
        <v>4.7435897435897463</v>
      </c>
      <c r="BX53" s="12">
        <f t="array" ref="BX53">INDEX(BW:BW,MIN(IF(ISNUMBER(BW53:BW249),ROW(BW53:BW249),"")))</f>
        <v>4.7435897435897463</v>
      </c>
      <c r="BY53" s="12">
        <f>IF('Données projet'!$A$114&gt;35,BY52+BX53-CG52,IF(A53&lt;'Données projet'!$A$114,$BV$205^A53,IF(A53='Données projet'!$A$114,'Données projet'!$B$114,BY52+BX53-CG52)))</f>
        <v>133.97435897435898</v>
      </c>
      <c r="BZ53" s="13">
        <f>BY53*VLOOKUP('Données projet'!$B$12,Paramètres!$A$1:$I$89,3,0)*VLOOKUP('Données projet'!$B$12,Paramètres!$A$1:$I$89,5,0)</f>
        <v>117.04000000000002</v>
      </c>
      <c r="CA53" s="13">
        <f t="shared" si="39"/>
        <v>30.983627587514281</v>
      </c>
      <c r="CB53" s="20">
        <f t="shared" si="10"/>
        <v>257.80781804825409</v>
      </c>
      <c r="CC53" s="59">
        <f t="shared" si="11"/>
        <v>551.14115138158741</v>
      </c>
      <c r="CD53" s="59">
        <f ca="1">AVERAGE(OFFSET($CC$3,0,0,'Données projet'!$E$12+1,1))-AVERAGE(OFFSET($H$3,0,0,'Données projet'!$E$12+1,1))</f>
        <v>147.1862160897889</v>
      </c>
      <c r="CE53" s="59">
        <f t="shared" si="40"/>
        <v>147.31828668914011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15.384615384615383</v>
      </c>
      <c r="CH53" s="16">
        <f>IF(ISNA(VLOOKUP(A53,'Données projet'!$A$113:$I$133,5,0)),0%,VLOOKUP(A53,'Données projet'!$A$113:$I$133,5,0)*VLOOKUP('Données projet'!$B$12,Paramètres!$A$1:$I$89,7,0))</f>
        <v>4.3000000000000003E-2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0.63887344173968252</v>
      </c>
      <c r="CL53" s="21">
        <f>EXP(-LN(2)/25)*CL52+(1-EXP(-LN(2)/25))/(LN(2)/25)*Calculateur!CG53*Calculateur!CI53*VLOOKUP('Données projet'!$B$12,Paramètres!$A$1:$I$89,3,0)*0.475*44/12</f>
        <v>18.152394082009039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18.791267523748722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16.3825</v>
      </c>
      <c r="N54" s="13">
        <f>IF('Données projet'!$A$36&gt;35,N53+M54-V53,IF(A54&lt;'Données projet'!$A$36,$K$205^A54,IF(A54='Données projet'!$A$36,'Données projet'!$B$36,N53+M54-V53)))</f>
        <v>481.83749999999992</v>
      </c>
      <c r="O54" s="13">
        <f>N54*VLOOKUP('Données projet'!$B$9,Paramètres!$A$1:$I$89,3,0)*VLOOKUP('Données projet'!$B$9,Paramètres!$A$1:$I$89,5,0)</f>
        <v>288.138825</v>
      </c>
      <c r="P54" s="13">
        <f t="shared" si="33"/>
        <v>68.684097873944822</v>
      </c>
      <c r="Q54" s="20">
        <f t="shared" si="53"/>
        <v>621.46659067212056</v>
      </c>
      <c r="R54" s="59">
        <f t="shared" si="0"/>
        <v>914.79992400545393</v>
      </c>
      <c r="S54" s="59">
        <f ca="1">AVERAGE(OFFSET($R$3,0,0,'Données projet'!$E$9+1,1))-AVERAGE(OFFSET($H$3,0,0,'Données projet'!$E$9+1,1))</f>
        <v>326.05837294177707</v>
      </c>
      <c r="T54" s="59">
        <f t="shared" si="34"/>
        <v>406.74689878702014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63.234372764349196</v>
      </c>
      <c r="AA54" s="21">
        <f>EXP(-LN(2)/25)*AA53+(1-EXP(-LN(2)/25))/(LN(2)/25)*Calculateur!V54*Calculateur!X54*VLOOKUP('Données projet'!$B$9,Paramètres!$A$1:$I$89,3,0)*0.475*44/12</f>
        <v>24.786777764272021</v>
      </c>
      <c r="AB54" s="21">
        <f>EXP(-LN(2)/2)*AB53+(1-EXP(-LN(2)/2))/(LN(2)/2)*V54*Y54*VLOOKUP('Données projet'!$B$9,Paramètres!$A$1:$I$89,3,0)*0.475*44/12</f>
        <v>5.4538608488455562</v>
      </c>
      <c r="AC54" s="22">
        <f t="shared" si="3"/>
        <v>93.475011377466771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163.90791300000018</v>
      </c>
      <c r="AK54" s="13">
        <f t="shared" si="35"/>
        <v>41.72271436472046</v>
      </c>
      <c r="AL54" s="20">
        <f t="shared" si="4"/>
        <v>358.14000932688845</v>
      </c>
      <c r="AM54" s="59">
        <f t="shared" si="5"/>
        <v>651.47334266022176</v>
      </c>
      <c r="AN54" s="59">
        <f ca="1">AVERAGE(OFFSET($AM$3,0,0,'Données projet'!$E$10+1,1))-AVERAGE(OFFSET($H$3,0,0,'Données projet'!$E$10+1,1))</f>
        <v>490.21869105612649</v>
      </c>
      <c r="AO54" s="59">
        <f t="shared" si="36"/>
        <v>207.08773997010911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24.399935719333349</v>
      </c>
      <c r="AW54" s="21">
        <f>EXP(-LN(2)/2)*AW53+(1-EXP(-LN(2)/2))/(LN(2)/2)*AQ54*AT54*VLOOKUP('Données projet'!$B$10,Paramètres!$A$1:$I$89,3,0)*0.475*44/12</f>
        <v>4.8681348717648145</v>
      </c>
      <c r="AX54" s="21">
        <f t="shared" si="6"/>
        <v>29.268070591098166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183.68990250000022</v>
      </c>
      <c r="BF54" s="13">
        <f t="shared" si="37"/>
        <v>46.142149449949819</v>
      </c>
      <c r="BG54" s="20">
        <f t="shared" si="7"/>
        <v>400.29082381282961</v>
      </c>
      <c r="BH54" s="59">
        <f t="shared" si="8"/>
        <v>693.62415714616293</v>
      </c>
      <c r="BI54" s="59">
        <f ca="1">AVERAGE(OFFSET($BH$3,0,0,'Données projet'!$E$11+1,1))-AVERAGE(OFFSET($H$3,0,0,'Données projet'!$E$11+1,1))</f>
        <v>561.19833044503548</v>
      </c>
      <c r="BJ54" s="59">
        <f t="shared" si="38"/>
        <v>235.9089269943575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27.344755547528752</v>
      </c>
      <c r="BR54" s="21">
        <f>EXP(-LN(2)/2)*BR53+(1-EXP(-LN(2)/2))/(LN(2)/2)*BL54*BO54*VLOOKUP('Données projet'!$B$11,Paramètres!$A$1:$I$89,3,0)*0.475*44/12</f>
        <v>5.4556683907709127</v>
      </c>
      <c r="BS54" s="22">
        <f t="shared" si="9"/>
        <v>32.800423938299666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4.2307692307692317</v>
      </c>
      <c r="BY54" s="12">
        <f>IF('Données projet'!$A$114&gt;35,BY53+BX54-CG53,IF(A54&lt;'Données projet'!$A$114,$BV$205^A54,IF(A54='Données projet'!$A$114,'Données projet'!$B$114,BY53+BX54-CG53)))</f>
        <v>122.82051282051282</v>
      </c>
      <c r="BZ54" s="13">
        <f>BY54*VLOOKUP('Données projet'!$B$12,Paramètres!$A$1:$I$89,3,0)*VLOOKUP('Données projet'!$B$12,Paramètres!$A$1:$I$89,5,0)</f>
        <v>107.29600000000002</v>
      </c>
      <c r="CA54" s="13">
        <f t="shared" si="39"/>
        <v>28.69298118328793</v>
      </c>
      <c r="CB54" s="20">
        <f t="shared" si="10"/>
        <v>236.84747556089317</v>
      </c>
      <c r="CC54" s="59">
        <f t="shared" si="11"/>
        <v>530.18080889422652</v>
      </c>
      <c r="CD54" s="59">
        <f ca="1">AVERAGE(OFFSET($CC$3,0,0,'Données projet'!$E$12+1,1))-AVERAGE(OFFSET($H$3,0,0,'Données projet'!$E$12+1,1))</f>
        <v>147.1862160897889</v>
      </c>
      <c r="CE54" s="59">
        <f t="shared" si="40"/>
        <v>147.31828668914011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0.62634552322148962</v>
      </c>
      <c r="CL54" s="21">
        <f>EXP(-LN(2)/25)*CL53+(1-EXP(-LN(2)/25))/(LN(2)/25)*Calculateur!CG54*Calculateur!CI54*VLOOKUP('Données projet'!$B$12,Paramètres!$A$1:$I$89,3,0)*0.475*44/12</f>
        <v>17.656015911243585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18.282361434465074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16.3825</v>
      </c>
      <c r="N55" s="13">
        <f>IF('Données projet'!$A$36&gt;35,N54+M55-V54,IF(A55&lt;'Données projet'!$A$36,$K$205^A55,IF(A55='Données projet'!$A$36,'Données projet'!$B$36,N54+M55-V54)))</f>
        <v>498.21999999999991</v>
      </c>
      <c r="O55" s="13">
        <f>N55*VLOOKUP('Données projet'!$B$9,Paramètres!$A$1:$I$89,3,0)*VLOOKUP('Données projet'!$B$9,Paramètres!$A$1:$I$89,5,0)</f>
        <v>297.93555999999995</v>
      </c>
      <c r="P55" s="13">
        <f t="shared" si="33"/>
        <v>70.74350377882952</v>
      </c>
      <c r="Q55" s="20">
        <f t="shared" si="53"/>
        <v>642.11603608146129</v>
      </c>
      <c r="R55" s="59">
        <f t="shared" si="0"/>
        <v>935.44936941479455</v>
      </c>
      <c r="S55" s="59">
        <f ca="1">AVERAGE(OFFSET($R$3,0,0,'Données projet'!$E$9+1,1))-AVERAGE(OFFSET($H$3,0,0,'Données projet'!$E$9+1,1))</f>
        <v>326.05837294177707</v>
      </c>
      <c r="T55" s="59">
        <f t="shared" si="34"/>
        <v>406.74689878702014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61.994385283599307</v>
      </c>
      <c r="AA55" s="21">
        <f>EXP(-LN(2)/25)*AA54+(1-EXP(-LN(2)/25))/(LN(2)/25)*Calculateur!V55*Calculateur!X55*VLOOKUP('Données projet'!$B$9,Paramètres!$A$1:$I$89,3,0)*0.475*44/12</f>
        <v>24.108982022828009</v>
      </c>
      <c r="AB55" s="21">
        <f>EXP(-LN(2)/2)*AB54+(1-EXP(-LN(2)/2))/(LN(2)/2)*V55*Y55*VLOOKUP('Données projet'!$B$9,Paramètres!$A$1:$I$89,3,0)*0.475*44/12</f>
        <v>3.8564619898665131</v>
      </c>
      <c r="AC55" s="22">
        <f t="shared" si="3"/>
        <v>89.959829296293833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173.28503400000019</v>
      </c>
      <c r="AK55" s="13">
        <f t="shared" si="35"/>
        <v>43.82494037101592</v>
      </c>
      <c r="AL55" s="20">
        <f t="shared" si="4"/>
        <v>378.133205362853</v>
      </c>
      <c r="AM55" s="59">
        <f t="shared" si="5"/>
        <v>671.46653869618626</v>
      </c>
      <c r="AN55" s="59">
        <f ca="1">AVERAGE(OFFSET($AM$3,0,0,'Données projet'!$E$10+1,1))-AVERAGE(OFFSET($H$3,0,0,'Données projet'!$E$10+1,1))</f>
        <v>490.21869105612649</v>
      </c>
      <c r="AO55" s="59">
        <f t="shared" si="36"/>
        <v>207.08773997010911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23.732718193951328</v>
      </c>
      <c r="AW55" s="21">
        <f>EXP(-LN(2)/2)*AW54+(1-EXP(-LN(2)/2))/(LN(2)/2)*AQ55*AT55*VLOOKUP('Données projet'!$B$10,Paramètres!$A$1:$I$89,3,0)*0.475*44/12</f>
        <v>3.4422911795556046</v>
      </c>
      <c r="AX55" s="21">
        <f t="shared" si="6"/>
        <v>27.175009373506931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194.19874500000023</v>
      </c>
      <c r="BF55" s="13">
        <f t="shared" si="37"/>
        <v>48.467051557519213</v>
      </c>
      <c r="BG55" s="20">
        <f t="shared" si="7"/>
        <v>422.64292900434634</v>
      </c>
      <c r="BH55" s="59">
        <f t="shared" si="8"/>
        <v>715.9762623376796</v>
      </c>
      <c r="BI55" s="59">
        <f ca="1">AVERAGE(OFFSET($BH$3,0,0,'Données projet'!$E$11+1,1))-AVERAGE(OFFSET($H$3,0,0,'Données projet'!$E$11+1,1))</f>
        <v>561.19833044503548</v>
      </c>
      <c r="BJ55" s="59">
        <f t="shared" si="38"/>
        <v>235.9089269943575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26.59701176908338</v>
      </c>
      <c r="BR55" s="21">
        <f>EXP(-LN(2)/2)*BR54+(1-EXP(-LN(2)/2))/(LN(2)/2)*BL55*BO55*VLOOKUP('Données projet'!$B$11,Paramètres!$A$1:$I$89,3,0)*0.475*44/12</f>
        <v>3.8577401150192121</v>
      </c>
      <c r="BS55" s="22">
        <f t="shared" si="9"/>
        <v>30.454751884102592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4.2307692307692317</v>
      </c>
      <c r="BY55" s="12">
        <f>IF('Données projet'!$A$114&gt;35,BY54+BX55-CG54,IF(A55&lt;'Données projet'!$A$114,$BV$205^A55,IF(A55='Données projet'!$A$114,'Données projet'!$B$114,BY54+BX55-CG54)))</f>
        <v>127.05128205128204</v>
      </c>
      <c r="BZ55" s="13">
        <f>BY55*VLOOKUP('Données projet'!$B$12,Paramètres!$A$1:$I$89,3,0)*VLOOKUP('Données projet'!$B$12,Paramètres!$A$1:$I$89,5,0)</f>
        <v>110.992</v>
      </c>
      <c r="CA55" s="13">
        <f t="shared" si="39"/>
        <v>29.564585248205024</v>
      </c>
      <c r="CB55" s="20">
        <f t="shared" si="10"/>
        <v>244.80271930729043</v>
      </c>
      <c r="CC55" s="59">
        <f t="shared" si="11"/>
        <v>538.1360526406238</v>
      </c>
      <c r="CD55" s="59">
        <f ca="1">AVERAGE(OFFSET($CC$3,0,0,'Données projet'!$E$12+1,1))-AVERAGE(OFFSET($H$3,0,0,'Données projet'!$E$12+1,1))</f>
        <v>147.1862160897889</v>
      </c>
      <c r="CE55" s="59">
        <f t="shared" si="40"/>
        <v>147.31828668914011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0.61406326954416279</v>
      </c>
      <c r="CL55" s="21">
        <f>EXP(-LN(2)/25)*CL54+(1-EXP(-LN(2)/25))/(LN(2)/25)*Calculateur!CG55*Calculateur!CI55*VLOOKUP('Données projet'!$B$12,Paramètres!$A$1:$I$89,3,0)*0.475*44/12</f>
        <v>17.173211227661106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17.787274497205267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16.3825</v>
      </c>
      <c r="N56" s="13">
        <f>IF('Données projet'!$A$36&gt;35,N55+M56-V55,IF(A56&lt;'Données projet'!$A$36,$K$205^A56,IF(A56='Données projet'!$A$36,'Données projet'!$B$36,N55+M56-V55)))</f>
        <v>514.60249999999996</v>
      </c>
      <c r="O56" s="13">
        <f>N56*VLOOKUP('Données projet'!$B$9,Paramètres!$A$1:$I$89,3,0)*VLOOKUP('Données projet'!$B$9,Paramètres!$A$1:$I$89,5,0)</f>
        <v>307.73229500000002</v>
      </c>
      <c r="P56" s="13">
        <f t="shared" si="33"/>
        <v>72.795040933099529</v>
      </c>
      <c r="Q56" s="20">
        <f t="shared" si="53"/>
        <v>662.75177675014834</v>
      </c>
      <c r="R56" s="59">
        <f t="shared" si="0"/>
        <v>956.0851100834816</v>
      </c>
      <c r="S56" s="59">
        <f ca="1">AVERAGE(OFFSET($R$3,0,0,'Données projet'!$E$9+1,1))-AVERAGE(OFFSET($H$3,0,0,'Données projet'!$E$9+1,1))</f>
        <v>326.05837294177707</v>
      </c>
      <c r="T56" s="59">
        <f t="shared" si="34"/>
        <v>406.74689878702014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60.778713201029241</v>
      </c>
      <c r="AA56" s="21">
        <f>EXP(-LN(2)/25)*AA55+(1-EXP(-LN(2)/25))/(LN(2)/25)*Calculateur!V56*Calculateur!X56*VLOOKUP('Données projet'!$B$9,Paramètres!$A$1:$I$89,3,0)*0.475*44/12</f>
        <v>23.449720641577514</v>
      </c>
      <c r="AB56" s="21">
        <f>EXP(-LN(2)/2)*AB55+(1-EXP(-LN(2)/2))/(LN(2)/2)*V56*Y56*VLOOKUP('Données projet'!$B$9,Paramètres!$A$1:$I$89,3,0)*0.475*44/12</f>
        <v>2.7269304244227786</v>
      </c>
      <c r="AC56" s="22">
        <f t="shared" si="3"/>
        <v>86.955364267029537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182.66215500000018</v>
      </c>
      <c r="AK56" s="13">
        <f t="shared" si="35"/>
        <v>45.913959577546748</v>
      </c>
      <c r="AL56" s="20">
        <f t="shared" si="4"/>
        <v>398.10339955589421</v>
      </c>
      <c r="AM56" s="59">
        <f t="shared" si="5"/>
        <v>691.43673288922753</v>
      </c>
      <c r="AN56" s="59">
        <f ca="1">AVERAGE(OFFSET($AM$3,0,0,'Données projet'!$E$10+1,1))-AVERAGE(OFFSET($H$3,0,0,'Données projet'!$E$10+1,1))</f>
        <v>490.21869105612649</v>
      </c>
      <c r="AO56" s="59">
        <f t="shared" si="36"/>
        <v>207.08773997010911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23.08374576688832</v>
      </c>
      <c r="AW56" s="21">
        <f>EXP(-LN(2)/2)*AW55+(1-EXP(-LN(2)/2))/(LN(2)/2)*AQ56*AT56*VLOOKUP('Données projet'!$B$10,Paramètres!$A$1:$I$89,3,0)*0.475*44/12</f>
        <v>2.4340674358824077</v>
      </c>
      <c r="AX56" s="21">
        <f t="shared" si="6"/>
        <v>25.517813202770729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204.70758750000024</v>
      </c>
      <c r="BF56" s="13">
        <f t="shared" si="37"/>
        <v>50.777347948807439</v>
      </c>
      <c r="BG56" s="20">
        <f t="shared" si="7"/>
        <v>444.96959590667331</v>
      </c>
      <c r="BH56" s="59">
        <f t="shared" si="8"/>
        <v>738.30292924000662</v>
      </c>
      <c r="BI56" s="59">
        <f ca="1">AVERAGE(OFFSET($BH$3,0,0,'Données projet'!$E$11+1,1))-AVERAGE(OFFSET($H$3,0,0,'Données projet'!$E$11+1,1))</f>
        <v>561.19833044503548</v>
      </c>
      <c r="BJ56" s="59">
        <f t="shared" si="38"/>
        <v>235.9089269943575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25.869715083581735</v>
      </c>
      <c r="BR56" s="21">
        <f>EXP(-LN(2)/2)*BR55+(1-EXP(-LN(2)/2))/(LN(2)/2)*BL56*BO56*VLOOKUP('Données projet'!$B$11,Paramètres!$A$1:$I$89,3,0)*0.475*44/12</f>
        <v>2.7278341953854568</v>
      </c>
      <c r="BS56" s="22">
        <f t="shared" si="9"/>
        <v>28.597549278967193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4.2307692307692317</v>
      </c>
      <c r="BY56" s="12">
        <f>IF('Données projet'!$A$114&gt;35,BY55+BX56-CG55,IF(A56&lt;'Données projet'!$A$114,$BV$205^A56,IF(A56='Données projet'!$A$114,'Données projet'!$B$114,BY55+BX56-CG55)))</f>
        <v>131.28205128205127</v>
      </c>
      <c r="BZ56" s="13">
        <f>BY56*VLOOKUP('Données projet'!$B$12,Paramètres!$A$1:$I$89,3,0)*VLOOKUP('Données projet'!$B$12,Paramètres!$A$1:$I$89,5,0)</f>
        <v>114.688</v>
      </c>
      <c r="CA56" s="13">
        <f t="shared" si="39"/>
        <v>30.432816782482064</v>
      </c>
      <c r="CB56" s="20">
        <f t="shared" si="10"/>
        <v>252.75208922948957</v>
      </c>
      <c r="CC56" s="59">
        <f t="shared" si="11"/>
        <v>546.08542256282294</v>
      </c>
      <c r="CD56" s="59">
        <f ca="1">AVERAGE(OFFSET($CC$3,0,0,'Données projet'!$E$12+1,1))-AVERAGE(OFFSET($H$3,0,0,'Données projet'!$E$12+1,1))</f>
        <v>147.1862160897889</v>
      </c>
      <c r="CE56" s="59">
        <f t="shared" si="40"/>
        <v>147.31828668914011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0.60202186337001329</v>
      </c>
      <c r="CL56" s="21">
        <f>EXP(-LN(2)/25)*CL55+(1-EXP(-LN(2)/25))/(LN(2)/25)*Calculateur!CG56*Calculateur!CI56*VLOOKUP('Données projet'!$B$12,Paramètres!$A$1:$I$89,3,0)*0.475*44/12</f>
        <v>16.703608863540786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17.305630726910799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16.3825</v>
      </c>
      <c r="N57" s="13">
        <f>IF('Données projet'!$A$36&gt;35,N56+M57-V56,IF(A57&lt;'Données projet'!$A$36,$K$205^A57,IF(A57='Données projet'!$A$36,'Données projet'!$B$36,N56+M57-V56)))</f>
        <v>530.98500000000001</v>
      </c>
      <c r="O57" s="13">
        <f>N57*VLOOKUP('Données projet'!$B$9,Paramètres!$A$1:$I$89,3,0)*VLOOKUP('Données projet'!$B$9,Paramètres!$A$1:$I$89,5,0)</f>
        <v>317.52903000000003</v>
      </c>
      <c r="P57" s="13">
        <f t="shared" si="33"/>
        <v>74.838988577247719</v>
      </c>
      <c r="Q57" s="20">
        <f t="shared" si="53"/>
        <v>683.37429902203985</v>
      </c>
      <c r="R57" s="59">
        <f t="shared" si="0"/>
        <v>976.70763235537311</v>
      </c>
      <c r="S57" s="59">
        <f ca="1">AVERAGE(OFFSET($R$3,0,0,'Données projet'!$E$9+1,1))-AVERAGE(OFFSET($H$3,0,0,'Données projet'!$E$9+1,1))</f>
        <v>326.05837294177707</v>
      </c>
      <c r="T57" s="59">
        <f t="shared" si="34"/>
        <v>406.74689878702014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59.586879706511617</v>
      </c>
      <c r="AA57" s="21">
        <f>EXP(-LN(2)/25)*AA56+(1-EXP(-LN(2)/25))/(LN(2)/25)*Calculateur!V57*Calculateur!X57*VLOOKUP('Données projet'!$B$9,Paramètres!$A$1:$I$89,3,0)*0.475*44/12</f>
        <v>22.808486797466362</v>
      </c>
      <c r="AB57" s="21">
        <f>EXP(-LN(2)/2)*AB56+(1-EXP(-LN(2)/2))/(LN(2)/2)*V57*Y57*VLOOKUP('Données projet'!$B$9,Paramètres!$A$1:$I$89,3,0)*0.475*44/12</f>
        <v>1.928230994933257</v>
      </c>
      <c r="AC57" s="22">
        <f t="shared" si="3"/>
        <v>84.323597498911241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192.0392760000002</v>
      </c>
      <c r="AK57" s="13">
        <f t="shared" si="35"/>
        <v>47.990527307113453</v>
      </c>
      <c r="AL57" s="20">
        <f t="shared" si="4"/>
        <v>418.05190742655623</v>
      </c>
      <c r="AM57" s="59">
        <f t="shared" si="5"/>
        <v>711.38524075988948</v>
      </c>
      <c r="AN57" s="59">
        <f ca="1">AVERAGE(OFFSET($AM$3,0,0,'Données projet'!$E$10+1,1))-AVERAGE(OFFSET($H$3,0,0,'Données projet'!$E$10+1,1))</f>
        <v>490.21869105612649</v>
      </c>
      <c r="AO57" s="59">
        <f t="shared" si="36"/>
        <v>207.08773997010911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22.452519524971329</v>
      </c>
      <c r="AW57" s="21">
        <f>EXP(-LN(2)/2)*AW56+(1-EXP(-LN(2)/2))/(LN(2)/2)*AQ57*AT57*VLOOKUP('Données projet'!$B$10,Paramètres!$A$1:$I$89,3,0)*0.475*44/12</f>
        <v>1.7211455897778025</v>
      </c>
      <c r="AX57" s="21">
        <f t="shared" si="6"/>
        <v>24.173665114749131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215.21643000000026</v>
      </c>
      <c r="BF57" s="13">
        <f t="shared" si="37"/>
        <v>53.073873953396202</v>
      </c>
      <c r="BG57" s="20">
        <f t="shared" si="7"/>
        <v>467.27227938549885</v>
      </c>
      <c r="BH57" s="59">
        <f t="shared" si="8"/>
        <v>760.60561271883216</v>
      </c>
      <c r="BI57" s="59">
        <f ca="1">AVERAGE(OFFSET($BH$3,0,0,'Données projet'!$E$11+1,1))-AVERAGE(OFFSET($H$3,0,0,'Données projet'!$E$11+1,1))</f>
        <v>561.19833044503548</v>
      </c>
      <c r="BJ57" s="59">
        <f t="shared" si="38"/>
        <v>235.9089269943575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25.162306364192002</v>
      </c>
      <c r="BR57" s="21">
        <f>EXP(-LN(2)/2)*BR56+(1-EXP(-LN(2)/2))/(LN(2)/2)*BL57*BO57*VLOOKUP('Données projet'!$B$11,Paramètres!$A$1:$I$89,3,0)*0.475*44/12</f>
        <v>1.9288700575096063</v>
      </c>
      <c r="BS57" s="22">
        <f t="shared" si="9"/>
        <v>27.091176421701608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4.2307692307692317</v>
      </c>
      <c r="BY57" s="12">
        <f>IF('Données projet'!$A$114&gt;35,BY56+BX57-CG56,IF(A57&lt;'Données projet'!$A$114,$BV$205^A57,IF(A57='Données projet'!$A$114,'Données projet'!$B$114,BY56+BX57-CG56)))</f>
        <v>135.5128205128205</v>
      </c>
      <c r="BZ57" s="13">
        <f>BY57*VLOOKUP('Données projet'!$B$12,Paramètres!$A$1:$I$89,3,0)*VLOOKUP('Données projet'!$B$12,Paramètres!$A$1:$I$89,5,0)</f>
        <v>118.384</v>
      </c>
      <c r="CA57" s="13">
        <f t="shared" si="39"/>
        <v>31.297796937409792</v>
      </c>
      <c r="CB57" s="20">
        <f t="shared" si="10"/>
        <v>260.69579633265539</v>
      </c>
      <c r="CC57" s="59">
        <f t="shared" si="11"/>
        <v>554.02912966598865</v>
      </c>
      <c r="CD57" s="59">
        <f ca="1">AVERAGE(OFFSET($CC$3,0,0,'Données projet'!$E$12+1,1))-AVERAGE(OFFSET($H$3,0,0,'Données projet'!$E$12+1,1))</f>
        <v>147.1862160897889</v>
      </c>
      <c r="CE57" s="59">
        <f t="shared" si="40"/>
        <v>147.31828668914011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0.59021658182640624</v>
      </c>
      <c r="CL57" s="21">
        <f>EXP(-LN(2)/25)*CL56+(1-EXP(-LN(2)/25))/(LN(2)/25)*Calculateur!CG57*Calculateur!CI57*VLOOKUP('Données projet'!$B$12,Paramètres!$A$1:$I$89,3,0)*0.475*44/12</f>
        <v>16.246847800762652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16.837064382589059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16.3825</v>
      </c>
      <c r="N58" s="13">
        <f>IF('Données projet'!$A$36&gt;35,N57+M58-V57,IF(A58&lt;'Données projet'!$A$36,$K$205^A58,IF(A58='Données projet'!$A$36,'Données projet'!$B$36,N57+M58-V57)))</f>
        <v>547.36750000000006</v>
      </c>
      <c r="O58" s="13">
        <f>N58*VLOOKUP('Données projet'!$B$9,Paramètres!$A$1:$I$89,3,0)*VLOOKUP('Données projet'!$B$9,Paramètres!$A$1:$I$89,5,0)</f>
        <v>327.32576500000005</v>
      </c>
      <c r="P58" s="13">
        <f t="shared" si="33"/>
        <v>76.875607742037758</v>
      </c>
      <c r="Q58" s="20">
        <f t="shared" si="53"/>
        <v>703.9840575257158</v>
      </c>
      <c r="R58" s="59">
        <f t="shared" si="0"/>
        <v>997.31739085904906</v>
      </c>
      <c r="S58" s="59">
        <f ca="1">AVERAGE(OFFSET($R$3,0,0,'Données projet'!$E$9+1,1))-AVERAGE(OFFSET($H$3,0,0,'Données projet'!$E$9+1,1))</f>
        <v>326.05837294177707</v>
      </c>
      <c r="T58" s="59">
        <f t="shared" si="34"/>
        <v>406.74689878702014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58.418417339874836</v>
      </c>
      <c r="AA58" s="21">
        <f>EXP(-LN(2)/25)*AA57+(1-EXP(-LN(2)/25))/(LN(2)/25)*Calculateur!V58*Calculateur!X58*VLOOKUP('Données projet'!$B$9,Paramètres!$A$1:$I$89,3,0)*0.475*44/12</f>
        <v>22.184787526543452</v>
      </c>
      <c r="AB58" s="21">
        <f>EXP(-LN(2)/2)*AB57+(1-EXP(-LN(2)/2))/(LN(2)/2)*V58*Y58*VLOOKUP('Données projet'!$B$9,Paramètres!$A$1:$I$89,3,0)*0.475*44/12</f>
        <v>1.3634652122113895</v>
      </c>
      <c r="AC58" s="22">
        <f t="shared" si="3"/>
        <v>81.966670078629676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201.41639700000019</v>
      </c>
      <c r="AK58" s="13">
        <f t="shared" si="35"/>
        <v>50.055320951535919</v>
      </c>
      <c r="AL58" s="20">
        <f t="shared" si="4"/>
        <v>437.97990876559203</v>
      </c>
      <c r="AM58" s="59">
        <f t="shared" si="5"/>
        <v>731.31324209892534</v>
      </c>
      <c r="AN58" s="59">
        <f ca="1">AVERAGE(OFFSET($AM$3,0,0,'Données projet'!$E$10+1,1))-AVERAGE(OFFSET($H$3,0,0,'Données projet'!$E$10+1,1))</f>
        <v>490.21869105612649</v>
      </c>
      <c r="AO58" s="59">
        <f t="shared" si="36"/>
        <v>207.08773997010911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21.838554197834302</v>
      </c>
      <c r="AW58" s="21">
        <f>EXP(-LN(2)/2)*AW57+(1-EXP(-LN(2)/2))/(LN(2)/2)*AQ58*AT58*VLOOKUP('Données projet'!$B$10,Paramètres!$A$1:$I$89,3,0)*0.475*44/12</f>
        <v>1.2170337179412041</v>
      </c>
      <c r="AX58" s="21">
        <f t="shared" si="6"/>
        <v>23.055587915775504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225.72527250000027</v>
      </c>
      <c r="BF58" s="13">
        <f t="shared" si="37"/>
        <v>55.357378715128789</v>
      </c>
      <c r="BG58" s="20">
        <f t="shared" si="7"/>
        <v>489.55228419968324</v>
      </c>
      <c r="BH58" s="59">
        <f t="shared" si="8"/>
        <v>782.88561753301656</v>
      </c>
      <c r="BI58" s="59">
        <f ca="1">AVERAGE(OFFSET($BH$3,0,0,'Données projet'!$E$11+1,1))-AVERAGE(OFFSET($H$3,0,0,'Données projet'!$E$11+1,1))</f>
        <v>561.19833044503548</v>
      </c>
      <c r="BJ58" s="59">
        <f t="shared" si="38"/>
        <v>235.9089269943575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24.47424177343499</v>
      </c>
      <c r="BR58" s="21">
        <f>EXP(-LN(2)/2)*BR57+(1-EXP(-LN(2)/2))/(LN(2)/2)*BL58*BO58*VLOOKUP('Données projet'!$B$11,Paramètres!$A$1:$I$89,3,0)*0.475*44/12</f>
        <v>1.3639170976927286</v>
      </c>
      <c r="BS58" s="22">
        <f t="shared" si="9"/>
        <v>25.838158871127717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139.74358974358975</v>
      </c>
      <c r="BW58" s="12">
        <f>VLOOKUP(A58,'Données projet'!$A$113:$I$133,9,0)</f>
        <v>4.2307692307692317</v>
      </c>
      <c r="BX58" s="12">
        <f t="array" ref="BX58">INDEX(BW:BW,MIN(IF(ISNUMBER(BW58:BW254),ROW(BW58:BW254),"")))</f>
        <v>4.2307692307692317</v>
      </c>
      <c r="BY58" s="12">
        <f>IF('Données projet'!$A$114&gt;35,BY57+BX58-CG57,IF(A58&lt;'Données projet'!$A$114,$BV$205^A58,IF(A58='Données projet'!$A$114,'Données projet'!$B$114,BY57+BX58-CG57)))</f>
        <v>139.74358974358972</v>
      </c>
      <c r="BZ58" s="13">
        <f>BY58*VLOOKUP('Données projet'!$B$12,Paramètres!$A$1:$I$89,3,0)*VLOOKUP('Données projet'!$B$12,Paramètres!$A$1:$I$89,5,0)</f>
        <v>122.08</v>
      </c>
      <c r="CA58" s="13">
        <f t="shared" si="39"/>
        <v>32.15963886980343</v>
      </c>
      <c r="CB58" s="20">
        <f t="shared" si="10"/>
        <v>268.634037698241</v>
      </c>
      <c r="CC58" s="59">
        <f t="shared" si="11"/>
        <v>561.96737103157432</v>
      </c>
      <c r="CD58" s="59">
        <f ca="1">AVERAGE(OFFSET($CC$3,0,0,'Données projet'!$E$12+1,1))-AVERAGE(OFFSET($H$3,0,0,'Données projet'!$E$12+1,1))</f>
        <v>147.1862160897889</v>
      </c>
      <c r="CE58" s="59">
        <f t="shared" si="40"/>
        <v>147.31828668914011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14.743589743589743</v>
      </c>
      <c r="CH58" s="16">
        <f>IF(ISNA(VLOOKUP(A58,'Données projet'!$A$113:$I$133,5,0)),0%,VLOOKUP(A58,'Données projet'!$A$113:$I$133,5,0)*VLOOKUP('Données projet'!$B$12,Paramètres!$A$1:$I$89,7,0))</f>
        <v>4.3000000000000003E-2</v>
      </c>
      <c r="CI58" s="16">
        <f>IF(ISNA(VLOOKUP(A58,'Données projet'!$A$113:$I$133,6,0)),0%,VLOOKUP(A58,'Données projet'!$A$113:$I$133,6,0)*VLOOKUP('Données projet'!$B$12,Paramètres!$A$1:$I$89,7,0))</f>
        <v>0.215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1.1908965096538879</v>
      </c>
      <c r="CL58" s="21">
        <f>EXP(-LN(2)/25)*CL57+(1-EXP(-LN(2)/25))/(LN(2)/25)*Calculateur!CG58*Calculateur!CI58*VLOOKUP('Données projet'!$B$12,Paramètres!$A$1:$I$89,3,0)*0.475*44/12</f>
        <v>18.851792087454292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20.042688597108182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563.75</v>
      </c>
      <c r="L59" s="12">
        <f>VLOOKUP(A59,'Données projet'!$A$35:$I$55,9,0)</f>
        <v>16.3825</v>
      </c>
      <c r="M59" s="12">
        <f t="array" ref="M59">INDEX(L:L,MIN(IF(ISNUMBER(L59:L255),ROW(L59:L255),"")))</f>
        <v>16.3825</v>
      </c>
      <c r="N59" s="13">
        <f>IF('Données projet'!$A$36&gt;35,N58+M59-V58,IF(A59&lt;'Données projet'!$A$36,$K$205^A59,IF(A59='Données projet'!$A$36,'Données projet'!$B$36,N58+M59-V58)))</f>
        <v>563.75000000000011</v>
      </c>
      <c r="O59" s="13">
        <f>N59*VLOOKUP('Données projet'!$B$9,Paramètres!$A$1:$I$89,3,0)*VLOOKUP('Données projet'!$B$9,Paramètres!$A$1:$I$89,5,0)</f>
        <v>337.12250000000006</v>
      </c>
      <c r="P59" s="13">
        <f t="shared" si="33"/>
        <v>78.90514294504834</v>
      </c>
      <c r="Q59" s="20">
        <f t="shared" si="53"/>
        <v>724.58147812929258</v>
      </c>
      <c r="R59" s="59">
        <f t="shared" si="0"/>
        <v>1017.9148114626259</v>
      </c>
      <c r="S59" s="59">
        <f ca="1">AVERAGE(OFFSET($R$3,0,0,'Données projet'!$E$9+1,1))-AVERAGE(OFFSET($H$3,0,0,'Données projet'!$E$9+1,1))</f>
        <v>326.05837294177707</v>
      </c>
      <c r="T59" s="59">
        <f t="shared" si="34"/>
        <v>406.74689878702014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563.75</v>
      </c>
      <c r="W59" s="16">
        <f>IF(ISNA(VLOOKUP(A59,'Données projet'!$A$35:$I$55,5,0)),0%,VLOOKUP(A59,'Données projet'!$A$35:$I$55,5,0)*VLOOKUP('Données projet'!$B$9,Paramètres!$A$1:$I$89,7,0))</f>
        <v>0.27</v>
      </c>
      <c r="X59" s="16">
        <f>IF(ISNA(VLOOKUP(A59,'Données projet'!$A$35:$I$55,6,0)),0%,VLOOKUP(A59,'Données projet'!$A$35:$I$55,6,0)*VLOOKUP('Données projet'!$B$9,Paramètres!$A$1:$I$89,7,0))</f>
        <v>9.0000000000000011E-2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178.02084372736357</v>
      </c>
      <c r="AA59" s="21">
        <f>EXP(-LN(2)/25)*AA58+(1-EXP(-LN(2)/25))/(LN(2)/25)*Calculateur!V59*Calculateur!X59*VLOOKUP('Données projet'!$B$9,Paramètres!$A$1:$I$89,3,0)*0.475*44/12</f>
        <v>61.668991721657953</v>
      </c>
      <c r="AB59" s="21">
        <f>EXP(-LN(2)/2)*AB58+(1-EXP(-LN(2)/2))/(LN(2)/2)*V59*Y59*VLOOKUP('Données projet'!$B$9,Paramètres!$A$1:$I$89,3,0)*0.475*44/12</f>
        <v>77.304312042039825</v>
      </c>
      <c r="AC59" s="22">
        <f t="shared" si="3"/>
        <v>316.99414749106137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210.7935180000002</v>
      </c>
      <c r="AK59" s="13">
        <f t="shared" si="35"/>
        <v>52.108951264882847</v>
      </c>
      <c r="AL59" s="20">
        <f t="shared" si="4"/>
        <v>457.88846730300457</v>
      </c>
      <c r="AM59" s="59">
        <f t="shared" si="5"/>
        <v>751.22180063633789</v>
      </c>
      <c r="AN59" s="59">
        <f ca="1">AVERAGE(OFFSET($AM$3,0,0,'Données projet'!$E$10+1,1))-AVERAGE(OFFSET($H$3,0,0,'Données projet'!$E$10+1,1))</f>
        <v>490.21869105612649</v>
      </c>
      <c r="AO59" s="59">
        <f t="shared" si="36"/>
        <v>207.08773997010911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21.241377784854869</v>
      </c>
      <c r="AW59" s="21">
        <f>EXP(-LN(2)/2)*AW58+(1-EXP(-LN(2)/2))/(LN(2)/2)*AQ59*AT59*VLOOKUP('Données projet'!$B$10,Paramètres!$A$1:$I$89,3,0)*0.475*44/12</f>
        <v>0.86057279488890148</v>
      </c>
      <c r="AX59" s="21">
        <f t="shared" si="6"/>
        <v>22.101950579743772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236.23411500000026</v>
      </c>
      <c r="BF59" s="13">
        <f t="shared" si="37"/>
        <v>57.628537681562783</v>
      </c>
      <c r="BG59" s="20">
        <f t="shared" si="7"/>
        <v>511.8107867537222</v>
      </c>
      <c r="BH59" s="59">
        <f t="shared" si="8"/>
        <v>805.14412008705551</v>
      </c>
      <c r="BI59" s="59">
        <f ca="1">AVERAGE(OFFSET($BH$3,0,0,'Données projet'!$E$11+1,1))-AVERAGE(OFFSET($H$3,0,0,'Données projet'!$E$11+1,1))</f>
        <v>561.19833044503548</v>
      </c>
      <c r="BJ59" s="59">
        <f t="shared" si="38"/>
        <v>235.9089269943575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23.804992345095972</v>
      </c>
      <c r="BR59" s="21">
        <f>EXP(-LN(2)/2)*BR58+(1-EXP(-LN(2)/2))/(LN(2)/2)*BL59*BO59*VLOOKUP('Données projet'!$B$11,Paramètres!$A$1:$I$89,3,0)*0.475*44/12</f>
        <v>0.96443502875480325</v>
      </c>
      <c r="BS59" s="22">
        <f t="shared" si="9"/>
        <v>24.769427373850775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3.8461538461538423</v>
      </c>
      <c r="BY59" s="12">
        <f>IF('Données projet'!$A$114&gt;35,BY58+BX59-CG58,IF(A59&lt;'Données projet'!$A$114,$BV$205^A59,IF(A59='Données projet'!$A$114,'Données projet'!$B$114,BY58+BX59-CG58)))</f>
        <v>128.84615384615381</v>
      </c>
      <c r="BZ59" s="13">
        <f>BY59*VLOOKUP('Données projet'!$B$12,Paramètres!$A$1:$I$89,3,0)*VLOOKUP('Données projet'!$B$12,Paramètres!$A$1:$I$89,5,0)</f>
        <v>112.55999999999999</v>
      </c>
      <c r="CA59" s="13">
        <f t="shared" si="39"/>
        <v>29.933330570949426</v>
      </c>
      <c r="CB59" s="20">
        <f t="shared" si="10"/>
        <v>248.1758840777369</v>
      </c>
      <c r="CC59" s="59">
        <f t="shared" si="11"/>
        <v>541.50921741107027</v>
      </c>
      <c r="CD59" s="59">
        <f ca="1">AVERAGE(OFFSET($CC$3,0,0,'Données projet'!$E$12+1,1))-AVERAGE(OFFSET($H$3,0,0,'Données projet'!$E$12+1,1))</f>
        <v>147.1862160897889</v>
      </c>
      <c r="CE59" s="59">
        <f t="shared" si="40"/>
        <v>147.31828668914011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1.1675437554747226</v>
      </c>
      <c r="CL59" s="21">
        <f>EXP(-LN(2)/25)*CL58+(1-EXP(-LN(2)/25))/(LN(2)/25)*Calculateur!CG59*Calculateur!CI59*VLOOKUP('Données projet'!$B$12,Paramètres!$A$1:$I$89,3,0)*0.475*44/12</f>
        <v>18.336288841450195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19.503832596924916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326.05837294177707</v>
      </c>
      <c r="T60" s="59">
        <f t="shared" si="34"/>
        <v>406.74689878702014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174.52996356386305</v>
      </c>
      <c r="AA60" s="21">
        <f>EXP(-LN(2)/25)*AA59+(1-EXP(-LN(2)/25))/(LN(2)/25)*Calculateur!V60*Calculateur!X60*VLOOKUP('Données projet'!$B$9,Paramètres!$A$1:$I$89,3,0)*0.475*44/12</f>
        <v>59.982649899997888</v>
      </c>
      <c r="AB60" s="21">
        <f>EXP(-LN(2)/2)*AB59+(1-EXP(-LN(2)/2))/(LN(2)/2)*V60*Y60*VLOOKUP('Données projet'!$B$9,Paramètres!$A$1:$I$89,3,0)*0.475*44/12</f>
        <v>54.662403259887249</v>
      </c>
      <c r="AC60" s="22">
        <f t="shared" si="3"/>
        <v>289.17501672374817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220.17063900000025</v>
      </c>
      <c r="AK60" s="13">
        <f t="shared" si="35"/>
        <v>54.151971590437505</v>
      </c>
      <c r="AL60" s="20">
        <f t="shared" si="4"/>
        <v>477.7785467783458</v>
      </c>
      <c r="AM60" s="59">
        <f t="shared" si="5"/>
        <v>771.11188011167906</v>
      </c>
      <c r="AN60" s="59">
        <f ca="1">AVERAGE(OFFSET($AM$3,0,0,'Données projet'!$E$10+1,1))-AVERAGE(OFFSET($H$3,0,0,'Données projet'!$E$10+1,1))</f>
        <v>490.21869105612649</v>
      </c>
      <c r="AO60" s="59">
        <f t="shared" si="36"/>
        <v>207.08773997010911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20.660531192292503</v>
      </c>
      <c r="AW60" s="21">
        <f>EXP(-LN(2)/2)*AW59+(1-EXP(-LN(2)/2))/(LN(2)/2)*AQ60*AT60*VLOOKUP('Données projet'!$B$10,Paramètres!$A$1:$I$89,3,0)*0.475*44/12</f>
        <v>0.60851685897060215</v>
      </c>
      <c r="AX60" s="21">
        <f t="shared" si="6"/>
        <v>21.269048051263105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246.74295750000027</v>
      </c>
      <c r="BF60" s="13">
        <f t="shared" si="37"/>
        <v>59.887962808292784</v>
      </c>
      <c r="BG60" s="20">
        <f t="shared" si="7"/>
        <v>534.04885287027707</v>
      </c>
      <c r="BH60" s="59">
        <f t="shared" si="8"/>
        <v>827.38218620361044</v>
      </c>
      <c r="BI60" s="59">
        <f ca="1">AVERAGE(OFFSET($BH$3,0,0,'Données projet'!$E$11+1,1))-AVERAGE(OFFSET($H$3,0,0,'Données projet'!$E$11+1,1))</f>
        <v>561.19833044503548</v>
      </c>
      <c r="BJ60" s="59">
        <f t="shared" si="38"/>
        <v>235.9089269943575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23.154043577569183</v>
      </c>
      <c r="BR60" s="21">
        <f>EXP(-LN(2)/2)*BR59+(1-EXP(-LN(2)/2))/(LN(2)/2)*BL60*BO60*VLOOKUP('Données projet'!$B$11,Paramètres!$A$1:$I$89,3,0)*0.475*44/12</f>
        <v>0.68195854884636442</v>
      </c>
      <c r="BS60" s="22">
        <f t="shared" si="9"/>
        <v>23.836002126415547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3.8461538461538423</v>
      </c>
      <c r="BY60" s="12">
        <f>IF('Données projet'!$A$114&gt;35,BY59+BX60-CG59,IF(A60&lt;'Données projet'!$A$114,$BV$205^A60,IF(A60='Données projet'!$A$114,'Données projet'!$B$114,BY59+BX60-CG59)))</f>
        <v>132.69230769230765</v>
      </c>
      <c r="BZ60" s="13">
        <f>BY60*VLOOKUP('Données projet'!$B$12,Paramètres!$A$1:$I$89,3,0)*VLOOKUP('Données projet'!$B$12,Paramètres!$A$1:$I$89,5,0)</f>
        <v>115.91999999999997</v>
      </c>
      <c r="CA60" s="13">
        <f t="shared" si="39"/>
        <v>30.721499020333255</v>
      </c>
      <c r="CB60" s="20">
        <f t="shared" si="10"/>
        <v>255.40061079374706</v>
      </c>
      <c r="CC60" s="59">
        <f t="shared" si="11"/>
        <v>548.73394412708035</v>
      </c>
      <c r="CD60" s="59">
        <f ca="1">AVERAGE(OFFSET($CC$3,0,0,'Données projet'!$E$12+1,1))-AVERAGE(OFFSET($H$3,0,0,'Données projet'!$E$12+1,1))</f>
        <v>147.1862160897889</v>
      </c>
      <c r="CE60" s="59">
        <f t="shared" si="40"/>
        <v>147.31828668914011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1.144648934561237</v>
      </c>
      <c r="CL60" s="21">
        <f>EXP(-LN(2)/25)*CL59+(1-EXP(-LN(2)/25))/(LN(2)/25)*Calculateur!CG60*Calculateur!CI60*VLOOKUP('Données projet'!$B$12,Paramètres!$A$1:$I$89,3,0)*0.475*44/12</f>
        <v>17.834882058817218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18.979530993378454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326.05837294177707</v>
      </c>
      <c r="T61" s="59">
        <f t="shared" si="34"/>
        <v>406.74689878702014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171.10753743114213</v>
      </c>
      <c r="AA61" s="21">
        <f>EXP(-LN(2)/25)*AA60+(1-EXP(-LN(2)/25))/(LN(2)/25)*Calculateur!V61*Calculateur!X61*VLOOKUP('Données projet'!$B$9,Paramètres!$A$1:$I$89,3,0)*0.475*44/12</f>
        <v>58.342421184131979</v>
      </c>
      <c r="AB61" s="21">
        <f>EXP(-LN(2)/2)*AB60+(1-EXP(-LN(2)/2))/(LN(2)/2)*V61*Y61*VLOOKUP('Données projet'!$B$9,Paramètres!$A$1:$I$89,3,0)*0.475*44/12</f>
        <v>38.65215602101992</v>
      </c>
      <c r="AC61" s="22">
        <f t="shared" si="3"/>
        <v>268.102114636294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229.54776000000027</v>
      </c>
      <c r="AK61" s="13">
        <f t="shared" si="35"/>
        <v>56.184885471425758</v>
      </c>
      <c r="AL61" s="20">
        <f t="shared" si="4"/>
        <v>497.651024196067</v>
      </c>
      <c r="AM61" s="59">
        <f t="shared" si="5"/>
        <v>790.98435752940031</v>
      </c>
      <c r="AN61" s="59">
        <f ca="1">AVERAGE(OFFSET($AM$3,0,0,'Données projet'!$E$10+1,1))-AVERAGE(OFFSET($H$3,0,0,'Données projet'!$E$10+1,1))</f>
        <v>490.21869105612649</v>
      </c>
      <c r="AO61" s="59">
        <f t="shared" si="36"/>
        <v>207.08773997010911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36.474357978367649</v>
      </c>
      <c r="AW61" s="21">
        <f>EXP(-LN(2)/2)*AW60+(1-EXP(-LN(2)/2))/(LN(2)/2)*AQ61*AT61*VLOOKUP('Données projet'!$B$10,Paramètres!$A$1:$I$89,3,0)*0.475*44/12</f>
        <v>8.589981127461952</v>
      </c>
      <c r="AX61" s="21">
        <f t="shared" si="6"/>
        <v>45.064339105829603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257.25180000000029</v>
      </c>
      <c r="BF61" s="13">
        <f t="shared" si="37"/>
        <v>62.136210975836612</v>
      </c>
      <c r="BG61" s="20">
        <f t="shared" si="7"/>
        <v>556.26745244958261</v>
      </c>
      <c r="BH61" s="59">
        <f t="shared" si="8"/>
        <v>849.60078578291586</v>
      </c>
      <c r="BI61" s="59">
        <f ca="1">AVERAGE(OFFSET($BH$3,0,0,'Données projet'!$E$11+1,1))-AVERAGE(OFFSET($H$3,0,0,'Données projet'!$E$11+1,1))</f>
        <v>561.19833044503548</v>
      </c>
      <c r="BJ61" s="59">
        <f t="shared" si="38"/>
        <v>235.9089269943575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40.876435665412025</v>
      </c>
      <c r="BR61" s="21">
        <f>EXP(-LN(2)/2)*BR60+(1-EXP(-LN(2)/2))/(LN(2)/2)*BL61*BO61*VLOOKUP('Données projet'!$B$11,Paramètres!$A$1:$I$89,3,0)*0.475*44/12</f>
        <v>9.6267029876728749</v>
      </c>
      <c r="BS61" s="22">
        <f t="shared" si="9"/>
        <v>50.503138653084903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3.8461538461538423</v>
      </c>
      <c r="BY61" s="12">
        <f>IF('Données projet'!$A$114&gt;35,BY60+BX61-CG60,IF(A61&lt;'Données projet'!$A$114,$BV$205^A61,IF(A61='Données projet'!$A$114,'Données projet'!$B$114,BY60+BX61-CG60)))</f>
        <v>136.53846153846149</v>
      </c>
      <c r="BZ61" s="13">
        <f>BY61*VLOOKUP('Données projet'!$B$12,Paramètres!$A$1:$I$89,3,0)*VLOOKUP('Données projet'!$B$12,Paramètres!$A$1:$I$89,5,0)</f>
        <v>119.27999999999997</v>
      </c>
      <c r="CA61" s="13">
        <f t="shared" si="39"/>
        <v>31.50701234599638</v>
      </c>
      <c r="CB61" s="20">
        <f t="shared" si="10"/>
        <v>262.62071316927694</v>
      </c>
      <c r="CC61" s="59">
        <f t="shared" si="11"/>
        <v>555.95404650261025</v>
      </c>
      <c r="CD61" s="59">
        <f ca="1">AVERAGE(OFFSET($CC$3,0,0,'Données projet'!$E$12+1,1))-AVERAGE(OFFSET($H$3,0,0,'Données projet'!$E$12+1,1))</f>
        <v>147.1862160897889</v>
      </c>
      <c r="CE61" s="59">
        <f t="shared" si="40"/>
        <v>147.31828668914011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1.1222030671214029</v>
      </c>
      <c r="CL61" s="21">
        <f>EXP(-LN(2)/25)*CL60+(1-EXP(-LN(2)/25))/(LN(2)/25)*Calculateur!CG61*Calculateur!CI61*VLOOKUP('Données projet'!$B$12,Paramètres!$A$1:$I$89,3,0)*0.475*44/12</f>
        <v>17.347186271023176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18.46938933814458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326.05837294177707</v>
      </c>
      <c r="T62" s="59">
        <f t="shared" si="34"/>
        <v>406.74689878702014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167.75222298741005</v>
      </c>
      <c r="AA62" s="21">
        <f>EXP(-LN(2)/25)*AA61+(1-EXP(-LN(2)/25))/(LN(2)/25)*Calculateur!V62*Calculateur!X62*VLOOKUP('Données projet'!$B$9,Paramètres!$A$1:$I$89,3,0)*0.475*44/12</f>
        <v>56.747044608757307</v>
      </c>
      <c r="AB62" s="21">
        <f>EXP(-LN(2)/2)*AB61+(1-EXP(-LN(2)/2))/(LN(2)/2)*V62*Y62*VLOOKUP('Données projet'!$B$9,Paramètres!$A$1:$I$89,3,0)*0.475*44/12</f>
        <v>27.331201629943628</v>
      </c>
      <c r="AC62" s="22">
        <f t="shared" si="3"/>
        <v>251.83046922611098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195.45263400000027</v>
      </c>
      <c r="AK62" s="13">
        <f t="shared" si="35"/>
        <v>48.743460533300031</v>
      </c>
      <c r="AL62" s="20">
        <f t="shared" si="4"/>
        <v>425.3081979788314</v>
      </c>
      <c r="AM62" s="59">
        <f t="shared" si="5"/>
        <v>718.64153131216472</v>
      </c>
      <c r="AN62" s="59">
        <f ca="1">AVERAGE(OFFSET($AM$3,0,0,'Données projet'!$E$10+1,1))-AVERAGE(OFFSET($H$3,0,0,'Données projet'!$E$10+1,1))</f>
        <v>490.21869105612649</v>
      </c>
      <c r="AO62" s="59">
        <f t="shared" si="36"/>
        <v>207.08773997010911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35.476964741346066</v>
      </c>
      <c r="AW62" s="21">
        <f>EXP(-LN(2)/2)*AW61+(1-EXP(-LN(2)/2))/(LN(2)/2)*AQ62*AT62*VLOOKUP('Données projet'!$B$10,Paramètres!$A$1:$I$89,3,0)*0.475*44/12</f>
        <v>6.0740339054928114</v>
      </c>
      <c r="AX62" s="21">
        <f t="shared" si="6"/>
        <v>41.550998646838877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219.0417450000003</v>
      </c>
      <c r="BF62" s="13">
        <f t="shared" si="37"/>
        <v>53.906560847753887</v>
      </c>
      <c r="BG62" s="20">
        <f t="shared" si="7"/>
        <v>475.38496601817178</v>
      </c>
      <c r="BH62" s="59">
        <f t="shared" si="8"/>
        <v>768.71829935150504</v>
      </c>
      <c r="BI62" s="59">
        <f ca="1">AVERAGE(OFFSET($BH$3,0,0,'Données projet'!$E$11+1,1))-AVERAGE(OFFSET($H$3,0,0,'Données projet'!$E$11+1,1))</f>
        <v>561.19833044503548</v>
      </c>
      <c r="BJ62" s="59">
        <f t="shared" si="38"/>
        <v>235.9089269943575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39.758667382543003</v>
      </c>
      <c r="BR62" s="21">
        <f>EXP(-LN(2)/2)*BR61+(1-EXP(-LN(2)/2))/(LN(2)/2)*BL62*BO62*VLOOKUP('Données projet'!$B$11,Paramètres!$A$1:$I$89,3,0)*0.475*44/12</f>
        <v>6.8071069630522869</v>
      </c>
      <c r="BS62" s="22">
        <f t="shared" si="9"/>
        <v>46.565774345595287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3.8461538461538423</v>
      </c>
      <c r="BY62" s="12">
        <f>IF('Données projet'!$A$114&gt;35,BY61+BX62-CG61,IF(A62&lt;'Données projet'!$A$114,$BV$205^A62,IF(A62='Données projet'!$A$114,'Données projet'!$B$114,BY61+BX62-CG61)))</f>
        <v>140.38461538461533</v>
      </c>
      <c r="BZ62" s="13">
        <f>BY62*VLOOKUP('Données projet'!$B$12,Paramètres!$A$1:$I$89,3,0)*VLOOKUP('Données projet'!$B$12,Paramètres!$A$1:$I$89,5,0)</f>
        <v>122.63999999999997</v>
      </c>
      <c r="CA62" s="13">
        <f t="shared" si="39"/>
        <v>32.289953931572668</v>
      </c>
      <c r="CB62" s="20">
        <f t="shared" si="10"/>
        <v>269.83633643082231</v>
      </c>
      <c r="CC62" s="59">
        <f t="shared" si="11"/>
        <v>563.16966976415563</v>
      </c>
      <c r="CD62" s="59">
        <f ca="1">AVERAGE(OFFSET($CC$3,0,0,'Données projet'!$E$12+1,1))-AVERAGE(OFFSET($H$3,0,0,'Données projet'!$E$12+1,1))</f>
        <v>147.1862160897889</v>
      </c>
      <c r="CE62" s="59">
        <f t="shared" si="40"/>
        <v>147.31828668914011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1.1001973494514368</v>
      </c>
      <c r="CL62" s="21">
        <f>EXP(-LN(2)/25)*CL61+(1-EXP(-LN(2)/25))/(LN(2)/25)*Calculateur!CG62*Calculateur!CI62*VLOOKUP('Données projet'!$B$12,Paramètres!$A$1:$I$89,3,0)*0.475*44/12</f>
        <v>16.872826550193167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17.973023899644605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326.05837294177707</v>
      </c>
      <c r="T63" s="59">
        <f t="shared" si="34"/>
        <v>406.74689878702014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164.46270421337982</v>
      </c>
      <c r="AA63" s="21">
        <f>EXP(-LN(2)/25)*AA62+(1-EXP(-LN(2)/25))/(LN(2)/25)*Calculateur!V63*Calculateur!X63*VLOOKUP('Données projet'!$B$9,Paramètres!$A$1:$I$89,3,0)*0.475*44/12</f>
        <v>55.195293689733461</v>
      </c>
      <c r="AB63" s="21">
        <f>EXP(-LN(2)/2)*AB62+(1-EXP(-LN(2)/2))/(LN(2)/2)*V63*Y63*VLOOKUP('Données projet'!$B$9,Paramètres!$A$1:$I$89,3,0)*0.475*44/12</f>
        <v>19.32607801050996</v>
      </c>
      <c r="AC63" s="22">
        <f t="shared" si="3"/>
        <v>238.98407591362326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204.59790000000024</v>
      </c>
      <c r="AK63" s="13">
        <f t="shared" si="35"/>
        <v>50.753306398717811</v>
      </c>
      <c r="AL63" s="20">
        <f t="shared" si="4"/>
        <v>444.73668447776726</v>
      </c>
      <c r="AM63" s="59">
        <f t="shared" si="5"/>
        <v>738.07001781110057</v>
      </c>
      <c r="AN63" s="59">
        <f ca="1">AVERAGE(OFFSET($AM$3,0,0,'Données projet'!$E$10+1,1))-AVERAGE(OFFSET($H$3,0,0,'Données projet'!$E$10+1,1))</f>
        <v>490.21869105612649</v>
      </c>
      <c r="AO63" s="59">
        <f t="shared" si="36"/>
        <v>207.08773997010911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34.506845274841467</v>
      </c>
      <c r="AW63" s="21">
        <f>EXP(-LN(2)/2)*AW62+(1-EXP(-LN(2)/2))/(LN(2)/2)*AQ63*AT63*VLOOKUP('Données projet'!$B$10,Paramètres!$A$1:$I$89,3,0)*0.475*44/12</f>
        <v>4.294990563730976</v>
      </c>
      <c r="AX63" s="21">
        <f t="shared" si="6"/>
        <v>38.801835838572444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229.29075000000029</v>
      </c>
      <c r="BF63" s="13">
        <f t="shared" si="37"/>
        <v>56.129297544192028</v>
      </c>
      <c r="BG63" s="20">
        <f t="shared" si="7"/>
        <v>497.1065828061349</v>
      </c>
      <c r="BH63" s="59">
        <f t="shared" si="8"/>
        <v>790.43991613946821</v>
      </c>
      <c r="BI63" s="59">
        <f ca="1">AVERAGE(OFFSET($BH$3,0,0,'Données projet'!$E$11+1,1))-AVERAGE(OFFSET($H$3,0,0,'Données projet'!$E$11+1,1))</f>
        <v>561.19833044503548</v>
      </c>
      <c r="BJ63" s="59">
        <f t="shared" si="38"/>
        <v>235.9089269943575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38.671464532149919</v>
      </c>
      <c r="BR63" s="21">
        <f>EXP(-LN(2)/2)*BR62+(1-EXP(-LN(2)/2))/(LN(2)/2)*BL63*BO63*VLOOKUP('Données projet'!$B$11,Paramètres!$A$1:$I$89,3,0)*0.475*44/12</f>
        <v>4.8133514938364375</v>
      </c>
      <c r="BS63" s="22">
        <f t="shared" si="9"/>
        <v>43.484816025986355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144.23076923076923</v>
      </c>
      <c r="BW63" s="12">
        <f>VLOOKUP(A63,'Données projet'!$A$113:$I$133,9,0)</f>
        <v>3.8461538461538423</v>
      </c>
      <c r="BX63" s="12">
        <f t="array" ref="BX63">INDEX(BW:BW,MIN(IF(ISNUMBER(BW63:BW259),ROW(BW63:BW259),"")))</f>
        <v>3.8461538461538423</v>
      </c>
      <c r="BY63" s="12">
        <f>IF('Données projet'!$A$114&gt;35,BY62+BX63-CG62,IF(A63&lt;'Données projet'!$A$114,$BV$205^A63,IF(A63='Données projet'!$A$114,'Données projet'!$B$114,BY62+BX63-CG62)))</f>
        <v>144.23076923076917</v>
      </c>
      <c r="BZ63" s="13">
        <f>BY63*VLOOKUP('Données projet'!$B$12,Paramètres!$A$1:$I$89,3,0)*VLOOKUP('Données projet'!$B$12,Paramètres!$A$1:$I$89,5,0)</f>
        <v>125.99999999999997</v>
      </c>
      <c r="CA63" s="13">
        <f t="shared" si="39"/>
        <v>33.070402331691206</v>
      </c>
      <c r="CB63" s="20">
        <f t="shared" si="10"/>
        <v>277.04761739436213</v>
      </c>
      <c r="CC63" s="59">
        <f t="shared" si="11"/>
        <v>570.38095072769545</v>
      </c>
      <c r="CD63" s="59">
        <f ca="1">AVERAGE(OFFSET($CC$3,0,0,'Données projet'!$E$12+1,1))-AVERAGE(OFFSET($H$3,0,0,'Données projet'!$E$12+1,1))</f>
        <v>147.1862160897889</v>
      </c>
      <c r="CE63" s="59">
        <f t="shared" si="40"/>
        <v>147.31828668914011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13.461538461538462</v>
      </c>
      <c r="CH63" s="16">
        <f>IF(ISNA(VLOOKUP(A63,'Données projet'!$A$113:$I$133,5,0)),0%,VLOOKUP(A63,'Données projet'!$A$113:$I$133,5,0)*VLOOKUP('Données projet'!$B$12,Paramètres!$A$1:$I$89,7,0))</f>
        <v>4.3000000000000003E-2</v>
      </c>
      <c r="CI63" s="16">
        <f>IF(ISNA(VLOOKUP(A63,'Données projet'!$A$113:$I$133,6,0)),0%,VLOOKUP(A63,'Données projet'!$A$113:$I$133,6,0)*VLOOKUP('Données projet'!$B$12,Paramètres!$A$1:$I$89,7,0))</f>
        <v>0.215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1.6376374120050383</v>
      </c>
      <c r="CL63" s="21">
        <f>EXP(-LN(2)/25)*CL62+(1-EXP(-LN(2)/25))/(LN(2)/25)*Calculateur!CG63*Calculateur!CI63*VLOOKUP('Données projet'!$B$12,Paramètres!$A$1:$I$89,3,0)*0.475*44/12</f>
        <v>19.195504267742134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20.833141679747172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326.05837294177707</v>
      </c>
      <c r="T64" s="59">
        <f t="shared" si="34"/>
        <v>406.74689878702014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161.23769089609999</v>
      </c>
      <c r="AA64" s="21">
        <f>EXP(-LN(2)/25)*AA63+(1-EXP(-LN(2)/25))/(LN(2)/25)*Calculateur!V64*Calculateur!X64*VLOOKUP('Données projet'!$B$9,Paramètres!$A$1:$I$89,3,0)*0.475*44/12</f>
        <v>53.685975481193353</v>
      </c>
      <c r="AB64" s="21">
        <f>EXP(-LN(2)/2)*AB63+(1-EXP(-LN(2)/2))/(LN(2)/2)*V64*Y64*VLOOKUP('Données projet'!$B$9,Paramètres!$A$1:$I$89,3,0)*0.475*44/12</f>
        <v>13.665600814971814</v>
      </c>
      <c r="AC64" s="22">
        <f t="shared" si="3"/>
        <v>228.58926719226514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213.74316600000023</v>
      </c>
      <c r="AK64" s="13">
        <f t="shared" si="35"/>
        <v>52.752718660626023</v>
      </c>
      <c r="AL64" s="20">
        <f t="shared" si="4"/>
        <v>464.14699911725734</v>
      </c>
      <c r="AM64" s="59">
        <f t="shared" si="5"/>
        <v>757.48033245059059</v>
      </c>
      <c r="AN64" s="59">
        <f ca="1">AVERAGE(OFFSET($AM$3,0,0,'Données projet'!$E$10+1,1))-AVERAGE(OFFSET($H$3,0,0,'Données projet'!$E$10+1,1))</f>
        <v>490.21869105612649</v>
      </c>
      <c r="AO64" s="59">
        <f t="shared" si="36"/>
        <v>207.08773997010911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33.5632537761648</v>
      </c>
      <c r="AW64" s="21">
        <f>EXP(-LN(2)/2)*AW63+(1-EXP(-LN(2)/2))/(LN(2)/2)*AQ64*AT64*VLOOKUP('Données projet'!$B$10,Paramètres!$A$1:$I$89,3,0)*0.475*44/12</f>
        <v>3.0370169527464057</v>
      </c>
      <c r="AX64" s="21">
        <f t="shared" si="6"/>
        <v>36.600270728911205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239.5397550000003</v>
      </c>
      <c r="BF64" s="13">
        <f t="shared" si="37"/>
        <v>58.340495468530364</v>
      </c>
      <c r="BG64" s="20">
        <f t="shared" si="7"/>
        <v>518.80810289935755</v>
      </c>
      <c r="BH64" s="59">
        <f t="shared" si="8"/>
        <v>812.14143623269092</v>
      </c>
      <c r="BI64" s="59">
        <f ca="1">AVERAGE(OFFSET($BH$3,0,0,'Données projet'!$E$11+1,1))-AVERAGE(OFFSET($H$3,0,0,'Données projet'!$E$11+1,1))</f>
        <v>561.19833044503548</v>
      </c>
      <c r="BJ64" s="59">
        <f t="shared" si="38"/>
        <v>235.9089269943575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37.613991300874346</v>
      </c>
      <c r="BR64" s="21">
        <f>EXP(-LN(2)/2)*BR63+(1-EXP(-LN(2)/2))/(LN(2)/2)*BL64*BO64*VLOOKUP('Données projet'!$B$11,Paramètres!$A$1:$I$89,3,0)*0.475*44/12</f>
        <v>3.4035534815261435</v>
      </c>
      <c r="BS64" s="22">
        <f t="shared" si="9"/>
        <v>41.017544782400492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3.5897435897435854</v>
      </c>
      <c r="BY64" s="12">
        <f>IF('Données projet'!$A$114&gt;35,BY63+BX64-CG63,IF(A64&lt;'Données projet'!$A$114,$BV$205^A64,IF(A64='Données projet'!$A$114,'Données projet'!$B$114,BY63+BX64-CG63)))</f>
        <v>134.35897435897431</v>
      </c>
      <c r="BZ64" s="13">
        <f>BY64*VLOOKUP('Données projet'!$B$12,Paramètres!$A$1:$I$89,3,0)*VLOOKUP('Données projet'!$B$12,Paramètres!$A$1:$I$89,5,0)</f>
        <v>117.37599999999996</v>
      </c>
      <c r="CA64" s="13">
        <f t="shared" si="39"/>
        <v>31.06220911098092</v>
      </c>
      <c r="CB64" s="20">
        <f t="shared" si="10"/>
        <v>258.52988086829174</v>
      </c>
      <c r="CC64" s="59">
        <f t="shared" si="11"/>
        <v>551.86321420162506</v>
      </c>
      <c r="CD64" s="59">
        <f ca="1">AVERAGE(OFFSET($CC$3,0,0,'Données projet'!$E$12+1,1))-AVERAGE(OFFSET($H$3,0,0,'Données projet'!$E$12+1,1))</f>
        <v>147.1862160897889</v>
      </c>
      <c r="CE64" s="59">
        <f t="shared" si="40"/>
        <v>147.31828668914011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1.6055243412158116</v>
      </c>
      <c r="CL64" s="21">
        <f>EXP(-LN(2)/25)*CL63+(1-EXP(-LN(2)/25))/(LN(2)/25)*Calculateur!CG64*Calculateur!CI64*VLOOKUP('Données projet'!$B$12,Paramètres!$A$1:$I$89,3,0)*0.475*44/12</f>
        <v>18.670602194093028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20.27612653530884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326.05837294177707</v>
      </c>
      <c r="T65" s="59">
        <f t="shared" si="34"/>
        <v>406.74689878702014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158.07591812290812</v>
      </c>
      <c r="AA65" s="21">
        <f>EXP(-LN(2)/25)*AA64+(1-EXP(-LN(2)/25))/(LN(2)/25)*Calculateur!V65*Calculateur!X65*VLOOKUP('Données projet'!$B$9,Paramètres!$A$1:$I$89,3,0)*0.475*44/12</f>
        <v>52.21792965843737</v>
      </c>
      <c r="AB65" s="21">
        <f>EXP(-LN(2)/2)*AB64+(1-EXP(-LN(2)/2))/(LN(2)/2)*V65*Y65*VLOOKUP('Données projet'!$B$9,Paramètres!$A$1:$I$89,3,0)*0.475*44/12</f>
        <v>9.6630390052549799</v>
      </c>
      <c r="AC65" s="22">
        <f t="shared" si="3"/>
        <v>219.95688678660048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222.88843200000022</v>
      </c>
      <c r="AK65" s="13">
        <f t="shared" si="35"/>
        <v>54.74219476708182</v>
      </c>
      <c r="AL65" s="20">
        <f t="shared" si="4"/>
        <v>483.54000828600118</v>
      </c>
      <c r="AM65" s="59">
        <f t="shared" si="5"/>
        <v>776.8733416193345</v>
      </c>
      <c r="AN65" s="59">
        <f ca="1">AVERAGE(OFFSET($AM$3,0,0,'Données projet'!$E$10+1,1))-AVERAGE(OFFSET($H$3,0,0,'Données projet'!$E$10+1,1))</f>
        <v>490.21869105612649</v>
      </c>
      <c r="AO65" s="59">
        <f t="shared" si="36"/>
        <v>207.08773997010911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32.64546483664077</v>
      </c>
      <c r="AW65" s="21">
        <f>EXP(-LN(2)/2)*AW64+(1-EXP(-LN(2)/2))/(LN(2)/2)*AQ65*AT65*VLOOKUP('Données projet'!$B$10,Paramètres!$A$1:$I$89,3,0)*0.475*44/12</f>
        <v>2.147495281865488</v>
      </c>
      <c r="AX65" s="21">
        <f t="shared" si="6"/>
        <v>34.792960118506258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249.78876000000028</v>
      </c>
      <c r="BF65" s="13">
        <f t="shared" si="37"/>
        <v>60.540704760493632</v>
      </c>
      <c r="BG65" s="20">
        <f t="shared" si="7"/>
        <v>540.49048445786013</v>
      </c>
      <c r="BH65" s="59">
        <f t="shared" si="8"/>
        <v>833.82381779119351</v>
      </c>
      <c r="BI65" s="59">
        <f ca="1">AVERAGE(OFFSET($BH$3,0,0,'Données projet'!$E$11+1,1))-AVERAGE(OFFSET($H$3,0,0,'Données projet'!$E$11+1,1))</f>
        <v>561.19833044503548</v>
      </c>
      <c r="BJ65" s="59">
        <f t="shared" si="38"/>
        <v>235.9089269943575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36.585434730718106</v>
      </c>
      <c r="BR65" s="21">
        <f>EXP(-LN(2)/2)*BR64+(1-EXP(-LN(2)/2))/(LN(2)/2)*BL65*BO65*VLOOKUP('Données projet'!$B$11,Paramètres!$A$1:$I$89,3,0)*0.475*44/12</f>
        <v>2.4066757469182187</v>
      </c>
      <c r="BS65" s="22">
        <f t="shared" si="9"/>
        <v>38.992110477636324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3.5897435897435854</v>
      </c>
      <c r="BY65" s="12">
        <f>IF('Données projet'!$A$114&gt;35,BY64+BX65-CG64,IF(A65&lt;'Données projet'!$A$114,$BV$205^A65,IF(A65='Données projet'!$A$114,'Données projet'!$B$114,BY64+BX65-CG64)))</f>
        <v>137.9487179487179</v>
      </c>
      <c r="BZ65" s="13">
        <f>BY65*VLOOKUP('Données projet'!$B$12,Paramètres!$A$1:$I$89,3,0)*VLOOKUP('Données projet'!$B$12,Paramètres!$A$1:$I$89,5,0)</f>
        <v>120.51199999999997</v>
      </c>
      <c r="CA65" s="13">
        <f t="shared" si="39"/>
        <v>31.794385279825278</v>
      </c>
      <c r="CB65" s="20">
        <f t="shared" si="10"/>
        <v>265.26695436236224</v>
      </c>
      <c r="CC65" s="59">
        <f t="shared" si="11"/>
        <v>558.60028769569556</v>
      </c>
      <c r="CD65" s="59">
        <f ca="1">AVERAGE(OFFSET($CC$3,0,0,'Données projet'!$E$12+1,1))-AVERAGE(OFFSET($H$3,0,0,'Données projet'!$E$12+1,1))</f>
        <v>147.1862160897889</v>
      </c>
      <c r="CE65" s="59">
        <f t="shared" si="40"/>
        <v>147.31828668914011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1.5740409881577224</v>
      </c>
      <c r="CL65" s="21">
        <f>EXP(-LN(2)/25)*CL64+(1-EXP(-LN(2)/25))/(LN(2)/25)*Calculateur!CG65*Calculateur!CI65*VLOOKUP('Données projet'!$B$12,Paramètres!$A$1:$I$89,3,0)*0.475*44/12</f>
        <v>18.160053595251256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19.734094583408979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326.05837294177707</v>
      </c>
      <c r="T66" s="59">
        <f t="shared" si="34"/>
        <v>406.74689878702014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154.97614578530758</v>
      </c>
      <c r="AA66" s="21">
        <f>EXP(-LN(2)/25)*AA65+(1-EXP(-LN(2)/25))/(LN(2)/25)*Calculateur!V66*Calculateur!X66*VLOOKUP('Données projet'!$B$9,Paramètres!$A$1:$I$89,3,0)*0.475*44/12</f>
        <v>50.790027625905829</v>
      </c>
      <c r="AB66" s="21">
        <f>EXP(-LN(2)/2)*AB65+(1-EXP(-LN(2)/2))/(LN(2)/2)*V66*Y66*VLOOKUP('Données projet'!$B$9,Paramètres!$A$1:$I$89,3,0)*0.475*44/12</f>
        <v>6.832800407485907</v>
      </c>
      <c r="AC66" s="22">
        <f t="shared" si="3"/>
        <v>212.59897381869931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232.03369800000024</v>
      </c>
      <c r="AK66" s="13">
        <f t="shared" si="35"/>
        <v>56.722189034958802</v>
      </c>
      <c r="AL66" s="20">
        <f t="shared" si="4"/>
        <v>502.91650325255364</v>
      </c>
      <c r="AM66" s="59">
        <f t="shared" si="5"/>
        <v>796.2498365858869</v>
      </c>
      <c r="AN66" s="59">
        <f ca="1">AVERAGE(OFFSET($AM$3,0,0,'Données projet'!$E$10+1,1))-AVERAGE(OFFSET($H$3,0,0,'Données projet'!$E$10+1,1))</f>
        <v>490.21869105612649</v>
      </c>
      <c r="AO66" s="59">
        <f t="shared" si="36"/>
        <v>207.08773997010911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31.752772883932444</v>
      </c>
      <c r="AW66" s="21">
        <f>EXP(-LN(2)/2)*AW65+(1-EXP(-LN(2)/2))/(LN(2)/2)*AQ66*AT66*VLOOKUP('Données projet'!$B$10,Paramètres!$A$1:$I$89,3,0)*0.475*44/12</f>
        <v>1.5185084763732029</v>
      </c>
      <c r="AX66" s="21">
        <f t="shared" si="6"/>
        <v>33.27128136030565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260.03776500000026</v>
      </c>
      <c r="BF66" s="13">
        <f t="shared" si="37"/>
        <v>62.730427859997341</v>
      </c>
      <c r="BG66" s="20">
        <f t="shared" si="7"/>
        <v>562.1546025644958</v>
      </c>
      <c r="BH66" s="59">
        <f t="shared" si="8"/>
        <v>855.48793589782917</v>
      </c>
      <c r="BI66" s="59">
        <f ca="1">AVERAGE(OFFSET($BH$3,0,0,'Données projet'!$E$11+1,1))-AVERAGE(OFFSET($H$3,0,0,'Données projet'!$E$11+1,1))</f>
        <v>561.19833044503548</v>
      </c>
      <c r="BJ66" s="59">
        <f t="shared" si="38"/>
        <v>235.9089269943575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35.585004094062221</v>
      </c>
      <c r="BR66" s="21">
        <f>EXP(-LN(2)/2)*BR65+(1-EXP(-LN(2)/2))/(LN(2)/2)*BL66*BO66*VLOOKUP('Données projet'!$B$11,Paramètres!$A$1:$I$89,3,0)*0.475*44/12</f>
        <v>1.7017767407630717</v>
      </c>
      <c r="BS66" s="22">
        <f t="shared" si="9"/>
        <v>37.286780834825294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3.5897435897435854</v>
      </c>
      <c r="BY66" s="12">
        <f>IF('Données projet'!$A$114&gt;35,BY65+BX66-CG65,IF(A66&lt;'Données projet'!$A$114,$BV$205^A66,IF(A66='Données projet'!$A$114,'Données projet'!$B$114,BY65+BX66-CG65)))</f>
        <v>141.53846153846149</v>
      </c>
      <c r="BZ66" s="13">
        <f>BY66*VLOOKUP('Données projet'!$B$12,Paramètres!$A$1:$I$89,3,0)*VLOOKUP('Données projet'!$B$12,Paramètres!$A$1:$I$89,5,0)</f>
        <v>123.64799999999997</v>
      </c>
      <c r="CA66" s="13">
        <f t="shared" si="39"/>
        <v>32.524346781041629</v>
      </c>
      <c r="CB66" s="20">
        <f t="shared" si="10"/>
        <v>272.00017064364744</v>
      </c>
      <c r="CC66" s="59">
        <f t="shared" si="11"/>
        <v>565.33350397698075</v>
      </c>
      <c r="CD66" s="59">
        <f ca="1">AVERAGE(OFFSET($CC$3,0,0,'Données projet'!$E$12+1,1))-AVERAGE(OFFSET($H$3,0,0,'Données projet'!$E$12+1,1))</f>
        <v>147.1862160897889</v>
      </c>
      <c r="CE66" s="59">
        <f t="shared" si="40"/>
        <v>147.31828668914011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1.5431750044501531</v>
      </c>
      <c r="CL66" s="21">
        <f>EXP(-LN(2)/25)*CL65+(1-EXP(-LN(2)/25))/(LN(2)/25)*Calculateur!CG66*Calculateur!CI66*VLOOKUP('Données projet'!$B$12,Paramètres!$A$1:$I$89,3,0)*0.475*44/12</f>
        <v>17.663465974693398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19.20664097914355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326.05837294177707</v>
      </c>
      <c r="T67" s="59">
        <f t="shared" si="34"/>
        <v>406.74689878702014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151.93715809257296</v>
      </c>
      <c r="AA67" s="21">
        <f>EXP(-LN(2)/25)*AA66+(1-EXP(-LN(2)/25))/(LN(2)/25)*Calculateur!V67*Calculateur!X67*VLOOKUP('Données projet'!$B$9,Paramètres!$A$1:$I$89,3,0)*0.475*44/12</f>
        <v>49.401171649543961</v>
      </c>
      <c r="AB67" s="21">
        <f>EXP(-LN(2)/2)*AB66+(1-EXP(-LN(2)/2))/(LN(2)/2)*V67*Y67*VLOOKUP('Données projet'!$B$9,Paramètres!$A$1:$I$89,3,0)*0.475*44/12</f>
        <v>4.83151950262749</v>
      </c>
      <c r="AC67" s="22">
        <f t="shared" si="3"/>
        <v>206.1698492447444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241.17896400000026</v>
      </c>
      <c r="AK67" s="13">
        <f t="shared" si="35"/>
        <v>58.693117941200413</v>
      </c>
      <c r="AL67" s="20">
        <f t="shared" si="4"/>
        <v>522.27720938092455</v>
      </c>
      <c r="AM67" s="59">
        <f t="shared" si="5"/>
        <v>815.61054271425792</v>
      </c>
      <c r="AN67" s="59">
        <f ca="1">AVERAGE(OFFSET($AM$3,0,0,'Données projet'!$E$10+1,1))-AVERAGE(OFFSET($H$3,0,0,'Données projet'!$E$10+1,1))</f>
        <v>490.21869105612649</v>
      </c>
      <c r="AO67" s="59">
        <f t="shared" si="36"/>
        <v>207.08773997010911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30.884491639615558</v>
      </c>
      <c r="AW67" s="21">
        <f>EXP(-LN(2)/2)*AW66+(1-EXP(-LN(2)/2))/(LN(2)/2)*AQ67*AT67*VLOOKUP('Données projet'!$B$10,Paramètres!$A$1:$I$89,3,0)*0.475*44/12</f>
        <v>1.073747640932744</v>
      </c>
      <c r="AX67" s="21">
        <f t="shared" si="6"/>
        <v>31.958239280548302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270.28677000000033</v>
      </c>
      <c r="BF67" s="13">
        <f t="shared" si="37"/>
        <v>64.910125358871667</v>
      </c>
      <c r="BG67" s="20">
        <f t="shared" si="7"/>
        <v>583.80125941670201</v>
      </c>
      <c r="BH67" s="59">
        <f t="shared" si="8"/>
        <v>877.13459275003538</v>
      </c>
      <c r="BI67" s="59">
        <f ca="1">AVERAGE(OFFSET($BH$3,0,0,'Données projet'!$E$11+1,1))-AVERAGE(OFFSET($H$3,0,0,'Données projet'!$E$11+1,1))</f>
        <v>561.19833044503548</v>
      </c>
      <c r="BJ67" s="59">
        <f t="shared" si="38"/>
        <v>235.9089269943575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34.611930285776054</v>
      </c>
      <c r="BR67" s="21">
        <f>EXP(-LN(2)/2)*BR66+(1-EXP(-LN(2)/2))/(LN(2)/2)*BL67*BO67*VLOOKUP('Données projet'!$B$11,Paramètres!$A$1:$I$89,3,0)*0.475*44/12</f>
        <v>1.2033378734591094</v>
      </c>
      <c r="BS67" s="22">
        <f t="shared" si="9"/>
        <v>35.815268159235167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3.5897435897435854</v>
      </c>
      <c r="BY67" s="12">
        <f>IF('Données projet'!$A$114&gt;35,BY66+BX67-CG66,IF(A67&lt;'Données projet'!$A$114,$BV$205^A67,IF(A67='Données projet'!$A$114,'Données projet'!$B$114,BY66+BX67-CG66)))</f>
        <v>145.12820512820508</v>
      </c>
      <c r="BZ67" s="13">
        <f>BY67*VLOOKUP('Données projet'!$B$12,Paramètres!$A$1:$I$89,3,0)*VLOOKUP('Données projet'!$B$12,Paramètres!$A$1:$I$89,5,0)</f>
        <v>126.78399999999998</v>
      </c>
      <c r="CA67" s="13">
        <f t="shared" si="39"/>
        <v>33.252156242935669</v>
      </c>
      <c r="CB67" s="20">
        <f t="shared" si="10"/>
        <v>278.72963878977959</v>
      </c>
      <c r="CC67" s="59">
        <f t="shared" si="11"/>
        <v>572.0629721231129</v>
      </c>
      <c r="CD67" s="59">
        <f ca="1">AVERAGE(OFFSET($CC$3,0,0,'Données projet'!$E$12+1,1))-AVERAGE(OFFSET($H$3,0,0,'Données projet'!$E$12+1,1))</f>
        <v>147.1862160897889</v>
      </c>
      <c r="CE67" s="59">
        <f t="shared" si="40"/>
        <v>147.31828668914011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1.5129142838566982</v>
      </c>
      <c r="CL67" s="21">
        <f>EXP(-LN(2)/25)*CL66+(1-EXP(-LN(2)/25))/(LN(2)/25)*Calculateur!CG67*Calculateur!CI67*VLOOKUP('Données projet'!$B$12,Paramètres!$A$1:$I$89,3,0)*0.475*44/12</f>
        <v>17.180457568734102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18.693371852590801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326.05837294177707</v>
      </c>
      <c r="T68" s="59">
        <f t="shared" si="34"/>
        <v>406.74689878702014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148.95776309489338</v>
      </c>
      <c r="AA68" s="21">
        <f>EXP(-LN(2)/25)*AA67+(1-EXP(-LN(2)/25))/(LN(2)/25)*Calculateur!V68*Calculateur!X68*VLOOKUP('Données projet'!$B$9,Paramètres!$A$1:$I$89,3,0)*0.475*44/12</f>
        <v>48.050294012892472</v>
      </c>
      <c r="AB68" s="21">
        <f>EXP(-LN(2)/2)*AB67+(1-EXP(-LN(2)/2))/(LN(2)/2)*V68*Y68*VLOOKUP('Données projet'!$B$9,Paramètres!$A$1:$I$89,3,0)*0.475*44/12</f>
        <v>3.4164002037429535</v>
      </c>
      <c r="AC68" s="22">
        <f t="shared" ref="AC68:AC131" si="57">SUM(Z68:AB68)</f>
        <v>200.42445731152881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250.32423000000026</v>
      </c>
      <c r="AK68" s="13">
        <f t="shared" si="35"/>
        <v>60.655364588948935</v>
      </c>
      <c r="AL68" s="20">
        <f t="shared" ref="AL68:AL131" si="58">(AJ68+AK68)*0.475*44/12</f>
        <v>541.62279390908645</v>
      </c>
      <c r="AM68" s="59">
        <f t="shared" ref="AM68:AM131" si="59">AL68+(AD68+AE68)*44/12</f>
        <v>834.95612724241983</v>
      </c>
      <c r="AN68" s="59">
        <f ca="1">AVERAGE(OFFSET($AM$3,0,0,'Données projet'!$E$10+1,1))-AVERAGE(OFFSET($H$3,0,0,'Données projet'!$E$10+1,1))</f>
        <v>490.21869105612649</v>
      </c>
      <c r="AO68" s="59">
        <f t="shared" si="36"/>
        <v>207.08773997010911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30.039953591585441</v>
      </c>
      <c r="AW68" s="21">
        <f>EXP(-LN(2)/2)*AW67+(1-EXP(-LN(2)/2))/(LN(2)/2)*AQ68*AT68*VLOOKUP('Données projet'!$B$10,Paramètres!$A$1:$I$89,3,0)*0.475*44/12</f>
        <v>0.75925423818660143</v>
      </c>
      <c r="AX68" s="21">
        <f t="shared" ref="AX68:AX131" si="60">SUM(AU68:AW68)</f>
        <v>30.799207829772044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280.53577500000034</v>
      </c>
      <c r="BF68" s="13">
        <f t="shared" si="37"/>
        <v>67.080220940060286</v>
      </c>
      <c r="BG68" s="20">
        <f t="shared" ref="BG68:BG131" si="61">(BE68+BF68)*0.475*44/12</f>
        <v>605.43119292893903</v>
      </c>
      <c r="BH68" s="59">
        <f t="shared" ref="BH68:BH131" si="62">BG68+(AY68+AZ68)*44/12</f>
        <v>898.76452626227228</v>
      </c>
      <c r="BI68" s="59">
        <f ca="1">AVERAGE(OFFSET($BH$3,0,0,'Données projet'!$E$11+1,1))-AVERAGE(OFFSET($H$3,0,0,'Données projet'!$E$11+1,1))</f>
        <v>561.19833044503548</v>
      </c>
      <c r="BJ68" s="59">
        <f t="shared" si="38"/>
        <v>235.9089269943575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33.665465231949199</v>
      </c>
      <c r="BR68" s="21">
        <f>EXP(-LN(2)/2)*BR67+(1-EXP(-LN(2)/2))/(LN(2)/2)*BL68*BO68*VLOOKUP('Données projet'!$B$11,Paramètres!$A$1:$I$89,3,0)*0.475*44/12</f>
        <v>0.85088837038153586</v>
      </c>
      <c r="BS68" s="22">
        <f t="shared" ref="BS68:BS131" si="63">SUM(BP68:BR68)</f>
        <v>34.516353602330732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148.7179487179487</v>
      </c>
      <c r="BW68" s="12">
        <f>VLOOKUP(A68,'Données projet'!$A$113:$I$133,9,0)</f>
        <v>3.5897435897435854</v>
      </c>
      <c r="BX68" s="12">
        <f t="array" ref="BX68">INDEX(BW:BW,MIN(IF(ISNUMBER(BW68:BW264),ROW(BW68:BW264),"")))</f>
        <v>3.5897435897435854</v>
      </c>
      <c r="BY68" s="12">
        <f>IF('Données projet'!$A$114&gt;35,BY67+BX68-CG67,IF(A68&lt;'Données projet'!$A$114,$BV$205^A68,IF(A68='Données projet'!$A$114,'Données projet'!$B$114,BY67+BX68-CG67)))</f>
        <v>148.71794871794867</v>
      </c>
      <c r="BZ68" s="13">
        <f>BY68*VLOOKUP('Données projet'!$B$12,Paramètres!$A$1:$I$89,3,0)*VLOOKUP('Données projet'!$B$12,Paramètres!$A$1:$I$89,5,0)</f>
        <v>129.91999999999999</v>
      </c>
      <c r="CA68" s="13">
        <f t="shared" si="39"/>
        <v>33.9778730189852</v>
      </c>
      <c r="CB68" s="20">
        <f t="shared" ref="CB68:CB131" si="64">(BZ68+CA68)*0.475*44/12</f>
        <v>285.45546217473253</v>
      </c>
      <c r="CC68" s="59">
        <f t="shared" ref="CC68:CC131" si="65">CB68+(BT68+BU68)*44/12</f>
        <v>578.78879550806585</v>
      </c>
      <c r="CD68" s="59">
        <f ca="1">AVERAGE(OFFSET($CC$3,0,0,'Données projet'!$E$12+1,1))-AVERAGE(OFFSET($H$3,0,0,'Données projet'!$E$12+1,1))</f>
        <v>147.1862160897889</v>
      </c>
      <c r="CE68" s="59">
        <f t="shared" si="40"/>
        <v>147.31828668914011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12.820512820512819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0.215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2.0156414923199328</v>
      </c>
      <c r="CL68" s="21">
        <f>EXP(-LN(2)/25)*CL67+(1-EXP(-LN(2)/25))/(LN(2)/25)*Calculateur!CG68*Calculateur!CI68*VLOOKUP('Données projet'!$B$12,Paramètres!$A$1:$I$89,3,0)*0.475*44/12</f>
        <v>19.362148526243104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21.377790018563037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326.05837294177707</v>
      </c>
      <c r="T69" s="59">
        <f t="shared" ref="T69:T132" si="88">$T$3</f>
        <v>406.74689878702014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146.0367922158668</v>
      </c>
      <c r="AA69" s="21">
        <f>EXP(-LN(2)/25)*AA68+(1-EXP(-LN(2)/25))/(LN(2)/25)*Calculateur!V69*Calculateur!X69*VLOOKUP('Données projet'!$B$9,Paramètres!$A$1:$I$89,3,0)*0.475*44/12</f>
        <v>46.736356196254789</v>
      </c>
      <c r="AB69" s="21">
        <f>EXP(-LN(2)/2)*AB68+(1-EXP(-LN(2)/2))/(LN(2)/2)*V69*Y69*VLOOKUP('Données projet'!$B$9,Paramètres!$A$1:$I$89,3,0)*0.475*44/12</f>
        <v>2.415759751313745</v>
      </c>
      <c r="AC69" s="22">
        <f t="shared" si="57"/>
        <v>195.18890816343534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259.46949600000028</v>
      </c>
      <c r="AK69" s="13">
        <f t="shared" ref="AK69:AK132" si="89">EXP(-1.0587+0.8836*LN(AJ69)+0.284)</f>
        <v>62.609282502673501</v>
      </c>
      <c r="AL69" s="20">
        <f t="shared" si="58"/>
        <v>560.95387255882349</v>
      </c>
      <c r="AM69" s="59">
        <f t="shared" si="59"/>
        <v>854.28720589215686</v>
      </c>
      <c r="AN69" s="59">
        <f ca="1">AVERAGE(OFFSET($AM$3,0,0,'Données projet'!$E$10+1,1))-AVERAGE(OFFSET($H$3,0,0,'Données projet'!$E$10+1,1))</f>
        <v>490.21869105612649</v>
      </c>
      <c r="AO69" s="59">
        <f t="shared" ref="AO69:AO132" si="90">$AO$3</f>
        <v>207.08773997010911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8.0806948968281098</v>
      </c>
      <c r="AV69" s="21">
        <f>EXP(-LN(2)/25)*AV68+(1-EXP(-LN(2)/25))/(LN(2)/25)*Calculateur!AQ69*Calculateur!AS69*VLOOKUP('Données projet'!$B$10,Paramètres!$A$1:$I$89,3,0)*0.475*44/12</f>
        <v>33.817868407767122</v>
      </c>
      <c r="AW69" s="21">
        <f>EXP(-LN(2)/2)*AW68+(1-EXP(-LN(2)/2))/(LN(2)/2)*AQ69*AT69*VLOOKUP('Données projet'!$B$10,Paramètres!$A$1:$I$89,3,0)*0.475*44/12</f>
        <v>5.1195523422004099</v>
      </c>
      <c r="AX69" s="21">
        <f t="shared" si="60"/>
        <v>47.018115646795636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290.78478000000035</v>
      </c>
      <c r="BF69" s="13">
        <f t="shared" ref="BF69:BF132" si="91">EXP(-1.0587+0.8836*LN(BE69)+0.284)</f>
        <v>69.241105574743742</v>
      </c>
      <c r="BG69" s="20">
        <f t="shared" si="61"/>
        <v>627.04508404267926</v>
      </c>
      <c r="BH69" s="59">
        <f t="shared" si="62"/>
        <v>920.37841737601252</v>
      </c>
      <c r="BI69" s="59">
        <f ca="1">AVERAGE(OFFSET($BH$3,0,0,'Données projet'!$E$11+1,1))-AVERAGE(OFFSET($H$3,0,0,'Données projet'!$E$11+1,1))</f>
        <v>561.19833044503548</v>
      </c>
      <c r="BJ69" s="59">
        <f t="shared" ref="BJ69:BJ132" si="92">$BJ$3</f>
        <v>235.9089269943575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9.0559511774797787</v>
      </c>
      <c r="BQ69" s="21">
        <f>EXP(-LN(2)/25)*BQ68+(1-EXP(-LN(2)/25))/(LN(2)/25)*Calculateur!BL69*Calculateur!BN69*VLOOKUP('Données projet'!$B$11,Paramètres!$A$1:$I$89,3,0)*0.475*44/12</f>
        <v>37.899335284566604</v>
      </c>
      <c r="BR69" s="21">
        <f>EXP(-LN(2)/2)*BR68+(1-EXP(-LN(2)/2))/(LN(2)/2)*BL69*BO69*VLOOKUP('Données projet'!$B$11,Paramètres!$A$1:$I$89,3,0)*0.475*44/12</f>
        <v>5.7374293490177015</v>
      </c>
      <c r="BS69" s="22">
        <f t="shared" si="63"/>
        <v>52.692715811064083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2.9487179487179502</v>
      </c>
      <c r="BY69" s="12">
        <f>IF('Données projet'!$A$114&gt;35,BY68+BX69-CG68,IF(A69&lt;'Données projet'!$A$114,$BV$205^A69,IF(A69='Données projet'!$A$114,'Données projet'!$B$114,BY68+BX69-CG68)))</f>
        <v>138.84615384615381</v>
      </c>
      <c r="BZ69" s="13">
        <f>BY69*VLOOKUP('Données projet'!$B$12,Paramètres!$A$1:$I$89,3,0)*VLOOKUP('Données projet'!$B$12,Paramètres!$A$1:$I$89,5,0)</f>
        <v>121.29599999999998</v>
      </c>
      <c r="CA69" s="13">
        <f t="shared" ref="CA69:CA132" si="93">EXP(-1.0587+0.8836*LN(BZ69)+0.284)</f>
        <v>31.977080775369281</v>
      </c>
      <c r="CB69" s="20">
        <f t="shared" si="64"/>
        <v>266.95061568376815</v>
      </c>
      <c r="CC69" s="59">
        <f t="shared" si="65"/>
        <v>560.28394901710146</v>
      </c>
      <c r="CD69" s="59">
        <f ca="1">AVERAGE(OFFSET($CC$3,0,0,'Données projet'!$E$12+1,1))-AVERAGE(OFFSET($H$3,0,0,'Données projet'!$E$12+1,1))</f>
        <v>147.1862160897889</v>
      </c>
      <c r="CE69" s="59">
        <f t="shared" ref="CE69:CE132" si="94">$CE$3</f>
        <v>147.31828668914011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1.9761159920754541</v>
      </c>
      <c r="CL69" s="21">
        <f>EXP(-LN(2)/25)*CL68+(1-EXP(-LN(2)/25))/(LN(2)/25)*Calculateur!CG69*Calculateur!CI69*VLOOKUP('Données projet'!$B$12,Paramètres!$A$1:$I$89,3,0)*0.475*44/12</f>
        <v>18.832689556581848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20.8088055486573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326.05837294177707</v>
      </c>
      <c r="T70" s="59">
        <f t="shared" si="88"/>
        <v>406.74689878702014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143.1730997941616</v>
      </c>
      <c r="AA70" s="21">
        <f>EXP(-LN(2)/25)*AA69+(1-EXP(-LN(2)/25))/(LN(2)/25)*Calculateur!V70*Calculateur!X70*VLOOKUP('Données projet'!$B$9,Paramètres!$A$1:$I$89,3,0)*0.475*44/12</f>
        <v>45.458348078310046</v>
      </c>
      <c r="AB70" s="21">
        <f>EXP(-LN(2)/2)*AB69+(1-EXP(-LN(2)/2))/(LN(2)/2)*V70*Y70*VLOOKUP('Données projet'!$B$9,Paramètres!$A$1:$I$89,3,0)*0.475*44/12</f>
        <v>1.7082001018714768</v>
      </c>
      <c r="AC70" s="22">
        <f t="shared" si="57"/>
        <v>190.33964797434314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219.70692900000031</v>
      </c>
      <c r="AK70" s="13">
        <f t="shared" si="89"/>
        <v>54.051183245794981</v>
      </c>
      <c r="AL70" s="20">
        <f t="shared" si="58"/>
        <v>476.79537882809342</v>
      </c>
      <c r="AM70" s="59">
        <f t="shared" si="59"/>
        <v>770.12871216142673</v>
      </c>
      <c r="AN70" s="59">
        <f ca="1">AVERAGE(OFFSET($AM$3,0,0,'Données projet'!$E$10+1,1))-AVERAGE(OFFSET($H$3,0,0,'Données projet'!$E$10+1,1))</f>
        <v>490.21869105612649</v>
      </c>
      <c r="AO70" s="59">
        <f t="shared" si="90"/>
        <v>207.08773997010911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7.9222373986385248</v>
      </c>
      <c r="AV70" s="21">
        <f>EXP(-LN(2)/25)*AV69+(1-EXP(-LN(2)/25))/(LN(2)/25)*Calculateur!AQ70*Calculateur!AS70*VLOOKUP('Données projet'!$B$10,Paramètres!$A$1:$I$89,3,0)*0.475*44/12</f>
        <v>32.893117017752324</v>
      </c>
      <c r="AW70" s="21">
        <f>EXP(-LN(2)/2)*AW69+(1-EXP(-LN(2)/2))/(LN(2)/2)*AQ70*AT70*VLOOKUP('Données projet'!$B$10,Paramètres!$A$1:$I$89,3,0)*0.475*44/12</f>
        <v>3.6200701778093825</v>
      </c>
      <c r="AX70" s="21">
        <f t="shared" si="60"/>
        <v>44.435424594200228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246.22328250000032</v>
      </c>
      <c r="BF70" s="13">
        <f t="shared" si="91"/>
        <v>59.776498563165894</v>
      </c>
      <c r="BG70" s="20">
        <f t="shared" si="61"/>
        <v>532.94961868501457</v>
      </c>
      <c r="BH70" s="59">
        <f t="shared" si="62"/>
        <v>826.28295201834794</v>
      </c>
      <c r="BI70" s="59">
        <f ca="1">AVERAGE(OFFSET($BH$3,0,0,'Données projet'!$E$11+1,1))-AVERAGE(OFFSET($H$3,0,0,'Données projet'!$E$11+1,1))</f>
        <v>561.19833044503548</v>
      </c>
      <c r="BJ70" s="59">
        <f t="shared" si="92"/>
        <v>235.9089269943575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8.8783694984742105</v>
      </c>
      <c r="BQ70" s="21">
        <f>EXP(-LN(2)/25)*BQ69+(1-EXP(-LN(2)/25))/(LN(2)/25)*Calculateur!BL70*Calculateur!BN70*VLOOKUP('Données projet'!$B$11,Paramètres!$A$1:$I$89,3,0)*0.475*44/12</f>
        <v>36.862975968170709</v>
      </c>
      <c r="BR70" s="21">
        <f>EXP(-LN(2)/2)*BR69+(1-EXP(-LN(2)/2))/(LN(2)/2)*BL70*BO70*VLOOKUP('Données projet'!$B$11,Paramètres!$A$1:$I$89,3,0)*0.475*44/12</f>
        <v>4.0569751992691359</v>
      </c>
      <c r="BS70" s="22">
        <f t="shared" si="63"/>
        <v>49.798320665914048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2.9487179487179502</v>
      </c>
      <c r="BY70" s="12">
        <f>IF('Données projet'!$A$114&gt;35,BY69+BX70-CG69,IF(A70&lt;'Données projet'!$A$114,$BV$205^A70,IF(A70='Données projet'!$A$114,'Données projet'!$B$114,BY69+BX70-CG69)))</f>
        <v>141.79487179487177</v>
      </c>
      <c r="BZ70" s="13">
        <f>BY70*VLOOKUP('Données projet'!$B$12,Paramètres!$A$1:$I$89,3,0)*VLOOKUP('Données projet'!$B$12,Paramètres!$A$1:$I$89,5,0)</f>
        <v>123.87199999999999</v>
      </c>
      <c r="CA70" s="13">
        <f t="shared" si="93"/>
        <v>32.576403818754763</v>
      </c>
      <c r="CB70" s="20">
        <f t="shared" si="64"/>
        <v>272.48096998433113</v>
      </c>
      <c r="CC70" s="59">
        <f t="shared" si="65"/>
        <v>565.81430331766444</v>
      </c>
      <c r="CD70" s="59">
        <f ca="1">AVERAGE(OFFSET($CC$3,0,0,'Données projet'!$E$12+1,1))-AVERAGE(OFFSET($H$3,0,0,'Données projet'!$E$12+1,1))</f>
        <v>147.1862160897889</v>
      </c>
      <c r="CE70" s="59">
        <f t="shared" si="94"/>
        <v>147.31828668914011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1.937365562782595</v>
      </c>
      <c r="CL70" s="21">
        <f>EXP(-LN(2)/25)*CL69+(1-EXP(-LN(2)/25))/(LN(2)/25)*Calculateur!CG70*Calculateur!CI70*VLOOKUP('Données projet'!$B$12,Paramètres!$A$1:$I$89,3,0)*0.475*44/12</f>
        <v>18.317708670289015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20.25507423307161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326.05837294177707</v>
      </c>
      <c r="T71" s="59">
        <f t="shared" si="88"/>
        <v>406.74689878702014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140.36556263416614</v>
      </c>
      <c r="AA71" s="21">
        <f>EXP(-LN(2)/25)*AA70+(1-EXP(-LN(2)/25))/(LN(2)/25)*Calculateur!V71*Calculateur!X71*VLOOKUP('Données projet'!$B$9,Paramètres!$A$1:$I$89,3,0)*0.475*44/12</f>
        <v>44.215287159558031</v>
      </c>
      <c r="AB71" s="21">
        <f>EXP(-LN(2)/2)*AB70+(1-EXP(-LN(2)/2))/(LN(2)/2)*V71*Y71*VLOOKUP('Données projet'!$B$9,Paramètres!$A$1:$I$89,3,0)*0.475*44/12</f>
        <v>1.2078798756568725</v>
      </c>
      <c r="AC71" s="22">
        <f t="shared" si="57"/>
        <v>185.78872966938104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228.51402600000029</v>
      </c>
      <c r="AK71" s="13">
        <f t="shared" si="89"/>
        <v>55.96125810397254</v>
      </c>
      <c r="AL71" s="20">
        <f t="shared" si="58"/>
        <v>495.46111981441936</v>
      </c>
      <c r="AM71" s="59">
        <f t="shared" si="59"/>
        <v>788.79445314775262</v>
      </c>
      <c r="AN71" s="59">
        <f ca="1">AVERAGE(OFFSET($AM$3,0,0,'Données projet'!$E$10+1,1))-AVERAGE(OFFSET($H$3,0,0,'Données projet'!$E$10+1,1))</f>
        <v>490.21869105612649</v>
      </c>
      <c r="AO71" s="59">
        <f t="shared" si="90"/>
        <v>207.08773997010911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7.7668871553389076</v>
      </c>
      <c r="AV71" s="21">
        <f>EXP(-LN(2)/25)*AV70+(1-EXP(-LN(2)/25))/(LN(2)/25)*Calculateur!AQ71*Calculateur!AS71*VLOOKUP('Données projet'!$B$10,Paramètres!$A$1:$I$89,3,0)*0.475*44/12</f>
        <v>31.993653003128042</v>
      </c>
      <c r="AW71" s="21">
        <f>EXP(-LN(2)/2)*AW70+(1-EXP(-LN(2)/2))/(LN(2)/2)*AQ71*AT71*VLOOKUP('Données projet'!$B$10,Paramètres!$A$1:$I$89,3,0)*0.475*44/12</f>
        <v>2.5597761711002054</v>
      </c>
      <c r="AX71" s="21">
        <f t="shared" si="60"/>
        <v>42.320316329567156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256.09330500000038</v>
      </c>
      <c r="BF71" s="13">
        <f t="shared" si="91"/>
        <v>61.888896112284726</v>
      </c>
      <c r="BG71" s="20">
        <f t="shared" si="61"/>
        <v>553.81900027056327</v>
      </c>
      <c r="BH71" s="59">
        <f t="shared" si="62"/>
        <v>847.15233360389652</v>
      </c>
      <c r="BI71" s="59">
        <f ca="1">AVERAGE(OFFSET($BH$3,0,0,'Données projet'!$E$11+1,1))-AVERAGE(OFFSET($H$3,0,0,'Données projet'!$E$11+1,1))</f>
        <v>561.19833044503548</v>
      </c>
      <c r="BJ71" s="59">
        <f t="shared" si="92"/>
        <v>235.9089269943575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8.7042700878798112</v>
      </c>
      <c r="BQ71" s="21">
        <f>EXP(-LN(2)/25)*BQ70+(1-EXP(-LN(2)/25))/(LN(2)/25)*Calculateur!BL71*Calculateur!BN71*VLOOKUP('Données projet'!$B$11,Paramètres!$A$1:$I$89,3,0)*0.475*44/12</f>
        <v>35.854955951781427</v>
      </c>
      <c r="BR71" s="21">
        <f>EXP(-LN(2)/2)*BR70+(1-EXP(-LN(2)/2))/(LN(2)/2)*BL71*BO71*VLOOKUP('Données projet'!$B$11,Paramètres!$A$1:$I$89,3,0)*0.475*44/12</f>
        <v>2.8687146745088512</v>
      </c>
      <c r="BS71" s="22">
        <f t="shared" si="63"/>
        <v>47.427940714170091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2.9487179487179502</v>
      </c>
      <c r="BY71" s="12">
        <f>IF('Données projet'!$A$114&gt;35,BY70+BX71-CG70,IF(A71&lt;'Données projet'!$A$114,$BV$205^A71,IF(A71='Données projet'!$A$114,'Données projet'!$B$114,BY70+BX71-CG70)))</f>
        <v>144.74358974358972</v>
      </c>
      <c r="BZ71" s="13">
        <f>BY71*VLOOKUP('Données projet'!$B$12,Paramètres!$A$1:$I$89,3,0)*VLOOKUP('Données projet'!$B$12,Paramètres!$A$1:$I$89,5,0)</f>
        <v>126.44800000000001</v>
      </c>
      <c r="CA71" s="13">
        <f t="shared" si="93"/>
        <v>33.174277775906482</v>
      </c>
      <c r="CB71" s="20">
        <f t="shared" si="64"/>
        <v>278.00880045970376</v>
      </c>
      <c r="CC71" s="59">
        <f t="shared" si="65"/>
        <v>571.34213379303708</v>
      </c>
      <c r="CD71" s="59">
        <f ca="1">AVERAGE(OFFSET($CC$3,0,0,'Données projet'!$E$12+1,1))-AVERAGE(OFFSET($H$3,0,0,'Données projet'!$E$12+1,1))</f>
        <v>147.1862160897889</v>
      </c>
      <c r="CE71" s="59">
        <f t="shared" si="94"/>
        <v>147.31828668914011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1.8993750057727408</v>
      </c>
      <c r="CL71" s="21">
        <f>EXP(-LN(2)/25)*CL70+(1-EXP(-LN(2)/25))/(LN(2)/25)*Calculateur!CG71*Calculateur!CI71*VLOOKUP('Données projet'!$B$12,Paramètres!$A$1:$I$89,3,0)*0.475*44/12</f>
        <v>17.81680996341353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19.716184969186269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326.05837294177707</v>
      </c>
      <c r="T72" s="59">
        <f t="shared" si="88"/>
        <v>406.74689878702014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137.61307956544962</v>
      </c>
      <c r="AA72" s="21">
        <f>EXP(-LN(2)/25)*AA71+(1-EXP(-LN(2)/25))/(LN(2)/25)*Calculateur!V72*Calculateur!X72*VLOOKUP('Données projet'!$B$9,Paramètres!$A$1:$I$89,3,0)*0.475*44/12</f>
        <v>43.006217806999018</v>
      </c>
      <c r="AB72" s="21">
        <f>EXP(-LN(2)/2)*AB71+(1-EXP(-LN(2)/2))/(LN(2)/2)*V72*Y72*VLOOKUP('Données projet'!$B$9,Paramètres!$A$1:$I$89,3,0)*0.475*44/12</f>
        <v>0.85410005093573838</v>
      </c>
      <c r="AC72" s="22">
        <f t="shared" si="57"/>
        <v>181.47339742338437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237.32112300000028</v>
      </c>
      <c r="AK72" s="13">
        <f t="shared" si="89"/>
        <v>57.862781053141006</v>
      </c>
      <c r="AL72" s="20">
        <f t="shared" si="58"/>
        <v>514.11196622588784</v>
      </c>
      <c r="AM72" s="59">
        <f t="shared" si="59"/>
        <v>807.44529955922121</v>
      </c>
      <c r="AN72" s="59">
        <f ca="1">AVERAGE(OFFSET($AM$3,0,0,'Données projet'!$E$10+1,1))-AVERAGE(OFFSET($H$3,0,0,'Données projet'!$E$10+1,1))</f>
        <v>490.21869105612649</v>
      </c>
      <c r="AO72" s="59">
        <f t="shared" si="90"/>
        <v>207.08773997010911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7.6145832355561032</v>
      </c>
      <c r="AV72" s="21">
        <f>EXP(-LN(2)/25)*AV71+(1-EXP(-LN(2)/25))/(LN(2)/25)*Calculateur!AQ72*Calculateur!AS72*VLOOKUP('Données projet'!$B$10,Paramètres!$A$1:$I$89,3,0)*0.475*44/12</f>
        <v>31.118784879284416</v>
      </c>
      <c r="AW72" s="21">
        <f>EXP(-LN(2)/2)*AW71+(1-EXP(-LN(2)/2))/(LN(2)/2)*AQ72*AT72*VLOOKUP('Données projet'!$B$10,Paramètres!$A$1:$I$89,3,0)*0.475*44/12</f>
        <v>1.8100350889046914</v>
      </c>
      <c r="AX72" s="21">
        <f t="shared" si="60"/>
        <v>40.543403203745207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265.96332750000033</v>
      </c>
      <c r="BF72" s="13">
        <f t="shared" si="91"/>
        <v>63.991835900335317</v>
      </c>
      <c r="BG72" s="20">
        <f t="shared" si="61"/>
        <v>574.67190958891786</v>
      </c>
      <c r="BH72" s="59">
        <f t="shared" si="62"/>
        <v>868.00524292225123</v>
      </c>
      <c r="BI72" s="59">
        <f ca="1">AVERAGE(OFFSET($BH$3,0,0,'Données projet'!$E$11+1,1))-AVERAGE(OFFSET($H$3,0,0,'Données projet'!$E$11+1,1))</f>
        <v>561.19833044503548</v>
      </c>
      <c r="BJ72" s="59">
        <f t="shared" si="92"/>
        <v>235.9089269943575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8.5335846605370129</v>
      </c>
      <c r="BQ72" s="21">
        <f>EXP(-LN(2)/25)*BQ71+(1-EXP(-LN(2)/25))/(LN(2)/25)*Calculateur!BL72*Calculateur!BN72*VLOOKUP('Données projet'!$B$11,Paramètres!$A$1:$I$89,3,0)*0.475*44/12</f>
        <v>34.874500295749776</v>
      </c>
      <c r="BR72" s="21">
        <f>EXP(-LN(2)/2)*BR71+(1-EXP(-LN(2)/2))/(LN(2)/2)*BL72*BO72*VLOOKUP('Données projet'!$B$11,Paramètres!$A$1:$I$89,3,0)*0.475*44/12</f>
        <v>2.0284875996345684</v>
      </c>
      <c r="BS72" s="22">
        <f t="shared" si="63"/>
        <v>45.436572555921352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2.9487179487179502</v>
      </c>
      <c r="BY72" s="12">
        <f>IF('Données projet'!$A$114&gt;35,BY71+BX72-CG71,IF(A72&lt;'Données projet'!$A$114,$BV$205^A72,IF(A72='Données projet'!$A$114,'Données projet'!$B$114,BY71+BX72-CG71)))</f>
        <v>147.69230769230768</v>
      </c>
      <c r="BZ72" s="13">
        <f>BY72*VLOOKUP('Données projet'!$B$12,Paramètres!$A$1:$I$89,3,0)*VLOOKUP('Données projet'!$B$12,Paramètres!$A$1:$I$89,5,0)</f>
        <v>129.024</v>
      </c>
      <c r="CA72" s="13">
        <f t="shared" si="93"/>
        <v>33.770735569397921</v>
      </c>
      <c r="CB72" s="20">
        <f t="shared" si="64"/>
        <v>283.53416445003467</v>
      </c>
      <c r="CC72" s="59">
        <f t="shared" si="65"/>
        <v>576.86749778336798</v>
      </c>
      <c r="CD72" s="59">
        <f ca="1">AVERAGE(OFFSET($CC$3,0,0,'Données projet'!$E$12+1,1))-AVERAGE(OFFSET($H$3,0,0,'Données projet'!$E$12+1,1))</f>
        <v>147.1862160897889</v>
      </c>
      <c r="CE72" s="59">
        <f t="shared" si="94"/>
        <v>147.31828668914011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1.8621294204138981</v>
      </c>
      <c r="CL72" s="21">
        <f>EXP(-LN(2)/25)*CL71+(1-EXP(-LN(2)/25))/(LN(2)/25)*Calculateur!CG72*Calculateur!CI72*VLOOKUP('Données projet'!$B$12,Paramètres!$A$1:$I$89,3,0)*0.475*44/12</f>
        <v>17.329608358018671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19.191737778432568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326.05837294177707</v>
      </c>
      <c r="T73" s="59">
        <f t="shared" si="88"/>
        <v>406.74689878702014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134.91457101086172</v>
      </c>
      <c r="AA73" s="21">
        <f>EXP(-LN(2)/25)*AA72+(1-EXP(-LN(2)/25))/(LN(2)/25)*Calculateur!V73*Calculateur!X73*VLOOKUP('Données projet'!$B$9,Paramètres!$A$1:$I$89,3,0)*0.475*44/12</f>
        <v>41.830210519467926</v>
      </c>
      <c r="AB73" s="21">
        <f>EXP(-LN(2)/2)*AB72+(1-EXP(-LN(2)/2))/(LN(2)/2)*V73*Y73*VLOOKUP('Données projet'!$B$9,Paramètres!$A$1:$I$89,3,0)*0.475*44/12</f>
        <v>0.60393993782843625</v>
      </c>
      <c r="AC73" s="22">
        <f t="shared" si="57"/>
        <v>177.34872146815809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246.12822000000025</v>
      </c>
      <c r="AK73" s="13">
        <f t="shared" si="89"/>
        <v>59.756105801003123</v>
      </c>
      <c r="AL73" s="20">
        <f t="shared" si="58"/>
        <v>532.74853410341427</v>
      </c>
      <c r="AM73" s="59">
        <f t="shared" si="59"/>
        <v>826.08186743674764</v>
      </c>
      <c r="AN73" s="59">
        <f ca="1">AVERAGE(OFFSET($AM$3,0,0,'Données projet'!$E$10+1,1))-AVERAGE(OFFSET($H$3,0,0,'Données projet'!$E$10+1,1))</f>
        <v>490.21869105612649</v>
      </c>
      <c r="AO73" s="59">
        <f t="shared" si="90"/>
        <v>207.08773997010911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7.4652659027440214</v>
      </c>
      <c r="AV73" s="21">
        <f>EXP(-LN(2)/25)*AV72+(1-EXP(-LN(2)/25))/(LN(2)/25)*Calculateur!AQ73*Calculateur!AS73*VLOOKUP('Données projet'!$B$10,Paramètres!$A$1:$I$89,3,0)*0.475*44/12</f>
        <v>30.267840070294611</v>
      </c>
      <c r="AW73" s="21">
        <f>EXP(-LN(2)/2)*AW72+(1-EXP(-LN(2)/2))/(LN(2)/2)*AQ73*AT73*VLOOKUP('Données projet'!$B$10,Paramètres!$A$1:$I$89,3,0)*0.475*44/12</f>
        <v>1.2798880855501029</v>
      </c>
      <c r="AX73" s="21">
        <f t="shared" si="60"/>
        <v>39.012994058588738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275.83335000000034</v>
      </c>
      <c r="BF73" s="13">
        <f t="shared" si="91"/>
        <v>66.085709101140665</v>
      </c>
      <c r="BG73" s="20">
        <f t="shared" si="61"/>
        <v>595.50902793448722</v>
      </c>
      <c r="BH73" s="59">
        <f t="shared" si="62"/>
        <v>888.84236126782048</v>
      </c>
      <c r="BI73" s="59">
        <f ca="1">AVERAGE(OFFSET($BH$3,0,0,'Données projet'!$E$11+1,1))-AVERAGE(OFFSET($H$3,0,0,'Données projet'!$E$11+1,1))</f>
        <v>561.19833044503548</v>
      </c>
      <c r="BJ73" s="59">
        <f t="shared" si="92"/>
        <v>235.9089269943575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8.3662462703165765</v>
      </c>
      <c r="BQ73" s="21">
        <f>EXP(-LN(2)/25)*BQ72+(1-EXP(-LN(2)/25))/(LN(2)/25)*Calculateur!BL73*Calculateur!BN73*VLOOKUP('Données projet'!$B$11,Paramètres!$A$1:$I$89,3,0)*0.475*44/12</f>
        <v>33.920855251192236</v>
      </c>
      <c r="BR73" s="21">
        <f>EXP(-LN(2)/2)*BR72+(1-EXP(-LN(2)/2))/(LN(2)/2)*BL73*BO73*VLOOKUP('Données projet'!$B$11,Paramètres!$A$1:$I$89,3,0)*0.475*44/12</f>
        <v>1.4343573372544258</v>
      </c>
      <c r="BS73" s="22">
        <f t="shared" si="63"/>
        <v>43.721458858763242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150.64102564102564</v>
      </c>
      <c r="BW73" s="12">
        <f>VLOOKUP(A73,'Données projet'!$A$113:$I$133,9,0)</f>
        <v>2.9487179487179502</v>
      </c>
      <c r="BX73" s="12">
        <f t="array" ref="BX73">INDEX(BW:BW,MIN(IF(ISNUMBER(BW73:BW269),ROW(BW73:BW269),"")))</f>
        <v>2.9487179487179502</v>
      </c>
      <c r="BY73" s="12">
        <f>IF('Données projet'!$A$114&gt;35,BY72+BX73-CG72,IF(A73&lt;'Données projet'!$A$114,$BV$205^A73,IF(A73='Données projet'!$A$114,'Données projet'!$B$114,BY72+BX73-CG72)))</f>
        <v>150.64102564102564</v>
      </c>
      <c r="BZ73" s="13">
        <f>BY73*VLOOKUP('Données projet'!$B$12,Paramètres!$A$1:$I$89,3,0)*VLOOKUP('Données projet'!$B$12,Paramètres!$A$1:$I$89,5,0)</f>
        <v>131.60000000000002</v>
      </c>
      <c r="CA73" s="13">
        <f t="shared" si="93"/>
        <v>34.365808732013541</v>
      </c>
      <c r="CB73" s="20">
        <f t="shared" si="64"/>
        <v>289.05711687492357</v>
      </c>
      <c r="CC73" s="59">
        <f t="shared" si="65"/>
        <v>582.39045020825688</v>
      </c>
      <c r="CD73" s="59">
        <f ca="1">AVERAGE(OFFSET($CC$3,0,0,'Données projet'!$E$12+1,1))-AVERAGE(OFFSET($H$3,0,0,'Données projet'!$E$12+1,1))</f>
        <v>147.1862160897889</v>
      </c>
      <c r="CE73" s="59">
        <f t="shared" si="94"/>
        <v>147.31828668914011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10.256410256410255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0.215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2.2515298260928334</v>
      </c>
      <c r="CL73" s="21">
        <f>EXP(-LN(2)/25)*CL72+(1-EXP(-LN(2)/25))/(LN(2)/25)*Calculateur!CG73*Calculateur!CI73*VLOOKUP('Données projet'!$B$12,Paramètres!$A$1:$I$89,3,0)*0.475*44/12</f>
        <v>18.976922484709782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21.228452310802616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326.05837294177707</v>
      </c>
      <c r="T74" s="59">
        <f t="shared" si="88"/>
        <v>406.74689878702014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132.2689785631016</v>
      </c>
      <c r="AA74" s="21">
        <f>EXP(-LN(2)/25)*AA73+(1-EXP(-LN(2)/25))/(LN(2)/25)*Calculateur!V74*Calculateur!X74*VLOOKUP('Données projet'!$B$9,Paramètres!$A$1:$I$89,3,0)*0.475*44/12</f>
        <v>40.686361213057907</v>
      </c>
      <c r="AB74" s="21">
        <f>EXP(-LN(2)/2)*AB73+(1-EXP(-LN(2)/2))/(LN(2)/2)*V74*Y74*VLOOKUP('Données projet'!$B$9,Paramètres!$A$1:$I$89,3,0)*0.475*44/12</f>
        <v>0.42705002546786919</v>
      </c>
      <c r="AC74" s="22">
        <f t="shared" si="57"/>
        <v>173.3823898016274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254.93531700000028</v>
      </c>
      <c r="AK74" s="13">
        <f t="shared" si="89"/>
        <v>61.641559307209917</v>
      </c>
      <c r="AL74" s="20">
        <f t="shared" si="58"/>
        <v>551.37139290172445</v>
      </c>
      <c r="AM74" s="59">
        <f t="shared" si="59"/>
        <v>844.70472623505771</v>
      </c>
      <c r="AN74" s="59">
        <f ca="1">AVERAGE(OFFSET($AM$3,0,0,'Données projet'!$E$10+1,1))-AVERAGE(OFFSET($H$3,0,0,'Données projet'!$E$10+1,1))</f>
        <v>490.21869105612649</v>
      </c>
      <c r="AO74" s="59">
        <f t="shared" si="90"/>
        <v>207.08773997010911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7.3188765917538046</v>
      </c>
      <c r="AV74" s="21">
        <f>EXP(-LN(2)/25)*AV73+(1-EXP(-LN(2)/25))/(LN(2)/25)*Calculateur!AQ74*Calculateur!AS74*VLOOKUP('Données projet'!$B$10,Paramètres!$A$1:$I$89,3,0)*0.475*44/12</f>
        <v>29.440164391855873</v>
      </c>
      <c r="AW74" s="21">
        <f>EXP(-LN(2)/2)*AW73+(1-EXP(-LN(2)/2))/(LN(2)/2)*AQ74*AT74*VLOOKUP('Données projet'!$B$10,Paramètres!$A$1:$I$89,3,0)*0.475*44/12</f>
        <v>0.90501754445234595</v>
      </c>
      <c r="AX74" s="21">
        <f t="shared" si="60"/>
        <v>37.664058528062029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285.70337250000034</v>
      </c>
      <c r="BF74" s="13">
        <f t="shared" si="91"/>
        <v>68.170877307212365</v>
      </c>
      <c r="BG74" s="20">
        <f t="shared" si="61"/>
        <v>616.3309850808954</v>
      </c>
      <c r="BH74" s="59">
        <f t="shared" si="62"/>
        <v>909.66431841422877</v>
      </c>
      <c r="BI74" s="59">
        <f ca="1">AVERAGE(OFFSET($BH$3,0,0,'Données projet'!$E$11+1,1))-AVERAGE(OFFSET($H$3,0,0,'Données projet'!$E$11+1,1))</f>
        <v>561.19833044503548</v>
      </c>
      <c r="BJ74" s="59">
        <f t="shared" si="92"/>
        <v>235.9089269943575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8.2021892838620225</v>
      </c>
      <c r="BQ74" s="21">
        <f>EXP(-LN(2)/25)*BQ73+(1-EXP(-LN(2)/25))/(LN(2)/25)*Calculateur!BL74*Calculateur!BN74*VLOOKUP('Données projet'!$B$11,Paramètres!$A$1:$I$89,3,0)*0.475*44/12</f>
        <v>32.993287680528134</v>
      </c>
      <c r="BR74" s="21">
        <f>EXP(-LN(2)/2)*BR73+(1-EXP(-LN(2)/2))/(LN(2)/2)*BL74*BO74*VLOOKUP('Données projet'!$B$11,Paramètres!$A$1:$I$89,3,0)*0.475*44/12</f>
        <v>1.0142437998172844</v>
      </c>
      <c r="BS74" s="22">
        <f t="shared" si="63"/>
        <v>42.209720764207439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2.6923076923076907</v>
      </c>
      <c r="BY74" s="12">
        <f>IF('Données projet'!$A$114&gt;35,BY73+BX74-CG73,IF(A74&lt;'Données projet'!$A$114,$BV$205^A74,IF(A74='Données projet'!$A$114,'Données projet'!$B$114,BY73+BX74-CG73)))</f>
        <v>143.07692307692307</v>
      </c>
      <c r="BZ74" s="13">
        <f>BY74*VLOOKUP('Données projet'!$B$12,Paramètres!$A$1:$I$89,3,0)*VLOOKUP('Données projet'!$B$12,Paramètres!$A$1:$I$89,5,0)</f>
        <v>124.992</v>
      </c>
      <c r="CA74" s="13">
        <f t="shared" si="93"/>
        <v>32.836525103870635</v>
      </c>
      <c r="CB74" s="20">
        <f t="shared" si="64"/>
        <v>274.88468122257467</v>
      </c>
      <c r="CC74" s="59">
        <f t="shared" si="65"/>
        <v>568.21801455590798</v>
      </c>
      <c r="CD74" s="59">
        <f ca="1">AVERAGE(OFFSET($CC$3,0,0,'Données projet'!$E$12+1,1))-AVERAGE(OFFSET($H$3,0,0,'Données projet'!$E$12+1,1))</f>
        <v>147.1862160897889</v>
      </c>
      <c r="CE74" s="59">
        <f t="shared" si="94"/>
        <v>147.31828668914011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2.2073786995007447</v>
      </c>
      <c r="CL74" s="21">
        <f>EXP(-LN(2)/25)*CL73+(1-EXP(-LN(2)/25))/(LN(2)/25)*Calculateur!CG74*Calculateur!CI74*VLOOKUP('Données projet'!$B$12,Paramètres!$A$1:$I$89,3,0)*0.475*44/12</f>
        <v>18.457997541412411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20.665376240913155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326.05837294177707</v>
      </c>
      <c r="T75" s="59">
        <f t="shared" si="88"/>
        <v>406.74689878702014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129.67526456958998</v>
      </c>
      <c r="AA75" s="21">
        <f>EXP(-LN(2)/25)*AA74+(1-EXP(-LN(2)/25))/(LN(2)/25)*Calculateur!V75*Calculateur!X75*VLOOKUP('Données projet'!$B$9,Paramètres!$A$1:$I$89,3,0)*0.475*44/12</f>
        <v>39.573790526084089</v>
      </c>
      <c r="AB75" s="21">
        <f>EXP(-LN(2)/2)*AB74+(1-EXP(-LN(2)/2))/(LN(2)/2)*V75*Y75*VLOOKUP('Données projet'!$B$9,Paramètres!$A$1:$I$89,3,0)*0.475*44/12</f>
        <v>0.30196996891421812</v>
      </c>
      <c r="AC75" s="22">
        <f t="shared" si="57"/>
        <v>169.55102506458829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263.74241400000022</v>
      </c>
      <c r="AK75" s="13">
        <f t="shared" si="89"/>
        <v>63.519444659628142</v>
      </c>
      <c r="AL75" s="20">
        <f t="shared" si="58"/>
        <v>569.98107049885277</v>
      </c>
      <c r="AM75" s="59">
        <f t="shared" si="59"/>
        <v>863.31440383218614</v>
      </c>
      <c r="AN75" s="59">
        <f ca="1">AVERAGE(OFFSET($AM$3,0,0,'Données projet'!$E$10+1,1))-AVERAGE(OFFSET($H$3,0,0,'Données projet'!$E$10+1,1))</f>
        <v>490.21869105612649</v>
      </c>
      <c r="AO75" s="59">
        <f t="shared" si="90"/>
        <v>207.08773997010911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7.175357885863443</v>
      </c>
      <c r="AV75" s="21">
        <f>EXP(-LN(2)/25)*AV74+(1-EXP(-LN(2)/25))/(LN(2)/25)*Calculateur!AQ75*Calculateur!AS75*VLOOKUP('Données projet'!$B$10,Paramètres!$A$1:$I$89,3,0)*0.475*44/12</f>
        <v>28.635121548369614</v>
      </c>
      <c r="AW75" s="21">
        <f>EXP(-LN(2)/2)*AW74+(1-EXP(-LN(2)/2))/(LN(2)/2)*AQ75*AT75*VLOOKUP('Données projet'!$B$10,Paramètres!$A$1:$I$89,3,0)*0.475*44/12</f>
        <v>0.63994404277505157</v>
      </c>
      <c r="AX75" s="21">
        <f t="shared" si="60"/>
        <v>36.450423477008108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295.57339500000029</v>
      </c>
      <c r="BF75" s="13">
        <f t="shared" si="91"/>
        <v>70.247675710683964</v>
      </c>
      <c r="BG75" s="20">
        <f t="shared" si="61"/>
        <v>637.13836482110844</v>
      </c>
      <c r="BH75" s="59">
        <f t="shared" si="62"/>
        <v>930.47169815444181</v>
      </c>
      <c r="BI75" s="59">
        <f ca="1">AVERAGE(OFFSET($BH$3,0,0,'Données projet'!$E$11+1,1))-AVERAGE(OFFSET($H$3,0,0,'Données projet'!$E$11+1,1))</f>
        <v>561.19833044503548</v>
      </c>
      <c r="BJ75" s="59">
        <f t="shared" si="92"/>
        <v>235.9089269943575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8.041349354846961</v>
      </c>
      <c r="BQ75" s="21">
        <f>EXP(-LN(2)/25)*BQ74+(1-EXP(-LN(2)/25))/(LN(2)/25)*Calculateur!BL75*Calculateur!BN75*VLOOKUP('Données projet'!$B$11,Paramètres!$A$1:$I$89,3,0)*0.475*44/12</f>
        <v>32.091084493862503</v>
      </c>
      <c r="BR75" s="21">
        <f>EXP(-LN(2)/2)*BR74+(1-EXP(-LN(2)/2))/(LN(2)/2)*BL75*BO75*VLOOKUP('Données projet'!$B$11,Paramètres!$A$1:$I$89,3,0)*0.475*44/12</f>
        <v>0.71717866862721313</v>
      </c>
      <c r="BS75" s="22">
        <f t="shared" si="63"/>
        <v>40.849612517336681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2.6923076923076907</v>
      </c>
      <c r="BY75" s="12">
        <f>IF('Données projet'!$A$114&gt;35,BY74+BX75-CG74,IF(A75&lt;'Données projet'!$A$114,$BV$205^A75,IF(A75='Données projet'!$A$114,'Données projet'!$B$114,BY74+BX75-CG74)))</f>
        <v>145.76923076923075</v>
      </c>
      <c r="BZ75" s="13">
        <f>BY75*VLOOKUP('Données projet'!$B$12,Paramètres!$A$1:$I$89,3,0)*VLOOKUP('Données projet'!$B$12,Paramètres!$A$1:$I$89,5,0)</f>
        <v>127.34400000000001</v>
      </c>
      <c r="CA75" s="13">
        <f t="shared" si="93"/>
        <v>33.381900344512879</v>
      </c>
      <c r="CB75" s="20">
        <f t="shared" si="64"/>
        <v>279.93094310002658</v>
      </c>
      <c r="CC75" s="59">
        <f t="shared" si="65"/>
        <v>573.2642764333599</v>
      </c>
      <c r="CD75" s="59">
        <f ca="1">AVERAGE(OFFSET($CC$3,0,0,'Données projet'!$E$12+1,1))-AVERAGE(OFFSET($H$3,0,0,'Données projet'!$E$12+1,1))</f>
        <v>147.1862160897889</v>
      </c>
      <c r="CE75" s="59">
        <f t="shared" si="94"/>
        <v>147.31828668914011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2.164093349571599</v>
      </c>
      <c r="CL75" s="21">
        <f>EXP(-LN(2)/25)*CL74+(1-EXP(-LN(2)/25))/(LN(2)/25)*Calculateur!CG75*Calculateur!CI75*VLOOKUP('Données projet'!$B$12,Paramètres!$A$1:$I$89,3,0)*0.475*44/12</f>
        <v>17.953262627978585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20.117355977550183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326.05837294177707</v>
      </c>
      <c r="T76" s="59">
        <f t="shared" si="88"/>
        <v>406.74689878702014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127.13241172548182</v>
      </c>
      <c r="AA76" s="21">
        <f>EXP(-LN(2)/25)*AA75+(1-EXP(-LN(2)/25))/(LN(2)/25)*Calculateur!V76*Calculateur!X76*VLOOKUP('Données projet'!$B$9,Paramètres!$A$1:$I$89,3,0)*0.475*44/12</f>
        <v>38.491643143053125</v>
      </c>
      <c r="AB76" s="21">
        <f>EXP(-LN(2)/2)*AB75+(1-EXP(-LN(2)/2))/(LN(2)/2)*V76*Y76*VLOOKUP('Données projet'!$B$9,Paramètres!$A$1:$I$89,3,0)*0.475*44/12</f>
        <v>0.21352501273393459</v>
      </c>
      <c r="AC76" s="22">
        <f t="shared" si="57"/>
        <v>165.83757988126885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272.54951100000028</v>
      </c>
      <c r="AK76" s="13">
        <f t="shared" si="89"/>
        <v>65.390043555628168</v>
      </c>
      <c r="AL76" s="20">
        <f t="shared" si="58"/>
        <v>588.57805751771946</v>
      </c>
      <c r="AM76" s="59">
        <f t="shared" si="59"/>
        <v>881.91139085105283</v>
      </c>
      <c r="AN76" s="59">
        <f ca="1">AVERAGE(OFFSET($AM$3,0,0,'Données projet'!$E$10+1,1))-AVERAGE(OFFSET($H$3,0,0,'Données projet'!$E$10+1,1))</f>
        <v>490.21869105612649</v>
      </c>
      <c r="AO76" s="59">
        <f t="shared" si="90"/>
        <v>207.08773997010911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7.0346534942578245</v>
      </c>
      <c r="AV76" s="21">
        <f>EXP(-LN(2)/25)*AV75+(1-EXP(-LN(2)/25))/(LN(2)/25)*Calculateur!AQ76*Calculateur!AS76*VLOOKUP('Données projet'!$B$10,Paramètres!$A$1:$I$89,3,0)*0.475*44/12</f>
        <v>27.852092643773851</v>
      </c>
      <c r="AW76" s="21">
        <f>EXP(-LN(2)/2)*AW75+(1-EXP(-LN(2)/2))/(LN(2)/2)*AQ76*AT76*VLOOKUP('Données projet'!$B$10,Paramètres!$A$1:$I$89,3,0)*0.475*44/12</f>
        <v>0.45250877222617303</v>
      </c>
      <c r="AX76" s="21">
        <f t="shared" si="60"/>
        <v>35.33925491025785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305.44341750000029</v>
      </c>
      <c r="BF76" s="13">
        <f t="shared" si="91"/>
        <v>72.316415847426583</v>
      </c>
      <c r="BG76" s="20">
        <f t="shared" si="61"/>
        <v>657.93170974676843</v>
      </c>
      <c r="BH76" s="59">
        <f t="shared" si="62"/>
        <v>951.2650430801018</v>
      </c>
      <c r="BI76" s="59">
        <f ca="1">AVERAGE(OFFSET($BH$3,0,0,'Données projet'!$E$11+1,1))-AVERAGE(OFFSET($H$3,0,0,'Données projet'!$E$11+1,1))</f>
        <v>561.19833044503548</v>
      </c>
      <c r="BJ76" s="59">
        <f t="shared" si="92"/>
        <v>235.9089269943575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7.883663398737216</v>
      </c>
      <c r="BQ76" s="21">
        <f>EXP(-LN(2)/25)*BQ75+(1-EXP(-LN(2)/25))/(LN(2)/25)*Calculateur!BL76*Calculateur!BN76*VLOOKUP('Données projet'!$B$11,Paramètres!$A$1:$I$89,3,0)*0.475*44/12</f>
        <v>31.213552100781044</v>
      </c>
      <c r="BR76" s="21">
        <f>EXP(-LN(2)/2)*BR75+(1-EXP(-LN(2)/2))/(LN(2)/2)*BL76*BO76*VLOOKUP('Données projet'!$B$11,Paramètres!$A$1:$I$89,3,0)*0.475*44/12</f>
        <v>0.50712189990864232</v>
      </c>
      <c r="BS76" s="22">
        <f t="shared" si="63"/>
        <v>39.604337399426896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2.6923076923076907</v>
      </c>
      <c r="BY76" s="12">
        <f>IF('Données projet'!$A$114&gt;35,BY75+BX76-CG75,IF(A76&lt;'Données projet'!$A$114,$BV$205^A76,IF(A76='Données projet'!$A$114,'Données projet'!$B$114,BY75+BX76-CG75)))</f>
        <v>148.46153846153842</v>
      </c>
      <c r="BZ76" s="13">
        <f>BY76*VLOOKUP('Données projet'!$B$12,Paramètres!$A$1:$I$89,3,0)*VLOOKUP('Données projet'!$B$12,Paramètres!$A$1:$I$89,5,0)</f>
        <v>129.696</v>
      </c>
      <c r="CA76" s="13">
        <f t="shared" si="93"/>
        <v>33.926104289378593</v>
      </c>
      <c r="CB76" s="20">
        <f t="shared" si="64"/>
        <v>284.97516497066772</v>
      </c>
      <c r="CC76" s="59">
        <f t="shared" si="65"/>
        <v>578.30849830400098</v>
      </c>
      <c r="CD76" s="59">
        <f ca="1">AVERAGE(OFFSET($CC$3,0,0,'Données projet'!$E$12+1,1))-AVERAGE(OFFSET($H$3,0,0,'Données projet'!$E$12+1,1))</f>
        <v>147.1862160897889</v>
      </c>
      <c r="CE76" s="59">
        <f t="shared" si="94"/>
        <v>147.31828668914011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2.1216567989531074</v>
      </c>
      <c r="CL76" s="21">
        <f>EXP(-LN(2)/25)*CL75+(1-EXP(-LN(2)/25))/(LN(2)/25)*Calculateur!CG76*Calculateur!CI76*VLOOKUP('Données projet'!$B$12,Paramètres!$A$1:$I$89,3,0)*0.475*44/12</f>
        <v>17.462329717295461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19.583986516248569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326.05837294177707</v>
      </c>
      <c r="T77" s="59">
        <f t="shared" si="88"/>
        <v>406.74689878702014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124.63942267465953</v>
      </c>
      <c r="AA77" s="21">
        <f>EXP(-LN(2)/25)*AA76+(1-EXP(-LN(2)/25))/(LN(2)/25)*Calculateur!V77*Calculateur!X77*VLOOKUP('Données projet'!$B$9,Paramètres!$A$1:$I$89,3,0)*0.475*44/12</f>
        <v>37.439087137118797</v>
      </c>
      <c r="AB77" s="21">
        <f>EXP(-LN(2)/2)*AB76+(1-EXP(-LN(2)/2))/(LN(2)/2)*V77*Y77*VLOOKUP('Données projet'!$B$9,Paramètres!$A$1:$I$89,3,0)*0.475*44/12</f>
        <v>0.15098498445710906</v>
      </c>
      <c r="AC77" s="22">
        <f t="shared" si="57"/>
        <v>162.22949479623543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281.35660800000022</v>
      </c>
      <c r="AK77" s="13">
        <f t="shared" si="89"/>
        <v>67.253618453644265</v>
      </c>
      <c r="AL77" s="20">
        <f t="shared" si="58"/>
        <v>607.16281107343082</v>
      </c>
      <c r="AM77" s="59">
        <f t="shared" si="59"/>
        <v>900.49614440676419</v>
      </c>
      <c r="AN77" s="59">
        <f ca="1">AVERAGE(OFFSET($AM$3,0,0,'Données projet'!$E$10+1,1))-AVERAGE(OFFSET($H$3,0,0,'Données projet'!$E$10+1,1))</f>
        <v>490.21869105612649</v>
      </c>
      <c r="AO77" s="59">
        <f t="shared" si="90"/>
        <v>207.08773997010911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14.625152268757301</v>
      </c>
      <c r="AV77" s="21">
        <f>EXP(-LN(2)/25)*AV76+(1-EXP(-LN(2)/25))/(LN(2)/25)*Calculateur!AQ77*Calculateur!AS77*VLOOKUP('Données projet'!$B$10,Paramètres!$A$1:$I$89,3,0)*0.475*44/12</f>
        <v>31.489340968528012</v>
      </c>
      <c r="AW77" s="21">
        <f>EXP(-LN(2)/2)*AW76+(1-EXP(-LN(2)/2))/(LN(2)/2)*AQ77*AT77*VLOOKUP('Données projet'!$B$10,Paramètres!$A$1:$I$89,3,0)*0.475*44/12</f>
        <v>4.7028840054751821</v>
      </c>
      <c r="AX77" s="21">
        <f t="shared" si="60"/>
        <v>50.8173772427605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315.31344000000024</v>
      </c>
      <c r="BF77" s="13">
        <f t="shared" si="91"/>
        <v>74.377387976510789</v>
      </c>
      <c r="BG77" s="20">
        <f t="shared" si="61"/>
        <v>678.71152539242337</v>
      </c>
      <c r="BH77" s="59">
        <f t="shared" si="62"/>
        <v>972.04485872575674</v>
      </c>
      <c r="BI77" s="59">
        <f ca="1">AVERAGE(OFFSET($BH$3,0,0,'Données projet'!$E$11+1,1))-AVERAGE(OFFSET($H$3,0,0,'Données projet'!$E$11+1,1))</f>
        <v>561.19833044503548</v>
      </c>
      <c r="BJ77" s="59">
        <f t="shared" si="92"/>
        <v>235.9089269943575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16.390256852917666</v>
      </c>
      <c r="BQ77" s="21">
        <f>EXP(-LN(2)/25)*BQ76+(1-EXP(-LN(2)/25))/(LN(2)/25)*Calculateur!BL77*Calculateur!BN77*VLOOKUP('Données projet'!$B$11,Paramètres!$A$1:$I$89,3,0)*0.475*44/12</f>
        <v>35.289778671626223</v>
      </c>
      <c r="BR77" s="21">
        <f>EXP(-LN(2)/2)*BR76+(1-EXP(-LN(2)/2))/(LN(2)/2)*BL77*BO77*VLOOKUP('Données projet'!$B$11,Paramètres!$A$1:$I$89,3,0)*0.475*44/12</f>
        <v>5.2704734544118432</v>
      </c>
      <c r="BS77" s="22">
        <f t="shared" si="63"/>
        <v>56.950508978955732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2.6923076923076907</v>
      </c>
      <c r="BY77" s="12">
        <f>IF('Données projet'!$A$114&gt;35,BY76+BX77-CG76,IF(A77&lt;'Données projet'!$A$114,$BV$205^A77,IF(A77='Données projet'!$A$114,'Données projet'!$B$114,BY76+BX77-CG76)))</f>
        <v>151.1538461538461</v>
      </c>
      <c r="BZ77" s="13">
        <f>BY77*VLOOKUP('Données projet'!$B$12,Paramètres!$A$1:$I$89,3,0)*VLOOKUP('Données projet'!$B$12,Paramètres!$A$1:$I$89,5,0)</f>
        <v>132.04799999999997</v>
      </c>
      <c r="CA77" s="13">
        <f t="shared" si="93"/>
        <v>34.469160629656471</v>
      </c>
      <c r="CB77" s="20">
        <f t="shared" si="64"/>
        <v>290.01738809665164</v>
      </c>
      <c r="CC77" s="59">
        <f t="shared" si="65"/>
        <v>583.35072142998501</v>
      </c>
      <c r="CD77" s="59">
        <f ca="1">AVERAGE(OFFSET($CC$3,0,0,'Données projet'!$E$12+1,1))-AVERAGE(OFFSET($H$3,0,0,'Données projet'!$E$12+1,1))</f>
        <v>147.1862160897889</v>
      </c>
      <c r="CE77" s="59">
        <f t="shared" si="94"/>
        <v>147.31828668914011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2.0800524032085042</v>
      </c>
      <c r="CL77" s="21">
        <f>EXP(-LN(2)/25)*CL76+(1-EXP(-LN(2)/25))/(LN(2)/25)*Calculateur!CG77*Calculateur!CI77*VLOOKUP('Données projet'!$B$12,Paramètres!$A$1:$I$89,3,0)*0.475*44/12</f>
        <v>16.984821392872007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19.064873796080512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326.05837294177707</v>
      </c>
      <c r="T78" s="59">
        <f t="shared" si="88"/>
        <v>406.74689878702014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122.19531961855068</v>
      </c>
      <c r="AA78" s="21">
        <f>EXP(-LN(2)/25)*AA77+(1-EXP(-LN(2)/25))/(LN(2)/25)*Calculateur!V78*Calculateur!X78*VLOOKUP('Données projet'!$B$9,Paramètres!$A$1:$I$89,3,0)*0.475*44/12</f>
        <v>36.415313330518259</v>
      </c>
      <c r="AB78" s="21">
        <f>EXP(-LN(2)/2)*AB77+(1-EXP(-LN(2)/2))/(LN(2)/2)*V78*Y78*VLOOKUP('Données projet'!$B$9,Paramètres!$A$1:$I$89,3,0)*0.475*44/12</f>
        <v>0.1067625063669673</v>
      </c>
      <c r="AC78" s="22">
        <f t="shared" si="57"/>
        <v>158.71739545543591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243.54230160000029</v>
      </c>
      <c r="AK78" s="13">
        <f t="shared" si="89"/>
        <v>59.201022808040776</v>
      </c>
      <c r="AL78" s="20">
        <f t="shared" si="58"/>
        <v>527.27795667733812</v>
      </c>
      <c r="AM78" s="59">
        <f t="shared" si="59"/>
        <v>820.61129001067138</v>
      </c>
      <c r="AN78" s="59">
        <f ca="1">AVERAGE(OFFSET($AM$3,0,0,'Données projet'!$E$10+1,1))-AVERAGE(OFFSET($H$3,0,0,'Données projet'!$E$10+1,1))</f>
        <v>490.21869105612649</v>
      </c>
      <c r="AO78" s="59">
        <f t="shared" si="90"/>
        <v>207.08773997010911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14.338361953229031</v>
      </c>
      <c r="AV78" s="21">
        <f>EXP(-LN(2)/25)*AV77+(1-EXP(-LN(2)/25))/(LN(2)/25)*Calculateur!AQ78*Calculateur!AS78*VLOOKUP('Données projet'!$B$10,Paramètres!$A$1:$I$89,3,0)*0.475*44/12</f>
        <v>30.628263283791142</v>
      </c>
      <c r="AW78" s="21">
        <f>EXP(-LN(2)/2)*AW77+(1-EXP(-LN(2)/2))/(LN(2)/2)*AQ78*AT78*VLOOKUP('Données projet'!$B$10,Paramètres!$A$1:$I$89,3,0)*0.475*44/12</f>
        <v>3.3254411714052541</v>
      </c>
      <c r="AX78" s="21">
        <f t="shared" si="60"/>
        <v>48.292066408425427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272.93533800000034</v>
      </c>
      <c r="BF78" s="13">
        <f t="shared" si="91"/>
        <v>65.471829519996945</v>
      </c>
      <c r="BG78" s="20">
        <f t="shared" si="61"/>
        <v>589.39248343066197</v>
      </c>
      <c r="BH78" s="59">
        <f t="shared" si="62"/>
        <v>882.72581676399523</v>
      </c>
      <c r="BI78" s="59">
        <f ca="1">AVERAGE(OFFSET($BH$3,0,0,'Données projet'!$E$11+1,1))-AVERAGE(OFFSET($H$3,0,0,'Données projet'!$E$11+1,1))</f>
        <v>561.19833044503548</v>
      </c>
      <c r="BJ78" s="59">
        <f t="shared" si="92"/>
        <v>235.9089269943575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16.068853913101503</v>
      </c>
      <c r="BQ78" s="21">
        <f>EXP(-LN(2)/25)*BQ77+(1-EXP(-LN(2)/25))/(LN(2)/25)*Calculateur!BL78*Calculateur!BN78*VLOOKUP('Données projet'!$B$11,Paramètres!$A$1:$I$89,3,0)*0.475*44/12</f>
        <v>34.324777818041802</v>
      </c>
      <c r="BR78" s="21">
        <f>EXP(-LN(2)/2)*BR77+(1-EXP(-LN(2)/2))/(LN(2)/2)*BL78*BO78*VLOOKUP('Données projet'!$B$11,Paramètres!$A$1:$I$89,3,0)*0.475*44/12</f>
        <v>3.7267875196783029</v>
      </c>
      <c r="BS78" s="22">
        <f t="shared" si="63"/>
        <v>54.120419250821605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153.84615384615384</v>
      </c>
      <c r="BW78" s="12">
        <f>VLOOKUP(A78,'Données projet'!$A$113:$I$133,9,0)</f>
        <v>2.6923076923076907</v>
      </c>
      <c r="BX78" s="12">
        <f t="array" ref="BX78">INDEX(BW:BW,MIN(IF(ISNUMBER(BW78:BW274),ROW(BW78:BW274),"")))</f>
        <v>2.6923076923076907</v>
      </c>
      <c r="BY78" s="12">
        <f>IF('Données projet'!$A$114&gt;35,BY77+BX78-CG77,IF(A78&lt;'Données projet'!$A$114,$BV$205^A78,IF(A78='Données projet'!$A$114,'Données projet'!$B$114,BY77+BX78-CG77)))</f>
        <v>153.84615384615378</v>
      </c>
      <c r="BZ78" s="13">
        <f>BY78*VLOOKUP('Données projet'!$B$12,Paramètres!$A$1:$I$89,3,0)*VLOOKUP('Données projet'!$B$12,Paramètres!$A$1:$I$89,5,0)</f>
        <v>134.39999999999998</v>
      </c>
      <c r="CA78" s="13">
        <f t="shared" si="93"/>
        <v>35.011092164239862</v>
      </c>
      <c r="CB78" s="20">
        <f t="shared" si="64"/>
        <v>295.05765218605103</v>
      </c>
      <c r="CC78" s="59">
        <f t="shared" si="65"/>
        <v>588.39098551938434</v>
      </c>
      <c r="CD78" s="59">
        <f ca="1">AVERAGE(OFFSET($CC$3,0,0,'Données projet'!$E$12+1,1))-AVERAGE(OFFSET($H$3,0,0,'Données projet'!$E$12+1,1))</f>
        <v>147.1862160897889</v>
      </c>
      <c r="CE78" s="59">
        <f t="shared" si="94"/>
        <v>147.31828668914011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9.615384615384615</v>
      </c>
      <c r="CH78" s="16">
        <f>IF(ISNA(VLOOKUP(A78,'Données projet'!$A$113:$I$133,5,0)),0%,VLOOKUP(A78,'Données projet'!$A$113:$I$133,5,0)*VLOOKUP('Données projet'!$B$12,Paramètres!$A$1:$I$89,7,0))</f>
        <v>4.3000000000000003E-2</v>
      </c>
      <c r="CI78" s="16">
        <f>IF(ISNA(VLOOKUP(A78,'Données projet'!$A$113:$I$133,6,0)),0%,VLOOKUP(A78,'Données projet'!$A$113:$I$133,6,0)*VLOOKUP('Données projet'!$B$12,Paramètres!$A$1:$I$89,7,0))</f>
        <v>0.215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2.4385597453755787</v>
      </c>
      <c r="CL78" s="21">
        <f>EXP(-LN(2)/25)*CL77+(1-EXP(-LN(2)/25))/(LN(2)/25)*Calculateur!CG78*Calculateur!CI78*VLOOKUP('Données projet'!$B$12,Paramètres!$A$1:$I$89,3,0)*0.475*44/12</f>
        <v>18.508989163596258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20.947548908971836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326.05837294177707</v>
      </c>
      <c r="T79" s="59">
        <f t="shared" si="88"/>
        <v>406.74689878702014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119.79914393261647</v>
      </c>
      <c r="AA79" s="21">
        <f>EXP(-LN(2)/25)*AA78+(1-EXP(-LN(2)/25))/(LN(2)/25)*Calculateur!V79*Calculateur!X79*VLOOKUP('Données projet'!$B$9,Paramètres!$A$1:$I$89,3,0)*0.475*44/12</f>
        <v>35.419534672497136</v>
      </c>
      <c r="AB79" s="21">
        <f>EXP(-LN(2)/2)*AB78+(1-EXP(-LN(2)/2))/(LN(2)/2)*V79*Y79*VLOOKUP('Données projet'!$B$9,Paramètres!$A$1:$I$89,3,0)*0.475*44/12</f>
        <v>7.5492492228554531E-2</v>
      </c>
      <c r="AC79" s="22">
        <f t="shared" si="57"/>
        <v>155.29417109734217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252.18042720000025</v>
      </c>
      <c r="AK79" s="13">
        <f t="shared" si="89"/>
        <v>61.052610283141384</v>
      </c>
      <c r="AL79" s="20">
        <f t="shared" si="58"/>
        <v>545.54754028313835</v>
      </c>
      <c r="AM79" s="59">
        <f t="shared" si="59"/>
        <v>838.88087361647172</v>
      </c>
      <c r="AN79" s="59">
        <f ca="1">AVERAGE(OFFSET($AM$3,0,0,'Données projet'!$E$10+1,1))-AVERAGE(OFFSET($H$3,0,0,'Données projet'!$E$10+1,1))</f>
        <v>490.21869105612649</v>
      </c>
      <c r="AO79" s="59">
        <f t="shared" si="90"/>
        <v>207.08773997010911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14.057195420863451</v>
      </c>
      <c r="AV79" s="21">
        <f>EXP(-LN(2)/25)*AV78+(1-EXP(-LN(2)/25))/(LN(2)/25)*Calculateur!AQ79*Calculateur!AS79*VLOOKUP('Données projet'!$B$10,Paramètres!$A$1:$I$89,3,0)*0.475*44/12</f>
        <v>29.790731813625509</v>
      </c>
      <c r="AW79" s="21">
        <f>EXP(-LN(2)/2)*AW78+(1-EXP(-LN(2)/2))/(LN(2)/2)*AQ79*AT79*VLOOKUP('Données projet'!$B$10,Paramètres!$A$1:$I$89,3,0)*0.475*44/12</f>
        <v>2.3514420027375915</v>
      </c>
      <c r="AX79" s="21">
        <f t="shared" si="60"/>
        <v>46.199369237226556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282.61599600000028</v>
      </c>
      <c r="BF79" s="13">
        <f t="shared" si="91"/>
        <v>67.519544470872418</v>
      </c>
      <c r="BG79" s="20">
        <f t="shared" si="61"/>
        <v>609.81939965343656</v>
      </c>
      <c r="BH79" s="59">
        <f t="shared" si="62"/>
        <v>903.15273298676993</v>
      </c>
      <c r="BI79" s="59">
        <f ca="1">AVERAGE(OFFSET($BH$3,0,0,'Données projet'!$E$11+1,1))-AVERAGE(OFFSET($H$3,0,0,'Données projet'!$E$11+1,1))</f>
        <v>561.19833044503548</v>
      </c>
      <c r="BJ79" s="59">
        <f t="shared" si="92"/>
        <v>235.9089269943575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15.753753488898697</v>
      </c>
      <c r="BQ79" s="21">
        <f>EXP(-LN(2)/25)*BQ78+(1-EXP(-LN(2)/25))/(LN(2)/25)*Calculateur!BL79*Calculateur!BN79*VLOOKUP('Données projet'!$B$11,Paramètres!$A$1:$I$89,3,0)*0.475*44/12</f>
        <v>33.386164963545838</v>
      </c>
      <c r="BR79" s="21">
        <f>EXP(-LN(2)/2)*BR78+(1-EXP(-LN(2)/2))/(LN(2)/2)*BL79*BO79*VLOOKUP('Données projet'!$B$11,Paramètres!$A$1:$I$89,3,0)*0.475*44/12</f>
        <v>2.6352367272059221</v>
      </c>
      <c r="BS79" s="22">
        <f t="shared" si="63"/>
        <v>51.775155179650454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2.4358974358974366</v>
      </c>
      <c r="BY79" s="12">
        <f>IF('Données projet'!$A$114&gt;35,BY78+BX79-CG78,IF(A79&lt;'Données projet'!$A$114,$BV$205^A79,IF(A79='Données projet'!$A$114,'Données projet'!$B$114,BY78+BX79-CG78)))</f>
        <v>146.6666666666666</v>
      </c>
      <c r="BZ79" s="13">
        <f>BY79*VLOOKUP('Données projet'!$B$12,Paramètres!$A$1:$I$89,3,0)*VLOOKUP('Données projet'!$B$12,Paramètres!$A$1:$I$89,5,0)</f>
        <v>128.12799999999996</v>
      </c>
      <c r="CA79" s="13">
        <f t="shared" si="93"/>
        <v>33.563430614589933</v>
      </c>
      <c r="CB79" s="20">
        <f t="shared" si="64"/>
        <v>281.61257498707738</v>
      </c>
      <c r="CC79" s="59">
        <f t="shared" si="65"/>
        <v>574.94590832041069</v>
      </c>
      <c r="CD79" s="59">
        <f ca="1">AVERAGE(OFFSET($CC$3,0,0,'Données projet'!$E$12+1,1))-AVERAGE(OFFSET($H$3,0,0,'Données projet'!$E$12+1,1))</f>
        <v>147.1862160897889</v>
      </c>
      <c r="CE79" s="59">
        <f t="shared" si="94"/>
        <v>147.31828668914011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2.3907410761433421</v>
      </c>
      <c r="CL79" s="21">
        <f>EXP(-LN(2)/25)*CL78+(1-EXP(-LN(2)/25))/(LN(2)/25)*Calculateur!CG79*Calculateur!CI79*VLOOKUP('Données projet'!$B$12,Paramètres!$A$1:$I$89,3,0)*0.475*44/12</f>
        <v>18.002859881572281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20.393600957715623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326.05837294177707</v>
      </c>
      <c r="T80" s="59">
        <f t="shared" si="88"/>
        <v>406.74689878702014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117.44995579036058</v>
      </c>
      <c r="AA80" s="21">
        <f>EXP(-LN(2)/25)*AA79+(1-EXP(-LN(2)/25))/(LN(2)/25)*Calculateur!V80*Calculateur!X80*VLOOKUP('Données projet'!$B$9,Paramètres!$A$1:$I$89,3,0)*0.475*44/12</f>
        <v>34.450985634245328</v>
      </c>
      <c r="AB80" s="21">
        <f>EXP(-LN(2)/2)*AB79+(1-EXP(-LN(2)/2))/(LN(2)/2)*V80*Y80*VLOOKUP('Données projet'!$B$9,Paramètres!$A$1:$I$89,3,0)*0.475*44/12</f>
        <v>5.3381253183483648E-2</v>
      </c>
      <c r="AC80" s="22">
        <f t="shared" si="57"/>
        <v>151.95432267778938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260.8185528000003</v>
      </c>
      <c r="AK80" s="13">
        <f t="shared" si="89"/>
        <v>62.896828401660521</v>
      </c>
      <c r="AL80" s="20">
        <f t="shared" si="58"/>
        <v>563.80428892622592</v>
      </c>
      <c r="AM80" s="59">
        <f t="shared" si="59"/>
        <v>857.13762225955929</v>
      </c>
      <c r="AN80" s="59">
        <f ca="1">AVERAGE(OFFSET($AM$3,0,0,'Données projet'!$E$10+1,1))-AVERAGE(OFFSET($H$3,0,0,'Données projet'!$E$10+1,1))</f>
        <v>490.21869105612649</v>
      </c>
      <c r="AO80" s="59">
        <f t="shared" si="90"/>
        <v>207.08773997010911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13.781542392702908</v>
      </c>
      <c r="AV80" s="21">
        <f>EXP(-LN(2)/25)*AV79+(1-EXP(-LN(2)/25))/(LN(2)/25)*Calculateur!AQ80*Calculateur!AS80*VLOOKUP('Données projet'!$B$10,Paramètres!$A$1:$I$89,3,0)*0.475*44/12</f>
        <v>28.976102685555421</v>
      </c>
      <c r="AW80" s="21">
        <f>EXP(-LN(2)/2)*AW79+(1-EXP(-LN(2)/2))/(LN(2)/2)*AQ80*AT80*VLOOKUP('Données projet'!$B$10,Paramètres!$A$1:$I$89,3,0)*0.475*44/12</f>
        <v>1.6627205857026273</v>
      </c>
      <c r="AX80" s="21">
        <f t="shared" si="60"/>
        <v>44.420365663960958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292.29665400000033</v>
      </c>
      <c r="BF80" s="13">
        <f t="shared" si="91"/>
        <v>69.559109473742168</v>
      </c>
      <c r="BG80" s="20">
        <f t="shared" si="61"/>
        <v>630.23212138343479</v>
      </c>
      <c r="BH80" s="59">
        <f t="shared" si="62"/>
        <v>923.56545471676804</v>
      </c>
      <c r="BI80" s="59">
        <f ca="1">AVERAGE(OFFSET($BH$3,0,0,'Données projet'!$E$11+1,1))-AVERAGE(OFFSET($H$3,0,0,'Données projet'!$E$11+1,1))</f>
        <v>561.19833044503548</v>
      </c>
      <c r="BJ80" s="59">
        <f t="shared" si="92"/>
        <v>235.9089269943575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15.444831991822229</v>
      </c>
      <c r="BQ80" s="21">
        <f>EXP(-LN(2)/25)*BQ79+(1-EXP(-LN(2)/25))/(LN(2)/25)*Calculateur!BL80*Calculateur!BN80*VLOOKUP('Données projet'!$B$11,Paramètres!$A$1:$I$89,3,0)*0.475*44/12</f>
        <v>32.473218526915566</v>
      </c>
      <c r="BR80" s="21">
        <f>EXP(-LN(2)/2)*BR79+(1-EXP(-LN(2)/2))/(LN(2)/2)*BL80*BO80*VLOOKUP('Données projet'!$B$11,Paramètres!$A$1:$I$89,3,0)*0.475*44/12</f>
        <v>1.8633937598391517</v>
      </c>
      <c r="BS80" s="22">
        <f t="shared" si="63"/>
        <v>49.781444278576942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2.4358974358974366</v>
      </c>
      <c r="BY80" s="12">
        <f>IF('Données projet'!$A$114&gt;35,BY79+BX80-CG79,IF(A80&lt;'Données projet'!$A$114,$BV$205^A80,IF(A80='Données projet'!$A$114,'Données projet'!$B$114,BY79+BX80-CG79)))</f>
        <v>149.10256410256403</v>
      </c>
      <c r="BZ80" s="13">
        <f>BY80*VLOOKUP('Données projet'!$B$12,Paramètres!$A$1:$I$89,3,0)*VLOOKUP('Données projet'!$B$12,Paramètres!$A$1:$I$89,5,0)</f>
        <v>130.25599999999994</v>
      </c>
      <c r="CA80" s="13">
        <f t="shared" si="93"/>
        <v>34.055506641363777</v>
      </c>
      <c r="CB80" s="20">
        <f t="shared" si="64"/>
        <v>286.17587406704183</v>
      </c>
      <c r="CC80" s="59">
        <f t="shared" si="65"/>
        <v>579.50920740037509</v>
      </c>
      <c r="CD80" s="59">
        <f ca="1">AVERAGE(OFFSET($CC$3,0,0,'Données projet'!$E$12+1,1))-AVERAGE(OFFSET($H$3,0,0,'Données projet'!$E$12+1,1))</f>
        <v>147.1862160897889</v>
      </c>
      <c r="CE80" s="59">
        <f t="shared" si="94"/>
        <v>147.31828668914011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2.3438601018482417</v>
      </c>
      <c r="CL80" s="21">
        <f>EXP(-LN(2)/25)*CL79+(1-EXP(-LN(2)/25))/(LN(2)/25)*Calculateur!CG80*Calculateur!CI80*VLOOKUP('Données projet'!$B$12,Paramètres!$A$1:$I$89,3,0)*0.475*44/12</f>
        <v>17.510570731381431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19.854430833229674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326.05837294177707</v>
      </c>
      <c r="T81" s="59">
        <f t="shared" si="88"/>
        <v>406.74689878702014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115.14683379471103</v>
      </c>
      <c r="AA81" s="21">
        <f>EXP(-LN(2)/25)*AA80+(1-EXP(-LN(2)/25))/(LN(2)/25)*Calculateur!V81*Calculateur!X81*VLOOKUP('Données projet'!$B$9,Paramètres!$A$1:$I$89,3,0)*0.475*44/12</f>
        <v>33.508921620378295</v>
      </c>
      <c r="AB81" s="21">
        <f>EXP(-LN(2)/2)*AB80+(1-EXP(-LN(2)/2))/(LN(2)/2)*V81*Y81*VLOOKUP('Données projet'!$B$9,Paramètres!$A$1:$I$89,3,0)*0.475*44/12</f>
        <v>3.7746246114277265E-2</v>
      </c>
      <c r="AC81" s="22">
        <f t="shared" si="57"/>
        <v>148.69350166120358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269.45667840000027</v>
      </c>
      <c r="AK81" s="13">
        <f t="shared" si="89"/>
        <v>64.733949217436958</v>
      </c>
      <c r="AL81" s="20">
        <f t="shared" si="58"/>
        <v>582.04867643370324</v>
      </c>
      <c r="AM81" s="59">
        <f t="shared" si="59"/>
        <v>875.38200976703661</v>
      </c>
      <c r="AN81" s="59">
        <f ca="1">AVERAGE(OFFSET($AM$3,0,0,'Données projet'!$E$10+1,1))-AVERAGE(OFFSET($H$3,0,0,'Données projet'!$E$10+1,1))</f>
        <v>490.21869105612649</v>
      </c>
      <c r="AO81" s="59">
        <f t="shared" si="90"/>
        <v>207.08773997010911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13.51129475229285</v>
      </c>
      <c r="AV81" s="21">
        <f>EXP(-LN(2)/25)*AV80+(1-EXP(-LN(2)/25))/(LN(2)/25)*Calculateur!AQ81*Calculateur!AS81*VLOOKUP('Données projet'!$B$10,Paramètres!$A$1:$I$89,3,0)*0.475*44/12</f>
        <v>28.183749633831894</v>
      </c>
      <c r="AW81" s="21">
        <f>EXP(-LN(2)/2)*AW80+(1-EXP(-LN(2)/2))/(LN(2)/2)*AQ81*AT81*VLOOKUP('Données projet'!$B$10,Paramètres!$A$1:$I$89,3,0)*0.475*44/12</f>
        <v>1.175721001368796</v>
      </c>
      <c r="AX81" s="21">
        <f t="shared" si="60"/>
        <v>42.870765387493535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301.97731200000038</v>
      </c>
      <c r="BF81" s="13">
        <f t="shared" si="91"/>
        <v>71.590825399464663</v>
      </c>
      <c r="BG81" s="20">
        <f t="shared" si="61"/>
        <v>650.63117263740162</v>
      </c>
      <c r="BH81" s="59">
        <f t="shared" si="62"/>
        <v>943.96450597073499</v>
      </c>
      <c r="BI81" s="59">
        <f ca="1">AVERAGE(OFFSET($BH$3,0,0,'Données projet'!$E$11+1,1))-AVERAGE(OFFSET($H$3,0,0,'Données projet'!$E$11+1,1))</f>
        <v>561.19833044503548</v>
      </c>
      <c r="BJ81" s="59">
        <f t="shared" si="92"/>
        <v>235.9089269943575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15.14196825687992</v>
      </c>
      <c r="BQ81" s="21">
        <f>EXP(-LN(2)/25)*BQ80+(1-EXP(-LN(2)/25))/(LN(2)/25)*Calculateur!BL81*Calculateur!BN81*VLOOKUP('Données projet'!$B$11,Paramètres!$A$1:$I$89,3,0)*0.475*44/12</f>
        <v>31.585236658604718</v>
      </c>
      <c r="BR81" s="21">
        <f>EXP(-LN(2)/2)*BR80+(1-EXP(-LN(2)/2))/(LN(2)/2)*BL81*BO81*VLOOKUP('Données projet'!$B$11,Paramètres!$A$1:$I$89,3,0)*0.475*44/12</f>
        <v>1.3176183636029613</v>
      </c>
      <c r="BS81" s="22">
        <f t="shared" si="63"/>
        <v>48.044823279087595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2.4358974358974366</v>
      </c>
      <c r="BY81" s="12">
        <f>IF('Données projet'!$A$114&gt;35,BY80+BX81-CG80,IF(A81&lt;'Données projet'!$A$114,$BV$205^A81,IF(A81='Données projet'!$A$114,'Données projet'!$B$114,BY80+BX81-CG80)))</f>
        <v>151.53846153846146</v>
      </c>
      <c r="BZ81" s="13">
        <f>BY81*VLOOKUP('Données projet'!$B$12,Paramètres!$A$1:$I$89,3,0)*VLOOKUP('Données projet'!$B$12,Paramètres!$A$1:$I$89,5,0)</f>
        <v>132.38399999999996</v>
      </c>
      <c r="CA81" s="13">
        <f t="shared" si="93"/>
        <v>34.546647764971887</v>
      </c>
      <c r="CB81" s="20">
        <f t="shared" si="64"/>
        <v>290.73754485732599</v>
      </c>
      <c r="CC81" s="59">
        <f t="shared" si="65"/>
        <v>584.0708781906593</v>
      </c>
      <c r="CD81" s="59">
        <f ca="1">AVERAGE(OFFSET($CC$3,0,0,'Données projet'!$E$12+1,1))-AVERAGE(OFFSET($H$3,0,0,'Données projet'!$E$12+1,1))</f>
        <v>147.1862160897889</v>
      </c>
      <c r="CE81" s="59">
        <f t="shared" si="94"/>
        <v>147.31828668914011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2.2978984348644973</v>
      </c>
      <c r="CL81" s="21">
        <f>EXP(-LN(2)/25)*CL80+(1-EXP(-LN(2)/25))/(LN(2)/25)*Calculateur!CG81*Calculateur!CI81*VLOOKUP('Données projet'!$B$12,Paramètres!$A$1:$I$89,3,0)*0.475*44/12</f>
        <v>17.031743253890912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19.329641688755409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326.05837294177707</v>
      </c>
      <c r="T82" s="59">
        <f t="shared" si="88"/>
        <v>406.74689878702014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112.88887461663046</v>
      </c>
      <c r="AA82" s="21">
        <f>EXP(-LN(2)/25)*AA81+(1-EXP(-LN(2)/25))/(LN(2)/25)*Calculateur!V82*Calculateur!X82*VLOOKUP('Données projet'!$B$9,Paramètres!$A$1:$I$89,3,0)*0.475*44/12</f>
        <v>32.592618396511448</v>
      </c>
      <c r="AB82" s="21">
        <f>EXP(-LN(2)/2)*AB81+(1-EXP(-LN(2)/2))/(LN(2)/2)*V82*Y82*VLOOKUP('Données projet'!$B$9,Paramètres!$A$1:$I$89,3,0)*0.475*44/12</f>
        <v>2.6690626591741824E-2</v>
      </c>
      <c r="AC82" s="22">
        <f t="shared" si="57"/>
        <v>145.50818363973366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278.09480400000029</v>
      </c>
      <c r="AK82" s="13">
        <f t="shared" si="89"/>
        <v>66.564226351179173</v>
      </c>
      <c r="AL82" s="20">
        <f t="shared" si="58"/>
        <v>600.28114452830425</v>
      </c>
      <c r="AM82" s="59">
        <f t="shared" si="59"/>
        <v>893.61447786163762</v>
      </c>
      <c r="AN82" s="59">
        <f ca="1">AVERAGE(OFFSET($AM$3,0,0,'Données projet'!$E$10+1,1))-AVERAGE(OFFSET($H$3,0,0,'Données projet'!$E$10+1,1))</f>
        <v>490.21869105612649</v>
      </c>
      <c r="AO82" s="59">
        <f t="shared" si="90"/>
        <v>207.08773997010911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13.246346503276447</v>
      </c>
      <c r="AV82" s="21">
        <f>EXP(-LN(2)/25)*AV81+(1-EXP(-LN(2)/25))/(LN(2)/25)*Calculateur!AQ82*Calculateur!AS82*VLOOKUP('Données projet'!$B$10,Paramètres!$A$1:$I$89,3,0)*0.475*44/12</f>
        <v>27.413063517975782</v>
      </c>
      <c r="AW82" s="21">
        <f>EXP(-LN(2)/2)*AW81+(1-EXP(-LN(2)/2))/(LN(2)/2)*AQ82*AT82*VLOOKUP('Données projet'!$B$10,Paramètres!$A$1:$I$89,3,0)*0.475*44/12</f>
        <v>0.83136029285131385</v>
      </c>
      <c r="AX82" s="21">
        <f t="shared" si="60"/>
        <v>41.490770314103543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311.65797000000038</v>
      </c>
      <c r="BF82" s="13">
        <f t="shared" si="91"/>
        <v>73.614972733257659</v>
      </c>
      <c r="BG82" s="20">
        <f t="shared" si="61"/>
        <v>671.0170419270911</v>
      </c>
      <c r="BH82" s="59">
        <f t="shared" si="62"/>
        <v>964.35037526042447</v>
      </c>
      <c r="BI82" s="59">
        <f ca="1">AVERAGE(OFFSET($BH$3,0,0,'Données projet'!$E$11+1,1))-AVERAGE(OFFSET($H$3,0,0,'Données projet'!$E$11+1,1))</f>
        <v>561.19833044503548</v>
      </c>
      <c r="BJ82" s="59">
        <f t="shared" si="92"/>
        <v>235.9089269943575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14.845043495051193</v>
      </c>
      <c r="BQ82" s="21">
        <f>EXP(-LN(2)/25)*BQ81+(1-EXP(-LN(2)/25))/(LN(2)/25)*Calculateur!BL82*Calculateur!BN82*VLOOKUP('Données projet'!$B$11,Paramètres!$A$1:$I$89,3,0)*0.475*44/12</f>
        <v>30.721536701179765</v>
      </c>
      <c r="BR82" s="21">
        <f>EXP(-LN(2)/2)*BR81+(1-EXP(-LN(2)/2))/(LN(2)/2)*BL82*BO82*VLOOKUP('Données projet'!$B$11,Paramètres!$A$1:$I$89,3,0)*0.475*44/12</f>
        <v>0.93169687991957595</v>
      </c>
      <c r="BS82" s="22">
        <f t="shared" si="63"/>
        <v>46.498277076150536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2.4358974358974366</v>
      </c>
      <c r="BY82" s="12">
        <f>IF('Données projet'!$A$114&gt;35,BY81+BX82-CG81,IF(A82&lt;'Données projet'!$A$114,$BV$205^A82,IF(A82='Données projet'!$A$114,'Données projet'!$B$114,BY81+BX82-CG81)))</f>
        <v>153.97435897435889</v>
      </c>
      <c r="BZ82" s="13">
        <f>BY82*VLOOKUP('Données projet'!$B$12,Paramètres!$A$1:$I$89,3,0)*VLOOKUP('Données projet'!$B$12,Paramètres!$A$1:$I$89,5,0)</f>
        <v>134.51199999999994</v>
      </c>
      <c r="CA82" s="13">
        <f t="shared" si="93"/>
        <v>35.036870748502416</v>
      </c>
      <c r="CB82" s="20">
        <f t="shared" si="64"/>
        <v>295.2976165536416</v>
      </c>
      <c r="CC82" s="59">
        <f t="shared" si="65"/>
        <v>588.63094988697492</v>
      </c>
      <c r="CD82" s="59">
        <f ca="1">AVERAGE(OFFSET($CC$3,0,0,'Données projet'!$E$12+1,1))-AVERAGE(OFFSET($H$3,0,0,'Données projet'!$E$12+1,1))</f>
        <v>147.1862160897889</v>
      </c>
      <c r="CE82" s="59">
        <f t="shared" si="94"/>
        <v>147.31828668914011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2.2528380481364554</v>
      </c>
      <c r="CL82" s="21">
        <f>EXP(-LN(2)/25)*CL81+(1-EXP(-LN(2)/25))/(LN(2)/25)*Calculateur!CG82*Calculateur!CI82*VLOOKUP('Données projet'!$B$12,Paramètres!$A$1:$I$89,3,0)*0.475*44/12</f>
        <v>16.566009338952814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18.818847387089271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326.05837294177707</v>
      </c>
      <c r="T83" s="59">
        <f t="shared" si="88"/>
        <v>406.74689878702014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110.67519264081295</v>
      </c>
      <c r="AA83" s="21">
        <f>EXP(-LN(2)/25)*AA82+(1-EXP(-LN(2)/25))/(LN(2)/25)*Calculateur!V83*Calculateur!X83*VLOOKUP('Données projet'!$B$9,Paramètres!$A$1:$I$89,3,0)*0.475*44/12</f>
        <v>31.701371532487531</v>
      </c>
      <c r="AB83" s="21">
        <f>EXP(-LN(2)/2)*AB82+(1-EXP(-LN(2)/2))/(LN(2)/2)*V83*Y83*VLOOKUP('Données projet'!$B$9,Paramètres!$A$1:$I$89,3,0)*0.475*44/12</f>
        <v>1.8873123057138633E-2</v>
      </c>
      <c r="AC83" s="22">
        <f t="shared" si="57"/>
        <v>142.39543729635764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286.73292960000038</v>
      </c>
      <c r="AK83" s="13">
        <f t="shared" si="89"/>
        <v>68.387896772756079</v>
      </c>
      <c r="AL83" s="20">
        <f t="shared" si="58"/>
        <v>618.50210593255088</v>
      </c>
      <c r="AM83" s="59">
        <f t="shared" si="59"/>
        <v>911.83543926588413</v>
      </c>
      <c r="AN83" s="59">
        <f ca="1">AVERAGE(OFFSET($AM$3,0,0,'Données projet'!$E$10+1,1))-AVERAGE(OFFSET($H$3,0,0,'Données projet'!$E$10+1,1))</f>
        <v>490.21869105612649</v>
      </c>
      <c r="AO83" s="59">
        <f t="shared" si="90"/>
        <v>207.08773997010911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12.986593727820781</v>
      </c>
      <c r="AV83" s="21">
        <f>EXP(-LN(2)/25)*AV82+(1-EXP(-LN(2)/25))/(LN(2)/25)*Calculateur!AQ83*Calculateur!AS83*VLOOKUP('Données projet'!$B$10,Paramètres!$A$1:$I$89,3,0)*0.475*44/12</f>
        <v>26.663451854486379</v>
      </c>
      <c r="AW83" s="21">
        <f>EXP(-LN(2)/2)*AW82+(1-EXP(-LN(2)/2))/(LN(2)/2)*AQ83*AT83*VLOOKUP('Données projet'!$B$10,Paramètres!$A$1:$I$89,3,0)*0.475*44/12</f>
        <v>0.5878605006843981</v>
      </c>
      <c r="AX83" s="21">
        <f t="shared" si="60"/>
        <v>40.237906082991557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321.33862800000043</v>
      </c>
      <c r="BF83" s="13">
        <f t="shared" si="91"/>
        <v>75.631813545776993</v>
      </c>
      <c r="BG83" s="20">
        <f t="shared" si="61"/>
        <v>691.39018569222901</v>
      </c>
      <c r="BH83" s="59">
        <f t="shared" si="62"/>
        <v>984.72351902556238</v>
      </c>
      <c r="BI83" s="59">
        <f ca="1">AVERAGE(OFFSET($BH$3,0,0,'Données projet'!$E$11+1,1))-AVERAGE(OFFSET($H$3,0,0,'Données projet'!$E$11+1,1))</f>
        <v>561.19833044503548</v>
      </c>
      <c r="BJ83" s="59">
        <f t="shared" si="92"/>
        <v>235.9089269943575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14.553941246695706</v>
      </c>
      <c r="BQ83" s="21">
        <f>EXP(-LN(2)/25)*BQ82+(1-EXP(-LN(2)/25))/(LN(2)/25)*Calculateur!BL83*Calculateur!BN83*VLOOKUP('Données projet'!$B$11,Paramètres!$A$1:$I$89,3,0)*0.475*44/12</f>
        <v>29.881454664510606</v>
      </c>
      <c r="BR83" s="21">
        <f>EXP(-LN(2)/2)*BR82+(1-EXP(-LN(2)/2))/(LN(2)/2)*BL83*BO83*VLOOKUP('Données projet'!$B$11,Paramètres!$A$1:$I$89,3,0)*0.475*44/12</f>
        <v>0.65880918180148063</v>
      </c>
      <c r="BS83" s="22">
        <f t="shared" si="63"/>
        <v>45.094205093007794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156.41025641025641</v>
      </c>
      <c r="BW83" s="12">
        <f>VLOOKUP(A83,'Données projet'!$A$113:$I$133,9,0)</f>
        <v>2.4358974358974366</v>
      </c>
      <c r="BX83" s="12">
        <f t="array" ref="BX83">INDEX(BW:BW,MIN(IF(ISNUMBER(BW83:BW279),ROW(BW83:BW279),"")))</f>
        <v>2.4358974358974366</v>
      </c>
      <c r="BY83" s="12">
        <f>IF('Données projet'!$A$114&gt;35,BY82+BX83-CG82,IF(A83&lt;'Données projet'!$A$114,$BV$205^A83,IF(A83='Données projet'!$A$114,'Données projet'!$B$114,BY82+BX83-CG82)))</f>
        <v>156.41025641025632</v>
      </c>
      <c r="BZ83" s="13">
        <f>BY83*VLOOKUP('Données projet'!$B$12,Paramètres!$A$1:$I$89,3,0)*VLOOKUP('Données projet'!$B$12,Paramètres!$A$1:$I$89,5,0)</f>
        <v>136.63999999999993</v>
      </c>
      <c r="CA83" s="13">
        <f t="shared" si="93"/>
        <v>35.52619179423224</v>
      </c>
      <c r="CB83" s="20">
        <f t="shared" si="64"/>
        <v>299.85611737495435</v>
      </c>
      <c r="CC83" s="59">
        <f t="shared" si="65"/>
        <v>593.18945070828772</v>
      </c>
      <c r="CD83" s="59">
        <f ca="1">AVERAGE(OFFSET($CC$3,0,0,'Données projet'!$E$12+1,1))-AVERAGE(OFFSET($H$3,0,0,'Données projet'!$E$12+1,1))</f>
        <v>147.1862160897889</v>
      </c>
      <c r="CE83" s="59">
        <f t="shared" si="94"/>
        <v>147.31828668914011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8.9743589743589745</v>
      </c>
      <c r="CH83" s="16">
        <f>IF(ISNA(VLOOKUP(A83,'Données projet'!$A$113:$I$133,5,0)),0%,VLOOKUP(A83,'Données projet'!$A$113:$I$133,5,0)*VLOOKUP('Données projet'!$B$12,Paramètres!$A$1:$I$89,7,0))</f>
        <v>4.3000000000000003E-2</v>
      </c>
      <c r="CI83" s="16">
        <f>IF(ISNA(VLOOKUP(A83,'Données projet'!$A$113:$I$133,6,0)),0%,VLOOKUP(A83,'Données projet'!$A$113:$I$133,6,0)*VLOOKUP('Données projet'!$B$12,Paramètres!$A$1:$I$89,7,0))</f>
        <v>0.215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2.5813374424561761</v>
      </c>
      <c r="CL83" s="21">
        <f>EXP(-LN(2)/25)*CL82+(1-EXP(-LN(2)/25))/(LN(2)/25)*Calculateur!CG83*Calculateur!CI83*VLOOKUP('Données projet'!$B$12,Paramètres!$A$1:$I$89,3,0)*0.475*44/12</f>
        <v>17.969054973655499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20.550392416111677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326.05837294177707</v>
      </c>
      <c r="T84" s="59">
        <f t="shared" si="88"/>
        <v>406.74689878702014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108.50491961832853</v>
      </c>
      <c r="AA84" s="21">
        <f>EXP(-LN(2)/25)*AA83+(1-EXP(-LN(2)/25))/(LN(2)/25)*Calculateur!V84*Calculateur!X84*VLOOKUP('Données projet'!$B$9,Paramètres!$A$1:$I$89,3,0)*0.475*44/12</f>
        <v>30.834495860828984</v>
      </c>
      <c r="AB84" s="21">
        <f>EXP(-LN(2)/2)*AB83+(1-EXP(-LN(2)/2))/(LN(2)/2)*V84*Y84*VLOOKUP('Données projet'!$B$9,Paramètres!$A$1:$I$89,3,0)*0.475*44/12</f>
        <v>1.3345313295870912E-2</v>
      </c>
      <c r="AC84" s="22">
        <f t="shared" si="57"/>
        <v>139.35276079245338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295.37105520000034</v>
      </c>
      <c r="AK84" s="13">
        <f t="shared" si="89"/>
        <v>70.205182362680091</v>
      </c>
      <c r="AL84" s="20">
        <f t="shared" si="58"/>
        <v>636.71194708833502</v>
      </c>
      <c r="AM84" s="59">
        <f t="shared" si="59"/>
        <v>930.04528042166839</v>
      </c>
      <c r="AN84" s="59">
        <f ca="1">AVERAGE(OFFSET($AM$3,0,0,'Données projet'!$E$10+1,1))-AVERAGE(OFFSET($H$3,0,0,'Données projet'!$E$10+1,1))</f>
        <v>490.21869105612649</v>
      </c>
      <c r="AO84" s="59">
        <f t="shared" si="90"/>
        <v>207.08773997010911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12.731934545858252</v>
      </c>
      <c r="AV84" s="21">
        <f>EXP(-LN(2)/25)*AV83+(1-EXP(-LN(2)/25))/(LN(2)/25)*Calculateur!AQ84*Calculateur!AS84*VLOOKUP('Données projet'!$B$10,Paramètres!$A$1:$I$89,3,0)*0.475*44/12</f>
        <v>25.934338361355454</v>
      </c>
      <c r="AW84" s="21">
        <f>EXP(-LN(2)/2)*AW83+(1-EXP(-LN(2)/2))/(LN(2)/2)*AQ84*AT84*VLOOKUP('Données projet'!$B$10,Paramètres!$A$1:$I$89,3,0)*0.475*44/12</f>
        <v>0.41568014642565698</v>
      </c>
      <c r="AX84" s="21">
        <f t="shared" si="60"/>
        <v>39.081953053639367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331.01928600000042</v>
      </c>
      <c r="BF84" s="13">
        <f t="shared" si="91"/>
        <v>77.641593219997347</v>
      </c>
      <c r="BG84" s="20">
        <f t="shared" si="61"/>
        <v>711.75103130816262</v>
      </c>
      <c r="BH84" s="59">
        <f t="shared" si="62"/>
        <v>1005.084364641496</v>
      </c>
      <c r="BI84" s="59">
        <f ca="1">AVERAGE(OFFSET($BH$3,0,0,'Données projet'!$E$11+1,1))-AVERAGE(OFFSET($H$3,0,0,'Données projet'!$E$11+1,1))</f>
        <v>561.19833044503548</v>
      </c>
      <c r="BJ84" s="59">
        <f t="shared" si="92"/>
        <v>235.9089269943575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14.268547335875629</v>
      </c>
      <c r="BQ84" s="21">
        <f>EXP(-LN(2)/25)*BQ83+(1-EXP(-LN(2)/25))/(LN(2)/25)*Calculateur!BL84*Calculateur!BN84*VLOOKUP('Données projet'!$B$11,Paramètres!$A$1:$I$89,3,0)*0.475*44/12</f>
        <v>29.064344715312156</v>
      </c>
      <c r="BR84" s="21">
        <f>EXP(-LN(2)/2)*BR83+(1-EXP(-LN(2)/2))/(LN(2)/2)*BL84*BO84*VLOOKUP('Données projet'!$B$11,Paramètres!$A$1:$I$89,3,0)*0.475*44/12</f>
        <v>0.46584843995978797</v>
      </c>
      <c r="BS84" s="22">
        <f t="shared" si="63"/>
        <v>43.798740491147569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2.0512820512820498</v>
      </c>
      <c r="BY84" s="12">
        <f>IF('Données projet'!$A$114&gt;35,BY83+BX84-CG83,IF(A84&lt;'Données projet'!$A$114,$BV$205^A84,IF(A84='Données projet'!$A$114,'Données projet'!$B$114,BY83+BX84-CG83)))</f>
        <v>149.48717948717939</v>
      </c>
      <c r="BZ84" s="13">
        <f>BY84*VLOOKUP('Données projet'!$B$12,Paramètres!$A$1:$I$89,3,0)*VLOOKUP('Données projet'!$B$12,Paramètres!$A$1:$I$89,5,0)</f>
        <v>130.59199999999993</v>
      </c>
      <c r="CA84" s="13">
        <f t="shared" si="93"/>
        <v>34.133116957101613</v>
      </c>
      <c r="CB84" s="20">
        <f t="shared" si="64"/>
        <v>286.8962453669518</v>
      </c>
      <c r="CC84" s="59">
        <f t="shared" si="65"/>
        <v>580.22957870028517</v>
      </c>
      <c r="CD84" s="59">
        <f ca="1">AVERAGE(OFFSET($CC$3,0,0,'Données projet'!$E$12+1,1))-AVERAGE(OFFSET($H$3,0,0,'Données projet'!$E$12+1,1))</f>
        <v>147.1862160897889</v>
      </c>
      <c r="CE84" s="59">
        <f t="shared" si="94"/>
        <v>147.31828668914011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2.5307189896699853</v>
      </c>
      <c r="CL84" s="21">
        <f>EXP(-LN(2)/25)*CL83+(1-EXP(-LN(2)/25))/(LN(2)/25)*Calculateur!CG84*Calculateur!CI84*VLOOKUP('Données projet'!$B$12,Paramètres!$A$1:$I$89,3,0)*0.475*44/12</f>
        <v>17.477690220449357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20.008409210119343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326.05837294177707</v>
      </c>
      <c r="T85" s="59">
        <f t="shared" si="88"/>
        <v>406.74689878702014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106.37720432607919</v>
      </c>
      <c r="AA85" s="21">
        <f>EXP(-LN(2)/25)*AA84+(1-EXP(-LN(2)/25))/(LN(2)/25)*Calculateur!V85*Calculateur!X85*VLOOKUP('Données projet'!$B$9,Paramètres!$A$1:$I$89,3,0)*0.475*44/12</f>
        <v>29.991324949998951</v>
      </c>
      <c r="AB85" s="21">
        <f>EXP(-LN(2)/2)*AB84+(1-EXP(-LN(2)/2))/(LN(2)/2)*V85*Y85*VLOOKUP('Données projet'!$B$9,Paramètres!$A$1:$I$89,3,0)*0.475*44/12</f>
        <v>9.4365615285693163E-3</v>
      </c>
      <c r="AC85" s="22">
        <f t="shared" si="57"/>
        <v>136.37796583760669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304.00918080000037</v>
      </c>
      <c r="AK85" s="13">
        <f t="shared" si="89"/>
        <v>72.016291285794935</v>
      </c>
      <c r="AL85" s="20">
        <f t="shared" si="58"/>
        <v>654.91103054942675</v>
      </c>
      <c r="AM85" s="59">
        <f t="shared" si="59"/>
        <v>948.24436388276013</v>
      </c>
      <c r="AN85" s="59">
        <f ca="1">AVERAGE(OFFSET($AM$3,0,0,'Données projet'!$E$10+1,1))-AVERAGE(OFFSET($H$3,0,0,'Données projet'!$E$10+1,1))</f>
        <v>490.21869105612649</v>
      </c>
      <c r="AO85" s="59">
        <f t="shared" si="90"/>
        <v>207.08773997010911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12.482269075127244</v>
      </c>
      <c r="AV85" s="21">
        <f>EXP(-LN(2)/25)*AV84+(1-EXP(-LN(2)/25))/(LN(2)/25)*Calculateur!AQ85*Calculateur!AS85*VLOOKUP('Données projet'!$B$10,Paramètres!$A$1:$I$89,3,0)*0.475*44/12</f>
        <v>25.225162515036608</v>
      </c>
      <c r="AW85" s="21">
        <f>EXP(-LN(2)/2)*AW84+(1-EXP(-LN(2)/2))/(LN(2)/2)*AQ85*AT85*VLOOKUP('Données projet'!$B$10,Paramètres!$A$1:$I$89,3,0)*0.475*44/12</f>
        <v>0.29393025034219911</v>
      </c>
      <c r="AX85" s="21">
        <f t="shared" si="60"/>
        <v>38.00136184050605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340.69994400000047</v>
      </c>
      <c r="BF85" s="13">
        <f t="shared" si="91"/>
        <v>79.644541970406692</v>
      </c>
      <c r="BG85" s="20">
        <f t="shared" si="61"/>
        <v>732.09997973179236</v>
      </c>
      <c r="BH85" s="59">
        <f t="shared" si="62"/>
        <v>1025.4333130651257</v>
      </c>
      <c r="BI85" s="59">
        <f ca="1">AVERAGE(OFFSET($BH$3,0,0,'Données projet'!$E$11+1,1))-AVERAGE(OFFSET($H$3,0,0,'Données projet'!$E$11+1,1))</f>
        <v>561.19833044503548</v>
      </c>
      <c r="BJ85" s="59">
        <f t="shared" si="92"/>
        <v>235.9089269943575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13.988749825573638</v>
      </c>
      <c r="BQ85" s="21">
        <f>EXP(-LN(2)/25)*BQ84+(1-EXP(-LN(2)/25))/(LN(2)/25)*Calculateur!BL85*Calculateur!BN85*VLOOKUP('Données projet'!$B$11,Paramètres!$A$1:$I$89,3,0)*0.475*44/12</f>
        <v>28.269578680644486</v>
      </c>
      <c r="BR85" s="21">
        <f>EXP(-LN(2)/2)*BR84+(1-EXP(-LN(2)/2))/(LN(2)/2)*BL85*BO85*VLOOKUP('Données projet'!$B$11,Paramètres!$A$1:$I$89,3,0)*0.475*44/12</f>
        <v>0.32940459090074031</v>
      </c>
      <c r="BS85" s="22">
        <f t="shared" si="63"/>
        <v>42.587733097118864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2.0512820512820498</v>
      </c>
      <c r="BY85" s="12">
        <f>IF('Données projet'!$A$114&gt;35,BY84+BX85-CG84,IF(A85&lt;'Données projet'!$A$114,$BV$205^A85,IF(A85='Données projet'!$A$114,'Données projet'!$B$114,BY84+BX85-CG84)))</f>
        <v>151.53846153846143</v>
      </c>
      <c r="BZ85" s="13">
        <f>BY85*VLOOKUP('Données projet'!$B$12,Paramètres!$A$1:$I$89,3,0)*VLOOKUP('Données projet'!$B$12,Paramètres!$A$1:$I$89,5,0)</f>
        <v>132.38399999999993</v>
      </c>
      <c r="CA85" s="13">
        <f t="shared" si="93"/>
        <v>34.546647764971887</v>
      </c>
      <c r="CB85" s="20">
        <f t="shared" si="64"/>
        <v>290.73754485732587</v>
      </c>
      <c r="CC85" s="59">
        <f t="shared" si="65"/>
        <v>584.07087819065919</v>
      </c>
      <c r="CD85" s="59">
        <f ca="1">AVERAGE(OFFSET($CC$3,0,0,'Données projet'!$E$12+1,1))-AVERAGE(OFFSET($H$3,0,0,'Données projet'!$E$12+1,1))</f>
        <v>147.1862160897889</v>
      </c>
      <c r="CE85" s="59">
        <f t="shared" si="94"/>
        <v>147.31828668914011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2.4810931338687241</v>
      </c>
      <c r="CL85" s="21">
        <f>EXP(-LN(2)/25)*CL84+(1-EXP(-LN(2)/25))/(LN(2)/25)*Calculateur!CG85*Calculateur!CI85*VLOOKUP('Données projet'!$B$12,Paramètres!$A$1:$I$89,3,0)*0.475*44/12</f>
        <v>16.999761862259387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19.480854996128112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326.05837294177707</v>
      </c>
      <c r="T86" s="59">
        <f t="shared" si="88"/>
        <v>406.74689878702014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104.29121223293269</v>
      </c>
      <c r="AA86" s="21">
        <f>EXP(-LN(2)/25)*AA85+(1-EXP(-LN(2)/25))/(LN(2)/25)*Calculateur!V86*Calculateur!X86*VLOOKUP('Données projet'!$B$9,Paramètres!$A$1:$I$89,3,0)*0.475*44/12</f>
        <v>29.171210592065997</v>
      </c>
      <c r="AB86" s="21">
        <f>EXP(-LN(2)/2)*AB85+(1-EXP(-LN(2)/2))/(LN(2)/2)*V86*Y86*VLOOKUP('Données projet'!$B$9,Paramètres!$A$1:$I$89,3,0)*0.475*44/12</f>
        <v>6.6726566479354561E-3</v>
      </c>
      <c r="AC86" s="22">
        <f t="shared" si="57"/>
        <v>133.46909548164663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312.64730640000039</v>
      </c>
      <c r="AK86" s="13">
        <f t="shared" si="89"/>
        <v>73.821419204446315</v>
      </c>
      <c r="AL86" s="20">
        <f t="shared" si="58"/>
        <v>673.09969709441123</v>
      </c>
      <c r="AM86" s="59">
        <f t="shared" si="59"/>
        <v>966.4330304277446</v>
      </c>
      <c r="AN86" s="59">
        <f ca="1">AVERAGE(OFFSET($AM$3,0,0,'Données projet'!$E$10+1,1))-AVERAGE(OFFSET($H$3,0,0,'Données projet'!$E$10+1,1))</f>
        <v>490.21869105612649</v>
      </c>
      <c r="AO86" s="59">
        <f t="shared" si="90"/>
        <v>207.08773997010911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12.237499391996371</v>
      </c>
      <c r="AV86" s="21">
        <f>EXP(-LN(2)/25)*AV85+(1-EXP(-LN(2)/25))/(LN(2)/25)*Calculateur!AQ86*Calculateur!AS86*VLOOKUP('Données projet'!$B$10,Paramètres!$A$1:$I$89,3,0)*0.475*44/12</f>
        <v>24.535379119529289</v>
      </c>
      <c r="AW86" s="21">
        <f>EXP(-LN(2)/2)*AW85+(1-EXP(-LN(2)/2))/(LN(2)/2)*AQ86*AT86*VLOOKUP('Données projet'!$B$10,Paramètres!$A$1:$I$89,3,0)*0.475*44/12</f>
        <v>0.20784007321282855</v>
      </c>
      <c r="AX86" s="21">
        <f t="shared" si="60"/>
        <v>36.98071858473849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350.38060200000047</v>
      </c>
      <c r="BF86" s="13">
        <f t="shared" si="91"/>
        <v>81.640876184681076</v>
      </c>
      <c r="BG86" s="20">
        <f t="shared" si="61"/>
        <v>752.43740783832027</v>
      </c>
      <c r="BH86" s="59">
        <f t="shared" si="62"/>
        <v>1045.7707411716535</v>
      </c>
      <c r="BI86" s="59">
        <f ca="1">AVERAGE(OFFSET($BH$3,0,0,'Données projet'!$E$11+1,1))-AVERAGE(OFFSET($H$3,0,0,'Données projet'!$E$11+1,1))</f>
        <v>561.19833044503548</v>
      </c>
      <c r="BJ86" s="59">
        <f t="shared" si="92"/>
        <v>235.9089269943575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13.714438973789038</v>
      </c>
      <c r="BQ86" s="21">
        <f>EXP(-LN(2)/25)*BQ85+(1-EXP(-LN(2)/25))/(LN(2)/25)*Calculateur!BL86*Calculateur!BN86*VLOOKUP('Données projet'!$B$11,Paramètres!$A$1:$I$89,3,0)*0.475*44/12</f>
        <v>27.496545564989731</v>
      </c>
      <c r="BR86" s="21">
        <f>EXP(-LN(2)/2)*BR85+(1-EXP(-LN(2)/2))/(LN(2)/2)*BL86*BO86*VLOOKUP('Données projet'!$B$11,Paramètres!$A$1:$I$89,3,0)*0.475*44/12</f>
        <v>0.23292421997989399</v>
      </c>
      <c r="BS86" s="22">
        <f t="shared" si="63"/>
        <v>41.44390875875866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2.0512820512820498</v>
      </c>
      <c r="BY86" s="12">
        <f>IF('Données projet'!$A$114&gt;35,BY85+BX86-CG85,IF(A86&lt;'Données projet'!$A$114,$BV$205^A86,IF(A86='Données projet'!$A$114,'Données projet'!$B$114,BY85+BX86-CG85)))</f>
        <v>153.58974358974348</v>
      </c>
      <c r="BZ86" s="13">
        <f>BY86*VLOOKUP('Données projet'!$B$12,Paramètres!$A$1:$I$89,3,0)*VLOOKUP('Données projet'!$B$12,Paramètres!$A$1:$I$89,5,0)</f>
        <v>134.17599999999993</v>
      </c>
      <c r="CA86" s="13">
        <f t="shared" si="93"/>
        <v>34.959527491453528</v>
      </c>
      <c r="CB86" s="20">
        <f t="shared" si="64"/>
        <v>294.57771038094808</v>
      </c>
      <c r="CC86" s="59">
        <f t="shared" si="65"/>
        <v>587.91104371428139</v>
      </c>
      <c r="CD86" s="59">
        <f ca="1">AVERAGE(OFFSET($CC$3,0,0,'Données projet'!$E$12+1,1))-AVERAGE(OFFSET($H$3,0,0,'Données projet'!$E$12+1,1))</f>
        <v>147.1862160897889</v>
      </c>
      <c r="CE86" s="59">
        <f t="shared" si="94"/>
        <v>147.31828668914011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2.4324404108309423</v>
      </c>
      <c r="CL86" s="21">
        <f>EXP(-LN(2)/25)*CL85+(1-EXP(-LN(2)/25))/(LN(2)/25)*Calculateur!CG86*Calculateur!CI86*VLOOKUP('Données projet'!$B$12,Paramètres!$A$1:$I$89,3,0)*0.475*44/12</f>
        <v>16.534902480157282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18.967342890988224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326.05837294177707</v>
      </c>
      <c r="T87" s="59">
        <f t="shared" si="88"/>
        <v>406.74689878702014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102.24612517240324</v>
      </c>
      <c r="AA87" s="21">
        <f>EXP(-LN(2)/25)*AA86+(1-EXP(-LN(2)/25))/(LN(2)/25)*Calculateur!V87*Calculateur!X87*VLOOKUP('Données projet'!$B$9,Paramètres!$A$1:$I$89,3,0)*0.475*44/12</f>
        <v>28.373522304378657</v>
      </c>
      <c r="AB87" s="21">
        <f>EXP(-LN(2)/2)*AB86+(1-EXP(-LN(2)/2))/(LN(2)/2)*V87*Y87*VLOOKUP('Données projet'!$B$9,Paramètres!$A$1:$I$89,3,0)*0.475*44/12</f>
        <v>4.7182807642846582E-3</v>
      </c>
      <c r="AC87" s="22">
        <f t="shared" si="57"/>
        <v>130.62436575754617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321.28543200000041</v>
      </c>
      <c r="AK87" s="13">
        <f t="shared" si="89"/>
        <v>75.620750353808944</v>
      </c>
      <c r="AL87" s="20">
        <f t="shared" si="58"/>
        <v>691.27826759955133</v>
      </c>
      <c r="AM87" s="59">
        <f t="shared" si="59"/>
        <v>984.61160093288458</v>
      </c>
      <c r="AN87" s="59">
        <f ca="1">AVERAGE(OFFSET($AM$3,0,0,'Données projet'!$E$10+1,1))-AVERAGE(OFFSET($H$3,0,0,'Données projet'!$E$10+1,1))</f>
        <v>490.21869105612649</v>
      </c>
      <c r="AO87" s="59">
        <f t="shared" si="90"/>
        <v>207.08773997010911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22.036678946661006</v>
      </c>
      <c r="AV87" s="21">
        <f>EXP(-LN(2)/25)*AV86+(1-EXP(-LN(2)/25))/(LN(2)/25)*Calculateur!AQ87*Calculateur!AS87*VLOOKUP('Données projet'!$B$10,Paramètres!$A$1:$I$89,3,0)*0.475*44/12</f>
        <v>29.578527314097339</v>
      </c>
      <c r="AW87" s="21">
        <f>EXP(-LN(2)/2)*AW86+(1-EXP(-LN(2)/2))/(LN(2)/2)*AQ87*AT87*VLOOKUP('Données projet'!$B$10,Paramètres!$A$1:$I$89,3,0)*0.475*44/12</f>
        <v>5.8403114480929164</v>
      </c>
      <c r="AX87" s="21">
        <f t="shared" si="60"/>
        <v>57.455517708851261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360.06126000000052</v>
      </c>
      <c r="BF87" s="13">
        <f t="shared" si="91"/>
        <v>83.630799612914231</v>
      </c>
      <c r="BG87" s="20">
        <f t="shared" si="61"/>
        <v>772.76367049249313</v>
      </c>
      <c r="BH87" s="59">
        <f t="shared" si="62"/>
        <v>1066.0970038258265</v>
      </c>
      <c r="BI87" s="59">
        <f ca="1">AVERAGE(OFFSET($BH$3,0,0,'Données projet'!$E$11+1,1))-AVERAGE(OFFSET($H$3,0,0,'Données projet'!$E$11+1,1))</f>
        <v>561.19833044503548</v>
      </c>
      <c r="BJ87" s="59">
        <f t="shared" si="92"/>
        <v>235.9089269943575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24.696278129878717</v>
      </c>
      <c r="BQ87" s="21">
        <f>EXP(-LN(2)/25)*BQ86+(1-EXP(-LN(2)/25))/(LN(2)/25)*Calculateur!BL87*Calculateur!BN87*VLOOKUP('Données projet'!$B$11,Paramètres!$A$1:$I$89,3,0)*0.475*44/12</f>
        <v>33.148349576143573</v>
      </c>
      <c r="BR87" s="21">
        <f>EXP(-LN(2)/2)*BR86+(1-EXP(-LN(2)/2))/(LN(2)/2)*BL87*BO87*VLOOKUP('Données projet'!$B$11,Paramètres!$A$1:$I$89,3,0)*0.475*44/12</f>
        <v>6.5451766228627521</v>
      </c>
      <c r="BS87" s="22">
        <f t="shared" si="63"/>
        <v>64.389804328885049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2.0512820512820498</v>
      </c>
      <c r="BY87" s="12">
        <f>IF('Données projet'!$A$114&gt;35,BY86+BX87-CG86,IF(A87&lt;'Données projet'!$A$114,$BV$205^A87,IF(A87='Données projet'!$A$114,'Données projet'!$B$114,BY86+BX87-CG86)))</f>
        <v>155.64102564102552</v>
      </c>
      <c r="BZ87" s="13">
        <f>BY87*VLOOKUP('Données projet'!$B$12,Paramètres!$A$1:$I$89,3,0)*VLOOKUP('Données projet'!$B$12,Paramètres!$A$1:$I$89,5,0)</f>
        <v>135.96799999999993</v>
      </c>
      <c r="CA87" s="13">
        <f t="shared" si="93"/>
        <v>35.371765837327914</v>
      </c>
      <c r="CB87" s="20">
        <f t="shared" si="64"/>
        <v>298.41675883334591</v>
      </c>
      <c r="CC87" s="59">
        <f t="shared" si="65"/>
        <v>591.75009216667922</v>
      </c>
      <c r="CD87" s="59">
        <f ca="1">AVERAGE(OFFSET($CC$3,0,0,'Données projet'!$E$12+1,1))-AVERAGE(OFFSET($H$3,0,0,'Données projet'!$E$12+1,1))</f>
        <v>147.1862160897889</v>
      </c>
      <c r="CE87" s="59">
        <f t="shared" si="94"/>
        <v>147.31828668914011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2.3847417380167006</v>
      </c>
      <c r="CL87" s="21">
        <f>EXP(-LN(2)/25)*CL86+(1-EXP(-LN(2)/25))/(LN(2)/25)*Calculateur!CG87*Calculateur!CI87*VLOOKUP('Données projet'!$B$12,Paramètres!$A$1:$I$89,3,0)*0.475*44/12</f>
        <v>16.082754702304651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18.467496440321352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326.05837294177707</v>
      </c>
      <c r="T88" s="59">
        <f t="shared" si="88"/>
        <v>406.74689878702014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100.24114102175083</v>
      </c>
      <c r="AA88" s="21">
        <f>EXP(-LN(2)/25)*AA87+(1-EXP(-LN(2)/25))/(LN(2)/25)*Calculateur!V88*Calculateur!X88*VLOOKUP('Données projet'!$B$9,Paramètres!$A$1:$I$89,3,0)*0.475*44/12</f>
        <v>27.597646844866734</v>
      </c>
      <c r="AB88" s="21">
        <f>EXP(-LN(2)/2)*AB87+(1-EXP(-LN(2)/2))/(LN(2)/2)*V88*Y88*VLOOKUP('Données projet'!$B$9,Paramètres!$A$1:$I$89,3,0)*0.475*44/12</f>
        <v>3.336328323967728E-3</v>
      </c>
      <c r="AC88" s="22">
        <f t="shared" si="57"/>
        <v>127.84212419494153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269.24405040000045</v>
      </c>
      <c r="AK88" s="13">
        <f t="shared" si="89"/>
        <v>64.688811534365087</v>
      </c>
      <c r="AL88" s="20">
        <f t="shared" si="58"/>
        <v>581.59973453568659</v>
      </c>
      <c r="AM88" s="59">
        <f t="shared" si="59"/>
        <v>874.93306786901985</v>
      </c>
      <c r="AN88" s="59">
        <f ca="1">AVERAGE(OFFSET($AM$3,0,0,'Données projet'!$E$10+1,1))-AVERAGE(OFFSET($H$3,0,0,'Données projet'!$E$10+1,1))</f>
        <v>490.21869105612649</v>
      </c>
      <c r="AO88" s="59">
        <f t="shared" si="90"/>
        <v>207.08773997010911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21.604553113563949</v>
      </c>
      <c r="AV88" s="21">
        <f>EXP(-LN(2)/25)*AV87+(1-EXP(-LN(2)/25))/(LN(2)/25)*Calculateur!AQ88*Calculateur!AS88*VLOOKUP('Données projet'!$B$10,Paramètres!$A$1:$I$89,3,0)*0.475*44/12</f>
        <v>28.7697009292262</v>
      </c>
      <c r="AW88" s="21">
        <f>EXP(-LN(2)/2)*AW87+(1-EXP(-LN(2)/2))/(LN(2)/2)*AQ88*AT88*VLOOKUP('Données projet'!$B$10,Paramètres!$A$1:$I$89,3,0)*0.475*44/12</f>
        <v>4.1297238291879266</v>
      </c>
      <c r="AX88" s="21">
        <f t="shared" si="60"/>
        <v>54.503977871978073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301.73902200000055</v>
      </c>
      <c r="BF88" s="13">
        <f t="shared" si="91"/>
        <v>71.540906554302211</v>
      </c>
      <c r="BG88" s="20">
        <f t="shared" si="61"/>
        <v>650.12920889874385</v>
      </c>
      <c r="BH88" s="59">
        <f t="shared" si="62"/>
        <v>943.46254223207711</v>
      </c>
      <c r="BI88" s="59">
        <f ca="1">AVERAGE(OFFSET($BH$3,0,0,'Données projet'!$E$11+1,1))-AVERAGE(OFFSET($H$3,0,0,'Données projet'!$E$11+1,1))</f>
        <v>561.19833044503548</v>
      </c>
      <c r="BJ88" s="59">
        <f t="shared" si="92"/>
        <v>235.9089269943575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24.211999178994084</v>
      </c>
      <c r="BQ88" s="21">
        <f>EXP(-LN(2)/25)*BQ87+(1-EXP(-LN(2)/25))/(LN(2)/25)*Calculateur!BL88*Calculateur!BN88*VLOOKUP('Données projet'!$B$11,Paramètres!$A$1:$I$89,3,0)*0.475*44/12</f>
        <v>32.241906213787985</v>
      </c>
      <c r="BR88" s="21">
        <f>EXP(-LN(2)/2)*BR87+(1-EXP(-LN(2)/2))/(LN(2)/2)*BL88*BO88*VLOOKUP('Données projet'!$B$11,Paramètres!$A$1:$I$89,3,0)*0.475*44/12</f>
        <v>4.6281387740899183</v>
      </c>
      <c r="BS88" s="22">
        <f t="shared" si="63"/>
        <v>61.082044166871988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157.69230769230768</v>
      </c>
      <c r="BW88" s="12">
        <f>VLOOKUP(A88,'Données projet'!$A$113:$I$133,9,0)</f>
        <v>2.0512820512820498</v>
      </c>
      <c r="BX88" s="12">
        <f t="array" ref="BX88">INDEX(BW:BW,MIN(IF(ISNUMBER(BW88:BW284),ROW(BW88:BW284),"")))</f>
        <v>2.0512820512820498</v>
      </c>
      <c r="BY88" s="12">
        <f>IF('Données projet'!$A$114&gt;35,BY87+BX88-CG87,IF(A88&lt;'Données projet'!$A$114,$BV$205^A88,IF(A88='Données projet'!$A$114,'Données projet'!$B$114,BY87+BX88-CG87)))</f>
        <v>157.69230769230757</v>
      </c>
      <c r="BZ88" s="13">
        <f>BY88*VLOOKUP('Données projet'!$B$12,Paramètres!$A$1:$I$89,3,0)*VLOOKUP('Données projet'!$B$12,Paramètres!$A$1:$I$89,5,0)</f>
        <v>137.75999999999991</v>
      </c>
      <c r="CA88" s="13">
        <f t="shared" si="93"/>
        <v>35.783372232974429</v>
      </c>
      <c r="CB88" s="20">
        <f t="shared" si="64"/>
        <v>302.25470663909692</v>
      </c>
      <c r="CC88" s="59">
        <f t="shared" si="65"/>
        <v>595.58803997243024</v>
      </c>
      <c r="CD88" s="59">
        <f ca="1">AVERAGE(OFFSET($CC$3,0,0,'Données projet'!$E$12+1,1))-AVERAGE(OFFSET($H$3,0,0,'Données projet'!$E$12+1,1))</f>
        <v>147.1862160897889</v>
      </c>
      <c r="CE88" s="59">
        <f t="shared" si="94"/>
        <v>147.31828668914011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7.6923076923076916</v>
      </c>
      <c r="CH88" s="16">
        <f>IF(ISNA(VLOOKUP(A88,'Données projet'!$A$113:$I$133,5,0)),0%,VLOOKUP(A88,'Données projet'!$A$113:$I$133,5,0)*VLOOKUP('Données projet'!$B$12,Paramètres!$A$1:$I$89,7,0))</f>
        <v>4.3000000000000003E-2</v>
      </c>
      <c r="CI88" s="16">
        <f>IF(ISNA(VLOOKUP(A88,'Données projet'!$A$113:$I$133,6,0)),0%,VLOOKUP(A88,'Données projet'!$A$113:$I$133,6,0)*VLOOKUP('Données projet'!$B$12,Paramètres!$A$1:$I$89,7,0))</f>
        <v>0.215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2.6574151279528699</v>
      </c>
      <c r="CL88" s="21">
        <f>EXP(-LN(2)/25)*CL87+(1-EXP(-LN(2)/25))/(LN(2)/25)*Calculateur!CG88*Calculateur!CI88*VLOOKUP('Données projet'!$B$12,Paramètres!$A$1:$I$89,3,0)*0.475*44/12</f>
        <v>17.233865813139037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19.891280941091907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326.05837294177707</v>
      </c>
      <c r="T89" s="59">
        <f t="shared" si="88"/>
        <v>406.74689878702014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98.27547338737314</v>
      </c>
      <c r="AA89" s="21">
        <f>EXP(-LN(2)/25)*AA88+(1-EXP(-LN(2)/25))/(LN(2)/25)*Calculateur!V89*Calculateur!X89*VLOOKUP('Données projet'!$B$9,Paramètres!$A$1:$I$89,3,0)*0.475*44/12</f>
        <v>26.84298774059668</v>
      </c>
      <c r="AB89" s="21">
        <f>EXP(-LN(2)/2)*AB88+(1-EXP(-LN(2)/2))/(LN(2)/2)*V89*Y89*VLOOKUP('Données projet'!$B$9,Paramètres!$A$1:$I$89,3,0)*0.475*44/12</f>
        <v>2.3591403821423291E-3</v>
      </c>
      <c r="AC89" s="22">
        <f t="shared" si="57"/>
        <v>125.12082026835196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277.54378080000043</v>
      </c>
      <c r="AK89" s="13">
        <f t="shared" si="89"/>
        <v>66.447673279805883</v>
      </c>
      <c r="AL89" s="20">
        <f t="shared" si="58"/>
        <v>599.11844918899601</v>
      </c>
      <c r="AM89" s="59">
        <f t="shared" si="59"/>
        <v>892.45178252232927</v>
      </c>
      <c r="AN89" s="59">
        <f ca="1">AVERAGE(OFFSET($AM$3,0,0,'Données projet'!$E$10+1,1))-AVERAGE(OFFSET($H$3,0,0,'Données projet'!$E$10+1,1))</f>
        <v>490.21869105612649</v>
      </c>
      <c r="AO89" s="59">
        <f t="shared" si="90"/>
        <v>207.08773997010911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21.180901004483189</v>
      </c>
      <c r="AV89" s="21">
        <f>EXP(-LN(2)/25)*AV88+(1-EXP(-LN(2)/25))/(LN(2)/25)*Calculateur!AQ89*Calculateur!AS89*VLOOKUP('Données projet'!$B$10,Paramètres!$A$1:$I$89,3,0)*0.475*44/12</f>
        <v>27.982991944383691</v>
      </c>
      <c r="AW89" s="21">
        <f>EXP(-LN(2)/2)*AW88+(1-EXP(-LN(2)/2))/(LN(2)/2)*AQ89*AT89*VLOOKUP('Données projet'!$B$10,Paramètres!$A$1:$I$89,3,0)*0.475*44/12</f>
        <v>2.9201557240464586</v>
      </c>
      <c r="AX89" s="21">
        <f t="shared" si="60"/>
        <v>52.08404867291334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311.04044400000055</v>
      </c>
      <c r="BF89" s="13">
        <f t="shared" si="91"/>
        <v>73.486073899132336</v>
      </c>
      <c r="BG89" s="20">
        <f t="shared" si="61"/>
        <v>669.71701867432307</v>
      </c>
      <c r="BH89" s="59">
        <f t="shared" si="62"/>
        <v>963.05035200765633</v>
      </c>
      <c r="BI89" s="59">
        <f ca="1">AVERAGE(OFFSET($BH$3,0,0,'Données projet'!$E$11+1,1))-AVERAGE(OFFSET($H$3,0,0,'Données projet'!$E$11+1,1))</f>
        <v>561.19833044503548</v>
      </c>
      <c r="BJ89" s="59">
        <f t="shared" si="92"/>
        <v>235.9089269943575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23.737216642955303</v>
      </c>
      <c r="BQ89" s="21">
        <f>EXP(-LN(2)/25)*BQ88+(1-EXP(-LN(2)/25))/(LN(2)/25)*Calculateur!BL89*Calculateur!BN89*VLOOKUP('Données projet'!$B$11,Paramètres!$A$1:$I$89,3,0)*0.475*44/12</f>
        <v>31.360249592843793</v>
      </c>
      <c r="BR89" s="21">
        <f>EXP(-LN(2)/2)*BR88+(1-EXP(-LN(2)/2))/(LN(2)/2)*BL89*BO89*VLOOKUP('Données projet'!$B$11,Paramètres!$A$1:$I$89,3,0)*0.475*44/12</f>
        <v>3.2725883114313765</v>
      </c>
      <c r="BS89" s="22">
        <f t="shared" si="63"/>
        <v>58.370054547230474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1.9230769230769169</v>
      </c>
      <c r="BY89" s="12">
        <f>IF('Données projet'!$A$114&gt;35,BY88+BX89-CG88,IF(A89&lt;'Données projet'!$A$114,$BV$205^A89,IF(A89='Données projet'!$A$114,'Données projet'!$B$114,BY88+BX89-CG88)))</f>
        <v>151.92307692307679</v>
      </c>
      <c r="BZ89" s="13">
        <f>BY89*VLOOKUP('Données projet'!$B$12,Paramètres!$A$1:$I$89,3,0)*VLOOKUP('Données projet'!$B$12,Paramètres!$A$1:$I$89,5,0)</f>
        <v>132.71999999999989</v>
      </c>
      <c r="CA89" s="13">
        <f t="shared" si="93"/>
        <v>34.624112011504039</v>
      </c>
      <c r="CB89" s="20">
        <f t="shared" si="64"/>
        <v>291.45766175336928</v>
      </c>
      <c r="CC89" s="59">
        <f t="shared" si="65"/>
        <v>584.79099508670265</v>
      </c>
      <c r="CD89" s="59">
        <f ca="1">AVERAGE(OFFSET($CC$3,0,0,'Données projet'!$E$12+1,1))-AVERAGE(OFFSET($H$3,0,0,'Données projet'!$E$12+1,1))</f>
        <v>147.1862160897889</v>
      </c>
      <c r="CE89" s="59">
        <f t="shared" si="94"/>
        <v>147.31828668914011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2.6053048381568953</v>
      </c>
      <c r="CL89" s="21">
        <f>EXP(-LN(2)/25)*CL88+(1-EXP(-LN(2)/25))/(LN(2)/25)*Calculateur!CG89*Calculateur!CI89*VLOOKUP('Données projet'!$B$12,Paramètres!$A$1:$I$89,3,0)*0.475*44/12</f>
        <v>16.762604846189134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19.367909684346031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326.05837294177707</v>
      </c>
      <c r="T90" s="59">
        <f t="shared" si="88"/>
        <v>406.74689878702014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96.348351296366729</v>
      </c>
      <c r="AA90" s="21">
        <f>EXP(-LN(2)/25)*AA89+(1-EXP(-LN(2)/25))/(LN(2)/25)*Calculateur!V90*Calculateur!X90*VLOOKUP('Données projet'!$B$9,Paramètres!$A$1:$I$89,3,0)*0.475*44/12</f>
        <v>26.108964829218689</v>
      </c>
      <c r="AB90" s="21">
        <f>EXP(-LN(2)/2)*AB89+(1-EXP(-LN(2)/2))/(LN(2)/2)*V90*Y90*VLOOKUP('Données projet'!$B$9,Paramètres!$A$1:$I$89,3,0)*0.475*44/12</f>
        <v>1.668164161983864E-3</v>
      </c>
      <c r="AC90" s="22">
        <f t="shared" si="57"/>
        <v>122.45898428974741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285.84351120000042</v>
      </c>
      <c r="AK90" s="13">
        <f t="shared" si="89"/>
        <v>68.200422369637309</v>
      </c>
      <c r="AL90" s="20">
        <f t="shared" si="58"/>
        <v>616.62651763378562</v>
      </c>
      <c r="AM90" s="59">
        <f t="shared" si="59"/>
        <v>909.95985096711888</v>
      </c>
      <c r="AN90" s="59">
        <f ca="1">AVERAGE(OFFSET($AM$3,0,0,'Données projet'!$E$10+1,1))-AVERAGE(OFFSET($H$3,0,0,'Données projet'!$E$10+1,1))</f>
        <v>490.21869105612649</v>
      </c>
      <c r="AO90" s="59">
        <f t="shared" si="90"/>
        <v>207.08773997010911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20.765556454859233</v>
      </c>
      <c r="AV90" s="21">
        <f>EXP(-LN(2)/25)*AV89+(1-EXP(-LN(2)/25))/(LN(2)/25)*Calculateur!AQ90*Calculateur!AS90*VLOOKUP('Données projet'!$B$10,Paramètres!$A$1:$I$89,3,0)*0.475*44/12</f>
        <v>27.217795558102928</v>
      </c>
      <c r="AW90" s="21">
        <f>EXP(-LN(2)/2)*AW89+(1-EXP(-LN(2)/2))/(LN(2)/2)*AQ90*AT90*VLOOKUP('Données projet'!$B$10,Paramètres!$A$1:$I$89,3,0)*0.475*44/12</f>
        <v>2.0648619145939637</v>
      </c>
      <c r="AX90" s="21">
        <f t="shared" si="60"/>
        <v>50.04821392755612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320.34186600000049</v>
      </c>
      <c r="BF90" s="13">
        <f t="shared" si="91"/>
        <v>75.424481111671</v>
      </c>
      <c r="BG90" s="20">
        <f t="shared" si="61"/>
        <v>689.29305455282781</v>
      </c>
      <c r="BH90" s="59">
        <f t="shared" si="62"/>
        <v>982.62638788616118</v>
      </c>
      <c r="BI90" s="59">
        <f ca="1">AVERAGE(OFFSET($BH$3,0,0,'Données projet'!$E$11+1,1))-AVERAGE(OFFSET($H$3,0,0,'Données projet'!$E$11+1,1))</f>
        <v>561.19833044503548</v>
      </c>
      <c r="BJ90" s="59">
        <f t="shared" si="92"/>
        <v>235.9089269943575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23.271744302859492</v>
      </c>
      <c r="BQ90" s="21">
        <f>EXP(-LN(2)/25)*BQ89+(1-EXP(-LN(2)/25))/(LN(2)/25)*Calculateur!BL90*Calculateur!BN90*VLOOKUP('Données projet'!$B$11,Paramètres!$A$1:$I$89,3,0)*0.475*44/12</f>
        <v>30.502701918563627</v>
      </c>
      <c r="BR90" s="21">
        <f>EXP(-LN(2)/2)*BR89+(1-EXP(-LN(2)/2))/(LN(2)/2)*BL90*BO90*VLOOKUP('Données projet'!$B$11,Paramètres!$A$1:$I$89,3,0)*0.475*44/12</f>
        <v>2.3140693870449596</v>
      </c>
      <c r="BS90" s="22">
        <f t="shared" si="63"/>
        <v>56.088515608468079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1.9230769230769169</v>
      </c>
      <c r="BY90" s="12">
        <f>IF('Données projet'!$A$114&gt;35,BY89+BX90-CG89,IF(A90&lt;'Données projet'!$A$114,$BV$205^A90,IF(A90='Données projet'!$A$114,'Données projet'!$B$114,BY89+BX90-CG89)))</f>
        <v>153.8461538461537</v>
      </c>
      <c r="BZ90" s="13">
        <f>BY90*VLOOKUP('Données projet'!$B$12,Paramètres!$A$1:$I$89,3,0)*VLOOKUP('Données projet'!$B$12,Paramètres!$A$1:$I$89,5,0)</f>
        <v>134.39999999999989</v>
      </c>
      <c r="CA90" s="13">
        <f t="shared" si="93"/>
        <v>35.011092164239834</v>
      </c>
      <c r="CB90" s="20">
        <f t="shared" si="64"/>
        <v>295.05765218605086</v>
      </c>
      <c r="CC90" s="59">
        <f t="shared" si="65"/>
        <v>588.39098551938423</v>
      </c>
      <c r="CD90" s="59">
        <f ca="1">AVERAGE(OFFSET($CC$3,0,0,'Données projet'!$E$12+1,1))-AVERAGE(OFFSET($H$3,0,0,'Données projet'!$E$12+1,1))</f>
        <v>147.1862160897889</v>
      </c>
      <c r="CE90" s="59">
        <f t="shared" si="94"/>
        <v>147.31828668914011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2.5542163993596811</v>
      </c>
      <c r="CL90" s="21">
        <f>EXP(-LN(2)/25)*CL89+(1-EXP(-LN(2)/25))/(LN(2)/25)*Calculateur!CG90*Calculateur!CI90*VLOOKUP('Données projet'!$B$12,Paramètres!$A$1:$I$89,3,0)*0.475*44/12</f>
        <v>16.304230535163015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18.858446934522696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326.05837294177707</v>
      </c>
      <c r="T91" s="59">
        <f t="shared" si="88"/>
        <v>406.74689878702014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94.459018894136534</v>
      </c>
      <c r="AA91" s="21">
        <f>EXP(-LN(2)/25)*AA90+(1-EXP(-LN(2)/25))/(LN(2)/25)*Calculateur!V91*Calculateur!X91*VLOOKUP('Données projet'!$B$9,Paramètres!$A$1:$I$89,3,0)*0.475*44/12</f>
        <v>25.395013812952914</v>
      </c>
      <c r="AB91" s="21">
        <f>EXP(-LN(2)/2)*AB90+(1-EXP(-LN(2)/2))/(LN(2)/2)*V91*Y91*VLOOKUP('Données projet'!$B$9,Paramètres!$A$1:$I$89,3,0)*0.475*44/12</f>
        <v>1.1795701910711645E-3</v>
      </c>
      <c r="AC91" s="22">
        <f t="shared" si="57"/>
        <v>119.85521227728051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294.14324160000047</v>
      </c>
      <c r="AK91" s="13">
        <f t="shared" si="89"/>
        <v>69.947256671789191</v>
      </c>
      <c r="AL91" s="20">
        <f t="shared" si="58"/>
        <v>634.12428449003357</v>
      </c>
      <c r="AM91" s="59">
        <f t="shared" si="59"/>
        <v>927.45761782336695</v>
      </c>
      <c r="AN91" s="59">
        <f ca="1">AVERAGE(OFFSET($AM$3,0,0,'Données projet'!$E$10+1,1))-AVERAGE(OFFSET($H$3,0,0,'Données projet'!$E$10+1,1))</f>
        <v>490.21869105612649</v>
      </c>
      <c r="AO91" s="59">
        <f t="shared" si="90"/>
        <v>207.08773997010911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20.358356558518242</v>
      </c>
      <c r="AV91" s="21">
        <f>EXP(-LN(2)/25)*AV90+(1-EXP(-LN(2)/25))/(LN(2)/25)*Calculateur!AQ91*Calculateur!AS91*VLOOKUP('Données projet'!$B$10,Paramètres!$A$1:$I$89,3,0)*0.475*44/12</f>
        <v>26.473523507244941</v>
      </c>
      <c r="AW91" s="21">
        <f>EXP(-LN(2)/2)*AW90+(1-EXP(-LN(2)/2))/(LN(2)/2)*AQ91*AT91*VLOOKUP('Données projet'!$B$10,Paramètres!$A$1:$I$89,3,0)*0.475*44/12</f>
        <v>1.4600778620232295</v>
      </c>
      <c r="AX91" s="21">
        <f t="shared" si="60"/>
        <v>48.291957927786413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329.64328800000055</v>
      </c>
      <c r="BF91" s="13">
        <f t="shared" si="91"/>
        <v>77.356347018802538</v>
      </c>
      <c r="BG91" s="20">
        <f t="shared" si="61"/>
        <v>708.85769765774864</v>
      </c>
      <c r="BH91" s="59">
        <f t="shared" si="62"/>
        <v>1002.191030991082</v>
      </c>
      <c r="BI91" s="59">
        <f ca="1">AVERAGE(OFFSET($BH$3,0,0,'Données projet'!$E$11+1,1))-AVERAGE(OFFSET($H$3,0,0,'Données projet'!$E$11+1,1))</f>
        <v>561.19833044503548</v>
      </c>
      <c r="BJ91" s="59">
        <f t="shared" si="92"/>
        <v>235.9089269943575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22.815399591442866</v>
      </c>
      <c r="BQ91" s="21">
        <f>EXP(-LN(2)/25)*BQ90+(1-EXP(-LN(2)/25))/(LN(2)/25)*Calculateur!BL91*Calculateur!BN91*VLOOKUP('Données projet'!$B$11,Paramètres!$A$1:$I$89,3,0)*0.475*44/12</f>
        <v>29.668603930533127</v>
      </c>
      <c r="BR91" s="21">
        <f>EXP(-LN(2)/2)*BR90+(1-EXP(-LN(2)/2))/(LN(2)/2)*BL91*BO91*VLOOKUP('Données projet'!$B$11,Paramètres!$A$1:$I$89,3,0)*0.475*44/12</f>
        <v>1.6362941557156885</v>
      </c>
      <c r="BS91" s="22">
        <f t="shared" si="63"/>
        <v>54.120297677691681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1.9230769230769169</v>
      </c>
      <c r="BY91" s="12">
        <f>IF('Données projet'!$A$114&gt;35,BY90+BX91-CG90,IF(A91&lt;'Données projet'!$A$114,$BV$205^A91,IF(A91='Données projet'!$A$114,'Données projet'!$B$114,BY90+BX91-CG90)))</f>
        <v>155.7692307692306</v>
      </c>
      <c r="BZ91" s="13">
        <f>BY91*VLOOKUP('Données projet'!$B$12,Paramètres!$A$1:$I$89,3,0)*VLOOKUP('Données projet'!$B$12,Paramètres!$A$1:$I$89,5,0)</f>
        <v>136.07999999999987</v>
      </c>
      <c r="CA91" s="13">
        <f t="shared" si="93"/>
        <v>35.397509654783399</v>
      </c>
      <c r="CB91" s="20">
        <f t="shared" si="64"/>
        <v>298.6566626487475</v>
      </c>
      <c r="CC91" s="59">
        <f t="shared" si="65"/>
        <v>591.98999598208081</v>
      </c>
      <c r="CD91" s="59">
        <f ca="1">AVERAGE(OFFSET($CC$3,0,0,'Données projet'!$E$12+1,1))-AVERAGE(OFFSET($H$3,0,0,'Données projet'!$E$12+1,1))</f>
        <v>147.1862160897889</v>
      </c>
      <c r="CE91" s="59">
        <f t="shared" si="94"/>
        <v>147.31828668914011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2.5041297736864099</v>
      </c>
      <c r="CL91" s="21">
        <f>EXP(-LN(2)/25)*CL90+(1-EXP(-LN(2)/25))/(LN(2)/25)*Calculateur!CG91*Calculateur!CI91*VLOOKUP('Données projet'!$B$12,Paramètres!$A$1:$I$89,3,0)*0.475*44/12</f>
        <v>15.858390493776762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18.362520267463172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326.05837294177707</v>
      </c>
      <c r="T92" s="59">
        <f t="shared" si="88"/>
        <v>406.74689878702014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92.606735147935098</v>
      </c>
      <c r="AA92" s="21">
        <f>EXP(-LN(2)/25)*AA91+(1-EXP(-LN(2)/25))/(LN(2)/25)*Calculateur!V92*Calculateur!X92*VLOOKUP('Données projet'!$B$9,Paramètres!$A$1:$I$89,3,0)*0.475*44/12</f>
        <v>24.700585824771981</v>
      </c>
      <c r="AB92" s="21">
        <f>EXP(-LN(2)/2)*AB91+(1-EXP(-LN(2)/2))/(LN(2)/2)*V92*Y92*VLOOKUP('Données projet'!$B$9,Paramètres!$A$1:$I$89,3,0)*0.475*44/12</f>
        <v>8.3408208099193201E-4</v>
      </c>
      <c r="AC92" s="22">
        <f t="shared" si="57"/>
        <v>117.30815505478806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302.44297200000045</v>
      </c>
      <c r="AK92" s="13">
        <f t="shared" si="89"/>
        <v>71.688362252626035</v>
      </c>
      <c r="AL92" s="20">
        <f t="shared" si="58"/>
        <v>651.61207382332452</v>
      </c>
      <c r="AM92" s="59">
        <f t="shared" si="59"/>
        <v>944.94540715665789</v>
      </c>
      <c r="AN92" s="59">
        <f ca="1">AVERAGE(OFFSET($AM$3,0,0,'Données projet'!$E$10+1,1))-AVERAGE(OFFSET($H$3,0,0,'Données projet'!$E$10+1,1))</f>
        <v>490.21869105612649</v>
      </c>
      <c r="AO92" s="59">
        <f t="shared" si="90"/>
        <v>207.08773997010911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19.959141603777088</v>
      </c>
      <c r="AV92" s="21">
        <f>EXP(-LN(2)/25)*AV91+(1-EXP(-LN(2)/25))/(LN(2)/25)*Calculateur!AQ92*Calculateur!AS92*VLOOKUP('Données projet'!$B$10,Paramètres!$A$1:$I$89,3,0)*0.475*44/12</f>
        <v>25.749603614757234</v>
      </c>
      <c r="AW92" s="21">
        <f>EXP(-LN(2)/2)*AW91+(1-EXP(-LN(2)/2))/(LN(2)/2)*AQ92*AT92*VLOOKUP('Données projet'!$B$10,Paramètres!$A$1:$I$89,3,0)*0.475*44/12</f>
        <v>1.0324309572969819</v>
      </c>
      <c r="AX92" s="21">
        <f t="shared" si="60"/>
        <v>46.741176175831299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338.9447100000005</v>
      </c>
      <c r="BF92" s="13">
        <f t="shared" si="91"/>
        <v>79.281877395777414</v>
      </c>
      <c r="BG92" s="20">
        <f t="shared" si="61"/>
        <v>728.41130638097991</v>
      </c>
      <c r="BH92" s="59">
        <f t="shared" si="62"/>
        <v>1021.7446397143133</v>
      </c>
      <c r="BI92" s="59">
        <f ca="1">AVERAGE(OFFSET($BH$3,0,0,'Données projet'!$E$11+1,1))-AVERAGE(OFFSET($H$3,0,0,'Données projet'!$E$11+1,1))</f>
        <v>561.19833044503548</v>
      </c>
      <c r="BJ92" s="59">
        <f t="shared" si="92"/>
        <v>235.9089269943575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22.368003521474328</v>
      </c>
      <c r="BQ92" s="21">
        <f>EXP(-LN(2)/25)*BQ91+(1-EXP(-LN(2)/25))/(LN(2)/25)*Calculateur!BL92*Calculateur!BN92*VLOOKUP('Données projet'!$B$11,Paramètres!$A$1:$I$89,3,0)*0.475*44/12</f>
        <v>28.857314395848626</v>
      </c>
      <c r="BR92" s="21">
        <f>EXP(-LN(2)/2)*BR91+(1-EXP(-LN(2)/2))/(LN(2)/2)*BL92*BO92*VLOOKUP('Données projet'!$B$11,Paramètres!$A$1:$I$89,3,0)*0.475*44/12</f>
        <v>1.15703469352248</v>
      </c>
      <c r="BS92" s="22">
        <f t="shared" si="63"/>
        <v>52.382352610845437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1.9230769230769169</v>
      </c>
      <c r="BY92" s="12">
        <f>IF('Données projet'!$A$114&gt;35,BY91+BX92-CG91,IF(A92&lt;'Données projet'!$A$114,$BV$205^A92,IF(A92='Données projet'!$A$114,'Données projet'!$B$114,BY91+BX92-CG91)))</f>
        <v>157.69230769230751</v>
      </c>
      <c r="BZ92" s="13">
        <f>BY92*VLOOKUP('Données projet'!$B$12,Paramètres!$A$1:$I$89,3,0)*VLOOKUP('Données projet'!$B$12,Paramètres!$A$1:$I$89,5,0)</f>
        <v>137.75999999999985</v>
      </c>
      <c r="CA92" s="13">
        <f t="shared" si="93"/>
        <v>35.783372232974394</v>
      </c>
      <c r="CB92" s="20">
        <f t="shared" si="64"/>
        <v>302.25470663909681</v>
      </c>
      <c r="CC92" s="59">
        <f t="shared" si="65"/>
        <v>595.58803997243012</v>
      </c>
      <c r="CD92" s="59">
        <f ca="1">AVERAGE(OFFSET($CC$3,0,0,'Données projet'!$E$12+1,1))-AVERAGE(OFFSET($H$3,0,0,'Données projet'!$E$12+1,1))</f>
        <v>147.1862160897889</v>
      </c>
      <c r="CE92" s="59">
        <f t="shared" si="94"/>
        <v>147.31828668914011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2.4550253161927662</v>
      </c>
      <c r="CL92" s="21">
        <f>EXP(-LN(2)/25)*CL91+(1-EXP(-LN(2)/25))/(LN(2)/25)*Calculateur!CG92*Calculateur!CI92*VLOOKUP('Données projet'!$B$12,Paramètres!$A$1:$I$89,3,0)*0.475*44/12</f>
        <v>15.424741971767926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17.879767287960693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326.05837294177707</v>
      </c>
      <c r="T93" s="59">
        <f t="shared" si="88"/>
        <v>406.74689878702014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90.790773556215143</v>
      </c>
      <c r="AA93" s="21">
        <f>EXP(-LN(2)/25)*AA92+(1-EXP(-LN(2)/25))/(LN(2)/25)*Calculateur!V93*Calculateur!X93*VLOOKUP('Données projet'!$B$9,Paramètres!$A$1:$I$89,3,0)*0.475*44/12</f>
        <v>24.025147006446236</v>
      </c>
      <c r="AB93" s="21">
        <f>EXP(-LN(2)/2)*AB92+(1-EXP(-LN(2)/2))/(LN(2)/2)*V93*Y93*VLOOKUP('Données projet'!$B$9,Paramètres!$A$1:$I$89,3,0)*0.475*44/12</f>
        <v>5.8978509553558227E-4</v>
      </c>
      <c r="AC93" s="22">
        <f t="shared" si="57"/>
        <v>114.81651034775692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310.74270240000044</v>
      </c>
      <c r="AK93" s="13">
        <f t="shared" si="89"/>
        <v>73.423914385133031</v>
      </c>
      <c r="AL93" s="20">
        <f t="shared" si="58"/>
        <v>669.09019090077402</v>
      </c>
      <c r="AM93" s="59">
        <f t="shared" si="59"/>
        <v>962.42352423410739</v>
      </c>
      <c r="AN93" s="59">
        <f ca="1">AVERAGE(OFFSET($AM$3,0,0,'Données projet'!$E$10+1,1))-AVERAGE(OFFSET($H$3,0,0,'Données projet'!$E$10+1,1))</f>
        <v>490.21869105612649</v>
      </c>
      <c r="AO93" s="59">
        <f t="shared" si="90"/>
        <v>207.08773997010911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19.567755010801328</v>
      </c>
      <c r="AV93" s="21">
        <f>EXP(-LN(2)/25)*AV92+(1-EXP(-LN(2)/25))/(LN(2)/25)*Calculateur!AQ93*Calculateur!AS93*VLOOKUP('Données projet'!$B$10,Paramètres!$A$1:$I$89,3,0)*0.475*44/12</f>
        <v>25.045479349798896</v>
      </c>
      <c r="AW93" s="21">
        <f>EXP(-LN(2)/2)*AW92+(1-EXP(-LN(2)/2))/(LN(2)/2)*AQ93*AT93*VLOOKUP('Données projet'!$B$10,Paramètres!$A$1:$I$89,3,0)*0.475*44/12</f>
        <v>0.73003893101161477</v>
      </c>
      <c r="AX93" s="21">
        <f t="shared" si="60"/>
        <v>45.343273291611837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348.24613200000056</v>
      </c>
      <c r="BF93" s="13">
        <f t="shared" si="91"/>
        <v>81.201266081189317</v>
      </c>
      <c r="BG93" s="20">
        <f t="shared" si="61"/>
        <v>747.95421832473903</v>
      </c>
      <c r="BH93" s="59">
        <f t="shared" si="62"/>
        <v>1041.2875516580723</v>
      </c>
      <c r="BI93" s="59">
        <f ca="1">AVERAGE(OFFSET($BH$3,0,0,'Données projet'!$E$11+1,1))-AVERAGE(OFFSET($H$3,0,0,'Données projet'!$E$11+1,1))</f>
        <v>561.19833044503548</v>
      </c>
      <c r="BJ93" s="59">
        <f t="shared" si="92"/>
        <v>235.9089269943575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21.929380615553217</v>
      </c>
      <c r="BQ93" s="21">
        <f>EXP(-LN(2)/25)*BQ92+(1-EXP(-LN(2)/25))/(LN(2)/25)*Calculateur!BL93*Calculateur!BN93*VLOOKUP('Données projet'!$B$11,Paramètres!$A$1:$I$89,3,0)*0.475*44/12</f>
        <v>28.068209616153936</v>
      </c>
      <c r="BR93" s="21">
        <f>EXP(-LN(2)/2)*BR92+(1-EXP(-LN(2)/2))/(LN(2)/2)*BL93*BO93*VLOOKUP('Données projet'!$B$11,Paramètres!$A$1:$I$89,3,0)*0.475*44/12</f>
        <v>0.81814707785784435</v>
      </c>
      <c r="BS93" s="22">
        <f t="shared" si="63"/>
        <v>50.815737309564994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159.61538461538458</v>
      </c>
      <c r="BW93" s="12">
        <f>VLOOKUP(A93,'Données projet'!$A$113:$I$133,9,0)</f>
        <v>1.9230769230769169</v>
      </c>
      <c r="BX93" s="12">
        <f t="array" ref="BX93">INDEX(BW:BW,MIN(IF(ISNUMBER(BW93:BW289),ROW(BW93:BW289),"")))</f>
        <v>1.9230769230769169</v>
      </c>
      <c r="BY93" s="12">
        <f>IF('Données projet'!$A$114&gt;35,BY92+BX93-CG92,IF(A93&lt;'Données projet'!$A$114,$BV$205^A93,IF(A93='Données projet'!$A$114,'Données projet'!$B$114,BY92+BX93-CG92)))</f>
        <v>159.61538461538441</v>
      </c>
      <c r="BZ93" s="13">
        <f>BY93*VLOOKUP('Données projet'!$B$12,Paramètres!$A$1:$I$89,3,0)*VLOOKUP('Données projet'!$B$12,Paramètres!$A$1:$I$89,5,0)</f>
        <v>139.43999999999986</v>
      </c>
      <c r="CA93" s="13">
        <f t="shared" si="93"/>
        <v>36.168687448758206</v>
      </c>
      <c r="CB93" s="20">
        <f t="shared" si="64"/>
        <v>305.85179730658695</v>
      </c>
      <c r="CC93" s="59">
        <f t="shared" si="65"/>
        <v>599.18513063992032</v>
      </c>
      <c r="CD93" s="59">
        <f ca="1">AVERAGE(OFFSET($CC$3,0,0,'Données projet'!$E$12+1,1))-AVERAGE(OFFSET($H$3,0,0,'Données projet'!$E$12+1,1))</f>
        <v>147.1862160897889</v>
      </c>
      <c r="CE93" s="59">
        <f t="shared" si="94"/>
        <v>147.31828668914011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7.6923076923076916</v>
      </c>
      <c r="CH93" s="16">
        <f>IF(ISNA(VLOOKUP(A93,'Données projet'!$A$113:$I$133,5,0)),0%,VLOOKUP(A93,'Données projet'!$A$113:$I$133,5,0)*VLOOKUP('Données projet'!$B$12,Paramètres!$A$1:$I$89,7,0))</f>
        <v>4.3000000000000003E-2</v>
      </c>
      <c r="CI93" s="16">
        <f>IF(ISNA(VLOOKUP(A93,'Données projet'!$A$113:$I$133,6,0)),0%,VLOOKUP(A93,'Données projet'!$A$113:$I$133,6,0)*VLOOKUP('Données projet'!$B$12,Paramètres!$A$1:$I$89,7,0))</f>
        <v>0.215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2.7263204880296525</v>
      </c>
      <c r="CL93" s="21">
        <f>EXP(-LN(2)/25)*CL92+(1-EXP(-LN(2)/25))/(LN(2)/25)*Calculateur!CG93*Calculateur!CI93*VLOOKUP('Données projet'!$B$12,Paramètres!$A$1:$I$89,3,0)*0.475*44/12</f>
        <v>16.593846475322223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19.320166963351877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326.05837294177707</v>
      </c>
      <c r="T94" s="59">
        <f t="shared" si="88"/>
        <v>406.74689878702014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89.010421863681614</v>
      </c>
      <c r="AA94" s="21">
        <f>EXP(-LN(2)/25)*AA93+(1-EXP(-LN(2)/25))/(LN(2)/25)*Calculateur!V94*Calculateur!X94*VLOOKUP('Données projet'!$B$9,Paramètres!$A$1:$I$89,3,0)*0.475*44/12</f>
        <v>23.368178098127395</v>
      </c>
      <c r="AB94" s="21">
        <f>EXP(-LN(2)/2)*AB93+(1-EXP(-LN(2)/2))/(LN(2)/2)*V94*Y94*VLOOKUP('Données projet'!$B$9,Paramètres!$A$1:$I$89,3,0)*0.475*44/12</f>
        <v>4.17041040495966E-4</v>
      </c>
      <c r="AC94" s="22">
        <f t="shared" si="57"/>
        <v>112.37901700284951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319.04243280000043</v>
      </c>
      <c r="AK94" s="13">
        <f t="shared" si="89"/>
        <v>75.154078446360543</v>
      </c>
      <c r="AL94" s="20">
        <f t="shared" si="58"/>
        <v>686.55892375407859</v>
      </c>
      <c r="AM94" s="59">
        <f t="shared" si="59"/>
        <v>979.89225708741196</v>
      </c>
      <c r="AN94" s="59">
        <f ca="1">AVERAGE(OFFSET($AM$3,0,0,'Données projet'!$E$10+1,1))-AVERAGE(OFFSET($H$3,0,0,'Données projet'!$E$10+1,1))</f>
        <v>490.21869105612649</v>
      </c>
      <c r="AO94" s="59">
        <f t="shared" si="90"/>
        <v>207.08773997010911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19.184043270191573</v>
      </c>
      <c r="AV94" s="21">
        <f>EXP(-LN(2)/25)*AV93+(1-EXP(-LN(2)/25))/(LN(2)/25)*Calculateur!AQ94*Calculateur!AS94*VLOOKUP('Données projet'!$B$10,Paramètres!$A$1:$I$89,3,0)*0.475*44/12</f>
        <v>24.360609399894127</v>
      </c>
      <c r="AW94" s="21">
        <f>EXP(-LN(2)/2)*AW93+(1-EXP(-LN(2)/2))/(LN(2)/2)*AQ94*AT94*VLOOKUP('Données projet'!$B$10,Paramètres!$A$1:$I$89,3,0)*0.475*44/12</f>
        <v>0.51621547864849093</v>
      </c>
      <c r="AX94" s="21">
        <f t="shared" si="60"/>
        <v>44.060868148734187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357.54755400000056</v>
      </c>
      <c r="BF94" s="13">
        <f t="shared" si="91"/>
        <v>83.114695969480493</v>
      </c>
      <c r="BG94" s="20">
        <f t="shared" si="61"/>
        <v>767.48675203017956</v>
      </c>
      <c r="BH94" s="59">
        <f t="shared" si="62"/>
        <v>1060.8200853635128</v>
      </c>
      <c r="BI94" s="59">
        <f ca="1">AVERAGE(OFFSET($BH$3,0,0,'Données projet'!$E$11+1,1))-AVERAGE(OFFSET($H$3,0,0,'Données projet'!$E$11+1,1))</f>
        <v>561.19833044503548</v>
      </c>
      <c r="BJ94" s="59">
        <f t="shared" si="92"/>
        <v>235.9089269943575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21.499358837283662</v>
      </c>
      <c r="BQ94" s="21">
        <f>EXP(-LN(2)/25)*BQ93+(1-EXP(-LN(2)/25))/(LN(2)/25)*Calculateur!BL94*Calculateur!BN94*VLOOKUP('Données projet'!$B$11,Paramètres!$A$1:$I$89,3,0)*0.475*44/12</f>
        <v>27.300682948157213</v>
      </c>
      <c r="BR94" s="21">
        <f>EXP(-LN(2)/2)*BR93+(1-EXP(-LN(2)/2))/(LN(2)/2)*BL94*BO94*VLOOKUP('Données projet'!$B$11,Paramètres!$A$1:$I$89,3,0)*0.475*44/12</f>
        <v>0.57851734676124</v>
      </c>
      <c r="BS94" s="22">
        <f t="shared" si="63"/>
        <v>49.378559132202113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1.9230769230769227</v>
      </c>
      <c r="BY94" s="12">
        <f>IF('Données projet'!$A$114&gt;35,BY93+BX94-CG93,IF(A94&lt;'Données projet'!$A$114,$BV$205^A94,IF(A94='Données projet'!$A$114,'Données projet'!$B$114,BY93+BX94-CG93)))</f>
        <v>153.84615384615367</v>
      </c>
      <c r="BZ94" s="13">
        <f>BY94*VLOOKUP('Données projet'!$B$12,Paramètres!$A$1:$I$89,3,0)*VLOOKUP('Données projet'!$B$12,Paramètres!$A$1:$I$89,5,0)</f>
        <v>134.39999999999986</v>
      </c>
      <c r="CA94" s="13">
        <f t="shared" si="93"/>
        <v>35.011092164239834</v>
      </c>
      <c r="CB94" s="20">
        <f t="shared" si="64"/>
        <v>295.0576521860508</v>
      </c>
      <c r="CC94" s="59">
        <f t="shared" si="65"/>
        <v>588.39098551938412</v>
      </c>
      <c r="CD94" s="59">
        <f ca="1">AVERAGE(OFFSET($CC$3,0,0,'Données projet'!$E$12+1,1))-AVERAGE(OFFSET($H$3,0,0,'Données projet'!$E$12+1,1))</f>
        <v>147.1862160897889</v>
      </c>
      <c r="CE94" s="59">
        <f t="shared" si="94"/>
        <v>147.31828668914011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2.6728590061506918</v>
      </c>
      <c r="CL94" s="21">
        <f>EXP(-LN(2)/25)*CL93+(1-EXP(-LN(2)/25))/(LN(2)/25)*Calculateur!CG94*Calculateur!CI94*VLOOKUP('Données projet'!$B$12,Paramètres!$A$1:$I$89,3,0)*0.475*44/12</f>
        <v>16.140086870822078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18.812945876972769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326.05837294177707</v>
      </c>
      <c r="T95" s="59">
        <f t="shared" si="88"/>
        <v>406.74689878702014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87.264981781931368</v>
      </c>
      <c r="AA95" s="21">
        <f>EXP(-LN(2)/25)*AA94+(1-EXP(-LN(2)/25))/(LN(2)/25)*Calculateur!V95*Calculateur!X95*VLOOKUP('Données projet'!$B$9,Paramètres!$A$1:$I$89,3,0)*0.475*44/12</f>
        <v>22.729174039155023</v>
      </c>
      <c r="AB95" s="21">
        <f>EXP(-LN(2)/2)*AB94+(1-EXP(-LN(2)/2))/(LN(2)/2)*V95*Y95*VLOOKUP('Données projet'!$B$9,Paramètres!$A$1:$I$89,3,0)*0.475*44/12</f>
        <v>2.9489254776779114E-4</v>
      </c>
      <c r="AC95" s="22">
        <f t="shared" si="57"/>
        <v>109.99445071363417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327.34216320000047</v>
      </c>
      <c r="AK95" s="13">
        <f t="shared" si="89"/>
        <v>76.87901071885527</v>
      </c>
      <c r="AL95" s="20">
        <f t="shared" si="58"/>
        <v>704.01854457534034</v>
      </c>
      <c r="AM95" s="59">
        <f t="shared" si="59"/>
        <v>997.35187790867371</v>
      </c>
      <c r="AN95" s="59">
        <f ca="1">AVERAGE(OFFSET($AM$3,0,0,'Données projet'!$E$10+1,1))-AVERAGE(OFFSET($H$3,0,0,'Données projet'!$E$10+1,1))</f>
        <v>490.21869105612649</v>
      </c>
      <c r="AO95" s="59">
        <f t="shared" si="90"/>
        <v>207.08773997010911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18.807855882774124</v>
      </c>
      <c r="AV95" s="21">
        <f>EXP(-LN(2)/25)*AV94+(1-EXP(-LN(2)/25))/(LN(2)/25)*Calculateur!AQ95*Calculateur!AS95*VLOOKUP('Données projet'!$B$10,Paramètres!$A$1:$I$89,3,0)*0.475*44/12</f>
        <v>23.694467254785252</v>
      </c>
      <c r="AW95" s="21">
        <f>EXP(-LN(2)/2)*AW94+(1-EXP(-LN(2)/2))/(LN(2)/2)*AQ95*AT95*VLOOKUP('Données projet'!$B$10,Paramètres!$A$1:$I$89,3,0)*0.475*44/12</f>
        <v>0.36501946550580738</v>
      </c>
      <c r="AX95" s="21">
        <f t="shared" si="60"/>
        <v>42.867342603065183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366.8489760000005</v>
      </c>
      <c r="BF95" s="13">
        <f t="shared" si="91"/>
        <v>85.022339897263734</v>
      </c>
      <c r="BG95" s="20">
        <f t="shared" si="61"/>
        <v>787.00920852106856</v>
      </c>
      <c r="BH95" s="59">
        <f t="shared" si="62"/>
        <v>1080.3425418544018</v>
      </c>
      <c r="BI95" s="59">
        <f ca="1">AVERAGE(OFFSET($BH$3,0,0,'Données projet'!$E$11+1,1))-AVERAGE(OFFSET($H$3,0,0,'Données projet'!$E$11+1,1))</f>
        <v>561.19833044503548</v>
      </c>
      <c r="BJ95" s="59">
        <f t="shared" si="92"/>
        <v>235.9089269943575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21.077769523798587</v>
      </c>
      <c r="BQ95" s="21">
        <f>EXP(-LN(2)/25)*BQ94+(1-EXP(-LN(2)/25))/(LN(2)/25)*Calculateur!BL95*Calculateur!BN95*VLOOKUP('Données projet'!$B$11,Paramètres!$A$1:$I$89,3,0)*0.475*44/12</f>
        <v>26.554144337259334</v>
      </c>
      <c r="BR95" s="21">
        <f>EXP(-LN(2)/2)*BR94+(1-EXP(-LN(2)/2))/(LN(2)/2)*BL95*BO95*VLOOKUP('Données projet'!$B$11,Paramètres!$A$1:$I$89,3,0)*0.475*44/12</f>
        <v>0.40907353892892218</v>
      </c>
      <c r="BS95" s="22">
        <f t="shared" si="63"/>
        <v>48.040987399986847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1.9230769230769227</v>
      </c>
      <c r="BY95" s="12">
        <f>IF('Données projet'!$A$114&gt;35,BY94+BX95-CG94,IF(A95&lt;'Données projet'!$A$114,$BV$205^A95,IF(A95='Données projet'!$A$114,'Données projet'!$B$114,BY94+BX95-CG94)))</f>
        <v>155.7692307692306</v>
      </c>
      <c r="BZ95" s="13">
        <f>BY95*VLOOKUP('Données projet'!$B$12,Paramètres!$A$1:$I$89,3,0)*VLOOKUP('Données projet'!$B$12,Paramètres!$A$1:$I$89,5,0)</f>
        <v>136.07999999999987</v>
      </c>
      <c r="CA95" s="13">
        <f t="shared" si="93"/>
        <v>35.397509654783399</v>
      </c>
      <c r="CB95" s="20">
        <f t="shared" si="64"/>
        <v>298.6566626487475</v>
      </c>
      <c r="CC95" s="59">
        <f t="shared" si="65"/>
        <v>591.98999598208081</v>
      </c>
      <c r="CD95" s="59">
        <f ca="1">AVERAGE(OFFSET($CC$3,0,0,'Données projet'!$E$12+1,1))-AVERAGE(OFFSET($H$3,0,0,'Données projet'!$E$12+1,1))</f>
        <v>147.1862160897889</v>
      </c>
      <c r="CE95" s="59">
        <f t="shared" si="94"/>
        <v>147.31828668914011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2.6204458713230934</v>
      </c>
      <c r="CL95" s="21">
        <f>EXP(-LN(2)/25)*CL94+(1-EXP(-LN(2)/25))/(LN(2)/25)*Calculateur!CG95*Calculateur!CI95*VLOOKUP('Données projet'!$B$12,Paramètres!$A$1:$I$89,3,0)*0.475*44/12</f>
        <v>15.698735346569167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18.319181217892261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326.05837294177707</v>
      </c>
      <c r="T96" s="59">
        <f t="shared" si="88"/>
        <v>406.74689878702014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85.553768715570911</v>
      </c>
      <c r="AA96" s="21">
        <f>EXP(-LN(2)/25)*AA95+(1-EXP(-LN(2)/25))/(LN(2)/25)*Calculateur!V96*Calculateur!X96*VLOOKUP('Données projet'!$B$9,Paramètres!$A$1:$I$89,3,0)*0.475*44/12</f>
        <v>22.107643579779015</v>
      </c>
      <c r="AB96" s="21">
        <f>EXP(-LN(2)/2)*AB95+(1-EXP(-LN(2)/2))/(LN(2)/2)*V96*Y96*VLOOKUP('Données projet'!$B$9,Paramètres!$A$1:$I$89,3,0)*0.475*44/12</f>
        <v>2.08520520247983E-4</v>
      </c>
      <c r="AC96" s="22">
        <f t="shared" si="57"/>
        <v>107.66162081587017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335.64189360000046</v>
      </c>
      <c r="AK96" s="13">
        <f t="shared" si="89"/>
        <v>78.598859108522404</v>
      </c>
      <c r="AL96" s="20">
        <f t="shared" si="58"/>
        <v>721.46931096734397</v>
      </c>
      <c r="AM96" s="59">
        <f t="shared" si="59"/>
        <v>1014.8026443006772</v>
      </c>
      <c r="AN96" s="59">
        <f ca="1">AVERAGE(OFFSET($AM$3,0,0,'Données projet'!$E$10+1,1))-AVERAGE(OFFSET($H$3,0,0,'Données projet'!$E$10+1,1))</f>
        <v>490.21869105612649</v>
      </c>
      <c r="AO96" s="59">
        <f t="shared" si="90"/>
        <v>207.08773997010911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18.439045300572278</v>
      </c>
      <c r="AV96" s="21">
        <f>EXP(-LN(2)/25)*AV95+(1-EXP(-LN(2)/25))/(LN(2)/25)*Calculateur!AQ96*Calculateur!AS96*VLOOKUP('Données projet'!$B$10,Paramètres!$A$1:$I$89,3,0)*0.475*44/12</f>
        <v>23.04654080166527</v>
      </c>
      <c r="AW96" s="21">
        <f>EXP(-LN(2)/2)*AW95+(1-EXP(-LN(2)/2))/(LN(2)/2)*AQ96*AT96*VLOOKUP('Données projet'!$B$10,Paramètres!$A$1:$I$89,3,0)*0.475*44/12</f>
        <v>0.25810773932424547</v>
      </c>
      <c r="AX96" s="21">
        <f t="shared" si="60"/>
        <v>41.743693841561793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376.15039800000056</v>
      </c>
      <c r="BF96" s="13">
        <f t="shared" si="91"/>
        <v>86.92436143722324</v>
      </c>
      <c r="BG96" s="20">
        <f t="shared" si="61"/>
        <v>806.52187268649811</v>
      </c>
      <c r="BH96" s="59">
        <f t="shared" si="62"/>
        <v>1099.8552060198315</v>
      </c>
      <c r="BI96" s="59">
        <f ca="1">AVERAGE(OFFSET($BH$3,0,0,'Données projet'!$E$11+1,1))-AVERAGE(OFFSET($H$3,0,0,'Données projet'!$E$11+1,1))</f>
        <v>561.19833044503548</v>
      </c>
      <c r="BJ96" s="59">
        <f t="shared" si="92"/>
        <v>235.9089269943575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20.664447319606865</v>
      </c>
      <c r="BQ96" s="21">
        <f>EXP(-LN(2)/25)*BQ95+(1-EXP(-LN(2)/25))/(LN(2)/25)*Calculateur!BL96*Calculateur!BN96*VLOOKUP('Données projet'!$B$11,Paramètres!$A$1:$I$89,3,0)*0.475*44/12</f>
        <v>25.828019863935218</v>
      </c>
      <c r="BR96" s="21">
        <f>EXP(-LN(2)/2)*BR95+(1-EXP(-LN(2)/2))/(LN(2)/2)*BL96*BO96*VLOOKUP('Données projet'!$B$11,Paramètres!$A$1:$I$89,3,0)*0.475*44/12</f>
        <v>0.28925867338062</v>
      </c>
      <c r="BS96" s="22">
        <f t="shared" si="63"/>
        <v>46.781725856922705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1.9230769230769227</v>
      </c>
      <c r="BY96" s="12">
        <f>IF('Données projet'!$A$114&gt;35,BY95+BX96-CG95,IF(A96&lt;'Données projet'!$A$114,$BV$205^A96,IF(A96='Données projet'!$A$114,'Données projet'!$B$114,BY95+BX96-CG95)))</f>
        <v>157.69230769230754</v>
      </c>
      <c r="BZ96" s="13">
        <f>BY96*VLOOKUP('Données projet'!$B$12,Paramètres!$A$1:$I$89,3,0)*VLOOKUP('Données projet'!$B$12,Paramètres!$A$1:$I$89,5,0)</f>
        <v>137.75999999999991</v>
      </c>
      <c r="CA96" s="13">
        <f t="shared" si="93"/>
        <v>35.783372232974429</v>
      </c>
      <c r="CB96" s="20">
        <f t="shared" si="64"/>
        <v>302.25470663909692</v>
      </c>
      <c r="CC96" s="59">
        <f t="shared" si="65"/>
        <v>595.58803997243024</v>
      </c>
      <c r="CD96" s="59">
        <f ca="1">AVERAGE(OFFSET($CC$3,0,0,'Données projet'!$E$12+1,1))-AVERAGE(OFFSET($H$3,0,0,'Données projet'!$E$12+1,1))</f>
        <v>147.1862160897889</v>
      </c>
      <c r="CE96" s="59">
        <f t="shared" si="94"/>
        <v>147.31828668914011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2.5690605261006088</v>
      </c>
      <c r="CL96" s="21">
        <f>EXP(-LN(2)/25)*CL95+(1-EXP(-LN(2)/25))/(LN(2)/25)*Calculateur!CG96*Calculateur!CI96*VLOOKUP('Données projet'!$B$12,Paramètres!$A$1:$I$89,3,0)*0.475*44/12</f>
        <v>15.269452602956621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17.83851312905723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326.05837294177707</v>
      </c>
      <c r="T97" s="59">
        <f t="shared" si="88"/>
        <v>406.74689878702014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83.876111493704869</v>
      </c>
      <c r="AA97" s="21">
        <f>EXP(-LN(2)/25)*AA96+(1-EXP(-LN(2)/25))/(LN(2)/25)*Calculateur!V97*Calculateur!X97*VLOOKUP('Données projet'!$B$9,Paramètres!$A$1:$I$89,3,0)*0.475*44/12</f>
        <v>21.503108903499509</v>
      </c>
      <c r="AB97" s="21">
        <f>EXP(-LN(2)/2)*AB96+(1-EXP(-LN(2)/2))/(LN(2)/2)*V97*Y97*VLOOKUP('Données projet'!$B$9,Paramètres!$A$1:$I$89,3,0)*0.475*44/12</f>
        <v>1.4744627388389557E-4</v>
      </c>
      <c r="AC97" s="22">
        <f t="shared" si="57"/>
        <v>105.37936784347826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343.94162400000044</v>
      </c>
      <c r="AK97" s="13">
        <f t="shared" si="89"/>
        <v>80.313763789484966</v>
      </c>
      <c r="AL97" s="20">
        <f t="shared" si="58"/>
        <v>738.91146706668712</v>
      </c>
      <c r="AM97" s="59">
        <f t="shared" si="59"/>
        <v>1032.2448004000205</v>
      </c>
      <c r="AN97" s="59">
        <f ca="1">AVERAGE(OFFSET($AM$3,0,0,'Données projet'!$E$10+1,1))-AVERAGE(OFFSET($H$3,0,0,'Données projet'!$E$10+1,1))</f>
        <v>490.21869105612649</v>
      </c>
      <c r="AO97" s="59">
        <f t="shared" si="90"/>
        <v>207.08773997010911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28.215969128647792</v>
      </c>
      <c r="AV97" s="21">
        <f>EXP(-LN(2)/25)*AV96+(1-EXP(-LN(2)/25))/(LN(2)/25)*Calculateur!AQ97*Calculateur!AS97*VLOOKUP('Données projet'!$B$10,Paramètres!$A$1:$I$89,3,0)*0.475*44/12</f>
        <v>28.18695085333249</v>
      </c>
      <c r="AW97" s="21">
        <f>EXP(-LN(2)/2)*AW96+(1-EXP(-LN(2)/2))/(LN(2)/2)*AQ97*AT97*VLOOKUP('Données projet'!$B$10,Paramètres!$A$1:$I$89,3,0)*0.475*44/12</f>
        <v>5.9322004637288286</v>
      </c>
      <c r="AX97" s="21">
        <f t="shared" si="60"/>
        <v>62.335120445709109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385.45182000000051</v>
      </c>
      <c r="BF97" s="13">
        <f t="shared" si="91"/>
        <v>88.820915611280114</v>
      </c>
      <c r="BG97" s="20">
        <f t="shared" si="61"/>
        <v>826.02501452298031</v>
      </c>
      <c r="BH97" s="59">
        <f t="shared" si="62"/>
        <v>1119.3583478563137</v>
      </c>
      <c r="BI97" s="59">
        <f ca="1">AVERAGE(OFFSET($BH$3,0,0,'Données projet'!$E$11+1,1))-AVERAGE(OFFSET($H$3,0,0,'Données projet'!$E$11+1,1))</f>
        <v>561.19833044503548</v>
      </c>
      <c r="BJ97" s="59">
        <f t="shared" si="92"/>
        <v>235.9089269943575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31.62134471313977</v>
      </c>
      <c r="BQ97" s="21">
        <f>EXP(-LN(2)/25)*BQ96+(1-EXP(-LN(2)/25))/(LN(2)/25)*Calculateur!BL97*Calculateur!BN97*VLOOKUP('Données projet'!$B$11,Paramètres!$A$1:$I$89,3,0)*0.475*44/12</f>
        <v>31.588824232182965</v>
      </c>
      <c r="BR97" s="21">
        <f>EXP(-LN(2)/2)*BR96+(1-EXP(-LN(2)/2))/(LN(2)/2)*BL97*BO97*VLOOKUP('Données projet'!$B$11,Paramètres!$A$1:$I$89,3,0)*0.475*44/12</f>
        <v>6.6481556921098957</v>
      </c>
      <c r="BS97" s="22">
        <f t="shared" si="63"/>
        <v>69.858324637432631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1.9230769230769227</v>
      </c>
      <c r="BY97" s="12">
        <f>IF('Données projet'!$A$114&gt;35,BY96+BX97-CG96,IF(A97&lt;'Données projet'!$A$114,$BV$205^A97,IF(A97='Données projet'!$A$114,'Données projet'!$B$114,BY96+BX97-CG96)))</f>
        <v>159.61538461538447</v>
      </c>
      <c r="BZ97" s="13">
        <f>BY97*VLOOKUP('Données projet'!$B$12,Paramètres!$A$1:$I$89,3,0)*VLOOKUP('Données projet'!$B$12,Paramètres!$A$1:$I$89,5,0)</f>
        <v>139.43999999999988</v>
      </c>
      <c r="CA97" s="13">
        <f t="shared" si="93"/>
        <v>36.168687448758206</v>
      </c>
      <c r="CB97" s="20">
        <f t="shared" si="64"/>
        <v>305.85179730658695</v>
      </c>
      <c r="CC97" s="59">
        <f t="shared" si="65"/>
        <v>599.18513063992032</v>
      </c>
      <c r="CD97" s="59">
        <f ca="1">AVERAGE(OFFSET($CC$3,0,0,'Données projet'!$E$12+1,1))-AVERAGE(OFFSET($H$3,0,0,'Données projet'!$E$12+1,1))</f>
        <v>147.1862160897889</v>
      </c>
      <c r="CE97" s="59">
        <f t="shared" si="94"/>
        <v>147.31828668914011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2.5186828161559709</v>
      </c>
      <c r="CL97" s="21">
        <f>EXP(-LN(2)/25)*CL96+(1-EXP(-LN(2)/25))/(LN(2)/25)*Calculateur!CG97*Calculateur!CI97*VLOOKUP('Données projet'!$B$12,Paramètres!$A$1:$I$89,3,0)*0.475*44/12</f>
        <v>14.851908618543158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17.370591434699129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326.05837294177707</v>
      </c>
      <c r="T98" s="59">
        <f t="shared" si="88"/>
        <v>406.74689878702014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82.231352106689755</v>
      </c>
      <c r="AA98" s="21">
        <f>EXP(-LN(2)/25)*AA97+(1-EXP(-LN(2)/25))/(LN(2)/25)*Calculateur!V98*Calculateur!X98*VLOOKUP('Données projet'!$B$9,Paramètres!$A$1:$I$89,3,0)*0.475*44/12</f>
        <v>20.915105259733963</v>
      </c>
      <c r="AB98" s="21">
        <f>EXP(-LN(2)/2)*AB97+(1-EXP(-LN(2)/2))/(LN(2)/2)*V98*Y98*VLOOKUP('Données projet'!$B$9,Paramètres!$A$1:$I$89,3,0)*0.475*44/12</f>
        <v>1.042602601239915E-4</v>
      </c>
      <c r="AC98" s="22">
        <f t="shared" si="57"/>
        <v>103.14656162668385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291.09406560000048</v>
      </c>
      <c r="AK98" s="13">
        <f t="shared" si="89"/>
        <v>69.306175582041092</v>
      </c>
      <c r="AL98" s="20">
        <f t="shared" si="58"/>
        <v>627.697086725389</v>
      </c>
      <c r="AM98" s="59">
        <f t="shared" si="59"/>
        <v>921.03042005872226</v>
      </c>
      <c r="AN98" s="59">
        <f ca="1">AVERAGE(OFFSET($AM$3,0,0,'Données projet'!$E$10+1,1))-AVERAGE(OFFSET($H$3,0,0,'Données projet'!$E$10+1,1))</f>
        <v>490.21869105612649</v>
      </c>
      <c r="AO98" s="59">
        <f t="shared" si="90"/>
        <v>207.08773997010911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27.662671184076828</v>
      </c>
      <c r="AV98" s="21">
        <f>EXP(-LN(2)/25)*AV97+(1-EXP(-LN(2)/25))/(LN(2)/25)*Calculateur!AQ98*Calculateur!AS98*VLOOKUP('Données projet'!$B$10,Paramètres!$A$1:$I$89,3,0)*0.475*44/12</f>
        <v>27.416177199960789</v>
      </c>
      <c r="AW98" s="21">
        <f>EXP(-LN(2)/2)*AW97+(1-EXP(-LN(2)/2))/(LN(2)/2)*AQ98*AT98*VLOOKUP('Données projet'!$B$10,Paramètres!$A$1:$I$89,3,0)*0.475*44/12</f>
        <v>4.1946991752606371</v>
      </c>
      <c r="AX98" s="21">
        <f t="shared" si="60"/>
        <v>59.273547559298251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326.22610800000052</v>
      </c>
      <c r="BF98" s="13">
        <f t="shared" si="91"/>
        <v>76.647360081996098</v>
      </c>
      <c r="BG98" s="20">
        <f t="shared" si="61"/>
        <v>701.67129024281076</v>
      </c>
      <c r="BH98" s="59">
        <f t="shared" si="62"/>
        <v>995.00462357614401</v>
      </c>
      <c r="BI98" s="59">
        <f ca="1">AVERAGE(OFFSET($BH$3,0,0,'Données projet'!$E$11+1,1))-AVERAGE(OFFSET($H$3,0,0,'Données projet'!$E$11+1,1))</f>
        <v>561.19833044503548</v>
      </c>
      <c r="BJ98" s="59">
        <f t="shared" si="92"/>
        <v>235.9089269943575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31.001269430430931</v>
      </c>
      <c r="BQ98" s="21">
        <f>EXP(-LN(2)/25)*BQ97+(1-EXP(-LN(2)/25))/(LN(2)/25)*Calculateur!BL98*Calculateur!BN98*VLOOKUP('Données projet'!$B$11,Paramètres!$A$1:$I$89,3,0)*0.475*44/12</f>
        <v>30.725026172369851</v>
      </c>
      <c r="BR98" s="21">
        <f>EXP(-LN(2)/2)*BR97+(1-EXP(-LN(2)/2))/(LN(2)/2)*BL98*BO98*VLOOKUP('Données projet'!$B$11,Paramètres!$A$1:$I$89,3,0)*0.475*44/12</f>
        <v>4.7009559722748531</v>
      </c>
      <c r="BS98" s="22">
        <f t="shared" si="63"/>
        <v>66.42725157507563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161.53846153846152</v>
      </c>
      <c r="BW98" s="12">
        <f>VLOOKUP(A98,'Données projet'!$A$113:$I$133,9,0)</f>
        <v>1.9230769230769227</v>
      </c>
      <c r="BX98" s="12">
        <f t="array" ref="BX98">INDEX(BW:BW,MIN(IF(ISNUMBER(BW98:BW294),ROW(BW98:BW294),"")))</f>
        <v>1.9230769230769227</v>
      </c>
      <c r="BY98" s="12">
        <f>IF('Données projet'!$A$114&gt;35,BY97+BX98-CG97,IF(A98&lt;'Données projet'!$A$114,$BV$205^A98,IF(A98='Données projet'!$A$114,'Données projet'!$B$114,BY97+BX98-CG97)))</f>
        <v>161.53846153846141</v>
      </c>
      <c r="BZ98" s="13">
        <f>BY98*VLOOKUP('Données projet'!$B$12,Paramètres!$A$1:$I$89,3,0)*VLOOKUP('Données projet'!$B$12,Paramètres!$A$1:$I$89,5,0)</f>
        <v>141.11999999999989</v>
      </c>
      <c r="CA98" s="13">
        <f t="shared" si="93"/>
        <v>36.553462659686808</v>
      </c>
      <c r="CB98" s="20">
        <f t="shared" si="64"/>
        <v>309.44794746562098</v>
      </c>
      <c r="CC98" s="59">
        <f t="shared" si="65"/>
        <v>602.7812807989543</v>
      </c>
      <c r="CD98" s="59">
        <f ca="1">AVERAGE(OFFSET($CC$3,0,0,'Données projet'!$E$12+1,1))-AVERAGE(OFFSET($H$3,0,0,'Données projet'!$E$12+1,1))</f>
        <v>147.1862160897889</v>
      </c>
      <c r="CE98" s="59">
        <f t="shared" si="94"/>
        <v>147.31828668914011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7.6923076923076916</v>
      </c>
      <c r="CH98" s="16">
        <f>IF(ISNA(VLOOKUP(A98,'Données projet'!$A$113:$I$133,5,0)),0%,VLOOKUP(A98,'Données projet'!$A$113:$I$133,5,0)*VLOOKUP('Données projet'!$B$12,Paramètres!$A$1:$I$89,7,0))</f>
        <v>4.3000000000000003E-2</v>
      </c>
      <c r="CI98" s="16">
        <f>IF(ISNA(VLOOKUP(A98,'Données projet'!$A$113:$I$133,6,0)),0%,VLOOKUP(A98,'Données projet'!$A$113:$I$133,6,0)*VLOOKUP('Données projet'!$B$12,Paramètres!$A$1:$I$89,7,0))</f>
        <v>0.215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2.7887297032458198</v>
      </c>
      <c r="CL98" s="21">
        <f>EXP(-LN(2)/25)*CL97+(1-EXP(-LN(2)/25))/(LN(2)/25)*Calculateur!CG98*Calculateur!CI98*VLOOKUP('Données projet'!$B$12,Paramètres!$A$1:$I$89,3,0)*0.475*44/12</f>
        <v>16.036677280265383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18.825406983511204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326.05837294177707</v>
      </c>
      <c r="T99" s="59">
        <f t="shared" si="88"/>
        <v>406.74689878702014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80.618845448049839</v>
      </c>
      <c r="AA99" s="21">
        <f>EXP(-LN(2)/25)*AA98+(1-EXP(-LN(2)/25))/(LN(2)/25)*Calculateur!V99*Calculateur!X99*VLOOKUP('Données projet'!$B$9,Paramètres!$A$1:$I$89,3,0)*0.475*44/12</f>
        <v>20.343180606528954</v>
      </c>
      <c r="AB99" s="21">
        <f>EXP(-LN(2)/2)*AB98+(1-EXP(-LN(2)/2))/(LN(2)/2)*V99*Y99*VLOOKUP('Données projet'!$B$9,Paramètres!$A$1:$I$89,3,0)*0.475*44/12</f>
        <v>7.3723136941947784E-5</v>
      </c>
      <c r="AC99" s="22">
        <f t="shared" si="57"/>
        <v>100.96209977771572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299.18478720000041</v>
      </c>
      <c r="AK99" s="13">
        <f t="shared" si="89"/>
        <v>71.005536504727559</v>
      </c>
      <c r="AL99" s="20">
        <f t="shared" si="58"/>
        <v>644.74814711906788</v>
      </c>
      <c r="AM99" s="59">
        <f t="shared" si="59"/>
        <v>938.08148045240114</v>
      </c>
      <c r="AN99" s="59">
        <f ca="1">AVERAGE(OFFSET($AM$3,0,0,'Données projet'!$E$10+1,1))-AVERAGE(OFFSET($H$3,0,0,'Données projet'!$E$10+1,1))</f>
        <v>490.21869105612649</v>
      </c>
      <c r="AO99" s="59">
        <f t="shared" si="90"/>
        <v>207.08773997010911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27.120223074720478</v>
      </c>
      <c r="AV99" s="21">
        <f>EXP(-LN(2)/25)*AV98+(1-EXP(-LN(2)/25))/(LN(2)/25)*Calculateur!AQ99*Calculateur!AS99*VLOOKUP('Données projet'!$B$10,Paramètres!$A$1:$I$89,3,0)*0.475*44/12</f>
        <v>26.666480392673762</v>
      </c>
      <c r="AW99" s="21">
        <f>EXP(-LN(2)/2)*AW98+(1-EXP(-LN(2)/2))/(LN(2)/2)*AQ99*AT99*VLOOKUP('Données projet'!$B$10,Paramètres!$A$1:$I$89,3,0)*0.475*44/12</f>
        <v>2.9661002318644147</v>
      </c>
      <c r="AX99" s="21">
        <f t="shared" si="60"/>
        <v>56.752803699258656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335.29329600000057</v>
      </c>
      <c r="BF99" s="13">
        <f t="shared" si="91"/>
        <v>78.526724041362712</v>
      </c>
      <c r="BG99" s="20">
        <f t="shared" si="61"/>
        <v>720.73653490537436</v>
      </c>
      <c r="BH99" s="59">
        <f t="shared" si="62"/>
        <v>1014.0698682387076</v>
      </c>
      <c r="BI99" s="59">
        <f ca="1">AVERAGE(OFFSET($BH$3,0,0,'Données projet'!$E$11+1,1))-AVERAGE(OFFSET($H$3,0,0,'Données projet'!$E$11+1,1))</f>
        <v>561.19833044503548</v>
      </c>
      <c r="BJ99" s="59">
        <f t="shared" si="92"/>
        <v>235.9089269943575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30.393353445807435</v>
      </c>
      <c r="BQ99" s="21">
        <f>EXP(-LN(2)/25)*BQ98+(1-EXP(-LN(2)/25))/(LN(2)/25)*Calculateur!BL99*Calculateur!BN99*VLOOKUP('Données projet'!$B$11,Paramètres!$A$1:$I$89,3,0)*0.475*44/12</f>
        <v>29.884848715927493</v>
      </c>
      <c r="BR99" s="21">
        <f>EXP(-LN(2)/2)*BR98+(1-EXP(-LN(2)/2))/(LN(2)/2)*BL99*BO99*VLOOKUP('Données projet'!$B$11,Paramètres!$A$1:$I$89,3,0)*0.475*44/12</f>
        <v>3.3240778460549487</v>
      </c>
      <c r="BS99" s="22">
        <f t="shared" si="63"/>
        <v>63.602280007789872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1.9230769230769227</v>
      </c>
      <c r="BY99" s="12">
        <f>IF('Données projet'!$A$114&gt;35,BY98+BX99-CG98,IF(A99&lt;'Données projet'!$A$114,$BV$205^A99,IF(A99='Données projet'!$A$114,'Données projet'!$B$114,BY98+BX99-CG98)))</f>
        <v>155.76923076923066</v>
      </c>
      <c r="BZ99" s="13">
        <f>BY99*VLOOKUP('Données projet'!$B$12,Paramètres!$A$1:$I$89,3,0)*VLOOKUP('Données projet'!$B$12,Paramètres!$A$1:$I$89,5,0)</f>
        <v>136.07999999999993</v>
      </c>
      <c r="CA99" s="13">
        <f t="shared" si="93"/>
        <v>35.397509654783427</v>
      </c>
      <c r="CB99" s="20">
        <f t="shared" si="64"/>
        <v>298.65666264874767</v>
      </c>
      <c r="CC99" s="59">
        <f t="shared" si="65"/>
        <v>591.98999598208093</v>
      </c>
      <c r="CD99" s="59">
        <f ca="1">AVERAGE(OFFSET($CC$3,0,0,'Données projet'!$E$12+1,1))-AVERAGE(OFFSET($H$3,0,0,'Données projet'!$E$12+1,1))</f>
        <v>147.1862160897889</v>
      </c>
      <c r="CE99" s="59">
        <f t="shared" si="94"/>
        <v>147.31828668914011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2.7340444147223328</v>
      </c>
      <c r="CL99" s="21">
        <f>EXP(-LN(2)/25)*CL98+(1-EXP(-LN(2)/25))/(LN(2)/25)*Calculateur!CG99*Calculateur!CI99*VLOOKUP('Données projet'!$B$12,Paramètres!$A$1:$I$89,3,0)*0.475*44/12</f>
        <v>15.59815349670432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18.332197911426654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326.05837294177707</v>
      </c>
      <c r="T100" s="59">
        <f t="shared" si="88"/>
        <v>406.74689878702014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79.037959061453904</v>
      </c>
      <c r="AA100" s="21">
        <f>EXP(-LN(2)/25)*AA99+(1-EXP(-LN(2)/25))/(LN(2)/25)*Calculateur!V100*Calculateur!X100*VLOOKUP('Données projet'!$B$9,Paramètres!$A$1:$I$89,3,0)*0.475*44/12</f>
        <v>19.786895263042044</v>
      </c>
      <c r="AB100" s="21">
        <f>EXP(-LN(2)/2)*AB99+(1-EXP(-LN(2)/2))/(LN(2)/2)*V100*Y100*VLOOKUP('Données projet'!$B$9,Paramètres!$A$1:$I$89,3,0)*0.475*44/12</f>
        <v>5.213013006199575E-5</v>
      </c>
      <c r="AC100" s="22">
        <f t="shared" si="57"/>
        <v>98.824906454626003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307.27550880000041</v>
      </c>
      <c r="AK100" s="13">
        <f t="shared" si="89"/>
        <v>72.699555980078841</v>
      </c>
      <c r="AL100" s="20">
        <f t="shared" si="58"/>
        <v>661.78990449197136</v>
      </c>
      <c r="AM100" s="59">
        <f t="shared" si="59"/>
        <v>955.12323782530461</v>
      </c>
      <c r="AN100" s="59">
        <f ca="1">AVERAGE(OFFSET($AM$3,0,0,'Données projet'!$E$10+1,1))-AVERAGE(OFFSET($H$3,0,0,'Données projet'!$E$10+1,1))</f>
        <v>490.21869105612649</v>
      </c>
      <c r="AO100" s="59">
        <f t="shared" si="90"/>
        <v>207.08773997010911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26.588412041927928</v>
      </c>
      <c r="AV100" s="21">
        <f>EXP(-LN(2)/25)*AV99+(1-EXP(-LN(2)/25))/(LN(2)/25)*Calculateur!AQ100*Calculateur!AS100*VLOOKUP('Données projet'!$B$10,Paramètres!$A$1:$I$89,3,0)*0.475*44/12</f>
        <v>25.937284084006841</v>
      </c>
      <c r="AW100" s="21">
        <f>EXP(-LN(2)/2)*AW99+(1-EXP(-LN(2)/2))/(LN(2)/2)*AQ100*AT100*VLOOKUP('Données projet'!$B$10,Paramètres!$A$1:$I$89,3,0)*0.475*44/12</f>
        <v>2.0973495876303185</v>
      </c>
      <c r="AX100" s="21">
        <f t="shared" si="60"/>
        <v>54.623045713565091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344.36048400000055</v>
      </c>
      <c r="BF100" s="13">
        <f t="shared" si="91"/>
        <v>80.400180766145681</v>
      </c>
      <c r="BG100" s="20">
        <f t="shared" si="61"/>
        <v>739.79149113437143</v>
      </c>
      <c r="BH100" s="59">
        <f t="shared" si="62"/>
        <v>1033.1248244677047</v>
      </c>
      <c r="BI100" s="59">
        <f ca="1">AVERAGE(OFFSET($BH$3,0,0,'Données projet'!$E$11+1,1))-AVERAGE(OFFSET($H$3,0,0,'Données projet'!$E$11+1,1))</f>
        <v>561.19833044503548</v>
      </c>
      <c r="BJ100" s="59">
        <f t="shared" si="92"/>
        <v>235.9089269943575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29.797358322850265</v>
      </c>
      <c r="BQ100" s="21">
        <f>EXP(-LN(2)/25)*BQ99+(1-EXP(-LN(2)/25))/(LN(2)/25)*Calculateur!BL100*Calculateur!BN100*VLOOKUP('Données projet'!$B$11,Paramètres!$A$1:$I$89,3,0)*0.475*44/12</f>
        <v>29.067645956214566</v>
      </c>
      <c r="BR100" s="21">
        <f>EXP(-LN(2)/2)*BR99+(1-EXP(-LN(2)/2))/(LN(2)/2)*BL100*BO100*VLOOKUP('Données projet'!$B$11,Paramètres!$A$1:$I$89,3,0)*0.475*44/12</f>
        <v>2.350477986137427</v>
      </c>
      <c r="BS100" s="22">
        <f t="shared" si="63"/>
        <v>61.215482265202262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1.9230769230769227</v>
      </c>
      <c r="BY100" s="12">
        <f>IF('Données projet'!$A$114&gt;35,BY99+BX100-CG99,IF(A100&lt;'Données projet'!$A$114,$BV$205^A100,IF(A100='Données projet'!$A$114,'Données projet'!$B$114,BY99+BX100-CG99)))</f>
        <v>157.69230769230759</v>
      </c>
      <c r="BZ100" s="13">
        <f>BY100*VLOOKUP('Données projet'!$B$12,Paramètres!$A$1:$I$89,3,0)*VLOOKUP('Données projet'!$B$12,Paramètres!$A$1:$I$89,5,0)</f>
        <v>137.75999999999993</v>
      </c>
      <c r="CA100" s="13">
        <f t="shared" si="93"/>
        <v>35.783372232974429</v>
      </c>
      <c r="CB100" s="20">
        <f t="shared" si="64"/>
        <v>302.25470663909704</v>
      </c>
      <c r="CC100" s="59">
        <f t="shared" si="65"/>
        <v>595.58803997243035</v>
      </c>
      <c r="CD100" s="59">
        <f ca="1">AVERAGE(OFFSET($CC$3,0,0,'Données projet'!$E$12+1,1))-AVERAGE(OFFSET($H$3,0,0,'Données projet'!$E$12+1,1))</f>
        <v>147.1862160897889</v>
      </c>
      <c r="CE100" s="59">
        <f t="shared" si="94"/>
        <v>147.31828668914011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2.6804314713520587</v>
      </c>
      <c r="CL100" s="21">
        <f>EXP(-LN(2)/25)*CL99+(1-EXP(-LN(2)/25))/(LN(2)/25)*Calculateur!CG100*Calculateur!CI100*VLOOKUP('Données projet'!$B$12,Paramètres!$A$1:$I$89,3,0)*0.475*44/12</f>
        <v>15.171621169065698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17.852052640417757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326.05837294177707</v>
      </c>
      <c r="T101" s="59">
        <f t="shared" si="88"/>
        <v>406.74689878702014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77.488072892653634</v>
      </c>
      <c r="AA101" s="21">
        <f>EXP(-LN(2)/25)*AA100+(1-EXP(-LN(2)/25))/(LN(2)/25)*Calculateur!V101*Calculateur!X101*VLOOKUP('Données projet'!$B$9,Paramètres!$A$1:$I$89,3,0)*0.475*44/12</f>
        <v>19.245821571526562</v>
      </c>
      <c r="AB101" s="21">
        <f>EXP(-LN(2)/2)*AB100+(1-EXP(-LN(2)/2))/(LN(2)/2)*V101*Y101*VLOOKUP('Données projet'!$B$9,Paramètres!$A$1:$I$89,3,0)*0.475*44/12</f>
        <v>3.6861568470973892E-5</v>
      </c>
      <c r="AC101" s="22">
        <f t="shared" si="57"/>
        <v>96.733931325748671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315.36623040000046</v>
      </c>
      <c r="AK101" s="13">
        <f t="shared" si="89"/>
        <v>74.38839081830163</v>
      </c>
      <c r="AL101" s="20">
        <f t="shared" si="58"/>
        <v>678.82263195520943</v>
      </c>
      <c r="AM101" s="59">
        <f t="shared" si="59"/>
        <v>972.1559652885428</v>
      </c>
      <c r="AN101" s="59">
        <f ca="1">AVERAGE(OFFSET($AM$3,0,0,'Données projet'!$E$10+1,1))-AVERAGE(OFFSET($H$3,0,0,'Données projet'!$E$10+1,1))</f>
        <v>490.21869105612649</v>
      </c>
      <c r="AO101" s="59">
        <f t="shared" si="90"/>
        <v>207.08773997010911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26.067029499115737</v>
      </c>
      <c r="AV101" s="21">
        <f>EXP(-LN(2)/25)*AV100+(1-EXP(-LN(2)/25))/(LN(2)/25)*Calculateur!AQ101*Calculateur!AS101*VLOOKUP('Données projet'!$B$10,Paramètres!$A$1:$I$89,3,0)*0.475*44/12</f>
        <v>25.228027686747183</v>
      </c>
      <c r="AW101" s="21">
        <f>EXP(-LN(2)/2)*AW100+(1-EXP(-LN(2)/2))/(LN(2)/2)*AQ101*AT101*VLOOKUP('Données projet'!$B$10,Paramètres!$A$1:$I$89,3,0)*0.475*44/12</f>
        <v>1.4830501159322074</v>
      </c>
      <c r="AX101" s="21">
        <f t="shared" si="60"/>
        <v>52.778107301795124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353.42767200000054</v>
      </c>
      <c r="BF101" s="13">
        <f t="shared" si="91"/>
        <v>82.26790367650959</v>
      </c>
      <c r="BG101" s="20">
        <f t="shared" si="61"/>
        <v>758.83646096992186</v>
      </c>
      <c r="BH101" s="59">
        <f t="shared" si="62"/>
        <v>1052.1697943032552</v>
      </c>
      <c r="BI101" s="59">
        <f ca="1">AVERAGE(OFFSET($BH$3,0,0,'Données projet'!$E$11+1,1))-AVERAGE(OFFSET($H$3,0,0,'Données projet'!$E$11+1,1))</f>
        <v>561.19833044503548</v>
      </c>
      <c r="BJ101" s="59">
        <f t="shared" si="92"/>
        <v>235.9089269943575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29.213050300733155</v>
      </c>
      <c r="BQ101" s="21">
        <f>EXP(-LN(2)/25)*BQ100+(1-EXP(-LN(2)/25))/(LN(2)/25)*Calculateur!BL101*Calculateur!BN101*VLOOKUP('Données projet'!$B$11,Paramètres!$A$1:$I$89,3,0)*0.475*44/12</f>
        <v>28.272789648940812</v>
      </c>
      <c r="BR101" s="21">
        <f>EXP(-LN(2)/2)*BR100+(1-EXP(-LN(2)/2))/(LN(2)/2)*BL101*BO101*VLOOKUP('Données projet'!$B$11,Paramètres!$A$1:$I$89,3,0)*0.475*44/12</f>
        <v>1.6620389230274746</v>
      </c>
      <c r="BS101" s="22">
        <f t="shared" si="63"/>
        <v>59.14787887270144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1.9230769230769227</v>
      </c>
      <c r="BY101" s="12">
        <f>IF('Données projet'!$A$114&gt;35,BY100+BX101-CG100,IF(A101&lt;'Données projet'!$A$114,$BV$205^A101,IF(A101='Données projet'!$A$114,'Données projet'!$B$114,BY100+BX101-CG100)))</f>
        <v>159.61538461538453</v>
      </c>
      <c r="BZ101" s="13">
        <f>BY101*VLOOKUP('Données projet'!$B$12,Paramètres!$A$1:$I$89,3,0)*VLOOKUP('Données projet'!$B$12,Paramètres!$A$1:$I$89,5,0)</f>
        <v>139.43999999999994</v>
      </c>
      <c r="CA101" s="13">
        <f t="shared" si="93"/>
        <v>36.168687448758241</v>
      </c>
      <c r="CB101" s="20">
        <f t="shared" si="64"/>
        <v>305.85179730658712</v>
      </c>
      <c r="CC101" s="59">
        <f t="shared" si="65"/>
        <v>599.18513063992043</v>
      </c>
      <c r="CD101" s="59">
        <f ca="1">AVERAGE(OFFSET($CC$3,0,0,'Données projet'!$E$12+1,1))-AVERAGE(OFFSET($H$3,0,0,'Données projet'!$E$12+1,1))</f>
        <v>147.1862160897889</v>
      </c>
      <c r="CE101" s="59">
        <f t="shared" si="94"/>
        <v>147.31828668914011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2.6278698451006091</v>
      </c>
      <c r="CL101" s="21">
        <f>EXP(-LN(2)/25)*CL100+(1-EXP(-LN(2)/25))/(LN(2)/25)*Calculateur!CG101*Calculateur!CI101*VLOOKUP('Données projet'!$B$12,Paramètres!$A$1:$I$89,3,0)*0.475*44/12</f>
        <v>14.756752390356715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17.384622235457325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326.05837294177707</v>
      </c>
      <c r="T102" s="59">
        <f t="shared" si="88"/>
        <v>406.74689878702014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75.968579046286322</v>
      </c>
      <c r="AA102" s="21">
        <f>EXP(-LN(2)/25)*AA101+(1-EXP(-LN(2)/25))/(LN(2)/25)*Calculateur!V102*Calculateur!X102*VLOOKUP('Données projet'!$B$9,Paramètres!$A$1:$I$89,3,0)*0.475*44/12</f>
        <v>18.719543568559398</v>
      </c>
      <c r="AB102" s="21">
        <f>EXP(-LN(2)/2)*AB101+(1-EXP(-LN(2)/2))/(LN(2)/2)*V102*Y102*VLOOKUP('Données projet'!$B$9,Paramètres!$A$1:$I$89,3,0)*0.475*44/12</f>
        <v>2.6065065030997875E-5</v>
      </c>
      <c r="AC102" s="22">
        <f t="shared" si="57"/>
        <v>94.688148679910753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323.45695200000046</v>
      </c>
      <c r="AK102" s="13">
        <f t="shared" si="89"/>
        <v>76.072189325282608</v>
      </c>
      <c r="AL102" s="20">
        <f t="shared" si="58"/>
        <v>695.84658780820121</v>
      </c>
      <c r="AM102" s="59">
        <f t="shared" si="59"/>
        <v>989.17992114153458</v>
      </c>
      <c r="AN102" s="59">
        <f ca="1">AVERAGE(OFFSET($AM$3,0,0,'Données projet'!$E$10+1,1))-AVERAGE(OFFSET($H$3,0,0,'Données projet'!$E$10+1,1))</f>
        <v>490.21869105612649</v>
      </c>
      <c r="AO102" s="59">
        <f t="shared" si="90"/>
        <v>207.08773997010911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25.555870949956144</v>
      </c>
      <c r="AV102" s="21">
        <f>EXP(-LN(2)/25)*AV101+(1-EXP(-LN(2)/25))/(LN(2)/25)*Calculateur!AQ102*Calculateur!AS102*VLOOKUP('Données projet'!$B$10,Paramètres!$A$1:$I$89,3,0)*0.475*44/12</f>
        <v>24.538165942968764</v>
      </c>
      <c r="AW102" s="21">
        <f>EXP(-LN(2)/2)*AW101+(1-EXP(-LN(2)/2))/(LN(2)/2)*AQ102*AT102*VLOOKUP('Données projet'!$B$10,Paramètres!$A$1:$I$89,3,0)*0.475*44/12</f>
        <v>1.0486747938151593</v>
      </c>
      <c r="AX102" s="21">
        <f t="shared" si="60"/>
        <v>51.142711686740064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362.49486000000059</v>
      </c>
      <c r="BF102" s="13">
        <f t="shared" si="91"/>
        <v>84.130056787487845</v>
      </c>
      <c r="BG102" s="20">
        <f t="shared" si="61"/>
        <v>777.87173007154217</v>
      </c>
      <c r="BH102" s="59">
        <f t="shared" si="62"/>
        <v>1071.2050634048755</v>
      </c>
      <c r="BI102" s="59">
        <f ca="1">AVERAGE(OFFSET($BH$3,0,0,'Données projet'!$E$11+1,1))-AVERAGE(OFFSET($H$3,0,0,'Données projet'!$E$11+1,1))</f>
        <v>561.19833044503548</v>
      </c>
      <c r="BJ102" s="59">
        <f t="shared" si="92"/>
        <v>235.9089269943575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28.640200202537059</v>
      </c>
      <c r="BQ102" s="21">
        <f>EXP(-LN(2)/25)*BQ101+(1-EXP(-LN(2)/25))/(LN(2)/25)*Calculateur!BL102*Calculateur!BN102*VLOOKUP('Données projet'!$B$11,Paramètres!$A$1:$I$89,3,0)*0.475*44/12</f>
        <v>27.499668729189136</v>
      </c>
      <c r="BR102" s="21">
        <f>EXP(-LN(2)/2)*BR101+(1-EXP(-LN(2)/2))/(LN(2)/2)*BL102*BO102*VLOOKUP('Données projet'!$B$11,Paramètres!$A$1:$I$89,3,0)*0.475*44/12</f>
        <v>1.1752389930687137</v>
      </c>
      <c r="BS102" s="22">
        <f t="shared" si="63"/>
        <v>57.315107924794916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1.9230769230769227</v>
      </c>
      <c r="BY102" s="12">
        <f>IF('Données projet'!$A$114&gt;35,BY101+BX102-CG101,IF(A102&lt;'Données projet'!$A$114,$BV$205^A102,IF(A102='Données projet'!$A$114,'Données projet'!$B$114,BY101+BX102-CG101)))</f>
        <v>161.53846153846146</v>
      </c>
      <c r="BZ102" s="13">
        <f>BY102*VLOOKUP('Données projet'!$B$12,Paramètres!$A$1:$I$89,3,0)*VLOOKUP('Données projet'!$B$12,Paramètres!$A$1:$I$89,5,0)</f>
        <v>141.11999999999995</v>
      </c>
      <c r="CA102" s="13">
        <f t="shared" si="93"/>
        <v>36.553462659686843</v>
      </c>
      <c r="CB102" s="20">
        <f t="shared" si="64"/>
        <v>309.4479474656211</v>
      </c>
      <c r="CC102" s="59">
        <f t="shared" si="65"/>
        <v>602.78128079895441</v>
      </c>
      <c r="CD102" s="59">
        <f ca="1">AVERAGE(OFFSET($CC$3,0,0,'Données projet'!$E$12+1,1))-AVERAGE(OFFSET($H$3,0,0,'Données projet'!$E$12+1,1))</f>
        <v>147.1862160897889</v>
      </c>
      <c r="CE102" s="59">
        <f t="shared" si="94"/>
        <v>147.31828668914011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2.576338920280524</v>
      </c>
      <c r="CL102" s="21">
        <f>EXP(-LN(2)/25)*CL101+(1-EXP(-LN(2)/25))/(LN(2)/25)*Calculateur!CG102*Calculateur!CI102*VLOOKUP('Données projet'!$B$12,Paramètres!$A$1:$I$89,3,0)*0.475*44/12</f>
        <v>14.353228220218529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16.929567140499053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326.05837294177707</v>
      </c>
      <c r="T103" s="59">
        <f t="shared" si="88"/>
        <v>406.74689878702014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74.478881547446534</v>
      </c>
      <c r="AA103" s="21">
        <f>EXP(-LN(2)/25)*AA102+(1-EXP(-LN(2)/25))/(LN(2)/25)*Calculateur!V103*Calculateur!X103*VLOOKUP('Données projet'!$B$9,Paramètres!$A$1:$I$89,3,0)*0.475*44/12</f>
        <v>18.20765666525913</v>
      </c>
      <c r="AB103" s="21">
        <f>EXP(-LN(2)/2)*AB102+(1-EXP(-LN(2)/2))/(LN(2)/2)*V103*Y103*VLOOKUP('Données projet'!$B$9,Paramètres!$A$1:$I$89,3,0)*0.475*44/12</f>
        <v>1.8430784235486946E-5</v>
      </c>
      <c r="AC103" s="22">
        <f t="shared" si="57"/>
        <v>92.686556643489908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331.54767360000045</v>
      </c>
      <c r="AK103" s="13">
        <f t="shared" si="89"/>
        <v>77.751091964826287</v>
      </c>
      <c r="AL103" s="20">
        <f t="shared" si="58"/>
        <v>712.86201669207321</v>
      </c>
      <c r="AM103" s="59">
        <f t="shared" si="59"/>
        <v>1006.1953500254065</v>
      </c>
      <c r="AN103" s="59">
        <f ca="1">AVERAGE(OFFSET($AM$3,0,0,'Données projet'!$E$10+1,1))-AVERAGE(OFFSET($H$3,0,0,'Données projet'!$E$10+1,1))</f>
        <v>490.21869105612649</v>
      </c>
      <c r="AO103" s="59">
        <f t="shared" si="90"/>
        <v>207.08773997010911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25.054735908169643</v>
      </c>
      <c r="AV103" s="21">
        <f>EXP(-LN(2)/25)*AV102+(1-EXP(-LN(2)/25))/(LN(2)/25)*Calculateur!AQ103*Calculateur!AS103*VLOOKUP('Données projet'!$B$10,Paramètres!$A$1:$I$89,3,0)*0.475*44/12</f>
        <v>23.86716850485222</v>
      </c>
      <c r="AW103" s="21">
        <f>EXP(-LN(2)/2)*AW102+(1-EXP(-LN(2)/2))/(LN(2)/2)*AQ103*AT103*VLOOKUP('Données projet'!$B$10,Paramètres!$A$1:$I$89,3,0)*0.475*44/12</f>
        <v>0.74152505796610368</v>
      </c>
      <c r="AX103" s="21">
        <f t="shared" si="60"/>
        <v>49.663429470987964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371.56204800000057</v>
      </c>
      <c r="BF103" s="13">
        <f t="shared" si="91"/>
        <v>85.986795441367093</v>
      </c>
      <c r="BG103" s="20">
        <f t="shared" si="61"/>
        <v>796.89756899371525</v>
      </c>
      <c r="BH103" s="59">
        <f t="shared" si="62"/>
        <v>1090.2309023270486</v>
      </c>
      <c r="BI103" s="59">
        <f ca="1">AVERAGE(OFFSET($BH$3,0,0,'Données projet'!$E$11+1,1))-AVERAGE(OFFSET($H$3,0,0,'Données projet'!$E$11+1,1))</f>
        <v>561.19833044503548</v>
      </c>
      <c r="BJ103" s="59">
        <f t="shared" si="92"/>
        <v>235.9089269943575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28.078583345362532</v>
      </c>
      <c r="BQ103" s="21">
        <f>EXP(-LN(2)/25)*BQ102+(1-EXP(-LN(2)/25))/(LN(2)/25)*Calculateur!BL103*Calculateur!BN103*VLOOKUP('Données projet'!$B$11,Paramètres!$A$1:$I$89,3,0)*0.475*44/12</f>
        <v>26.747688841644731</v>
      </c>
      <c r="BR103" s="21">
        <f>EXP(-LN(2)/2)*BR102+(1-EXP(-LN(2)/2))/(LN(2)/2)*BL103*BO103*VLOOKUP('Données projet'!$B$11,Paramètres!$A$1:$I$89,3,0)*0.475*44/12</f>
        <v>0.8310194615137374</v>
      </c>
      <c r="BS103" s="22">
        <f t="shared" si="63"/>
        <v>55.657291648521003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163.46153846153845</v>
      </c>
      <c r="BW103" s="12">
        <f>VLOOKUP(A103,'Données projet'!$A$113:$I$133,9,0)</f>
        <v>1.9230769230769227</v>
      </c>
      <c r="BX103" s="12">
        <f t="array" ref="BX103">INDEX(BW:BW,MIN(IF(ISNUMBER(BW103:BW299),ROW(BW103:BW299),"")))</f>
        <v>1.9230769230769227</v>
      </c>
      <c r="BY103" s="12">
        <f>IF('Données projet'!$A$114&gt;35,BY102+BX103-CG102,IF(A103&lt;'Données projet'!$A$114,$BV$205^A103,IF(A103='Données projet'!$A$114,'Données projet'!$B$114,BY102+BX103-CG102)))</f>
        <v>163.4615384615384</v>
      </c>
      <c r="BZ103" s="13">
        <f>BY103*VLOOKUP('Données projet'!$B$12,Paramètres!$A$1:$I$89,3,0)*VLOOKUP('Données projet'!$B$12,Paramètres!$A$1:$I$89,5,0)</f>
        <v>142.79999999999995</v>
      </c>
      <c r="CA103" s="13">
        <f t="shared" si="93"/>
        <v>36.937705038052187</v>
      </c>
      <c r="CB103" s="20">
        <f t="shared" si="64"/>
        <v>313.0431696079408</v>
      </c>
      <c r="CC103" s="59">
        <f t="shared" si="65"/>
        <v>606.37650294127411</v>
      </c>
      <c r="CD103" s="59">
        <f ca="1">AVERAGE(OFFSET($CC$3,0,0,'Données projet'!$E$12+1,1))-AVERAGE(OFFSET($H$3,0,0,'Données projet'!$E$12+1,1))</f>
        <v>147.1862160897889</v>
      </c>
      <c r="CE103" s="59">
        <f t="shared" si="94"/>
        <v>147.31828668914011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163.46153846153845</v>
      </c>
      <c r="CH103" s="16">
        <f>IF(ISNA(VLOOKUP(A103,'Données projet'!$A$113:$I$133,5,0)),0%,VLOOKUP(A103,'Données projet'!$A$113:$I$133,5,0)*VLOOKUP('Données projet'!$B$12,Paramètres!$A$1:$I$89,7,0))</f>
        <v>8.6000000000000007E-2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16.101879122433658</v>
      </c>
      <c r="CL103" s="21">
        <f>EXP(-LN(2)/25)*CL102+(1-EXP(-LN(2)/25))/(LN(2)/25)*Calculateur!CG103*Calculateur!CI103*VLOOKUP('Données projet'!$B$12,Paramètres!$A$1:$I$89,3,0)*0.475*44/12</f>
        <v>41.005951466444905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57.107830588878564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326.05837294177707</v>
      </c>
      <c r="T104" s="59">
        <f t="shared" si="88"/>
        <v>406.74689878702014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73.018396107933242</v>
      </c>
      <c r="AA104" s="21">
        <f>EXP(-LN(2)/25)*AA103+(1-EXP(-LN(2)/25))/(LN(2)/25)*Calculateur!V104*Calculateur!X104*VLOOKUP('Données projet'!$B$9,Paramètres!$A$1:$I$89,3,0)*0.475*44/12</f>
        <v>17.709767336248568</v>
      </c>
      <c r="AB104" s="21">
        <f>EXP(-LN(2)/2)*AB103+(1-EXP(-LN(2)/2))/(LN(2)/2)*V104*Y104*VLOOKUP('Données projet'!$B$9,Paramètres!$A$1:$I$89,3,0)*0.475*44/12</f>
        <v>1.3032532515498938E-5</v>
      </c>
      <c r="AC104" s="22">
        <f t="shared" si="57"/>
        <v>90.728176476714324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339.6383952000005</v>
      </c>
      <c r="AK104" s="13">
        <f t="shared" si="89"/>
        <v>79.425231954431325</v>
      </c>
      <c r="AL104" s="20">
        <f t="shared" si="58"/>
        <v>729.86915062730213</v>
      </c>
      <c r="AM104" s="59">
        <f t="shared" si="59"/>
        <v>1023.2024839606354</v>
      </c>
      <c r="AN104" s="59">
        <f ca="1">AVERAGE(OFFSET($AM$3,0,0,'Données projet'!$E$10+1,1))-AVERAGE(OFFSET($H$3,0,0,'Données projet'!$E$10+1,1))</f>
        <v>490.21869105612649</v>
      </c>
      <c r="AO104" s="59">
        <f t="shared" si="90"/>
        <v>207.08773997010911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24.563427818890382</v>
      </c>
      <c r="AV104" s="21">
        <f>EXP(-LN(2)/25)*AV103+(1-EXP(-LN(2)/25))/(LN(2)/25)*Calculateur!AQ104*Calculateur!AS104*VLOOKUP('Données projet'!$B$10,Paramètres!$A$1:$I$89,3,0)*0.475*44/12</f>
        <v>23.214519526967194</v>
      </c>
      <c r="AW104" s="21">
        <f>EXP(-LN(2)/2)*AW103+(1-EXP(-LN(2)/2))/(LN(2)/2)*AQ104*AT104*VLOOKUP('Données projet'!$B$10,Paramètres!$A$1:$I$89,3,0)*0.475*44/12</f>
        <v>0.52433739690757963</v>
      </c>
      <c r="AX104" s="21">
        <f t="shared" si="60"/>
        <v>48.302284742765153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380.62923600000056</v>
      </c>
      <c r="BF104" s="13">
        <f t="shared" si="91"/>
        <v>87.83826696657087</v>
      </c>
      <c r="BG104" s="20">
        <f t="shared" si="61"/>
        <v>815.91423433344517</v>
      </c>
      <c r="BH104" s="59">
        <f t="shared" si="62"/>
        <v>1109.2475676667784</v>
      </c>
      <c r="BI104" s="59">
        <f ca="1">AVERAGE(OFFSET($BH$3,0,0,'Données projet'!$E$11+1,1))-AVERAGE(OFFSET($H$3,0,0,'Données projet'!$E$11+1,1))</f>
        <v>561.19833044503548</v>
      </c>
      <c r="BJ104" s="59">
        <f t="shared" si="92"/>
        <v>235.9089269943575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27.527979452204736</v>
      </c>
      <c r="BQ104" s="21">
        <f>EXP(-LN(2)/25)*BQ103+(1-EXP(-LN(2)/25))/(LN(2)/25)*Calculateur!BL104*Calculateur!BN104*VLOOKUP('Données projet'!$B$11,Paramètres!$A$1:$I$89,3,0)*0.475*44/12</f>
        <v>26.016271883670132</v>
      </c>
      <c r="BR104" s="21">
        <f>EXP(-LN(2)/2)*BR103+(1-EXP(-LN(2)/2))/(LN(2)/2)*BL104*BO104*VLOOKUP('Données projet'!$B$11,Paramètres!$A$1:$I$89,3,0)*0.475*44/12</f>
        <v>0.58761949653435686</v>
      </c>
      <c r="BS104" s="22">
        <f t="shared" si="63"/>
        <v>54.131870832409227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-4.9658410716801891E-14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147.1862160897889</v>
      </c>
      <c r="CE104" s="59">
        <f t="shared" si="94"/>
        <v>147.31828668914011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15.786131094019238</v>
      </c>
      <c r="CL104" s="21">
        <f>EXP(-LN(2)/25)*CL103+(1-EXP(-LN(2)/25))/(LN(2)/25)*Calculateur!CG104*Calculateur!CI104*VLOOKUP('Données projet'!$B$12,Paramètres!$A$1:$I$89,3,0)*0.475*44/12</f>
        <v>39.884641567185703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55.670772661204943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326.05837294177707</v>
      </c>
      <c r="T105" s="59">
        <f t="shared" si="88"/>
        <v>406.74689878702014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71.586549897080644</v>
      </c>
      <c r="AA105" s="21">
        <f>EXP(-LN(2)/25)*AA104+(1-EXP(-LN(2)/25))/(LN(2)/25)*Calculateur!V105*Calculateur!X105*VLOOKUP('Données projet'!$B$9,Paramètres!$A$1:$I$89,3,0)*0.475*44/12</f>
        <v>17.225492817122664</v>
      </c>
      <c r="AB105" s="21">
        <f>EXP(-LN(2)/2)*AB104+(1-EXP(-LN(2)/2))/(LN(2)/2)*V105*Y105*VLOOKUP('Données projet'!$B$9,Paramètres!$A$1:$I$89,3,0)*0.475*44/12</f>
        <v>9.215392117743473E-6</v>
      </c>
      <c r="AC105" s="22">
        <f t="shared" si="57"/>
        <v>88.812051929595413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347.7291168000005</v>
      </c>
      <c r="AK105" s="13">
        <f t="shared" si="89"/>
        <v>81.094735802697301</v>
      </c>
      <c r="AL105" s="20">
        <f t="shared" si="58"/>
        <v>746.86820994969855</v>
      </c>
      <c r="AM105" s="59">
        <f t="shared" si="59"/>
        <v>1040.2015432830319</v>
      </c>
      <c r="AN105" s="59">
        <f ca="1">AVERAGE(OFFSET($AM$3,0,0,'Données projet'!$E$10+1,1))-AVERAGE(OFFSET($H$3,0,0,'Données projet'!$E$10+1,1))</f>
        <v>490.21869105612649</v>
      </c>
      <c r="AO105" s="59">
        <f t="shared" si="90"/>
        <v>207.08773997010911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24.081753981573542</v>
      </c>
      <c r="AV105" s="21">
        <f>EXP(-LN(2)/25)*AV104+(1-EXP(-LN(2)/25))/(LN(2)/25)*Calculateur!AQ105*Calculateur!AS105*VLOOKUP('Données projet'!$B$10,Paramètres!$A$1:$I$89,3,0)*0.475*44/12</f>
        <v>22.579717269703753</v>
      </c>
      <c r="AW105" s="21">
        <f>EXP(-LN(2)/2)*AW104+(1-EXP(-LN(2)/2))/(LN(2)/2)*AQ105*AT105*VLOOKUP('Données projet'!$B$10,Paramètres!$A$1:$I$89,3,0)*0.475*44/12</f>
        <v>0.37076252898305184</v>
      </c>
      <c r="AX105" s="21">
        <f t="shared" si="60"/>
        <v>47.032233780260341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389.6964240000006</v>
      </c>
      <c r="BF105" s="13">
        <f t="shared" si="91"/>
        <v>89.684611271990661</v>
      </c>
      <c r="BG105" s="20">
        <f t="shared" si="61"/>
        <v>834.9219697653848</v>
      </c>
      <c r="BH105" s="59">
        <f t="shared" si="62"/>
        <v>1128.2553030987181</v>
      </c>
      <c r="BI105" s="59">
        <f ca="1">AVERAGE(OFFSET($BH$3,0,0,'Données projet'!$E$11+1,1))-AVERAGE(OFFSET($H$3,0,0,'Données projet'!$E$11+1,1))</f>
        <v>561.19833044503548</v>
      </c>
      <c r="BJ105" s="59">
        <f t="shared" si="92"/>
        <v>235.9089269943575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26.988172565556553</v>
      </c>
      <c r="BQ105" s="21">
        <f>EXP(-LN(2)/25)*BQ104+(1-EXP(-LN(2)/25))/(LN(2)/25)*Calculateur!BL105*Calculateur!BN105*VLOOKUP('Données projet'!$B$11,Paramètres!$A$1:$I$89,3,0)*0.475*44/12</f>
        <v>25.304855560874895</v>
      </c>
      <c r="BR105" s="21">
        <f>EXP(-LN(2)/2)*BR104+(1-EXP(-LN(2)/2))/(LN(2)/2)*BL105*BO105*VLOOKUP('Données projet'!$B$11,Paramètres!$A$1:$I$89,3,0)*0.475*44/12</f>
        <v>0.4155097307568687</v>
      </c>
      <c r="BS105" s="22">
        <f t="shared" si="63"/>
        <v>52.708537857188318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-4.9658410716801891E-14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147.1862160897889</v>
      </c>
      <c r="CE105" s="59">
        <f t="shared" si="94"/>
        <v>147.31828668914011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15.476574691854744</v>
      </c>
      <c r="CL105" s="21">
        <f>EXP(-LN(2)/25)*CL104+(1-EXP(-LN(2)/25))/(LN(2)/25)*Calculateur!CG105*Calculateur!CI105*VLOOKUP('Données projet'!$B$12,Paramètres!$A$1:$I$89,3,0)*0.475*44/12</f>
        <v>38.793993946088868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54.270568637943612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326.05837294177707</v>
      </c>
      <c r="T106" s="59">
        <f t="shared" si="88"/>
        <v>406.74689878702014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70.182781317082913</v>
      </c>
      <c r="AA106" s="21">
        <f>EXP(-LN(2)/25)*AA105+(1-EXP(-LN(2)/25))/(LN(2)/25)*Calculateur!V106*Calculateur!X106*VLOOKUP('Données projet'!$B$9,Paramètres!$A$1:$I$89,3,0)*0.475*44/12</f>
        <v>16.754460810189148</v>
      </c>
      <c r="AB106" s="21">
        <f>EXP(-LN(2)/2)*AB105+(1-EXP(-LN(2)/2))/(LN(2)/2)*V106*Y106*VLOOKUP('Données projet'!$B$9,Paramètres!$A$1:$I$89,3,0)*0.475*44/12</f>
        <v>6.5162662577494688E-6</v>
      </c>
      <c r="AC106" s="22">
        <f t="shared" si="57"/>
        <v>86.937248643538311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355.81983840000049</v>
      </c>
      <c r="AK106" s="13">
        <f t="shared" si="89"/>
        <v>82.759723795307863</v>
      </c>
      <c r="AL106" s="20">
        <f t="shared" si="58"/>
        <v>763.85940415682887</v>
      </c>
      <c r="AM106" s="59">
        <f t="shared" si="59"/>
        <v>1057.1927374901622</v>
      </c>
      <c r="AN106" s="59">
        <f ca="1">AVERAGE(OFFSET($AM$3,0,0,'Données projet'!$E$10+1,1))-AVERAGE(OFFSET($H$3,0,0,'Données projet'!$E$10+1,1))</f>
        <v>490.21869105612649</v>
      </c>
      <c r="AO106" s="59">
        <f t="shared" si="90"/>
        <v>207.08773997010911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23.60952547441445</v>
      </c>
      <c r="AV106" s="21">
        <f>EXP(-LN(2)/25)*AV105+(1-EXP(-LN(2)/25))/(LN(2)/25)*Calculateur!AQ106*Calculateur!AS106*VLOOKUP('Données projet'!$B$10,Paramètres!$A$1:$I$89,3,0)*0.475*44/12</f>
        <v>21.96227371354798</v>
      </c>
      <c r="AW106" s="21">
        <f>EXP(-LN(2)/2)*AW105+(1-EXP(-LN(2)/2))/(LN(2)/2)*AQ106*AT106*VLOOKUP('Données projet'!$B$10,Paramètres!$A$1:$I$89,3,0)*0.475*44/12</f>
        <v>0.26216869845378982</v>
      </c>
      <c r="AX106" s="21">
        <f t="shared" si="60"/>
        <v>45.833967886416218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398.76361200000059</v>
      </c>
      <c r="BF106" s="13">
        <f t="shared" si="91"/>
        <v>91.525961384445637</v>
      </c>
      <c r="BG106" s="20">
        <f t="shared" si="61"/>
        <v>853.92100697791045</v>
      </c>
      <c r="BH106" s="59">
        <f t="shared" si="62"/>
        <v>1147.2543403112438</v>
      </c>
      <c r="BI106" s="59">
        <f ca="1">AVERAGE(OFFSET($BH$3,0,0,'Données projet'!$E$11+1,1))-AVERAGE(OFFSET($H$3,0,0,'Données projet'!$E$11+1,1))</f>
        <v>561.19833044503548</v>
      </c>
      <c r="BJ106" s="59">
        <f t="shared" si="92"/>
        <v>235.9089269943575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26.458950962705849</v>
      </c>
      <c r="BQ106" s="21">
        <f>EXP(-LN(2)/25)*BQ105+(1-EXP(-LN(2)/25))/(LN(2)/25)*Calculateur!BL106*Calculateur!BN106*VLOOKUP('Données projet'!$B$11,Paramètres!$A$1:$I$89,3,0)*0.475*44/12</f>
        <v>24.612892954838252</v>
      </c>
      <c r="BR106" s="21">
        <f>EXP(-LN(2)/2)*BR105+(1-EXP(-LN(2)/2))/(LN(2)/2)*BL106*BO106*VLOOKUP('Données projet'!$B$11,Paramètres!$A$1:$I$89,3,0)*0.475*44/12</f>
        <v>0.29380974826717843</v>
      </c>
      <c r="BS106" s="22">
        <f t="shared" si="63"/>
        <v>51.36565366581128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-4.9658410716801891E-14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147.1862160897889</v>
      </c>
      <c r="CE106" s="59">
        <f t="shared" si="94"/>
        <v>147.31828668914011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15.173088501925934</v>
      </c>
      <c r="CL106" s="21">
        <f>EXP(-LN(2)/25)*CL105+(1-EXP(-LN(2)/25))/(LN(2)/25)*Calculateur!CG106*Calculateur!CI106*VLOOKUP('Données projet'!$B$12,Paramètres!$A$1:$I$89,3,0)*0.475*44/12</f>
        <v>37.733170141545592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52.906258643471524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326.05837294177707</v>
      </c>
      <c r="T107" s="59">
        <f t="shared" si="88"/>
        <v>406.74689878702014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68.806539782724656</v>
      </c>
      <c r="AA107" s="21">
        <f>EXP(-LN(2)/25)*AA106+(1-EXP(-LN(2)/25))/(LN(2)/25)*Calculateur!V107*Calculateur!X107*VLOOKUP('Données projet'!$B$9,Paramètres!$A$1:$I$89,3,0)*0.475*44/12</f>
        <v>16.296309198255724</v>
      </c>
      <c r="AB107" s="21">
        <f>EXP(-LN(2)/2)*AB106+(1-EXP(-LN(2)/2))/(LN(2)/2)*V107*Y107*VLOOKUP('Données projet'!$B$9,Paramètres!$A$1:$I$89,3,0)*0.475*44/12</f>
        <v>4.6076960588717365E-6</v>
      </c>
      <c r="AC107" s="22">
        <f t="shared" si="57"/>
        <v>85.102853588676439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363.91056000000049</v>
      </c>
      <c r="AK107" s="13">
        <f t="shared" si="89"/>
        <v>84.42031043556446</v>
      </c>
      <c r="AL107" s="20">
        <f t="shared" si="58"/>
        <v>780.84293267527562</v>
      </c>
      <c r="AM107" s="59">
        <f t="shared" si="59"/>
        <v>1074.176266008609</v>
      </c>
      <c r="AN107" s="59">
        <f ca="1">AVERAGE(OFFSET($AM$3,0,0,'Données projet'!$E$10+1,1))-AVERAGE(OFFSET($H$3,0,0,'Données projet'!$E$10+1,1))</f>
        <v>490.21869105612649</v>
      </c>
      <c r="AO107" s="59">
        <f t="shared" si="90"/>
        <v>207.08773997010911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33.09538580102793</v>
      </c>
      <c r="AV107" s="21">
        <f>EXP(-LN(2)/25)*AV106+(1-EXP(-LN(2)/25))/(LN(2)/25)*Calculateur!AQ107*Calculateur!AS107*VLOOKUP('Données projet'!$B$10,Paramètres!$A$1:$I$89,3,0)*0.475*44/12</f>
        <v>27.024374978935796</v>
      </c>
      <c r="AW107" s="21">
        <f>EXP(-LN(2)/2)*AW106+(1-EXP(-LN(2)/2))/(LN(2)/2)*AQ107*AT107*VLOOKUP('Données projet'!$B$10,Paramètres!$A$1:$I$89,3,0)*0.475*44/12</f>
        <v>5.8275053982732432</v>
      </c>
      <c r="AX107" s="21">
        <f t="shared" si="60"/>
        <v>65.947266178236973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407.83080000000058</v>
      </c>
      <c r="BF107" s="13">
        <f t="shared" si="91"/>
        <v>93.362443935880506</v>
      </c>
      <c r="BG107" s="20">
        <f t="shared" si="61"/>
        <v>872.91156652165955</v>
      </c>
      <c r="BH107" s="59">
        <f t="shared" si="62"/>
        <v>1166.2448998549928</v>
      </c>
      <c r="BI107" s="59">
        <f ca="1">AVERAGE(OFFSET($BH$3,0,0,'Données projet'!$E$11+1,1))-AVERAGE(OFFSET($H$3,0,0,'Données projet'!$E$11+1,1))</f>
        <v>561.19833044503548</v>
      </c>
      <c r="BJ107" s="59">
        <f t="shared" si="92"/>
        <v>235.9089269943575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37.089656501151985</v>
      </c>
      <c r="BQ107" s="21">
        <f>EXP(-LN(2)/25)*BQ106+(1-EXP(-LN(2)/25))/(LN(2)/25)*Calculateur!BL107*Calculateur!BN107*VLOOKUP('Données projet'!$B$11,Paramètres!$A$1:$I$89,3,0)*0.475*44/12</f>
        <v>30.285937476393563</v>
      </c>
      <c r="BR107" s="21">
        <f>EXP(-LN(2)/2)*BR106+(1-EXP(-LN(2)/2))/(LN(2)/2)*BL107*BO107*VLOOKUP('Données projet'!$B$11,Paramètres!$A$1:$I$89,3,0)*0.475*44/12</f>
        <v>6.5308250153062213</v>
      </c>
      <c r="BS107" s="22">
        <f t="shared" si="63"/>
        <v>73.906418992851769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-4.9658410716801891E-14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147.1862160897889</v>
      </c>
      <c r="CE107" s="59">
        <f t="shared" si="94"/>
        <v>147.31828668914011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14.87555349107333</v>
      </c>
      <c r="CL107" s="21">
        <f>EXP(-LN(2)/25)*CL106+(1-EXP(-LN(2)/25))/(LN(2)/25)*Calculateur!CG107*Calculateur!CI107*VLOOKUP('Données projet'!$B$12,Paramètres!$A$1:$I$89,3,0)*0.475*44/12</f>
        <v>36.701354619723851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51.576908110797177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326.05837294177707</v>
      </c>
      <c r="T108" s="59">
        <f t="shared" si="88"/>
        <v>406.74689878702014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67.457285505430718</v>
      </c>
      <c r="AA108" s="21">
        <f>EXP(-LN(2)/25)*AA107+(1-EXP(-LN(2)/25))/(LN(2)/25)*Calculateur!V108*Calculateur!X108*VLOOKUP('Données projet'!$B$9,Paramètres!$A$1:$I$89,3,0)*0.475*44/12</f>
        <v>15.850685766243766</v>
      </c>
      <c r="AB108" s="21">
        <f>EXP(-LN(2)/2)*AB107+(1-EXP(-LN(2)/2))/(LN(2)/2)*V108*Y108*VLOOKUP('Données projet'!$B$9,Paramètres!$A$1:$I$89,3,0)*0.475*44/12</f>
        <v>3.2581331288747344E-6</v>
      </c>
      <c r="AC108" s="22">
        <f t="shared" si="57"/>
        <v>83.307974529807623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312.11528400000049</v>
      </c>
      <c r="AK108" s="13">
        <f t="shared" si="89"/>
        <v>73.71041067221141</v>
      </c>
      <c r="AL108" s="20">
        <f t="shared" si="58"/>
        <v>671.97975155410234</v>
      </c>
      <c r="AM108" s="59">
        <f t="shared" si="59"/>
        <v>965.31308488743571</v>
      </c>
      <c r="AN108" s="59">
        <f ca="1">AVERAGE(OFFSET($AM$3,0,0,'Données projet'!$E$10+1,1))-AVERAGE(OFFSET($H$3,0,0,'Données projet'!$E$10+1,1))</f>
        <v>490.21869105612649</v>
      </c>
      <c r="AO108" s="59">
        <f t="shared" si="90"/>
        <v>207.08773997010911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32.44640547166189</v>
      </c>
      <c r="AV108" s="21">
        <f>EXP(-LN(2)/25)*AV107+(1-EXP(-LN(2)/25))/(LN(2)/25)*Calculateur!AQ108*Calculateur!AS108*VLOOKUP('Données projet'!$B$10,Paramètres!$A$1:$I$89,3,0)*0.475*44/12</f>
        <v>26.285392023986681</v>
      </c>
      <c r="AW108" s="21">
        <f>EXP(-LN(2)/2)*AW107+(1-EXP(-LN(2)/2))/(LN(2)/2)*AQ108*AT108*VLOOKUP('Données projet'!$B$10,Paramètres!$A$1:$I$89,3,0)*0.475*44/12</f>
        <v>4.1206685845202227</v>
      </c>
      <c r="AX108" s="21">
        <f t="shared" si="60"/>
        <v>62.852466080168796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349.78437000000059</v>
      </c>
      <c r="BF108" s="13">
        <f t="shared" si="91"/>
        <v>81.518109189230415</v>
      </c>
      <c r="BG108" s="20">
        <f t="shared" si="61"/>
        <v>751.18515125457725</v>
      </c>
      <c r="BH108" s="59">
        <f t="shared" si="62"/>
        <v>1044.5184845879105</v>
      </c>
      <c r="BI108" s="59">
        <f ca="1">AVERAGE(OFFSET($BH$3,0,0,'Données projet'!$E$11+1,1))-AVERAGE(OFFSET($H$3,0,0,'Données projet'!$E$11+1,1))</f>
        <v>561.19833044503548</v>
      </c>
      <c r="BJ108" s="59">
        <f t="shared" si="92"/>
        <v>235.9089269943575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36.362350959621075</v>
      </c>
      <c r="BQ108" s="21">
        <f>EXP(-LN(2)/25)*BQ107+(1-EXP(-LN(2)/25))/(LN(2)/25)*Calculateur!BL108*Calculateur!BN108*VLOOKUP('Données projet'!$B$11,Paramètres!$A$1:$I$89,3,0)*0.475*44/12</f>
        <v>29.457766923433351</v>
      </c>
      <c r="BR108" s="21">
        <f>EXP(-LN(2)/2)*BR107+(1-EXP(-LN(2)/2))/(LN(2)/2)*BL108*BO108*VLOOKUP('Données projet'!$B$11,Paramètres!$A$1:$I$89,3,0)*0.475*44/12</f>
        <v>4.6179906550657677</v>
      </c>
      <c r="BS108" s="22">
        <f t="shared" si="63"/>
        <v>70.43810853812019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-4.9658410716801891E-14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147.1862160897889</v>
      </c>
      <c r="CE108" s="59">
        <f t="shared" si="94"/>
        <v>147.31828668914011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14.583852960305109</v>
      </c>
      <c r="CL108" s="21">
        <f>EXP(-LN(2)/25)*CL107+(1-EXP(-LN(2)/25))/(LN(2)/25)*Calculateur!CG108*Calculateur!CI108*VLOOKUP('Données projet'!$B$12,Paramètres!$A$1:$I$89,3,0)*0.475*44/12</f>
        <v>35.697754147607142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50.281607107912251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326.05837294177707</v>
      </c>
      <c r="T109" s="59">
        <f t="shared" si="88"/>
        <v>406.74689878702014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66.134489281550657</v>
      </c>
      <c r="AA109" s="21">
        <f>EXP(-LN(2)/25)*AA108+(1-EXP(-LN(2)/25))/(LN(2)/25)*Calculateur!V109*Calculateur!X109*VLOOKUP('Données projet'!$B$9,Paramètres!$A$1:$I$89,3,0)*0.475*44/12</f>
        <v>15.417247930414492</v>
      </c>
      <c r="AB109" s="21">
        <f>EXP(-LN(2)/2)*AB108+(1-EXP(-LN(2)/2))/(LN(2)/2)*V109*Y109*VLOOKUP('Données projet'!$B$9,Paramètres!$A$1:$I$89,3,0)*0.475*44/12</f>
        <v>2.3038480294358682E-6</v>
      </c>
      <c r="AC109" s="22">
        <f t="shared" si="57"/>
        <v>81.551739515813182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320.11824000000047</v>
      </c>
      <c r="AK109" s="13">
        <f t="shared" si="89"/>
        <v>75.377955265343587</v>
      </c>
      <c r="AL109" s="20">
        <f t="shared" si="58"/>
        <v>688.82254008714096</v>
      </c>
      <c r="AM109" s="59">
        <f t="shared" si="59"/>
        <v>982.15587342047434</v>
      </c>
      <c r="AN109" s="59">
        <f ca="1">AVERAGE(OFFSET($AM$3,0,0,'Données projet'!$E$10+1,1))-AVERAGE(OFFSET($H$3,0,0,'Données projet'!$E$10+1,1))</f>
        <v>490.21869105612649</v>
      </c>
      <c r="AO109" s="59">
        <f t="shared" si="90"/>
        <v>207.08773997010911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31.810151250715805</v>
      </c>
      <c r="AV109" s="21">
        <f>EXP(-LN(2)/25)*AV108+(1-EXP(-LN(2)/25))/(LN(2)/25)*Calculateur!AQ109*Calculateur!AS109*VLOOKUP('Données projet'!$B$10,Paramètres!$A$1:$I$89,3,0)*0.475*44/12</f>
        <v>25.566616596802074</v>
      </c>
      <c r="AW109" s="21">
        <f>EXP(-LN(2)/2)*AW108+(1-EXP(-LN(2)/2))/(LN(2)/2)*AQ109*AT109*VLOOKUP('Données projet'!$B$10,Paramètres!$A$1:$I$89,3,0)*0.475*44/12</f>
        <v>2.9137526991366216</v>
      </c>
      <c r="AX109" s="21">
        <f t="shared" si="60"/>
        <v>60.290520546654506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358.75320000000056</v>
      </c>
      <c r="BF109" s="13">
        <f t="shared" si="91"/>
        <v>83.362286707455894</v>
      </c>
      <c r="BG109" s="20">
        <f t="shared" si="61"/>
        <v>770.01780601548671</v>
      </c>
      <c r="BH109" s="59">
        <f t="shared" si="62"/>
        <v>1063.35113934882</v>
      </c>
      <c r="BI109" s="59">
        <f ca="1">AVERAGE(OFFSET($BH$3,0,0,'Données projet'!$E$11+1,1))-AVERAGE(OFFSET($H$3,0,0,'Données projet'!$E$11+1,1))</f>
        <v>561.19833044503548</v>
      </c>
      <c r="BJ109" s="59">
        <f t="shared" si="92"/>
        <v>235.9089269943575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35.649307436147012</v>
      </c>
      <c r="BQ109" s="21">
        <f>EXP(-LN(2)/25)*BQ108+(1-EXP(-LN(2)/25))/(LN(2)/25)*Calculateur!BL109*Calculateur!BN109*VLOOKUP('Données projet'!$B$11,Paramètres!$A$1:$I$89,3,0)*0.475*44/12</f>
        <v>28.652242737795429</v>
      </c>
      <c r="BR109" s="21">
        <f>EXP(-LN(2)/2)*BR108+(1-EXP(-LN(2)/2))/(LN(2)/2)*BL109*BO109*VLOOKUP('Données projet'!$B$11,Paramètres!$A$1:$I$89,3,0)*0.475*44/12</f>
        <v>3.2654125076531111</v>
      </c>
      <c r="BS109" s="22">
        <f t="shared" si="63"/>
        <v>67.566962681595555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-4.9658410716801891E-14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147.1862160897889</v>
      </c>
      <c r="CE109" s="59">
        <f t="shared" si="94"/>
        <v>147.31828668914011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14.297872499025496</v>
      </c>
      <c r="CL109" s="21">
        <f>EXP(-LN(2)/25)*CL108+(1-EXP(-LN(2)/25))/(LN(2)/25)*Calculateur!CG109*Calculateur!CI109*VLOOKUP('Données projet'!$B$12,Paramètres!$A$1:$I$89,3,0)*0.475*44/12</f>
        <v>34.721597183177522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49.019469682203017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326.05837294177707</v>
      </c>
      <c r="T110" s="59">
        <f t="shared" si="88"/>
        <v>406.74689878702014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64.837632284794864</v>
      </c>
      <c r="AA110" s="21">
        <f>EXP(-LN(2)/25)*AA109+(1-EXP(-LN(2)/25))/(LN(2)/25)*Calculateur!V110*Calculateur!X110*VLOOKUP('Données projet'!$B$9,Paramètres!$A$1:$I$89,3,0)*0.475*44/12</f>
        <v>14.995662474999476</v>
      </c>
      <c r="AB110" s="21">
        <f>EXP(-LN(2)/2)*AB109+(1-EXP(-LN(2)/2))/(LN(2)/2)*V110*Y110*VLOOKUP('Données projet'!$B$9,Paramètres!$A$1:$I$89,3,0)*0.475*44/12</f>
        <v>1.6290665644373672E-6</v>
      </c>
      <c r="AC110" s="22">
        <f t="shared" si="57"/>
        <v>79.833296388860902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328.12119600000045</v>
      </c>
      <c r="AK110" s="13">
        <f t="shared" si="89"/>
        <v>77.040653823854953</v>
      </c>
      <c r="AL110" s="20">
        <f t="shared" si="58"/>
        <v>705.65688844321483</v>
      </c>
      <c r="AM110" s="59">
        <f t="shared" si="59"/>
        <v>998.9902217765482</v>
      </c>
      <c r="AN110" s="59">
        <f ca="1">AVERAGE(OFFSET($AM$3,0,0,'Données projet'!$E$10+1,1))-AVERAGE(OFFSET($H$3,0,0,'Données projet'!$E$10+1,1))</f>
        <v>490.21869105612649</v>
      </c>
      <c r="AO110" s="59">
        <f t="shared" si="90"/>
        <v>207.08773997010911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31.186373586965715</v>
      </c>
      <c r="AV110" s="21">
        <f>EXP(-LN(2)/25)*AV109+(1-EXP(-LN(2)/25))/(LN(2)/25)*Calculateur!AQ110*Calculateur!AS110*VLOOKUP('Données projet'!$B$10,Paramètres!$A$1:$I$89,3,0)*0.475*44/12</f>
        <v>24.867496121472588</v>
      </c>
      <c r="AW110" s="21">
        <f>EXP(-LN(2)/2)*AW109+(1-EXP(-LN(2)/2))/(LN(2)/2)*AQ110*AT110*VLOOKUP('Données projet'!$B$10,Paramètres!$A$1:$I$89,3,0)*0.475*44/12</f>
        <v>2.0603342922601113</v>
      </c>
      <c r="AX110" s="21">
        <f t="shared" si="60"/>
        <v>58.114204000698408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367.72203000000059</v>
      </c>
      <c r="BF110" s="13">
        <f t="shared" si="91"/>
        <v>85.201104879888135</v>
      </c>
      <c r="BG110" s="20">
        <f t="shared" si="61"/>
        <v>788.84112658247284</v>
      </c>
      <c r="BH110" s="59">
        <f t="shared" si="62"/>
        <v>1082.1744599158062</v>
      </c>
      <c r="BI110" s="59">
        <f ca="1">AVERAGE(OFFSET($BH$3,0,0,'Données projet'!$E$11+1,1))-AVERAGE(OFFSET($H$3,0,0,'Données projet'!$E$11+1,1))</f>
        <v>561.19833044503548</v>
      </c>
      <c r="BJ110" s="59">
        <f t="shared" si="92"/>
        <v>235.9089269943575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34.950246261254669</v>
      </c>
      <c r="BQ110" s="21">
        <f>EXP(-LN(2)/25)*BQ109+(1-EXP(-LN(2)/25))/(LN(2)/25)*Calculateur!BL110*Calculateur!BN110*VLOOKUP('Données projet'!$B$11,Paramètres!$A$1:$I$89,3,0)*0.475*44/12</f>
        <v>27.868745653374454</v>
      </c>
      <c r="BR110" s="21">
        <f>EXP(-LN(2)/2)*BR109+(1-EXP(-LN(2)/2))/(LN(2)/2)*BL110*BO110*VLOOKUP('Données projet'!$B$11,Paramètres!$A$1:$I$89,3,0)*0.475*44/12</f>
        <v>2.3089953275328838</v>
      </c>
      <c r="BS110" s="22">
        <f t="shared" si="63"/>
        <v>65.127987242162007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-4.9658410716801891E-14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147.1862160897889</v>
      </c>
      <c r="CE110" s="59">
        <f t="shared" si="94"/>
        <v>147.31828668914011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14.01749994016072</v>
      </c>
      <c r="CL110" s="21">
        <f>EXP(-LN(2)/25)*CL109+(1-EXP(-LN(2)/25))/(LN(2)/25)*Calculateur!CG110*Calculateur!CI110*VLOOKUP('Données projet'!$B$12,Paramètres!$A$1:$I$89,3,0)*0.475*44/12</f>
        <v>33.772133282274098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47.789633222434816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326.05837294177707</v>
      </c>
      <c r="T111" s="59">
        <f t="shared" si="88"/>
        <v>406.74689878702014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63.566205862740787</v>
      </c>
      <c r="AA111" s="21">
        <f>EXP(-LN(2)/25)*AA110+(1-EXP(-LN(2)/25))/(LN(2)/25)*Calculateur!V111*Calculateur!X111*VLOOKUP('Données projet'!$B$9,Paramètres!$A$1:$I$89,3,0)*0.475*44/12</f>
        <v>14.585605296032998</v>
      </c>
      <c r="AB111" s="21">
        <f>EXP(-LN(2)/2)*AB110+(1-EXP(-LN(2)/2))/(LN(2)/2)*V111*Y111*VLOOKUP('Données projet'!$B$9,Paramètres!$A$1:$I$89,3,0)*0.475*44/12</f>
        <v>1.1519240147179341E-6</v>
      </c>
      <c r="AC111" s="22">
        <f t="shared" si="57"/>
        <v>78.151812310697792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336.12415200000049</v>
      </c>
      <c r="AK111" s="13">
        <f t="shared" si="89"/>
        <v>78.698638141016232</v>
      </c>
      <c r="AL111" s="20">
        <f t="shared" si="58"/>
        <v>722.4830261622709</v>
      </c>
      <c r="AM111" s="59">
        <f t="shared" si="59"/>
        <v>1015.8163594956043</v>
      </c>
      <c r="AN111" s="59">
        <f ca="1">AVERAGE(OFFSET($AM$3,0,0,'Données projet'!$E$10+1,1))-AVERAGE(OFFSET($H$3,0,0,'Données projet'!$E$10+1,1))</f>
        <v>490.21869105612649</v>
      </c>
      <c r="AO111" s="59">
        <f t="shared" si="90"/>
        <v>207.08773997010911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30.574827822734957</v>
      </c>
      <c r="AV111" s="21">
        <f>EXP(-LN(2)/25)*AV110+(1-EXP(-LN(2)/25))/(LN(2)/25)*Calculateur!AQ111*Calculateur!AS111*VLOOKUP('Données projet'!$B$10,Paramètres!$A$1:$I$89,3,0)*0.475*44/12</f>
        <v>24.187493132306134</v>
      </c>
      <c r="AW111" s="21">
        <f>EXP(-LN(2)/2)*AW110+(1-EXP(-LN(2)/2))/(LN(2)/2)*AQ111*AT111*VLOOKUP('Données projet'!$B$10,Paramètres!$A$1:$I$89,3,0)*0.475*44/12</f>
        <v>1.4568763495683108</v>
      </c>
      <c r="AX111" s="21">
        <f t="shared" si="60"/>
        <v>56.219197304609402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376.69086000000061</v>
      </c>
      <c r="BF111" s="13">
        <f t="shared" si="91"/>
        <v>87.034709459862782</v>
      </c>
      <c r="BG111" s="20">
        <f t="shared" si="61"/>
        <v>807.65536680926198</v>
      </c>
      <c r="BH111" s="59">
        <f t="shared" si="62"/>
        <v>1100.9887001425952</v>
      </c>
      <c r="BI111" s="59">
        <f ca="1">AVERAGE(OFFSET($BH$3,0,0,'Données projet'!$E$11+1,1))-AVERAGE(OFFSET($H$3,0,0,'Données projet'!$E$11+1,1))</f>
        <v>561.19833044503548</v>
      </c>
      <c r="BJ111" s="59">
        <f t="shared" si="92"/>
        <v>235.9089269943575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34.264893249616755</v>
      </c>
      <c r="BQ111" s="21">
        <f>EXP(-LN(2)/25)*BQ110+(1-EXP(-LN(2)/25))/(LN(2)/25)*Calculateur!BL111*Calculateur!BN111*VLOOKUP('Données projet'!$B$11,Paramètres!$A$1:$I$89,3,0)*0.475*44/12</f>
        <v>27.106673337929291</v>
      </c>
      <c r="BR111" s="21">
        <f>EXP(-LN(2)/2)*BR110+(1-EXP(-LN(2)/2))/(LN(2)/2)*BL111*BO111*VLOOKUP('Données projet'!$B$11,Paramètres!$A$1:$I$89,3,0)*0.475*44/12</f>
        <v>1.6327062538265555</v>
      </c>
      <c r="BS111" s="22">
        <f t="shared" si="63"/>
        <v>63.004272841372597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-4.9658410716801891E-14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147.1862160897889</v>
      </c>
      <c r="CE111" s="59">
        <f t="shared" si="94"/>
        <v>147.31828668914011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13.742625316164906</v>
      </c>
      <c r="CL111" s="21">
        <f>EXP(-LN(2)/25)*CL110+(1-EXP(-LN(2)/25))/(LN(2)/25)*Calculateur!CG111*Calculateur!CI111*VLOOKUP('Données projet'!$B$12,Paramètres!$A$1:$I$89,3,0)*0.475*44/12</f>
        <v>32.848632521671007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46.591257837835911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326.05837294177707</v>
      </c>
      <c r="T112" s="59">
        <f t="shared" si="88"/>
        <v>406.74689878702014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62.319711337329643</v>
      </c>
      <c r="AA112" s="21">
        <f>EXP(-LN(2)/25)*AA111+(1-EXP(-LN(2)/25))/(LN(2)/25)*Calculateur!V112*Calculateur!X112*VLOOKUP('Données projet'!$B$9,Paramètres!$A$1:$I$89,3,0)*0.475*44/12</f>
        <v>14.186761152189328</v>
      </c>
      <c r="AB112" s="21">
        <f>EXP(-LN(2)/2)*AB111+(1-EXP(-LN(2)/2))/(LN(2)/2)*V112*Y112*VLOOKUP('Données projet'!$B$9,Paramètres!$A$1:$I$89,3,0)*0.475*44/12</f>
        <v>8.145332822186836E-7</v>
      </c>
      <c r="AC112" s="22">
        <f t="shared" si="57"/>
        <v>76.50647330405225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344.12710800000053</v>
      </c>
      <c r="AK112" s="13">
        <f t="shared" si="89"/>
        <v>80.352033376279337</v>
      </c>
      <c r="AL112" s="20">
        <f t="shared" si="58"/>
        <v>739.30117123035416</v>
      </c>
      <c r="AM112" s="59">
        <f t="shared" si="59"/>
        <v>1032.6345045636874</v>
      </c>
      <c r="AN112" s="59">
        <f ca="1">AVERAGE(OFFSET($AM$3,0,0,'Données projet'!$E$10+1,1))-AVERAGE(OFFSET($H$3,0,0,'Données projet'!$E$10+1,1))</f>
        <v>490.21869105612649</v>
      </c>
      <c r="AO112" s="59">
        <f t="shared" si="90"/>
        <v>207.08773997010911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29.97527409793468</v>
      </c>
      <c r="AV112" s="21">
        <f>EXP(-LN(2)/25)*AV111+(1-EXP(-LN(2)/25))/(LN(2)/25)*Calculateur!AQ112*Calculateur!AS112*VLOOKUP('Données projet'!$B$10,Paramètres!$A$1:$I$89,3,0)*0.475*44/12</f>
        <v>23.526084860638239</v>
      </c>
      <c r="AW112" s="21">
        <f>EXP(-LN(2)/2)*AW111+(1-EXP(-LN(2)/2))/(LN(2)/2)*AQ112*AT112*VLOOKUP('Données projet'!$B$10,Paramètres!$A$1:$I$89,3,0)*0.475*44/12</f>
        <v>1.0301671461300557</v>
      </c>
      <c r="AX112" s="21">
        <f t="shared" si="60"/>
        <v>54.531526104702976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385.65969000000064</v>
      </c>
      <c r="BF112" s="13">
        <f t="shared" si="91"/>
        <v>88.86323886421664</v>
      </c>
      <c r="BG112" s="20">
        <f t="shared" si="61"/>
        <v>826.4607677718451</v>
      </c>
      <c r="BH112" s="59">
        <f t="shared" si="62"/>
        <v>1119.7941011051785</v>
      </c>
      <c r="BI112" s="59">
        <f ca="1">AVERAGE(OFFSET($BH$3,0,0,'Données projet'!$E$11+1,1))-AVERAGE(OFFSET($H$3,0,0,'Données projet'!$E$11+1,1))</f>
        <v>561.19833044503548</v>
      </c>
      <c r="BJ112" s="59">
        <f t="shared" si="92"/>
        <v>235.9089269943575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33.592979592512997</v>
      </c>
      <c r="BQ112" s="21">
        <f>EXP(-LN(2)/25)*BQ111+(1-EXP(-LN(2)/25))/(LN(2)/25)*Calculateur!BL112*Calculateur!BN112*VLOOKUP('Données projet'!$B$11,Paramètres!$A$1:$I$89,3,0)*0.475*44/12</f>
        <v>26.365439930025616</v>
      </c>
      <c r="BR112" s="21">
        <f>EXP(-LN(2)/2)*BR111+(1-EXP(-LN(2)/2))/(LN(2)/2)*BL112*BO112*VLOOKUP('Données projet'!$B$11,Paramètres!$A$1:$I$89,3,0)*0.475*44/12</f>
        <v>1.1544976637664419</v>
      </c>
      <c r="BS112" s="22">
        <f t="shared" si="63"/>
        <v>61.112917186305054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-4.9658410716801891E-14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147.1862160897889</v>
      </c>
      <c r="CE112" s="59">
        <f t="shared" si="94"/>
        <v>147.31828668914011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13.473140815888684</v>
      </c>
      <c r="CL112" s="21">
        <f>EXP(-LN(2)/25)*CL111+(1-EXP(-LN(2)/25))/(LN(2)/25)*Calculateur!CG112*Calculateur!CI112*VLOOKUP('Données projet'!$B$12,Paramètres!$A$1:$I$89,3,0)*0.475*44/12</f>
        <v>31.950384937931407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45.423525753820087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326.05837294177707</v>
      </c>
      <c r="T113" s="59">
        <f t="shared" si="88"/>
        <v>406.74689878702014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61.097659809275221</v>
      </c>
      <c r="AA113" s="21">
        <f>EXP(-LN(2)/25)*AA112+(1-EXP(-LN(2)/25))/(LN(2)/25)*Calculateur!V113*Calculateur!X113*VLOOKUP('Données projet'!$B$9,Paramètres!$A$1:$I$89,3,0)*0.475*44/12</f>
        <v>13.798823422433367</v>
      </c>
      <c r="AB113" s="21">
        <f>EXP(-LN(2)/2)*AB112+(1-EXP(-LN(2)/2))/(LN(2)/2)*V113*Y113*VLOOKUP('Données projet'!$B$9,Paramètres!$A$1:$I$89,3,0)*0.475*44/12</f>
        <v>5.7596200735896706E-7</v>
      </c>
      <c r="AC113" s="22">
        <f t="shared" si="57"/>
        <v>74.896483807670592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352.13006400000057</v>
      </c>
      <c r="AK113" s="13">
        <f t="shared" si="89"/>
        <v>82.000958535583734</v>
      </c>
      <c r="AL113" s="20">
        <f t="shared" si="58"/>
        <v>756.11153091614267</v>
      </c>
      <c r="AM113" s="59">
        <f t="shared" si="59"/>
        <v>1049.444864249476</v>
      </c>
      <c r="AN113" s="59">
        <f ca="1">AVERAGE(OFFSET($AM$3,0,0,'Données projet'!$E$10+1,1))-AVERAGE(OFFSET($H$3,0,0,'Données projet'!$E$10+1,1))</f>
        <v>490.21869105612649</v>
      </c>
      <c r="AO113" s="59">
        <f t="shared" si="90"/>
        <v>207.08773997010911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29.387477255986074</v>
      </c>
      <c r="AV113" s="21">
        <f>EXP(-LN(2)/25)*AV112+(1-EXP(-LN(2)/25))/(LN(2)/25)*Calculateur!AQ113*Calculateur!AS113*VLOOKUP('Données projet'!$B$10,Paramètres!$A$1:$I$89,3,0)*0.475*44/12</f>
        <v>22.882762832941054</v>
      </c>
      <c r="AW113" s="21">
        <f>EXP(-LN(2)/2)*AW112+(1-EXP(-LN(2)/2))/(LN(2)/2)*AQ113*AT113*VLOOKUP('Données projet'!$B$10,Paramètres!$A$1:$I$89,3,0)*0.475*44/12</f>
        <v>0.7284381747841554</v>
      </c>
      <c r="AX113" s="21">
        <f t="shared" si="60"/>
        <v>52.998678263711277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394.62852000000066</v>
      </c>
      <c r="BF113" s="13">
        <f t="shared" si="91"/>
        <v>90.686824704469188</v>
      </c>
      <c r="BG113" s="20">
        <f t="shared" si="61"/>
        <v>845.25755869361831</v>
      </c>
      <c r="BH113" s="59">
        <f t="shared" si="62"/>
        <v>1138.5908920269517</v>
      </c>
      <c r="BI113" s="59">
        <f ca="1">AVERAGE(OFFSET($BH$3,0,0,'Données projet'!$E$11+1,1))-AVERAGE(OFFSET($H$3,0,0,'Données projet'!$E$11+1,1))</f>
        <v>561.19833044503548</v>
      </c>
      <c r="BJ113" s="59">
        <f t="shared" si="92"/>
        <v>235.9089269943575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32.934241752398179</v>
      </c>
      <c r="BQ113" s="21">
        <f>EXP(-LN(2)/25)*BQ112+(1-EXP(-LN(2)/25))/(LN(2)/25)*Calculateur!BL113*Calculateur!BN113*VLOOKUP('Données projet'!$B$11,Paramètres!$A$1:$I$89,3,0)*0.475*44/12</f>
        <v>25.644475588640837</v>
      </c>
      <c r="BR113" s="21">
        <f>EXP(-LN(2)/2)*BR112+(1-EXP(-LN(2)/2))/(LN(2)/2)*BL113*BO113*VLOOKUP('Données projet'!$B$11,Paramètres!$A$1:$I$89,3,0)*0.475*44/12</f>
        <v>0.81635312691327777</v>
      </c>
      <c r="BS113" s="22">
        <f t="shared" si="63"/>
        <v>59.395070467952294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-4.9658410716801891E-14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147.1862160897889</v>
      </c>
      <c r="CE113" s="59">
        <f t="shared" si="94"/>
        <v>147.31828668914011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13.208940742293564</v>
      </c>
      <c r="CL113" s="21">
        <f>EXP(-LN(2)/25)*CL112+(1-EXP(-LN(2)/25))/(LN(2)/25)*Calculateur!CG113*Calculateur!CI113*VLOOKUP('Données projet'!$B$12,Paramètres!$A$1:$I$89,3,0)*0.475*44/12</f>
        <v>31.076699981605952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44.285640723899519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326.05837294177707</v>
      </c>
      <c r="T114" s="59">
        <f t="shared" si="88"/>
        <v>406.74689878702014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59.899571966308116</v>
      </c>
      <c r="AA114" s="21">
        <f>EXP(-LN(2)/25)*AA113+(1-EXP(-LN(2)/25))/(LN(2)/25)*Calculateur!V114*Calculateur!X114*VLOOKUP('Données projet'!$B$9,Paramètres!$A$1:$I$89,3,0)*0.475*44/12</f>
        <v>13.42149387029834</v>
      </c>
      <c r="AB114" s="21">
        <f>EXP(-LN(2)/2)*AB113+(1-EXP(-LN(2)/2))/(LN(2)/2)*V114*Y114*VLOOKUP('Données projet'!$B$9,Paramètres!$A$1:$I$89,3,0)*0.475*44/12</f>
        <v>4.072666411093418E-7</v>
      </c>
      <c r="AC114" s="22">
        <f t="shared" si="57"/>
        <v>73.321066243873091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360.13302000000061</v>
      </c>
      <c r="AK114" s="13">
        <f t="shared" si="89"/>
        <v>83.645526906767415</v>
      </c>
      <c r="AL114" s="20">
        <f t="shared" si="58"/>
        <v>772.91430252928774</v>
      </c>
      <c r="AM114" s="59">
        <f t="shared" si="59"/>
        <v>1066.2476358626211</v>
      </c>
      <c r="AN114" s="59">
        <f ca="1">AVERAGE(OFFSET($AM$3,0,0,'Données projet'!$E$10+1,1))-AVERAGE(OFFSET($H$3,0,0,'Données projet'!$E$10+1,1))</f>
        <v>490.21869105612649</v>
      </c>
      <c r="AO114" s="59">
        <f t="shared" si="90"/>
        <v>207.08773997010911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28.811206751587406</v>
      </c>
      <c r="AV114" s="21">
        <f>EXP(-LN(2)/25)*AV113+(1-EXP(-LN(2)/25))/(LN(2)/25)*Calculateur!AQ114*Calculateur!AS114*VLOOKUP('Données projet'!$B$10,Paramètres!$A$1:$I$89,3,0)*0.475*44/12</f>
        <v>22.257032479922085</v>
      </c>
      <c r="AW114" s="21">
        <f>EXP(-LN(2)/2)*AW113+(1-EXP(-LN(2)/2))/(LN(2)/2)*AQ114*AT114*VLOOKUP('Données projet'!$B$10,Paramètres!$A$1:$I$89,3,0)*0.475*44/12</f>
        <v>0.51508357306502783</v>
      </c>
      <c r="AX114" s="21">
        <f t="shared" si="60"/>
        <v>51.583322804574522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403.59735000000074</v>
      </c>
      <c r="BF114" s="13">
        <f t="shared" si="91"/>
        <v>92.505592268354718</v>
      </c>
      <c r="BG114" s="20">
        <f t="shared" si="61"/>
        <v>864.04595778405246</v>
      </c>
      <c r="BH114" s="59">
        <f t="shared" si="62"/>
        <v>1157.3792911173857</v>
      </c>
      <c r="BI114" s="59">
        <f ca="1">AVERAGE(OFFSET($BH$3,0,0,'Données projet'!$E$11+1,1))-AVERAGE(OFFSET($H$3,0,0,'Données projet'!$E$11+1,1))</f>
        <v>561.19833044503548</v>
      </c>
      <c r="BJ114" s="59">
        <f t="shared" si="92"/>
        <v>235.9089269943575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32.288421359537601</v>
      </c>
      <c r="BQ114" s="21">
        <f>EXP(-LN(2)/25)*BQ113+(1-EXP(-LN(2)/25))/(LN(2)/25)*Calculateur!BL114*Calculateur!BN114*VLOOKUP('Données projet'!$B$11,Paramètres!$A$1:$I$89,3,0)*0.475*44/12</f>
        <v>24.943226055085095</v>
      </c>
      <c r="BR114" s="21">
        <f>EXP(-LN(2)/2)*BR113+(1-EXP(-LN(2)/2))/(LN(2)/2)*BL114*BO114*VLOOKUP('Données projet'!$B$11,Paramètres!$A$1:$I$89,3,0)*0.475*44/12</f>
        <v>0.57724883188322096</v>
      </c>
      <c r="BS114" s="22">
        <f t="shared" si="63"/>
        <v>57.808896246505924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-4.9658410716801891E-14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147.1862160897889</v>
      </c>
      <c r="CE114" s="59">
        <f t="shared" si="94"/>
        <v>147.31828668914011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12.949921470995511</v>
      </c>
      <c r="CL114" s="21">
        <f>EXP(-LN(2)/25)*CL113+(1-EXP(-LN(2)/25))/(LN(2)/25)*Calculateur!CG114*Calculateur!CI114*VLOOKUP('Données projet'!$B$12,Paramètres!$A$1:$I$89,3,0)*0.475*44/12</f>
        <v>30.226905986356311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43.17682745735182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326.05837294177707</v>
      </c>
      <c r="T115" s="59">
        <f t="shared" si="88"/>
        <v>406.74689878702014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58.724977895180167</v>
      </c>
      <c r="AA115" s="21">
        <f>EXP(-LN(2)/25)*AA114+(1-EXP(-LN(2)/25))/(LN(2)/25)*Calculateur!V115*Calculateur!X115*VLOOKUP('Données projet'!$B$9,Paramètres!$A$1:$I$89,3,0)*0.475*44/12</f>
        <v>13.054482414609344</v>
      </c>
      <c r="AB115" s="21">
        <f>EXP(-LN(2)/2)*AB114+(1-EXP(-LN(2)/2))/(LN(2)/2)*V115*Y115*VLOOKUP('Données projet'!$B$9,Paramètres!$A$1:$I$89,3,0)*0.475*44/12</f>
        <v>2.8798100367948353E-7</v>
      </c>
      <c r="AC115" s="22">
        <f t="shared" si="57"/>
        <v>71.779460597770523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368.1359760000006</v>
      </c>
      <c r="AK115" s="13">
        <f t="shared" si="89"/>
        <v>85.285846455183602</v>
      </c>
      <c r="AL115" s="20">
        <f t="shared" si="58"/>
        <v>789.70967410944593</v>
      </c>
      <c r="AM115" s="59">
        <f t="shared" si="59"/>
        <v>1083.0430074427793</v>
      </c>
      <c r="AN115" s="59">
        <f ca="1">AVERAGE(OFFSET($AM$3,0,0,'Données projet'!$E$10+1,1))-AVERAGE(OFFSET($H$3,0,0,'Données projet'!$E$10+1,1))</f>
        <v>490.21869105612649</v>
      </c>
      <c r="AO115" s="59">
        <f t="shared" si="90"/>
        <v>207.08773997010911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28.246236560289695</v>
      </c>
      <c r="AV115" s="21">
        <f>EXP(-LN(2)/25)*AV114+(1-EXP(-LN(2)/25))/(LN(2)/25)*Calculateur!AQ115*Calculateur!AS115*VLOOKUP('Données projet'!$B$10,Paramètres!$A$1:$I$89,3,0)*0.475*44/12</f>
        <v>21.648412756312148</v>
      </c>
      <c r="AW115" s="21">
        <f>EXP(-LN(2)/2)*AW114+(1-EXP(-LN(2)/2))/(LN(2)/2)*AQ115*AT115*VLOOKUP('Données projet'!$B$10,Paramètres!$A$1:$I$89,3,0)*0.475*44/12</f>
        <v>0.3642190873920777</v>
      </c>
      <c r="AX115" s="21">
        <f t="shared" si="60"/>
        <v>50.258868403993922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412.56618000000077</v>
      </c>
      <c r="BF115" s="13">
        <f t="shared" si="91"/>
        <v>94.319660957344354</v>
      </c>
      <c r="BG115" s="20">
        <f t="shared" si="61"/>
        <v>882.82617300070933</v>
      </c>
      <c r="BH115" s="59">
        <f t="shared" si="62"/>
        <v>1176.1595063340426</v>
      </c>
      <c r="BI115" s="59">
        <f ca="1">AVERAGE(OFFSET($BH$3,0,0,'Données projet'!$E$11+1,1))-AVERAGE(OFFSET($H$3,0,0,'Données projet'!$E$11+1,1))</f>
        <v>561.19833044503548</v>
      </c>
      <c r="BJ115" s="59">
        <f t="shared" si="92"/>
        <v>235.9089269943575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31.655265110669479</v>
      </c>
      <c r="BQ115" s="21">
        <f>EXP(-LN(2)/25)*BQ114+(1-EXP(-LN(2)/25))/(LN(2)/25)*Calculateur!BL115*Calculateur!BN115*VLOOKUP('Données projet'!$B$11,Paramètres!$A$1:$I$89,3,0)*0.475*44/12</f>
        <v>24.261152226901544</v>
      </c>
      <c r="BR115" s="21">
        <f>EXP(-LN(2)/2)*BR114+(1-EXP(-LN(2)/2))/(LN(2)/2)*BL115*BO115*VLOOKUP('Données projet'!$B$11,Paramètres!$A$1:$I$89,3,0)*0.475*44/12</f>
        <v>0.40817656345663889</v>
      </c>
      <c r="BS115" s="22">
        <f t="shared" si="63"/>
        <v>56.324593901027662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-4.9658410716801891E-14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147.1862160897889</v>
      </c>
      <c r="CE115" s="59">
        <f t="shared" si="94"/>
        <v>147.31828668914011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12.695981409621456</v>
      </c>
      <c r="CL115" s="21">
        <f>EXP(-LN(2)/25)*CL114+(1-EXP(-LN(2)/25))/(LN(2)/25)*Calculateur!CG115*Calculateur!CI115*VLOOKUP('Données projet'!$B$12,Paramètres!$A$1:$I$89,3,0)*0.475*44/12</f>
        <v>29.400349652595494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42.096331062216947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326.05837294177707</v>
      </c>
      <c r="T116" s="59">
        <f t="shared" si="88"/>
        <v>406.74689878702014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57.573416897355401</v>
      </c>
      <c r="AA116" s="21">
        <f>EXP(-LN(2)/25)*AA115+(1-EXP(-LN(2)/25))/(LN(2)/25)*Calculateur!V116*Calculateur!X116*VLOOKUP('Données projet'!$B$9,Paramètres!$A$1:$I$89,3,0)*0.475*44/12</f>
        <v>12.697506906476457</v>
      </c>
      <c r="AB116" s="21">
        <f>EXP(-LN(2)/2)*AB115+(1-EXP(-LN(2)/2))/(LN(2)/2)*V116*Y116*VLOOKUP('Données projet'!$B$9,Paramètres!$A$1:$I$89,3,0)*0.475*44/12</f>
        <v>2.036333205546709E-7</v>
      </c>
      <c r="AC116" s="22">
        <f t="shared" si="57"/>
        <v>70.270924007465183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376.13893200000064</v>
      </c>
      <c r="AK116" s="13">
        <f t="shared" si="89"/>
        <v>86.922020183945492</v>
      </c>
      <c r="AL116" s="20">
        <f t="shared" si="58"/>
        <v>806.49782505370615</v>
      </c>
      <c r="AM116" s="59">
        <f t="shared" si="59"/>
        <v>1099.8311583870395</v>
      </c>
      <c r="AN116" s="59">
        <f ca="1">AVERAGE(OFFSET($AM$3,0,0,'Données projet'!$E$10+1,1))-AVERAGE(OFFSET($H$3,0,0,'Données projet'!$E$10+1,1))</f>
        <v>490.21869105612649</v>
      </c>
      <c r="AO116" s="59">
        <f t="shared" si="90"/>
        <v>207.08773997010911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27.692345089845542</v>
      </c>
      <c r="AV116" s="21">
        <f>EXP(-LN(2)/25)*AV115+(1-EXP(-LN(2)/25))/(LN(2)/25)*Calculateur!AQ116*Calculateur!AS116*VLOOKUP('Données projet'!$B$10,Paramètres!$A$1:$I$89,3,0)*0.475*44/12</f>
        <v>21.056435771050243</v>
      </c>
      <c r="AW116" s="21">
        <f>EXP(-LN(2)/2)*AW115+(1-EXP(-LN(2)/2))/(LN(2)/2)*AQ116*AT116*VLOOKUP('Données projet'!$B$10,Paramètres!$A$1:$I$89,3,0)*0.475*44/12</f>
        <v>0.25754178653251392</v>
      </c>
      <c r="AX116" s="21">
        <f t="shared" si="60"/>
        <v>49.006322647428298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421.5350100000008</v>
      </c>
      <c r="BF116" s="13">
        <f t="shared" si="91"/>
        <v>96.129144685048502</v>
      </c>
      <c r="BG116" s="20">
        <f t="shared" si="61"/>
        <v>901.59840274312739</v>
      </c>
      <c r="BH116" s="59">
        <f t="shared" si="62"/>
        <v>1194.9317360764608</v>
      </c>
      <c r="BI116" s="59">
        <f ca="1">AVERAGE(OFFSET($BH$3,0,0,'Données projet'!$E$11+1,1))-AVERAGE(OFFSET($H$3,0,0,'Données projet'!$E$11+1,1))</f>
        <v>561.19833044503548</v>
      </c>
      <c r="BJ116" s="59">
        <f t="shared" si="92"/>
        <v>235.9089269943575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31.034524669654481</v>
      </c>
      <c r="BQ116" s="21">
        <f>EXP(-LN(2)/25)*BQ115+(1-EXP(-LN(2)/25))/(LN(2)/25)*Calculateur!BL116*Calculateur!BN116*VLOOKUP('Données projet'!$B$11,Paramètres!$A$1:$I$89,3,0)*0.475*44/12</f>
        <v>23.597729743418377</v>
      </c>
      <c r="BR116" s="21">
        <f>EXP(-LN(2)/2)*BR115+(1-EXP(-LN(2)/2))/(LN(2)/2)*BL116*BO116*VLOOKUP('Données projet'!$B$11,Paramètres!$A$1:$I$89,3,0)*0.475*44/12</f>
        <v>0.28862441594161048</v>
      </c>
      <c r="BS116" s="22">
        <f t="shared" si="63"/>
        <v>54.92087882901447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-4.9658410716801891E-14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147.1862160897889</v>
      </c>
      <c r="CE116" s="59">
        <f t="shared" si="94"/>
        <v>147.31828668914011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12.447020957962804</v>
      </c>
      <c r="CL116" s="21">
        <f>EXP(-LN(2)/25)*CL115+(1-EXP(-LN(2)/25))/(LN(2)/25)*Calculateur!CG116*Calculateur!CI116*VLOOKUP('Données projet'!$B$12,Paramètres!$A$1:$I$89,3,0)*0.475*44/12</f>
        <v>28.596395545248079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41.043416503210885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326.05837294177707</v>
      </c>
      <c r="T117" s="59">
        <f t="shared" si="88"/>
        <v>406.74689878702014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56.444437308315123</v>
      </c>
      <c r="AA117" s="21">
        <f>EXP(-LN(2)/25)*AA116+(1-EXP(-LN(2)/25))/(LN(2)/25)*Calculateur!V117*Calculateur!X117*VLOOKUP('Données projet'!$B$9,Paramètres!$A$1:$I$89,3,0)*0.475*44/12</f>
        <v>12.35029291238599</v>
      </c>
      <c r="AB117" s="21">
        <f>EXP(-LN(2)/2)*AB116+(1-EXP(-LN(2)/2))/(LN(2)/2)*V117*Y117*VLOOKUP('Données projet'!$B$9,Paramètres!$A$1:$I$89,3,0)*0.475*44/12</f>
        <v>1.4399050183974177E-7</v>
      </c>
      <c r="AC117" s="22">
        <f t="shared" si="57"/>
        <v>68.794730364691617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384.14188800000068</v>
      </c>
      <c r="AK117" s="13">
        <f t="shared" si="89"/>
        <v>88.554146462646884</v>
      </c>
      <c r="AL117" s="20">
        <f t="shared" si="58"/>
        <v>823.27892668911102</v>
      </c>
      <c r="AM117" s="59">
        <f t="shared" si="59"/>
        <v>1116.6122600224444</v>
      </c>
      <c r="AN117" s="59">
        <f ca="1">AVERAGE(OFFSET($AM$3,0,0,'Données projet'!$E$10+1,1))-AVERAGE(OFFSET($H$3,0,0,'Données projet'!$E$10+1,1))</f>
        <v>490.21869105612649</v>
      </c>
      <c r="AO117" s="59">
        <f t="shared" si="90"/>
        <v>207.08773997010911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36.461382647651561</v>
      </c>
      <c r="AV117" s="21">
        <f>EXP(-LN(2)/25)*AV116+(1-EXP(-LN(2)/25))/(LN(2)/25)*Calculateur!AQ117*Calculateur!AS117*VLOOKUP('Données projet'!$B$10,Paramètres!$A$1:$I$89,3,0)*0.475*44/12</f>
        <v>25.780876368276925</v>
      </c>
      <c r="AW117" s="21">
        <f>EXP(-LN(2)/2)*AW116+(1-EXP(-LN(2)/2))/(LN(2)/2)*AQ117*AT117*VLOOKUP('Données projet'!$B$10,Paramètres!$A$1:$I$89,3,0)*0.475*44/12</f>
        <v>5.4631172440400739</v>
      </c>
      <c r="AX117" s="21">
        <f t="shared" si="60"/>
        <v>67.70537625996856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430.50384000000082</v>
      </c>
      <c r="BF117" s="13">
        <f t="shared" si="91"/>
        <v>97.934152240758081</v>
      </c>
      <c r="BG117" s="20">
        <f t="shared" si="61"/>
        <v>920.3628364859884</v>
      </c>
      <c r="BH117" s="59">
        <f t="shared" si="62"/>
        <v>1213.6961698193218</v>
      </c>
      <c r="BI117" s="59">
        <f ca="1">AVERAGE(OFFSET($BH$3,0,0,'Données projet'!$E$11+1,1))-AVERAGE(OFFSET($H$3,0,0,'Données projet'!$E$11+1,1))</f>
        <v>561.19833044503548</v>
      </c>
      <c r="BJ117" s="59">
        <f t="shared" si="92"/>
        <v>235.9089269943575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40.861894346506055</v>
      </c>
      <c r="BQ117" s="21">
        <f>EXP(-LN(2)/25)*BQ116+(1-EXP(-LN(2)/25))/(LN(2)/25)*Calculateur!BL117*Calculateur!BN117*VLOOKUP('Données projet'!$B$11,Paramètres!$A$1:$I$89,3,0)*0.475*44/12</f>
        <v>28.892361447206902</v>
      </c>
      <c r="BR117" s="21">
        <f>EXP(-LN(2)/2)*BR116+(1-EXP(-LN(2)/2))/(LN(2)/2)*BL117*BO117*VLOOKUP('Données projet'!$B$11,Paramètres!$A$1:$I$89,3,0)*0.475*44/12</f>
        <v>6.1224589803897382</v>
      </c>
      <c r="BS117" s="22">
        <f t="shared" si="63"/>
        <v>75.876714774102695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-4.9658410716801891E-14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147.1862160897889</v>
      </c>
      <c r="CE117" s="59">
        <f t="shared" si="94"/>
        <v>147.31828668914011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12.202942468910297</v>
      </c>
      <c r="CL117" s="21">
        <f>EXP(-LN(2)/25)*CL116+(1-EXP(-LN(2)/25))/(LN(2)/25)*Calculateur!CG117*Calculateur!CI117*VLOOKUP('Données projet'!$B$12,Paramètres!$A$1:$I$89,3,0)*0.475*44/12</f>
        <v>27.814425605244185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40.017368074154483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326.05837294177707</v>
      </c>
      <c r="T118" s="59">
        <f t="shared" si="88"/>
        <v>406.74689878702014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55.337596320406369</v>
      </c>
      <c r="AA118" s="21">
        <f>EXP(-LN(2)/25)*AA117+(1-EXP(-LN(2)/25))/(LN(2)/25)*Calculateur!V118*Calculateur!X118*VLOOKUP('Données projet'!$B$9,Paramètres!$A$1:$I$89,3,0)*0.475*44/12</f>
        <v>12.012573503223118</v>
      </c>
      <c r="AB118" s="21">
        <f>EXP(-LN(2)/2)*AB117+(1-EXP(-LN(2)/2))/(LN(2)/2)*V118*Y118*VLOOKUP('Données projet'!$B$9,Paramètres!$A$1:$I$89,3,0)*0.475*44/12</f>
        <v>1.0181666027733545E-7</v>
      </c>
      <c r="AC118" s="22">
        <f t="shared" si="57"/>
        <v>67.350169925446153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336.23815680000064</v>
      </c>
      <c r="AK118" s="13">
        <f t="shared" si="89"/>
        <v>78.722223243612518</v>
      </c>
      <c r="AL118" s="20">
        <f t="shared" si="58"/>
        <v>722.72266190929292</v>
      </c>
      <c r="AM118" s="59">
        <f t="shared" si="59"/>
        <v>1016.0559952426263</v>
      </c>
      <c r="AN118" s="59">
        <f ca="1">AVERAGE(OFFSET($AM$3,0,0,'Données projet'!$E$10+1,1))-AVERAGE(OFFSET($H$3,0,0,'Données projet'!$E$10+1,1))</f>
        <v>490.21869105612649</v>
      </c>
      <c r="AO118" s="59">
        <f t="shared" si="90"/>
        <v>207.08773997010911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35.746397173178586</v>
      </c>
      <c r="AV118" s="21">
        <f>EXP(-LN(2)/25)*AV117+(1-EXP(-LN(2)/25))/(LN(2)/25)*Calculateur!AQ118*Calculateur!AS118*VLOOKUP('Données projet'!$B$10,Paramètres!$A$1:$I$89,3,0)*0.475*44/12</f>
        <v>25.075896948229026</v>
      </c>
      <c r="AW118" s="21">
        <f>EXP(-LN(2)/2)*AW117+(1-EXP(-LN(2)/2))/(LN(2)/2)*AQ118*AT118*VLOOKUP('Données projet'!$B$10,Paramètres!$A$1:$I$89,3,0)*0.475*44/12</f>
        <v>3.8630072496778993</v>
      </c>
      <c r="AX118" s="21">
        <f t="shared" si="60"/>
        <v>64.685301371085501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376.81862400000074</v>
      </c>
      <c r="BF118" s="13">
        <f t="shared" si="91"/>
        <v>87.06079278989921</v>
      </c>
      <c r="BG118" s="20">
        <f t="shared" si="61"/>
        <v>807.92331757574232</v>
      </c>
      <c r="BH118" s="59">
        <f t="shared" si="62"/>
        <v>1101.2566509090757</v>
      </c>
      <c r="BI118" s="59">
        <f ca="1">AVERAGE(OFFSET($BH$3,0,0,'Données projet'!$E$11+1,1))-AVERAGE(OFFSET($H$3,0,0,'Données projet'!$E$11+1,1))</f>
        <v>561.19833044503548</v>
      </c>
      <c r="BJ118" s="59">
        <f t="shared" si="92"/>
        <v>235.9089269943575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40.060617521665655</v>
      </c>
      <c r="BQ118" s="21">
        <f>EXP(-LN(2)/25)*BQ117+(1-EXP(-LN(2)/25))/(LN(2)/25)*Calculateur!BL118*Calculateur!BN118*VLOOKUP('Données projet'!$B$11,Paramètres!$A$1:$I$89,3,0)*0.475*44/12</f>
        <v>28.102298304049775</v>
      </c>
      <c r="BR118" s="21">
        <f>EXP(-LN(2)/2)*BR117+(1-EXP(-LN(2)/2))/(LN(2)/2)*BL118*BO118*VLOOKUP('Données projet'!$B$11,Paramètres!$A$1:$I$89,3,0)*0.475*44/12</f>
        <v>4.3292322625700601</v>
      </c>
      <c r="BS118" s="22">
        <f t="shared" si="63"/>
        <v>72.492148088285489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-4.9658410716801891E-14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147.1862160897889</v>
      </c>
      <c r="CE118" s="59">
        <f t="shared" si="94"/>
        <v>147.31828668914011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11.963650210154931</v>
      </c>
      <c r="CL118" s="21">
        <f>EXP(-LN(2)/25)*CL117+(1-EXP(-LN(2)/25))/(LN(2)/25)*Calculateur!CG118*Calculateur!CI118*VLOOKUP('Données projet'!$B$12,Paramètres!$A$1:$I$89,3,0)*0.475*44/12</f>
        <v>27.053838674371711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39.017488884526642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326.05837294177707</v>
      </c>
      <c r="T119" s="59">
        <f t="shared" si="88"/>
        <v>406.74689878702014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54.252459809164165</v>
      </c>
      <c r="AA119" s="21">
        <f>EXP(-LN(2)/25)*AA118+(1-EXP(-LN(2)/25))/(LN(2)/25)*Calculateur!V119*Calculateur!X119*VLOOKUP('Données projet'!$B$9,Paramètres!$A$1:$I$89,3,0)*0.475*44/12</f>
        <v>11.684089049063697</v>
      </c>
      <c r="AB119" s="21">
        <f>EXP(-LN(2)/2)*AB118+(1-EXP(-LN(2)/2))/(LN(2)/2)*V119*Y119*VLOOKUP('Données projet'!$B$9,Paramètres!$A$1:$I$89,3,0)*0.475*44/12</f>
        <v>7.1995250919870883E-8</v>
      </c>
      <c r="AC119" s="22">
        <f t="shared" si="57"/>
        <v>65.936548930223111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344.30535360000061</v>
      </c>
      <c r="AK119" s="13">
        <f t="shared" si="89"/>
        <v>80.388807253544201</v>
      </c>
      <c r="AL119" s="20">
        <f t="shared" si="58"/>
        <v>739.67566348659057</v>
      </c>
      <c r="AM119" s="59">
        <f t="shared" si="59"/>
        <v>1033.0089968199238</v>
      </c>
      <c r="AN119" s="59">
        <f ca="1">AVERAGE(OFFSET($AM$3,0,0,'Données projet'!$E$10+1,1))-AVERAGE(OFFSET($H$3,0,0,'Données projet'!$E$10+1,1))</f>
        <v>490.21869105612649</v>
      </c>
      <c r="AO119" s="59">
        <f t="shared" si="90"/>
        <v>207.08773997010911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35.045432127761948</v>
      </c>
      <c r="AV119" s="21">
        <f>EXP(-LN(2)/25)*AV118+(1-EXP(-LN(2)/25))/(LN(2)/25)*Calculateur!AQ119*Calculateur!AS119*VLOOKUP('Données projet'!$B$10,Paramètres!$A$1:$I$89,3,0)*0.475*44/12</f>
        <v>24.390195227495596</v>
      </c>
      <c r="AW119" s="21">
        <f>EXP(-LN(2)/2)*AW118+(1-EXP(-LN(2)/2))/(LN(2)/2)*AQ119*AT119*VLOOKUP('Données projet'!$B$10,Paramètres!$A$1:$I$89,3,0)*0.475*44/12</f>
        <v>2.7315586220200374</v>
      </c>
      <c r="AX119" s="21">
        <f t="shared" si="60"/>
        <v>62.167185977277583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385.85944800000078</v>
      </c>
      <c r="BF119" s="13">
        <f t="shared" si="91"/>
        <v>88.903907976148645</v>
      </c>
      <c r="BG119" s="20">
        <f t="shared" si="61"/>
        <v>826.87951165846027</v>
      </c>
      <c r="BH119" s="59">
        <f t="shared" si="62"/>
        <v>1120.2128449917936</v>
      </c>
      <c r="BI119" s="59">
        <f ca="1">AVERAGE(OFFSET($BH$3,0,0,'Données projet'!$E$11+1,1))-AVERAGE(OFFSET($H$3,0,0,'Données projet'!$E$11+1,1))</f>
        <v>561.19833044503548</v>
      </c>
      <c r="BJ119" s="59">
        <f t="shared" si="92"/>
        <v>235.9089269943575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39.275053246629767</v>
      </c>
      <c r="BQ119" s="21">
        <f>EXP(-LN(2)/25)*BQ118+(1-EXP(-LN(2)/25))/(LN(2)/25)*Calculateur!BL119*Calculateur!BN119*VLOOKUP('Données projet'!$B$11,Paramètres!$A$1:$I$89,3,0)*0.475*44/12</f>
        <v>27.333839479089896</v>
      </c>
      <c r="BR119" s="21">
        <f>EXP(-LN(2)/2)*BR118+(1-EXP(-LN(2)/2))/(LN(2)/2)*BL119*BO119*VLOOKUP('Données projet'!$B$11,Paramètres!$A$1:$I$89,3,0)*0.475*44/12</f>
        <v>3.0612294901948696</v>
      </c>
      <c r="BS119" s="22">
        <f t="shared" si="63"/>
        <v>69.670122215914546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-4.9658410716801891E-14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147.1862160897889</v>
      </c>
      <c r="CE119" s="59">
        <f t="shared" si="94"/>
        <v>147.31828668914011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11.729050326639891</v>
      </c>
      <c r="CL119" s="21">
        <f>EXP(-LN(2)/25)*CL118+(1-EXP(-LN(2)/25))/(LN(2)/25)*Calculateur!CG119*Calculateur!CI119*VLOOKUP('Données projet'!$B$12,Paramètres!$A$1:$I$89,3,0)*0.475*44/12</f>
        <v>26.314050033121472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38.043100359761361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326.05837294177707</v>
      </c>
      <c r="T120" s="59">
        <f t="shared" si="88"/>
        <v>406.74689878702014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53.188602163039498</v>
      </c>
      <c r="AA120" s="21">
        <f>EXP(-LN(2)/25)*AA119+(1-EXP(-LN(2)/25))/(LN(2)/25)*Calculateur!V120*Calculateur!X120*VLOOKUP('Données projet'!$B$9,Paramètres!$A$1:$I$89,3,0)*0.475*44/12</f>
        <v>11.364587019577511</v>
      </c>
      <c r="AB120" s="21">
        <f>EXP(-LN(2)/2)*AB119+(1-EXP(-LN(2)/2))/(LN(2)/2)*V120*Y120*VLOOKUP('Données projet'!$B$9,Paramètres!$A$1:$I$89,3,0)*0.475*44/12</f>
        <v>5.0908330138667725E-8</v>
      </c>
      <c r="AC120" s="22">
        <f t="shared" si="57"/>
        <v>64.55318923352533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352.37255040000065</v>
      </c>
      <c r="AK120" s="13">
        <f t="shared" si="89"/>
        <v>82.050851753476593</v>
      </c>
      <c r="AL120" s="20">
        <f t="shared" si="58"/>
        <v>756.62075875063954</v>
      </c>
      <c r="AM120" s="59">
        <f t="shared" si="59"/>
        <v>1049.9540920839729</v>
      </c>
      <c r="AN120" s="59">
        <f ca="1">AVERAGE(OFFSET($AM$3,0,0,'Données projet'!$E$10+1,1))-AVERAGE(OFFSET($H$3,0,0,'Données projet'!$E$10+1,1))</f>
        <v>490.21869105612649</v>
      </c>
      <c r="AO120" s="59">
        <f t="shared" si="90"/>
        <v>207.08773997010911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34.358212579339472</v>
      </c>
      <c r="AV120" s="21">
        <f>EXP(-LN(2)/25)*AV119+(1-EXP(-LN(2)/25))/(LN(2)/25)*Calculateur!AQ120*Calculateur!AS120*VLOOKUP('Données projet'!$B$10,Paramètres!$A$1:$I$89,3,0)*0.475*44/12</f>
        <v>23.723244056375105</v>
      </c>
      <c r="AW120" s="21">
        <f>EXP(-LN(2)/2)*AW119+(1-EXP(-LN(2)/2))/(LN(2)/2)*AQ120*AT120*VLOOKUP('Données projet'!$B$10,Paramètres!$A$1:$I$89,3,0)*0.475*44/12</f>
        <v>1.9315036248389501</v>
      </c>
      <c r="AX120" s="21">
        <f t="shared" si="60"/>
        <v>60.012960260553527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394.90027200000077</v>
      </c>
      <c r="BF120" s="13">
        <f t="shared" si="91"/>
        <v>90.742002809527918</v>
      </c>
      <c r="BG120" s="20">
        <f t="shared" si="61"/>
        <v>845.82696195992901</v>
      </c>
      <c r="BH120" s="59">
        <f t="shared" si="62"/>
        <v>1139.1602952932624</v>
      </c>
      <c r="BI120" s="59">
        <f ca="1">AVERAGE(OFFSET($BH$3,0,0,'Données projet'!$E$11+1,1))-AVERAGE(OFFSET($H$3,0,0,'Données projet'!$E$11+1,1))</f>
        <v>561.19833044503548</v>
      </c>
      <c r="BJ120" s="59">
        <f t="shared" si="92"/>
        <v>235.9089269943575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38.504893407880438</v>
      </c>
      <c r="BQ120" s="21">
        <f>EXP(-LN(2)/25)*BQ119+(1-EXP(-LN(2)/25))/(LN(2)/25)*Calculateur!BL120*Calculateur!BN120*VLOOKUP('Données projet'!$B$11,Paramètres!$A$1:$I$89,3,0)*0.475*44/12</f>
        <v>26.586394201110036</v>
      </c>
      <c r="BR120" s="21">
        <f>EXP(-LN(2)/2)*BR119+(1-EXP(-LN(2)/2))/(LN(2)/2)*BL120*BO120*VLOOKUP('Données projet'!$B$11,Paramètres!$A$1:$I$89,3,0)*0.475*44/12</f>
        <v>2.1646161312850301</v>
      </c>
      <c r="BS120" s="22">
        <f t="shared" si="63"/>
        <v>67.2559037402755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-4.9658410716801891E-14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147.1862160897889</v>
      </c>
      <c r="CE120" s="59">
        <f t="shared" si="94"/>
        <v>147.31828668914011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11.499050803748782</v>
      </c>
      <c r="CL120" s="21">
        <f>EXP(-LN(2)/25)*CL119+(1-EXP(-LN(2)/25))/(LN(2)/25)*Calculateur!CG120*Calculateur!CI120*VLOOKUP('Données projet'!$B$12,Paramètres!$A$1:$I$89,3,0)*0.475*44/12</f>
        <v>25.594490951170016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37.093541754918796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326.05837294177707</v>
      </c>
      <c r="T121" s="59">
        <f t="shared" si="88"/>
        <v>406.74689878702014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52.145606116466247</v>
      </c>
      <c r="AA121" s="21">
        <f>EXP(-LN(2)/25)*AA120+(1-EXP(-LN(2)/25))/(LN(2)/25)*Calculateur!V121*Calculateur!X121*VLOOKUP('Données projet'!$B$9,Paramètres!$A$1:$I$89,3,0)*0.475*44/12</f>
        <v>11.053821789889508</v>
      </c>
      <c r="AB121" s="21">
        <f>EXP(-LN(2)/2)*AB120+(1-EXP(-LN(2)/2))/(LN(2)/2)*V121*Y121*VLOOKUP('Données projet'!$B$9,Paramètres!$A$1:$I$89,3,0)*0.475*44/12</f>
        <v>3.5997625459935441E-8</v>
      </c>
      <c r="AC121" s="22">
        <f t="shared" si="57"/>
        <v>63.199427942353374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360.43974720000062</v>
      </c>
      <c r="AK121" s="13">
        <f t="shared" si="89"/>
        <v>83.708472633827739</v>
      </c>
      <c r="AL121" s="20">
        <f t="shared" si="58"/>
        <v>773.55814954391769</v>
      </c>
      <c r="AM121" s="59">
        <f t="shared" si="59"/>
        <v>1066.8914828772511</v>
      </c>
      <c r="AN121" s="59">
        <f ca="1">AVERAGE(OFFSET($AM$3,0,0,'Données projet'!$E$10+1,1))-AVERAGE(OFFSET($H$3,0,0,'Données projet'!$E$10+1,1))</f>
        <v>490.21869105612649</v>
      </c>
      <c r="AO121" s="59">
        <f t="shared" si="90"/>
        <v>207.08773997010911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33.684468987099024</v>
      </c>
      <c r="AV121" s="21">
        <f>EXP(-LN(2)/25)*AV120+(1-EXP(-LN(2)/25))/(LN(2)/25)*Calculateur!AQ121*Calculateur!AS121*VLOOKUP('Données projet'!$B$10,Paramètres!$A$1:$I$89,3,0)*0.475*44/12</f>
        <v>23.074530700102343</v>
      </c>
      <c r="AW121" s="21">
        <f>EXP(-LN(2)/2)*AW120+(1-EXP(-LN(2)/2))/(LN(2)/2)*AQ121*AT121*VLOOKUP('Données projet'!$B$10,Paramètres!$A$1:$I$89,3,0)*0.475*44/12</f>
        <v>1.3657793110100189</v>
      </c>
      <c r="AX121" s="21">
        <f t="shared" si="60"/>
        <v>58.124778998211383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403.9410960000007</v>
      </c>
      <c r="BF121" s="13">
        <f t="shared" si="91"/>
        <v>92.575205456026652</v>
      </c>
      <c r="BG121" s="20">
        <f t="shared" si="61"/>
        <v>864.76589170258092</v>
      </c>
      <c r="BH121" s="59">
        <f t="shared" si="62"/>
        <v>1158.0992250359143</v>
      </c>
      <c r="BI121" s="59">
        <f ca="1">AVERAGE(OFFSET($BH$3,0,0,'Données projet'!$E$11+1,1))-AVERAGE(OFFSET($H$3,0,0,'Données projet'!$E$11+1,1))</f>
        <v>561.19833044503548</v>
      </c>
      <c r="BJ121" s="59">
        <f t="shared" si="92"/>
        <v>235.9089269943575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37.749835933817863</v>
      </c>
      <c r="BQ121" s="21">
        <f>EXP(-LN(2)/25)*BQ120+(1-EXP(-LN(2)/25))/(LN(2)/25)*Calculateur!BL121*Calculateur!BN121*VLOOKUP('Données projet'!$B$11,Paramètres!$A$1:$I$89,3,0)*0.475*44/12</f>
        <v>25.859387853562975</v>
      </c>
      <c r="BR121" s="21">
        <f>EXP(-LN(2)/2)*BR120+(1-EXP(-LN(2)/2))/(LN(2)/2)*BL121*BO121*VLOOKUP('Données projet'!$B$11,Paramètres!$A$1:$I$89,3,0)*0.475*44/12</f>
        <v>1.5306147450974348</v>
      </c>
      <c r="BS121" s="22">
        <f t="shared" si="63"/>
        <v>65.139838532478279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-4.9658410716801891E-14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147.1862160897889</v>
      </c>
      <c r="CE121" s="59">
        <f t="shared" si="94"/>
        <v>147.31828668914011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11.273561431215711</v>
      </c>
      <c r="CL121" s="21">
        <f>EXP(-LN(2)/25)*CL120+(1-EXP(-LN(2)/25))/(LN(2)/25)*Calculateur!CG121*Calculateur!CI121*VLOOKUP('Données projet'!$B$12,Paramètres!$A$1:$I$89,3,0)*0.475*44/12</f>
        <v>24.894608250154491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36.168169681370202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326.05837294177707</v>
      </c>
      <c r="T122" s="59">
        <f t="shared" si="88"/>
        <v>406.74689878702014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51.123062586201527</v>
      </c>
      <c r="AA122" s="21">
        <f>EXP(-LN(2)/25)*AA121+(1-EXP(-LN(2)/25))/(LN(2)/25)*Calculateur!V122*Calculateur!X122*VLOOKUP('Données projet'!$B$9,Paramètres!$A$1:$I$89,3,0)*0.475*44/12</f>
        <v>10.751554451749755</v>
      </c>
      <c r="AB122" s="21">
        <f>EXP(-LN(2)/2)*AB121+(1-EXP(-LN(2)/2))/(LN(2)/2)*V122*Y122*VLOOKUP('Données projet'!$B$9,Paramètres!$A$1:$I$89,3,0)*0.475*44/12</f>
        <v>2.5454165069333863E-8</v>
      </c>
      <c r="AC122" s="22">
        <f t="shared" si="57"/>
        <v>61.874617063405445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368.5069440000006</v>
      </c>
      <c r="AK122" s="13">
        <f t="shared" si="89"/>
        <v>85.361780301252097</v>
      </c>
      <c r="AL122" s="20">
        <f t="shared" si="58"/>
        <v>790.48802815801503</v>
      </c>
      <c r="AM122" s="59">
        <f t="shared" si="59"/>
        <v>1083.8213614913484</v>
      </c>
      <c r="AN122" s="59">
        <f ca="1">AVERAGE(OFFSET($AM$3,0,0,'Données projet'!$E$10+1,1))-AVERAGE(OFFSET($H$3,0,0,'Données projet'!$E$10+1,1))</f>
        <v>490.21869105612649</v>
      </c>
      <c r="AO122" s="59">
        <f t="shared" si="90"/>
        <v>207.08773997010911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33.023937095759393</v>
      </c>
      <c r="AV122" s="21">
        <f>EXP(-LN(2)/25)*AV121+(1-EXP(-LN(2)/25))/(LN(2)/25)*Calculateur!AQ122*Calculateur!AS122*VLOOKUP('Données projet'!$B$10,Paramètres!$A$1:$I$89,3,0)*0.475*44/12</f>
        <v>22.443556444671213</v>
      </c>
      <c r="AW122" s="21">
        <f>EXP(-LN(2)/2)*AW121+(1-EXP(-LN(2)/2))/(LN(2)/2)*AQ122*AT122*VLOOKUP('Données projet'!$B$10,Paramètres!$A$1:$I$89,3,0)*0.475*44/12</f>
        <v>0.96575181241947516</v>
      </c>
      <c r="AX122" s="21">
        <f t="shared" si="60"/>
        <v>56.433245352850086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412.98192000000074</v>
      </c>
      <c r="BF122" s="13">
        <f t="shared" si="91"/>
        <v>94.403638017009513</v>
      </c>
      <c r="BG122" s="20">
        <f t="shared" si="61"/>
        <v>883.69651354629275</v>
      </c>
      <c r="BH122" s="59">
        <f t="shared" si="62"/>
        <v>1177.0298468796261</v>
      </c>
      <c r="BI122" s="59">
        <f ca="1">AVERAGE(OFFSET($BH$3,0,0,'Données projet'!$E$11+1,1))-AVERAGE(OFFSET($H$3,0,0,'Données projet'!$E$11+1,1))</f>
        <v>561.19833044503548</v>
      </c>
      <c r="BJ122" s="59">
        <f t="shared" si="92"/>
        <v>235.9089269943575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37.009584676282074</v>
      </c>
      <c r="BQ122" s="21">
        <f>EXP(-LN(2)/25)*BQ121+(1-EXP(-LN(2)/25))/(LN(2)/25)*Calculateur!BL122*Calculateur!BN122*VLOOKUP('Données projet'!$B$11,Paramètres!$A$1:$I$89,3,0)*0.475*44/12</f>
        <v>25.152261532821189</v>
      </c>
      <c r="BR122" s="21">
        <f>EXP(-LN(2)/2)*BR121+(1-EXP(-LN(2)/2))/(LN(2)/2)*BL122*BO122*VLOOKUP('Données projet'!$B$11,Paramètres!$A$1:$I$89,3,0)*0.475*44/12</f>
        <v>1.082308065642515</v>
      </c>
      <c r="BS122" s="22">
        <f t="shared" si="63"/>
        <v>63.244154274745775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-4.9658410716801891E-14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147.1862160897889</v>
      </c>
      <c r="CE122" s="59">
        <f t="shared" si="94"/>
        <v>147.31828668914011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11.052493767743076</v>
      </c>
      <c r="CL122" s="21">
        <f>EXP(-LN(2)/25)*CL121+(1-EXP(-LN(2)/25))/(LN(2)/25)*Calculateur!CG122*Calculateur!CI122*VLOOKUP('Données projet'!$B$12,Paramètres!$A$1:$I$89,3,0)*0.475*44/12</f>
        <v>24.213863878403465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35.266357646146545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326.05837294177707</v>
      </c>
      <c r="T123" s="59">
        <f t="shared" si="88"/>
        <v>406.74689878702014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50.120570510875325</v>
      </c>
      <c r="AA123" s="21">
        <f>EXP(-LN(2)/25)*AA122+(1-EXP(-LN(2)/25))/(LN(2)/25)*Calculateur!V123*Calculateur!X123*VLOOKUP('Données projet'!$B$9,Paramètres!$A$1:$I$89,3,0)*0.475*44/12</f>
        <v>10.457552629866981</v>
      </c>
      <c r="AB123" s="21">
        <f>EXP(-LN(2)/2)*AB122+(1-EXP(-LN(2)/2))/(LN(2)/2)*V123*Y123*VLOOKUP('Données projet'!$B$9,Paramètres!$A$1:$I$89,3,0)*0.475*44/12</f>
        <v>1.7998812729967721E-8</v>
      </c>
      <c r="AC123" s="22">
        <f t="shared" si="57"/>
        <v>60.578123158741121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376.57414080000063</v>
      </c>
      <c r="AK123" s="13">
        <f t="shared" si="89"/>
        <v>87.010880052402811</v>
      </c>
      <c r="AL123" s="20">
        <f t="shared" si="58"/>
        <v>807.41057798460258</v>
      </c>
      <c r="AM123" s="59">
        <f t="shared" si="59"/>
        <v>1100.743911317936</v>
      </c>
      <c r="AN123" s="59">
        <f ca="1">AVERAGE(OFFSET($AM$3,0,0,'Données projet'!$E$10+1,1))-AVERAGE(OFFSET($H$3,0,0,'Données projet'!$E$10+1,1))</f>
        <v>490.21869105612649</v>
      </c>
      <c r="AO123" s="59">
        <f t="shared" si="90"/>
        <v>207.08773997010911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32.37635783192426</v>
      </c>
      <c r="AV123" s="21">
        <f>EXP(-LN(2)/25)*AV122+(1-EXP(-LN(2)/25))/(LN(2)/25)*Calculateur!AQ123*Calculateur!AS123*VLOOKUP('Données projet'!$B$10,Paramètres!$A$1:$I$89,3,0)*0.475*44/12</f>
        <v>21.829836213436341</v>
      </c>
      <c r="AW123" s="21">
        <f>EXP(-LN(2)/2)*AW122+(1-EXP(-LN(2)/2))/(LN(2)/2)*AQ123*AT123*VLOOKUP('Données projet'!$B$10,Paramètres!$A$1:$I$89,3,0)*0.475*44/12</f>
        <v>0.68288965550500957</v>
      </c>
      <c r="AX123" s="21">
        <f t="shared" si="60"/>
        <v>54.889083700865612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422.02274400000073</v>
      </c>
      <c r="BF123" s="13">
        <f t="shared" si="91"/>
        <v>96.227416942568027</v>
      </c>
      <c r="BG123" s="20">
        <f t="shared" si="61"/>
        <v>902.61903030830717</v>
      </c>
      <c r="BH123" s="59">
        <f t="shared" si="62"/>
        <v>1195.9523636416404</v>
      </c>
      <c r="BI123" s="59">
        <f ca="1">AVERAGE(OFFSET($BH$3,0,0,'Données projet'!$E$11+1,1))-AVERAGE(OFFSET($H$3,0,0,'Données projet'!$E$11+1,1))</f>
        <v>561.19833044503548</v>
      </c>
      <c r="BJ123" s="59">
        <f t="shared" si="92"/>
        <v>235.9089269943575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36.283849294397875</v>
      </c>
      <c r="BQ123" s="21">
        <f>EXP(-LN(2)/25)*BQ122+(1-EXP(-LN(2)/25))/(LN(2)/25)*Calculateur!BL123*Calculateur!BN123*VLOOKUP('Données projet'!$B$11,Paramètres!$A$1:$I$89,3,0)*0.475*44/12</f>
        <v>24.464471618506245</v>
      </c>
      <c r="BR123" s="21">
        <f>EXP(-LN(2)/2)*BR122+(1-EXP(-LN(2)/2))/(LN(2)/2)*BL123*BO123*VLOOKUP('Données projet'!$B$11,Paramètres!$A$1:$I$89,3,0)*0.475*44/12</f>
        <v>0.76530737254871739</v>
      </c>
      <c r="BS123" s="22">
        <f t="shared" si="63"/>
        <v>61.513628285452839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-4.9658410716801891E-14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147.1862160897889</v>
      </c>
      <c r="CE123" s="59">
        <f t="shared" si="94"/>
        <v>147.31828668914011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10.83576110631318</v>
      </c>
      <c r="CL123" s="21">
        <f>EXP(-LN(2)/25)*CL122+(1-EXP(-LN(2)/25))/(LN(2)/25)*Calculateur!CG123*Calculateur!CI123*VLOOKUP('Données projet'!$B$12,Paramètres!$A$1:$I$89,3,0)*0.475*44/12</f>
        <v>23.551734497296763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34.387495603609942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326.05837294177707</v>
      </c>
      <c r="T124" s="59">
        <f t="shared" si="88"/>
        <v>406.74689878702014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49.137736693686485</v>
      </c>
      <c r="AA124" s="21">
        <f>EXP(-LN(2)/25)*AA123+(1-EXP(-LN(2)/25))/(LN(2)/25)*Calculateur!V124*Calculateur!X124*VLOOKUP('Données projet'!$B$9,Paramètres!$A$1:$I$89,3,0)*0.475*44/12</f>
        <v>10.171590303264477</v>
      </c>
      <c r="AB124" s="21">
        <f>EXP(-LN(2)/2)*AB123+(1-EXP(-LN(2)/2))/(LN(2)/2)*V124*Y124*VLOOKUP('Données projet'!$B$9,Paramètres!$A$1:$I$89,3,0)*0.475*44/12</f>
        <v>1.2727082534666931E-8</v>
      </c>
      <c r="AC124" s="22">
        <f t="shared" si="57"/>
        <v>59.309327009678043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384.64133760000061</v>
      </c>
      <c r="AK124" s="13">
        <f t="shared" si="89"/>
        <v>88.65587241476193</v>
      </c>
      <c r="AL124" s="20">
        <f t="shared" si="58"/>
        <v>824.32597410904464</v>
      </c>
      <c r="AM124" s="59">
        <f t="shared" si="59"/>
        <v>1117.6593074423779</v>
      </c>
      <c r="AN124" s="59">
        <f ca="1">AVERAGE(OFFSET($AM$3,0,0,'Données projet'!$E$10+1,1))-AVERAGE(OFFSET($H$3,0,0,'Données projet'!$E$10+1,1))</f>
        <v>490.21869105612649</v>
      </c>
      <c r="AO124" s="59">
        <f t="shared" si="90"/>
        <v>207.08773997010911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31.741477202468587</v>
      </c>
      <c r="AV124" s="21">
        <f>EXP(-LN(2)/25)*AV123+(1-EXP(-LN(2)/25))/(LN(2)/25)*Calculateur!AQ124*Calculateur!AS124*VLOOKUP('Données projet'!$B$10,Paramètres!$A$1:$I$89,3,0)*0.475*44/12</f>
        <v>21.232898194198729</v>
      </c>
      <c r="AW124" s="21">
        <f>EXP(-LN(2)/2)*AW123+(1-EXP(-LN(2)/2))/(LN(2)/2)*AQ124*AT124*VLOOKUP('Données projet'!$B$10,Paramètres!$A$1:$I$89,3,0)*0.475*44/12</f>
        <v>0.48287590620973764</v>
      </c>
      <c r="AX124" s="21">
        <f t="shared" si="60"/>
        <v>53.457251302877047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431.06356800000077</v>
      </c>
      <c r="BF124" s="13">
        <f t="shared" si="91"/>
        <v>98.046653408452883</v>
      </c>
      <c r="BG124" s="20">
        <f t="shared" si="61"/>
        <v>921.53363561972344</v>
      </c>
      <c r="BH124" s="59">
        <f t="shared" si="62"/>
        <v>1214.8669689530568</v>
      </c>
      <c r="BI124" s="59">
        <f ca="1">AVERAGE(OFFSET($BH$3,0,0,'Données projet'!$E$11+1,1))-AVERAGE(OFFSET($H$3,0,0,'Données projet'!$E$11+1,1))</f>
        <v>561.19833044503548</v>
      </c>
      <c r="BJ124" s="59">
        <f t="shared" si="92"/>
        <v>235.9089269943575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35.57234514069755</v>
      </c>
      <c r="BQ124" s="21">
        <f>EXP(-LN(2)/25)*BQ123+(1-EXP(-LN(2)/25))/(LN(2)/25)*Calculateur!BL124*Calculateur!BN124*VLOOKUP('Données projet'!$B$11,Paramètres!$A$1:$I$89,3,0)*0.475*44/12</f>
        <v>23.795489355567543</v>
      </c>
      <c r="BR124" s="21">
        <f>EXP(-LN(2)/2)*BR123+(1-EXP(-LN(2)/2))/(LN(2)/2)*BL124*BO124*VLOOKUP('Données projet'!$B$11,Paramètres!$A$1:$I$89,3,0)*0.475*44/12</f>
        <v>0.54115403282125751</v>
      </c>
      <c r="BS124" s="22">
        <f t="shared" si="63"/>
        <v>59.908988529086351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-4.9658410716801891E-14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147.1862160897889</v>
      </c>
      <c r="CE124" s="59">
        <f t="shared" si="94"/>
        <v>147.31828668914011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10.623278440180053</v>
      </c>
      <c r="CL124" s="21">
        <f>EXP(-LN(2)/25)*CL123+(1-EXP(-LN(2)/25))/(LN(2)/25)*Calculateur!CG124*Calculateur!CI124*VLOOKUP('Données projet'!$B$12,Paramètres!$A$1:$I$89,3,0)*0.475*44/12</f>
        <v>22.907711078936295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33.530989519116346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326.05837294177707</v>
      </c>
      <c r="T125" s="59">
        <f t="shared" si="88"/>
        <v>406.74689878702014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48.174175648183279</v>
      </c>
      <c r="AA125" s="21">
        <f>EXP(-LN(2)/25)*AA124+(1-EXP(-LN(2)/25))/(LN(2)/25)*Calculateur!V125*Calculateur!X125*VLOOKUP('Données projet'!$B$9,Paramètres!$A$1:$I$89,3,0)*0.475*44/12</f>
        <v>9.8934476315210222</v>
      </c>
      <c r="AB125" s="21">
        <f>EXP(-LN(2)/2)*AB124+(1-EXP(-LN(2)/2))/(LN(2)/2)*V125*Y125*VLOOKUP('Données projet'!$B$9,Paramètres!$A$1:$I$89,3,0)*0.475*44/12</f>
        <v>8.9994063649838603E-9</v>
      </c>
      <c r="AC125" s="22">
        <f t="shared" si="57"/>
        <v>58.067623288703707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392.70853440000059</v>
      </c>
      <c r="AK125" s="13">
        <f t="shared" si="89"/>
        <v>90.296853458070288</v>
      </c>
      <c r="AL125" s="20">
        <f t="shared" si="58"/>
        <v>841.23438385280679</v>
      </c>
      <c r="AM125" s="59">
        <f t="shared" si="59"/>
        <v>1134.56771718614</v>
      </c>
      <c r="AN125" s="59">
        <f ca="1">AVERAGE(OFFSET($AM$3,0,0,'Données projet'!$E$10+1,1))-AVERAGE(OFFSET($H$3,0,0,'Données projet'!$E$10+1,1))</f>
        <v>490.21869105612649</v>
      </c>
      <c r="AO125" s="59">
        <f t="shared" si="90"/>
        <v>207.08773997010911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31.11904619491759</v>
      </c>
      <c r="AV125" s="21">
        <f>EXP(-LN(2)/25)*AV124+(1-EXP(-LN(2)/25))/(LN(2)/25)*Calculateur!AQ125*Calculateur!AS125*VLOOKUP('Données projet'!$B$10,Paramètres!$A$1:$I$89,3,0)*0.475*44/12</f>
        <v>20.652283476488776</v>
      </c>
      <c r="AW125" s="21">
        <f>EXP(-LN(2)/2)*AW124+(1-EXP(-LN(2)/2))/(LN(2)/2)*AQ125*AT125*VLOOKUP('Données projet'!$B$10,Paramètres!$A$1:$I$89,3,0)*0.475*44/12</f>
        <v>0.34144482775250484</v>
      </c>
      <c r="AX125" s="21">
        <f t="shared" si="60"/>
        <v>52.112774499158867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440.1043920000007</v>
      </c>
      <c r="BF125" s="13">
        <f t="shared" si="91"/>
        <v>99.861453660492415</v>
      </c>
      <c r="BG125" s="20">
        <f t="shared" si="61"/>
        <v>940.44051452535894</v>
      </c>
      <c r="BH125" s="59">
        <f t="shared" si="62"/>
        <v>1233.7738478586923</v>
      </c>
      <c r="BI125" s="59">
        <f ca="1">AVERAGE(OFFSET($BH$3,0,0,'Données projet'!$E$11+1,1))-AVERAGE(OFFSET($H$3,0,0,'Données projet'!$E$11+1,1))</f>
        <v>561.19833044503548</v>
      </c>
      <c r="BJ125" s="59">
        <f t="shared" si="92"/>
        <v>235.9089269943575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34.874793149476609</v>
      </c>
      <c r="BQ125" s="21">
        <f>EXP(-LN(2)/25)*BQ124+(1-EXP(-LN(2)/25))/(LN(2)/25)*Calculateur!BL125*Calculateur!BN125*VLOOKUP('Données projet'!$B$11,Paramètres!$A$1:$I$89,3,0)*0.475*44/12</f>
        <v>23.144800447789148</v>
      </c>
      <c r="BR125" s="21">
        <f>EXP(-LN(2)/2)*BR124+(1-EXP(-LN(2)/2))/(LN(2)/2)*BL125*BO125*VLOOKUP('Données projet'!$B$11,Paramètres!$A$1:$I$89,3,0)*0.475*44/12</f>
        <v>0.3826536862743587</v>
      </c>
      <c r="BS125" s="22">
        <f t="shared" si="63"/>
        <v>58.402247283540113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-4.9658410716801891E-14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147.1862160897889</v>
      </c>
      <c r="CE125" s="59">
        <f t="shared" si="94"/>
        <v>147.31828668914011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10.414962429528167</v>
      </c>
      <c r="CL125" s="21">
        <f>EXP(-LN(2)/25)*CL124+(1-EXP(-LN(2)/25))/(LN(2)/25)*Calculateur!CG125*Calculateur!CI125*VLOOKUP('Données projet'!$B$12,Paramètres!$A$1:$I$89,3,0)*0.475*44/12</f>
        <v>22.281298514818612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32.696260944346776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326.05837294177707</v>
      </c>
      <c r="T126" s="59">
        <f t="shared" si="88"/>
        <v>406.74689878702014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47.229509447068189</v>
      </c>
      <c r="AA126" s="21">
        <f>EXP(-LN(2)/25)*AA125+(1-EXP(-LN(2)/25))/(LN(2)/25)*Calculateur!V126*Calculateur!X126*VLOOKUP('Données projet'!$B$9,Paramètres!$A$1:$I$89,3,0)*0.475*44/12</f>
        <v>9.6229107857632812</v>
      </c>
      <c r="AB126" s="21">
        <f>EXP(-LN(2)/2)*AB125+(1-EXP(-LN(2)/2))/(LN(2)/2)*V126*Y126*VLOOKUP('Données projet'!$B$9,Paramètres!$A$1:$I$89,3,0)*0.475*44/12</f>
        <v>6.3635412673334656E-9</v>
      </c>
      <c r="AC126" s="22">
        <f t="shared" si="57"/>
        <v>56.852420239195013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400.77573120000062</v>
      </c>
      <c r="AK126" s="13">
        <f t="shared" si="89"/>
        <v>91.933915079444887</v>
      </c>
      <c r="AL126" s="20">
        <f t="shared" si="58"/>
        <v>858.13596727003414</v>
      </c>
      <c r="AM126" s="59">
        <f t="shared" si="59"/>
        <v>1151.4693006033674</v>
      </c>
      <c r="AN126" s="59">
        <f ca="1">AVERAGE(OFFSET($AM$3,0,0,'Données projet'!$E$10+1,1))-AVERAGE(OFFSET($H$3,0,0,'Données projet'!$E$10+1,1))</f>
        <v>490.21869105612649</v>
      </c>
      <c r="AO126" s="59">
        <f t="shared" si="90"/>
        <v>207.08773997010911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30.508820679779241</v>
      </c>
      <c r="AV126" s="21">
        <f>EXP(-LN(2)/25)*AV125+(1-EXP(-LN(2)/25))/(LN(2)/25)*Calculateur!AQ126*Calculateur!AS126*VLOOKUP('Données projet'!$B$10,Paramètres!$A$1:$I$89,3,0)*0.475*44/12</f>
        <v>20.087545698767805</v>
      </c>
      <c r="AW126" s="21">
        <f>EXP(-LN(2)/2)*AW125+(1-EXP(-LN(2)/2))/(LN(2)/2)*AQ126*AT126*VLOOKUP('Données projet'!$B$10,Paramètres!$A$1:$I$89,3,0)*0.475*44/12</f>
        <v>0.24143795310486887</v>
      </c>
      <c r="AX126" s="21">
        <f t="shared" si="60"/>
        <v>50.837804331651917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449.1452160000008</v>
      </c>
      <c r="BF126" s="13">
        <f t="shared" si="91"/>
        <v>101.67191932991005</v>
      </c>
      <c r="BG126" s="20">
        <f t="shared" si="61"/>
        <v>959.33984403292789</v>
      </c>
      <c r="BH126" s="59">
        <f t="shared" si="62"/>
        <v>1252.6731773662611</v>
      </c>
      <c r="BI126" s="59">
        <f ca="1">AVERAGE(OFFSET($BH$3,0,0,'Données projet'!$E$11+1,1))-AVERAGE(OFFSET($H$3,0,0,'Données projet'!$E$11+1,1))</f>
        <v>561.19833044503548</v>
      </c>
      <c r="BJ126" s="59">
        <f t="shared" si="92"/>
        <v>235.9089269943575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34.190919727338809</v>
      </c>
      <c r="BQ126" s="21">
        <f>EXP(-LN(2)/25)*BQ125+(1-EXP(-LN(2)/25))/(LN(2)/25)*Calculateur!BL126*Calculateur!BN126*VLOOKUP('Données projet'!$B$11,Paramètres!$A$1:$I$89,3,0)*0.475*44/12</f>
        <v>22.511904662412196</v>
      </c>
      <c r="BR126" s="21">
        <f>EXP(-LN(2)/2)*BR125+(1-EXP(-LN(2)/2))/(LN(2)/2)*BL126*BO126*VLOOKUP('Données projet'!$B$11,Paramètres!$A$1:$I$89,3,0)*0.475*44/12</f>
        <v>0.27057701641062876</v>
      </c>
      <c r="BS126" s="22">
        <f t="shared" si="63"/>
        <v>56.973401406161628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-4.9658410716801891E-14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147.1862160897889</v>
      </c>
      <c r="CE126" s="59">
        <f t="shared" si="94"/>
        <v>147.31828668914011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10.210731368784945</v>
      </c>
      <c r="CL126" s="21">
        <f>EXP(-LN(2)/25)*CL125+(1-EXP(-LN(2)/25))/(LN(2)/25)*Calculateur!CG126*Calculateur!CI126*VLOOKUP('Données projet'!$B$12,Paramètres!$A$1:$I$89,3,0)*0.475*44/12</f>
        <v>21.672015235208335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31.882746603993279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326.05837294177707</v>
      </c>
      <c r="T127" s="59">
        <f t="shared" si="88"/>
        <v>406.74689878702014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46.303367573967471</v>
      </c>
      <c r="AA127" s="21">
        <f>EXP(-LN(2)/25)*AA126+(1-EXP(-LN(2)/25))/(LN(2)/25)*Calculateur!V127*Calculateur!X127*VLOOKUP('Données projet'!$B$9,Paramètres!$A$1:$I$89,3,0)*0.475*44/12</f>
        <v>9.3597717842796992</v>
      </c>
      <c r="AB127" s="21">
        <f>EXP(-LN(2)/2)*AB126+(1-EXP(-LN(2)/2))/(LN(2)/2)*V127*Y127*VLOOKUP('Données projet'!$B$9,Paramètres!$A$1:$I$89,3,0)*0.475*44/12</f>
        <v>4.4997031824919302E-9</v>
      </c>
      <c r="AC127" s="22">
        <f t="shared" si="57"/>
        <v>55.663139362746875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408.84292800000065</v>
      </c>
      <c r="AK127" s="13">
        <f t="shared" si="89"/>
        <v>93.567145264891295</v>
      </c>
      <c r="AL127" s="20">
        <f t="shared" si="58"/>
        <v>875.03087760302014</v>
      </c>
      <c r="AM127" s="59">
        <f t="shared" si="59"/>
        <v>1168.3642109363534</v>
      </c>
      <c r="AN127" s="59">
        <f ca="1">AVERAGE(OFFSET($AM$3,0,0,'Données projet'!$E$10+1,1))-AVERAGE(OFFSET($H$3,0,0,'Données projet'!$E$10+1,1))</f>
        <v>490.21869105612649</v>
      </c>
      <c r="AO127" s="59">
        <f t="shared" si="90"/>
        <v>207.08773997010911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38.612963922572</v>
      </c>
      <c r="AV127" s="21">
        <f>EXP(-LN(2)/25)*AV126+(1-EXP(-LN(2)/25))/(LN(2)/25)*Calculateur!AQ127*Calculateur!AS127*VLOOKUP('Données projet'!$B$10,Paramètres!$A$1:$I$89,3,0)*0.475*44/12</f>
        <v>24.491472381184234</v>
      </c>
      <c r="AW127" s="21">
        <f>EXP(-LN(2)/2)*AW126+(1-EXP(-LN(2)/2))/(LN(2)/2)*AQ127*AT127*VLOOKUP('Données projet'!$B$10,Paramètres!$A$1:$I$89,3,0)*0.475*44/12</f>
        <v>5.1059803375246293</v>
      </c>
      <c r="AX127" s="21">
        <f t="shared" si="60"/>
        <v>68.210416641280858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458.18604000000073</v>
      </c>
      <c r="BF127" s="13">
        <f t="shared" si="91"/>
        <v>103.47814772253736</v>
      </c>
      <c r="BG127" s="20">
        <f t="shared" si="61"/>
        <v>978.23179361675386</v>
      </c>
      <c r="BH127" s="59">
        <f t="shared" si="62"/>
        <v>1271.5651269500872</v>
      </c>
      <c r="BI127" s="59">
        <f ca="1">AVERAGE(OFFSET($BH$3,0,0,'Données projet'!$E$11+1,1))-AVERAGE(OFFSET($H$3,0,0,'Données projet'!$E$11+1,1))</f>
        <v>561.19833044503548</v>
      </c>
      <c r="BJ127" s="59">
        <f t="shared" si="92"/>
        <v>235.9089269943575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43.273149223572069</v>
      </c>
      <c r="BQ127" s="21">
        <f>EXP(-LN(2)/25)*BQ126+(1-EXP(-LN(2)/25))/(LN(2)/25)*Calculateur!BL127*Calculateur!BN127*VLOOKUP('Données projet'!$B$11,Paramètres!$A$1:$I$89,3,0)*0.475*44/12</f>
        <v>27.447339737534058</v>
      </c>
      <c r="BR127" s="21">
        <f>EXP(-LN(2)/2)*BR126+(1-EXP(-LN(2)/2))/(LN(2)/2)*BL127*BO127*VLOOKUP('Données projet'!$B$11,Paramètres!$A$1:$I$89,3,0)*0.475*44/12</f>
        <v>5.7222193437776019</v>
      </c>
      <c r="BS127" s="22">
        <f t="shared" si="63"/>
        <v>76.442708304883723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-4.9658410716801891E-14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147.1862160897889</v>
      </c>
      <c r="CE127" s="59">
        <f t="shared" si="94"/>
        <v>147.31828668914011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10.01050515457425</v>
      </c>
      <c r="CL127" s="21">
        <f>EXP(-LN(2)/25)*CL126+(1-EXP(-LN(2)/25))/(LN(2)/25)*Calculateur!CG127*Calculateur!CI127*VLOOKUP('Données projet'!$B$12,Paramètres!$A$1:$I$89,3,0)*0.475*44/12</f>
        <v>21.079392838919812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31.089897993494063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326.05837294177707</v>
      </c>
      <c r="T128" s="59">
        <f t="shared" si="88"/>
        <v>406.74689878702014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45.395386778107493</v>
      </c>
      <c r="AA128" s="21">
        <f>EXP(-LN(2)/25)*AA127+(1-EXP(-LN(2)/25))/(LN(2)/25)*Calculateur!V128*Calculateur!X128*VLOOKUP('Données projet'!$B$9,Paramètres!$A$1:$I$89,3,0)*0.475*44/12</f>
        <v>9.1038283326295648</v>
      </c>
      <c r="AB128" s="21">
        <f>EXP(-LN(2)/2)*AB127+(1-EXP(-LN(2)/2))/(LN(2)/2)*V128*Y128*VLOOKUP('Données projet'!$B$9,Paramètres!$A$1:$I$89,3,0)*0.475*44/12</f>
        <v>3.1817706336667328E-9</v>
      </c>
      <c r="AC128" s="22">
        <f t="shared" si="57"/>
        <v>54.499215113918822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364.70045040000065</v>
      </c>
      <c r="AK128" s="13">
        <f t="shared" si="89"/>
        <v>84.582200429685614</v>
      </c>
      <c r="AL128" s="20">
        <f t="shared" si="58"/>
        <v>782.50061686170341</v>
      </c>
      <c r="AM128" s="59">
        <f t="shared" si="59"/>
        <v>1075.8339501950368</v>
      </c>
      <c r="AN128" s="59">
        <f ca="1">AVERAGE(OFFSET($AM$3,0,0,'Données projet'!$E$10+1,1))-AVERAGE(OFFSET($H$3,0,0,'Données projet'!$E$10+1,1))</f>
        <v>490.21869105612649</v>
      </c>
      <c r="AO128" s="59">
        <f t="shared" si="90"/>
        <v>207.08773997010911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37.855787251632833</v>
      </c>
      <c r="AV128" s="21">
        <f>EXP(-LN(2)/25)*AV127+(1-EXP(-LN(2)/25))/(LN(2)/25)*Calculateur!AQ128*Calculateur!AS128*VLOOKUP('Données projet'!$B$10,Paramètres!$A$1:$I$89,3,0)*0.475*44/12</f>
        <v>23.821751780970196</v>
      </c>
      <c r="AW128" s="21">
        <f>EXP(-LN(2)/2)*AW127+(1-EXP(-LN(2)/2))/(LN(2)/2)*AQ128*AT128*VLOOKUP('Données projet'!$B$10,Paramètres!$A$1:$I$89,3,0)*0.475*44/12</f>
        <v>3.6104733212688425</v>
      </c>
      <c r="AX128" s="21">
        <f t="shared" si="60"/>
        <v>65.288012353871878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408.71602200000075</v>
      </c>
      <c r="BF128" s="13">
        <f t="shared" si="91"/>
        <v>93.541481959099485</v>
      </c>
      <c r="BG128" s="20">
        <f t="shared" si="61"/>
        <v>874.76515272876622</v>
      </c>
      <c r="BH128" s="59">
        <f t="shared" si="62"/>
        <v>1168.0984860620995</v>
      </c>
      <c r="BI128" s="59">
        <f ca="1">AVERAGE(OFFSET($BH$3,0,0,'Données projet'!$E$11+1,1))-AVERAGE(OFFSET($H$3,0,0,'Données projet'!$E$11+1,1))</f>
        <v>561.19833044503548</v>
      </c>
      <c r="BJ128" s="59">
        <f t="shared" si="92"/>
        <v>235.9089269943575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42.424589161312653</v>
      </c>
      <c r="BQ128" s="21">
        <f>EXP(-LN(2)/25)*BQ127+(1-EXP(-LN(2)/25))/(LN(2)/25)*Calculateur!BL128*Calculateur!BN128*VLOOKUP('Données projet'!$B$11,Paramètres!$A$1:$I$89,3,0)*0.475*44/12</f>
        <v>26.696790789018323</v>
      </c>
      <c r="BR128" s="21">
        <f>EXP(-LN(2)/2)*BR127+(1-EXP(-LN(2)/2))/(LN(2)/2)*BL128*BO128*VLOOKUP('Données projet'!$B$11,Paramètres!$A$1:$I$89,3,0)*0.475*44/12</f>
        <v>4.0462201014219783</v>
      </c>
      <c r="BS128" s="22">
        <f t="shared" si="63"/>
        <v>73.167600051752956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-4.9658410716801891E-14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147.1862160897889</v>
      </c>
      <c r="CE128" s="59">
        <f t="shared" si="94"/>
        <v>147.31828668914011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9.8142052542982956</v>
      </c>
      <c r="CL128" s="21">
        <f>EXP(-LN(2)/25)*CL127+(1-EXP(-LN(2)/25))/(LN(2)/25)*Calculateur!CG128*Calculateur!CI128*VLOOKUP('Données projet'!$B$12,Paramètres!$A$1:$I$89,3,0)*0.475*44/12</f>
        <v>20.50297573322246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30.317180987520757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326.05837294177707</v>
      </c>
      <c r="T129" s="59">
        <f t="shared" si="88"/>
        <v>406.74689878702014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44.505210931840729</v>
      </c>
      <c r="AA129" s="21">
        <f>EXP(-LN(2)/25)*AA128+(1-EXP(-LN(2)/25))/(LN(2)/25)*Calculateur!V129*Calculateur!X129*VLOOKUP('Données projet'!$B$9,Paramètres!$A$1:$I$89,3,0)*0.475*44/12</f>
        <v>8.854883668124284</v>
      </c>
      <c r="AB129" s="21">
        <f>EXP(-LN(2)/2)*AB128+(1-EXP(-LN(2)/2))/(LN(2)/2)*V129*Y129*VLOOKUP('Données projet'!$B$9,Paramètres!$A$1:$I$89,3,0)*0.475*44/12</f>
        <v>2.2498515912459651E-9</v>
      </c>
      <c r="AC129" s="22">
        <f t="shared" si="57"/>
        <v>53.360094602214858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372.86446080000059</v>
      </c>
      <c r="AK129" s="13">
        <f t="shared" si="89"/>
        <v>86.253061792690659</v>
      </c>
      <c r="AL129" s="20">
        <f t="shared" si="58"/>
        <v>799.62968518227046</v>
      </c>
      <c r="AM129" s="59">
        <f t="shared" si="59"/>
        <v>1092.9630185156038</v>
      </c>
      <c r="AN129" s="59">
        <f ca="1">AVERAGE(OFFSET($AM$3,0,0,'Données projet'!$E$10+1,1))-AVERAGE(OFFSET($H$3,0,0,'Données projet'!$E$10+1,1))</f>
        <v>490.21869105612649</v>
      </c>
      <c r="AO129" s="59">
        <f t="shared" si="90"/>
        <v>207.08773997010911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37.113458353378611</v>
      </c>
      <c r="AV129" s="21">
        <f>EXP(-LN(2)/25)*AV128+(1-EXP(-LN(2)/25))/(LN(2)/25)*Calculateur!AQ129*Calculateur!AS129*VLOOKUP('Données projet'!$B$10,Paramètres!$A$1:$I$89,3,0)*0.475*44/12</f>
        <v>23.170344725788084</v>
      </c>
      <c r="AW129" s="21">
        <f>EXP(-LN(2)/2)*AW128+(1-EXP(-LN(2)/2))/(LN(2)/2)*AQ129*AT129*VLOOKUP('Données projet'!$B$10,Paramètres!$A$1:$I$89,3,0)*0.475*44/12</f>
        <v>2.5529901687623151</v>
      </c>
      <c r="AX129" s="21">
        <f t="shared" si="60"/>
        <v>62.836793247929009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417.86534400000068</v>
      </c>
      <c r="BF129" s="13">
        <f t="shared" si="91"/>
        <v>95.389327572593899</v>
      </c>
      <c r="BG129" s="20">
        <f t="shared" si="61"/>
        <v>893.91855298893552</v>
      </c>
      <c r="BH129" s="59">
        <f t="shared" si="62"/>
        <v>1187.2518863222688</v>
      </c>
      <c r="BI129" s="59">
        <f ca="1">AVERAGE(OFFSET($BH$3,0,0,'Données projet'!$E$11+1,1))-AVERAGE(OFFSET($H$3,0,0,'Données projet'!$E$11+1,1))</f>
        <v>561.19833044503548</v>
      </c>
      <c r="BJ129" s="59">
        <f t="shared" si="92"/>
        <v>235.9089269943575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41.592668844303617</v>
      </c>
      <c r="BQ129" s="21">
        <f>EXP(-LN(2)/25)*BQ128+(1-EXP(-LN(2)/25))/(LN(2)/25)*Calculateur!BL129*Calculateur!BN129*VLOOKUP('Données projet'!$B$11,Paramètres!$A$1:$I$89,3,0)*0.475*44/12</f>
        <v>25.966765640969406</v>
      </c>
      <c r="BR129" s="21">
        <f>EXP(-LN(2)/2)*BR128+(1-EXP(-LN(2)/2))/(LN(2)/2)*BL129*BO129*VLOOKUP('Données projet'!$B$11,Paramètres!$A$1:$I$89,3,0)*0.475*44/12</f>
        <v>2.8611096718888009</v>
      </c>
      <c r="BS129" s="22">
        <f t="shared" si="63"/>
        <v>70.420544157161814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-4.9658410716801891E-14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147.1862160897889</v>
      </c>
      <c r="CE129" s="59">
        <f t="shared" si="94"/>
        <v>147.31828668914011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9.6217546753356356</v>
      </c>
      <c r="CL129" s="21">
        <f>EXP(-LN(2)/25)*CL128+(1-EXP(-LN(2)/25))/(LN(2)/25)*Calculateur!CG129*Calculateur!CI129*VLOOKUP('Données projet'!$B$12,Paramètres!$A$1:$I$89,3,0)*0.475*44/12</f>
        <v>19.942320783592859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29.564075458928492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326.05837294177707</v>
      </c>
      <c r="T130" s="59">
        <f t="shared" si="88"/>
        <v>406.74689878702014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43.632490890965606</v>
      </c>
      <c r="AA130" s="21">
        <f>EXP(-LN(2)/25)*AA129+(1-EXP(-LN(2)/25))/(LN(2)/25)*Calculateur!V130*Calculateur!X130*VLOOKUP('Données projet'!$B$9,Paramètres!$A$1:$I$89,3,0)*0.475*44/12</f>
        <v>8.6127464085613319</v>
      </c>
      <c r="AB130" s="21">
        <f>EXP(-LN(2)/2)*AB129+(1-EXP(-LN(2)/2))/(LN(2)/2)*V130*Y130*VLOOKUP('Données projet'!$B$9,Paramètres!$A$1:$I$89,3,0)*0.475*44/12</f>
        <v>1.5908853168333664E-9</v>
      </c>
      <c r="AC130" s="22">
        <f t="shared" si="57"/>
        <v>52.245237301117818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381.02847120000064</v>
      </c>
      <c r="AK130" s="13">
        <f t="shared" si="89"/>
        <v>87.919669823283783</v>
      </c>
      <c r="AL130" s="20">
        <f t="shared" si="58"/>
        <v>816.75134561555353</v>
      </c>
      <c r="AM130" s="59">
        <f t="shared" si="59"/>
        <v>1110.0846789488869</v>
      </c>
      <c r="AN130" s="59">
        <f ca="1">AVERAGE(OFFSET($AM$3,0,0,'Données projet'!$E$10+1,1))-AVERAGE(OFFSET($H$3,0,0,'Données projet'!$E$10+1,1))</f>
        <v>490.21869105612649</v>
      </c>
      <c r="AO130" s="59">
        <f t="shared" si="90"/>
        <v>207.08773997010911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36.385686072043235</v>
      </c>
      <c r="AV130" s="21">
        <f>EXP(-LN(2)/25)*AV129+(1-EXP(-LN(2)/25))/(LN(2)/25)*Calculateur!AQ130*Calculateur!AS130*VLOOKUP('Données projet'!$B$10,Paramètres!$A$1:$I$89,3,0)*0.475*44/12</f>
        <v>22.536750430785936</v>
      </c>
      <c r="AW130" s="21">
        <f>EXP(-LN(2)/2)*AW129+(1-EXP(-LN(2)/2))/(LN(2)/2)*AQ130*AT130*VLOOKUP('Données projet'!$B$10,Paramètres!$A$1:$I$89,3,0)*0.475*44/12</f>
        <v>1.8052366606344215</v>
      </c>
      <c r="AX130" s="21">
        <f t="shared" si="60"/>
        <v>60.727673163463592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427.01466600000072</v>
      </c>
      <c r="BF130" s="13">
        <f t="shared" si="91"/>
        <v>97.232469323868258</v>
      </c>
      <c r="BG130" s="20">
        <f t="shared" si="61"/>
        <v>913.06376068907173</v>
      </c>
      <c r="BH130" s="59">
        <f t="shared" si="62"/>
        <v>1206.3970940224051</v>
      </c>
      <c r="BI130" s="59">
        <f ca="1">AVERAGE(OFFSET($BH$3,0,0,'Données projet'!$E$11+1,1))-AVERAGE(OFFSET($H$3,0,0,'Données projet'!$E$11+1,1))</f>
        <v>561.19833044503548</v>
      </c>
      <c r="BJ130" s="59">
        <f t="shared" si="92"/>
        <v>235.9089269943575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40.777061977289833</v>
      </c>
      <c r="BQ130" s="21">
        <f>EXP(-LN(2)/25)*BQ129+(1-EXP(-LN(2)/25))/(LN(2)/25)*Calculateur!BL130*Calculateur!BN130*VLOOKUP('Données projet'!$B$11,Paramètres!$A$1:$I$89,3,0)*0.475*44/12</f>
        <v>25.25670306898424</v>
      </c>
      <c r="BR130" s="21">
        <f>EXP(-LN(2)/2)*BR129+(1-EXP(-LN(2)/2))/(LN(2)/2)*BL130*BO130*VLOOKUP('Données projet'!$B$11,Paramètres!$A$1:$I$89,3,0)*0.475*44/12</f>
        <v>2.0231100507109891</v>
      </c>
      <c r="BS130" s="22">
        <f t="shared" si="63"/>
        <v>68.056875096985053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-4.9658410716801891E-14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147.1862160897889</v>
      </c>
      <c r="CE130" s="59">
        <f t="shared" si="94"/>
        <v>147.31828668914011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9.4330779348431708</v>
      </c>
      <c r="CL130" s="21">
        <f>EXP(-LN(2)/25)*CL129+(1-EXP(-LN(2)/25))/(LN(2)/25)*Calculateur!CG130*Calculateur!CI130*VLOOKUP('Données projet'!$B$12,Paramètres!$A$1:$I$89,3,0)*0.475*44/12</f>
        <v>19.396996973044441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28.830074907887614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326.05837294177707</v>
      </c>
      <c r="T131" s="59">
        <f t="shared" si="88"/>
        <v>406.74689878702014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42.776884357785377</v>
      </c>
      <c r="AA131" s="21">
        <f>EXP(-LN(2)/25)*AA130+(1-EXP(-LN(2)/25))/(LN(2)/25)*Calculateur!V131*Calculateur!X131*VLOOKUP('Données projet'!$B$9,Paramètres!$A$1:$I$89,3,0)*0.475*44/12</f>
        <v>8.3772304050945738</v>
      </c>
      <c r="AB131" s="21">
        <f>EXP(-LN(2)/2)*AB130+(1-EXP(-LN(2)/2))/(LN(2)/2)*V131*Y131*VLOOKUP('Données projet'!$B$9,Paramètres!$A$1:$I$89,3,0)*0.475*44/12</f>
        <v>1.1249257956229825E-9</v>
      </c>
      <c r="AC131" s="22">
        <f t="shared" si="57"/>
        <v>51.154114764004873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389.19248160000063</v>
      </c>
      <c r="AK131" s="13">
        <f t="shared" si="89"/>
        <v>89.582126151232899</v>
      </c>
      <c r="AL131" s="20">
        <f t="shared" si="58"/>
        <v>833.86577516673162</v>
      </c>
      <c r="AM131" s="59">
        <f t="shared" si="59"/>
        <v>1127.199108500065</v>
      </c>
      <c r="AN131" s="59">
        <f ca="1">AVERAGE(OFFSET($AM$3,0,0,'Données projet'!$E$10+1,1))-AVERAGE(OFFSET($H$3,0,0,'Données projet'!$E$10+1,1))</f>
        <v>490.21869105612649</v>
      </c>
      <c r="AO131" s="59">
        <f t="shared" si="90"/>
        <v>207.08773997010911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35.672184961247588</v>
      </c>
      <c r="AV131" s="21">
        <f>EXP(-LN(2)/25)*AV130+(1-EXP(-LN(2)/25))/(LN(2)/25)*Calculateur!AQ131*Calculateur!AS131*VLOOKUP('Données projet'!$B$10,Paramètres!$A$1:$I$89,3,0)*0.475*44/12</f>
        <v>21.920481805099897</v>
      </c>
      <c r="AW131" s="21">
        <f>EXP(-LN(2)/2)*AW130+(1-EXP(-LN(2)/2))/(LN(2)/2)*AQ131*AT131*VLOOKUP('Données projet'!$B$10,Paramètres!$A$1:$I$89,3,0)*0.475*44/12</f>
        <v>1.2764950843811578</v>
      </c>
      <c r="AX131" s="21">
        <f t="shared" si="60"/>
        <v>58.869161850728645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436.16398800000076</v>
      </c>
      <c r="BF131" s="13">
        <f t="shared" si="91"/>
        <v>99.071019607718114</v>
      </c>
      <c r="BG131" s="20">
        <f t="shared" si="61"/>
        <v>932.20097158344367</v>
      </c>
      <c r="BH131" s="59">
        <f t="shared" si="62"/>
        <v>1225.534304916777</v>
      </c>
      <c r="BI131" s="59">
        <f ca="1">AVERAGE(OFFSET($BH$3,0,0,'Données projet'!$E$11+1,1))-AVERAGE(OFFSET($H$3,0,0,'Données projet'!$E$11+1,1))</f>
        <v>561.19833044503548</v>
      </c>
      <c r="BJ131" s="59">
        <f t="shared" si="92"/>
        <v>235.9089269943575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39.977448663467122</v>
      </c>
      <c r="BQ131" s="21">
        <f>EXP(-LN(2)/25)*BQ130+(1-EXP(-LN(2)/25))/(LN(2)/25)*Calculateur!BL131*Calculateur!BN131*VLOOKUP('Données projet'!$B$11,Paramètres!$A$1:$I$89,3,0)*0.475*44/12</f>
        <v>24.566057195370576</v>
      </c>
      <c r="BR131" s="21">
        <f>EXP(-LN(2)/2)*BR130+(1-EXP(-LN(2)/2))/(LN(2)/2)*BL131*BO131*VLOOKUP('Données projet'!$B$11,Paramètres!$A$1:$I$89,3,0)*0.475*44/12</f>
        <v>1.4305548359444005</v>
      </c>
      <c r="BS131" s="22">
        <f t="shared" si="63"/>
        <v>65.974060694782111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-4.9658410716801891E-14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147.1862160897889</v>
      </c>
      <c r="CE131" s="59">
        <f t="shared" si="94"/>
        <v>147.31828668914011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9.2481010301503144</v>
      </c>
      <c r="CL131" s="21">
        <f>EXP(-LN(2)/25)*CL130+(1-EXP(-LN(2)/25))/(LN(2)/25)*Calculateur!CG131*Calculateur!CI131*VLOOKUP('Données projet'!$B$12,Paramètres!$A$1:$I$89,3,0)*0.475*44/12</f>
        <v>18.866585070772803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28.114686100923116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326.05837294177707</v>
      </c>
      <c r="T132" s="59">
        <f t="shared" si="88"/>
        <v>406.74689878702014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41.938055746852363</v>
      </c>
      <c r="AA132" s="21">
        <f>EXP(-LN(2)/25)*AA131+(1-EXP(-LN(2)/25))/(LN(2)/25)*Calculateur!V132*Calculateur!X132*VLOOKUP('Données projet'!$B$9,Paramètres!$A$1:$I$89,3,0)*0.475*44/12</f>
        <v>8.1481545991278619</v>
      </c>
      <c r="AB132" s="21">
        <f>EXP(-LN(2)/2)*AB131+(1-EXP(-LN(2)/2))/(LN(2)/2)*V132*Y132*VLOOKUP('Données projet'!$B$9,Paramètres!$A$1:$I$89,3,0)*0.475*44/12</f>
        <v>7.954426584166832E-10</v>
      </c>
      <c r="AC132" s="22">
        <f t="shared" ref="AC132:AC153" si="111">SUM(Z132:AB132)</f>
        <v>50.086210346775673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397.35649200000069</v>
      </c>
      <c r="AK132" s="13">
        <f t="shared" si="89"/>
        <v>91.240527898934658</v>
      </c>
      <c r="AL132" s="20">
        <f t="shared" ref="AL132:AL153" si="112">(AJ132+AK132)*0.475*44/12</f>
        <v>850.97314299064567</v>
      </c>
      <c r="AM132" s="59">
        <f t="shared" ref="AM132:AM195" si="113">AL132+(AD132+AE132)*44/12</f>
        <v>1144.306476323979</v>
      </c>
      <c r="AN132" s="59">
        <f ca="1">AVERAGE(OFFSET($AM$3,0,0,'Données projet'!$E$10+1,1))-AVERAGE(OFFSET($H$3,0,0,'Données projet'!$E$10+1,1))</f>
        <v>490.21869105612649</v>
      </c>
      <c r="AO132" s="59">
        <f t="shared" si="90"/>
        <v>207.08773997010911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34.972675172041939</v>
      </c>
      <c r="AV132" s="21">
        <f>EXP(-LN(2)/25)*AV131+(1-EXP(-LN(2)/25))/(LN(2)/25)*Calculateur!AQ132*Calculateur!AS132*VLOOKUP('Données projet'!$B$10,Paramètres!$A$1:$I$89,3,0)*0.475*44/12</f>
        <v>21.321065077391403</v>
      </c>
      <c r="AW132" s="21">
        <f>EXP(-LN(2)/2)*AW131+(1-EXP(-LN(2)/2))/(LN(2)/2)*AQ132*AT132*VLOOKUP('Données projet'!$B$10,Paramètres!$A$1:$I$89,3,0)*0.475*44/12</f>
        <v>0.90261833031721095</v>
      </c>
      <c r="AX132" s="21">
        <f t="shared" ref="AX132:AX153" si="114">SUM(AU132:AW132)</f>
        <v>57.196358579750552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445.3133100000008</v>
      </c>
      <c r="BF132" s="13">
        <f t="shared" si="91"/>
        <v>100.90508583412877</v>
      </c>
      <c r="BG132" s="20">
        <f t="shared" ref="BG132:BG153" si="115">(BE132+BF132)*0.475*44/12</f>
        <v>951.33037274444223</v>
      </c>
      <c r="BH132" s="59">
        <f t="shared" ref="BH132:BH195" si="116">BG132+(AY132+AZ132)*44/12</f>
        <v>1244.6637060777755</v>
      </c>
      <c r="BI132" s="59">
        <f ca="1">AVERAGE(OFFSET($BH$3,0,0,'Données projet'!$E$11+1,1))-AVERAGE(OFFSET($H$3,0,0,'Données projet'!$E$11+1,1))</f>
        <v>561.19833044503548</v>
      </c>
      <c r="BJ132" s="59">
        <f t="shared" si="92"/>
        <v>235.9089269943575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39.193515279012516</v>
      </c>
      <c r="BQ132" s="21">
        <f>EXP(-LN(2)/25)*BQ131+(1-EXP(-LN(2)/25))/(LN(2)/25)*Calculateur!BL132*Calculateur!BN132*VLOOKUP('Données projet'!$B$11,Paramètres!$A$1:$I$89,3,0)*0.475*44/12</f>
        <v>23.894297069490367</v>
      </c>
      <c r="BR132" s="21">
        <f>EXP(-LN(2)/2)*BR131+(1-EXP(-LN(2)/2))/(LN(2)/2)*BL132*BO132*VLOOKUP('Données projet'!$B$11,Paramètres!$A$1:$I$89,3,0)*0.475*44/12</f>
        <v>1.0115550253554946</v>
      </c>
      <c r="BS132" s="22">
        <f t="shared" ref="BS132:BS153" si="117">SUM(BP132:BR132)</f>
        <v>64.099367373858371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-4.9658410716801891E-14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147.1862160897889</v>
      </c>
      <c r="CE132" s="59">
        <f t="shared" si="94"/>
        <v>147.31828668914011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9.0667514097337136</v>
      </c>
      <c r="CL132" s="21">
        <f>EXP(-LN(2)/25)*CL131+(1-EXP(-LN(2)/25))/(LN(2)/25)*Calculateur!CG132*Calculateur!CI132*VLOOKUP('Données projet'!$B$12,Paramètres!$A$1:$I$89,3,0)*0.475*44/12</f>
        <v>18.350677309861933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27.417428719595648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326.05837294177707</v>
      </c>
      <c r="T133" s="59">
        <f t="shared" ref="T133:T196" si="142">$T$3</f>
        <v>406.74689878702014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41.115676053344806</v>
      </c>
      <c r="AA133" s="21">
        <f>EXP(-LN(2)/25)*AA132+(1-EXP(-LN(2)/25))/(LN(2)/25)*Calculateur!V133*Calculateur!X133*VLOOKUP('Données projet'!$B$9,Paramètres!$A$1:$I$89,3,0)*0.475*44/12</f>
        <v>7.9253428831218828</v>
      </c>
      <c r="AB133" s="21">
        <f>EXP(-LN(2)/2)*AB132+(1-EXP(-LN(2)/2))/(LN(2)/2)*V133*Y133*VLOOKUP('Données projet'!$B$9,Paramètres!$A$1:$I$89,3,0)*0.475*44/12</f>
        <v>5.6246289781149127E-10</v>
      </c>
      <c r="AC133" s="22">
        <f t="shared" si="111"/>
        <v>49.041018937029158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405.52050240000068</v>
      </c>
      <c r="AK133" s="13">
        <f t="shared" ref="AK133:AK153" si="143">EXP(-1.0587+0.8836*LN(AJ133)+0.284)</f>
        <v>92.894967969753338</v>
      </c>
      <c r="AL133" s="20">
        <f t="shared" si="112"/>
        <v>868.07361089398819</v>
      </c>
      <c r="AM133" s="59">
        <f t="shared" si="113"/>
        <v>1161.4069442273214</v>
      </c>
      <c r="AN133" s="59">
        <f ca="1">AVERAGE(OFFSET($AM$3,0,0,'Données projet'!$E$10+1,1))-AVERAGE(OFFSET($H$3,0,0,'Données projet'!$E$10+1,1))</f>
        <v>490.21869105612649</v>
      </c>
      <c r="AO133" s="59">
        <f t="shared" ref="AO133:AO196" si="144">$AO$3</f>
        <v>207.08773997010911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34.286882343143766</v>
      </c>
      <c r="AV133" s="21">
        <f>EXP(-LN(2)/25)*AV132+(1-EXP(-LN(2)/25))/(LN(2)/25)*Calculateur!AQ133*Calculateur!AS133*VLOOKUP('Données projet'!$B$10,Paramètres!$A$1:$I$89,3,0)*0.475*44/12</f>
        <v>20.738039431624053</v>
      </c>
      <c r="AW133" s="21">
        <f>EXP(-LN(2)/2)*AW132+(1-EXP(-LN(2)/2))/(LN(2)/2)*AQ133*AT133*VLOOKUP('Données projet'!$B$10,Paramètres!$A$1:$I$89,3,0)*0.475*44/12</f>
        <v>0.638247542190579</v>
      </c>
      <c r="AX133" s="21">
        <f t="shared" si="114"/>
        <v>55.663169316958395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454.46263200000084</v>
      </c>
      <c r="BF133" s="13">
        <f t="shared" ref="BF133:BF153" si="145">EXP(-1.0587+0.8836*LN(BE133)+0.284)</f>
        <v>102.73477074715666</v>
      </c>
      <c r="BG133" s="20">
        <f t="shared" si="115"/>
        <v>970.45214311796599</v>
      </c>
      <c r="BH133" s="59">
        <f t="shared" si="116"/>
        <v>1263.7854764512992</v>
      </c>
      <c r="BI133" s="59">
        <f ca="1">AVERAGE(OFFSET($BH$3,0,0,'Données projet'!$E$11+1,1))-AVERAGE(OFFSET($H$3,0,0,'Données projet'!$E$11+1,1))</f>
        <v>561.19833044503548</v>
      </c>
      <c r="BJ133" s="59">
        <f t="shared" ref="BJ133:BJ196" si="146">$BJ$3</f>
        <v>235.9089269943575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38.424954350074913</v>
      </c>
      <c r="BQ133" s="21">
        <f>EXP(-LN(2)/25)*BQ132+(1-EXP(-LN(2)/25))/(LN(2)/25)*Calculateur!BL133*Calculateur!BN133*VLOOKUP('Données projet'!$B$11,Paramètres!$A$1:$I$89,3,0)*0.475*44/12</f>
        <v>23.240906259578683</v>
      </c>
      <c r="BR133" s="21">
        <f>EXP(-LN(2)/2)*BR132+(1-EXP(-LN(2)/2))/(LN(2)/2)*BL133*BO133*VLOOKUP('Données projet'!$B$11,Paramètres!$A$1:$I$89,3,0)*0.475*44/12</f>
        <v>0.71527741797220024</v>
      </c>
      <c r="BS133" s="22">
        <f t="shared" si="117"/>
        <v>62.381138027625795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-4.9658410716801891E-14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147.1862160897889</v>
      </c>
      <c r="CE133" s="59">
        <f t="shared" ref="CE133:CE196" si="148">$CE$3</f>
        <v>147.31828668914011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8.8889579447611364</v>
      </c>
      <c r="CL133" s="21">
        <f>EXP(-LN(2)/25)*CL132+(1-EXP(-LN(2)/25))/(LN(2)/25)*Calculateur!CG133*Calculateur!CI133*VLOOKUP('Données projet'!$B$12,Paramètres!$A$1:$I$89,3,0)*0.475*44/12</f>
        <v>17.848877073803578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26.737835018564716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326.05837294177707</v>
      </c>
      <c r="T134" s="59">
        <f t="shared" si="142"/>
        <v>406.74689878702014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40.309422724024849</v>
      </c>
      <c r="AA134" s="21">
        <f>EXP(-LN(2)/25)*AA133+(1-EXP(-LN(2)/25))/(LN(2)/25)*Calculateur!V134*Calculateur!X134*VLOOKUP('Données projet'!$B$9,Paramètres!$A$1:$I$89,3,0)*0.475*44/12</f>
        <v>7.7086239652072459</v>
      </c>
      <c r="AB134" s="21">
        <f>EXP(-LN(2)/2)*AB133+(1-EXP(-LN(2)/2))/(LN(2)/2)*V134*Y134*VLOOKUP('Données projet'!$B$9,Paramètres!$A$1:$I$89,3,0)*0.475*44/12</f>
        <v>3.977213292083416E-10</v>
      </c>
      <c r="AC134" s="22">
        <f t="shared" si="111"/>
        <v>48.018046689629813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413.68451280000073</v>
      </c>
      <c r="AK134" s="13">
        <f t="shared" si="143"/>
        <v>94.545535312483779</v>
      </c>
      <c r="AL134" s="20">
        <f t="shared" si="112"/>
        <v>885.16733379591051</v>
      </c>
      <c r="AM134" s="59">
        <f t="shared" si="113"/>
        <v>1178.5006671292438</v>
      </c>
      <c r="AN134" s="59">
        <f ca="1">AVERAGE(OFFSET($AM$3,0,0,'Données projet'!$E$10+1,1))-AVERAGE(OFFSET($H$3,0,0,'Données projet'!$E$10+1,1))</f>
        <v>490.21869105612649</v>
      </c>
      <c r="AO134" s="59">
        <f t="shared" si="144"/>
        <v>207.08773997010911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33.614537493327965</v>
      </c>
      <c r="AV134" s="21">
        <f>EXP(-LN(2)/25)*AV133+(1-EXP(-LN(2)/25))/(LN(2)/25)*Calculateur!AQ134*Calculateur!AS134*VLOOKUP('Données projet'!$B$10,Paramètres!$A$1:$I$89,3,0)*0.475*44/12</f>
        <v>20.170956652800196</v>
      </c>
      <c r="AW134" s="21">
        <f>EXP(-LN(2)/2)*AW133+(1-EXP(-LN(2)/2))/(LN(2)/2)*AQ134*AT134*VLOOKUP('Données projet'!$B$10,Paramètres!$A$1:$I$89,3,0)*0.475*44/12</f>
        <v>0.45130916515860553</v>
      </c>
      <c r="AX134" s="21">
        <f t="shared" si="114"/>
        <v>54.236803311286764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463.61195400000088</v>
      </c>
      <c r="BF134" s="13">
        <f t="shared" si="145"/>
        <v>104.56017271740512</v>
      </c>
      <c r="BG134" s="20">
        <f t="shared" si="115"/>
        <v>989.56645403281527</v>
      </c>
      <c r="BH134" s="59">
        <f t="shared" si="116"/>
        <v>1282.8997873661485</v>
      </c>
      <c r="BI134" s="59">
        <f ca="1">AVERAGE(OFFSET($BH$3,0,0,'Données projet'!$E$11+1,1))-AVERAGE(OFFSET($H$3,0,0,'Données projet'!$E$11+1,1))</f>
        <v>561.19833044503548</v>
      </c>
      <c r="BJ134" s="59">
        <f t="shared" si="146"/>
        <v>235.9089269943575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37.671464432177892</v>
      </c>
      <c r="BQ134" s="21">
        <f>EXP(-LN(2)/25)*BQ133+(1-EXP(-LN(2)/25))/(LN(2)/25)*Calculateur!BL134*Calculateur!BN134*VLOOKUP('Données projet'!$B$11,Paramètres!$A$1:$I$89,3,0)*0.475*44/12</f>
        <v>22.60538245572436</v>
      </c>
      <c r="BR134" s="21">
        <f>EXP(-LN(2)/2)*BR133+(1-EXP(-LN(2)/2))/(LN(2)/2)*BL134*BO134*VLOOKUP('Données projet'!$B$11,Paramètres!$A$1:$I$89,3,0)*0.475*44/12</f>
        <v>0.50577751267774729</v>
      </c>
      <c r="BS134" s="22">
        <f t="shared" si="117"/>
        <v>60.782624400579998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-4.9658410716801891E-14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147.1862160897889</v>
      </c>
      <c r="CE134" s="59">
        <f t="shared" si="148"/>
        <v>147.31828668914011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8.7146509011933659</v>
      </c>
      <c r="CL134" s="21">
        <f>EXP(-LN(2)/25)*CL133+(1-EXP(-LN(2)/25))/(LN(2)/25)*Calculateur!CG134*Calculateur!CI134*VLOOKUP('Données projet'!$B$12,Paramètres!$A$1:$I$89,3,0)*0.475*44/12</f>
        <v>17.360798591588768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26.075449492782134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326.05837294177707</v>
      </c>
      <c r="T135" s="59">
        <f t="shared" si="142"/>
        <v>406.74689878702014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39.518979530726888</v>
      </c>
      <c r="AA135" s="21">
        <f>EXP(-LN(2)/25)*AA134+(1-EXP(-LN(2)/25))/(LN(2)/25)*Calculateur!V135*Calculateur!X135*VLOOKUP('Données projet'!$B$9,Paramètres!$A$1:$I$89,3,0)*0.475*44/12</f>
        <v>7.4978312374997378</v>
      </c>
      <c r="AB135" s="21">
        <f>EXP(-LN(2)/2)*AB134+(1-EXP(-LN(2)/2))/(LN(2)/2)*V135*Y135*VLOOKUP('Données projet'!$B$9,Paramètres!$A$1:$I$89,3,0)*0.475*44/12</f>
        <v>2.8123144890574564E-10</v>
      </c>
      <c r="AC135" s="22">
        <f t="shared" si="111"/>
        <v>47.01681076850786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421.84852320000078</v>
      </c>
      <c r="AK135" s="13">
        <f t="shared" si="143"/>
        <v>96.192315164348642</v>
      </c>
      <c r="AL135" s="20">
        <f t="shared" si="112"/>
        <v>902.2544601512418</v>
      </c>
      <c r="AM135" s="59">
        <f t="shared" si="113"/>
        <v>1195.5877934845751</v>
      </c>
      <c r="AN135" s="59">
        <f ca="1">AVERAGE(OFFSET($AM$3,0,0,'Données projet'!$E$10+1,1))-AVERAGE(OFFSET($H$3,0,0,'Données projet'!$E$10+1,1))</f>
        <v>490.21869105612649</v>
      </c>
      <c r="AO135" s="59">
        <f t="shared" si="144"/>
        <v>207.08773997010911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32.955376915927189</v>
      </c>
      <c r="AV135" s="21">
        <f>EXP(-LN(2)/25)*AV134+(1-EXP(-LN(2)/25))/(LN(2)/25)*Calculateur!AQ135*Calculateur!AS135*VLOOKUP('Données projet'!$B$10,Paramètres!$A$1:$I$89,3,0)*0.475*44/12</f>
        <v>19.619380782384866</v>
      </c>
      <c r="AW135" s="21">
        <f>EXP(-LN(2)/2)*AW134+(1-EXP(-LN(2)/2))/(LN(2)/2)*AQ135*AT135*VLOOKUP('Données projet'!$B$10,Paramètres!$A$1:$I$89,3,0)*0.475*44/12</f>
        <v>0.31912377109528955</v>
      </c>
      <c r="AX135" s="21">
        <f t="shared" si="114"/>
        <v>52.893881469407347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472.76127600000092</v>
      </c>
      <c r="BF135" s="13">
        <f t="shared" si="145"/>
        <v>106.38138601076099</v>
      </c>
      <c r="BG135" s="20">
        <f t="shared" si="115"/>
        <v>1008.6734696687436</v>
      </c>
      <c r="BH135" s="59">
        <f t="shared" si="116"/>
        <v>1302.0068030020768</v>
      </c>
      <c r="BI135" s="59">
        <f ca="1">AVERAGE(OFFSET($BH$3,0,0,'Données projet'!$E$11+1,1))-AVERAGE(OFFSET($H$3,0,0,'Données projet'!$E$11+1,1))</f>
        <v>561.19833044503548</v>
      </c>
      <c r="BJ135" s="59">
        <f t="shared" si="146"/>
        <v>235.9089269943575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36.932749991987365</v>
      </c>
      <c r="BQ135" s="21">
        <f>EXP(-LN(2)/25)*BQ134+(1-EXP(-LN(2)/25))/(LN(2)/25)*Calculateur!BL135*Calculateur!BN135*VLOOKUP('Données projet'!$B$11,Paramètres!$A$1:$I$89,3,0)*0.475*44/12</f>
        <v>21.987237083707178</v>
      </c>
      <c r="BR135" s="21">
        <f>EXP(-LN(2)/2)*BR134+(1-EXP(-LN(2)/2))/(LN(2)/2)*BL135*BO135*VLOOKUP('Données projet'!$B$11,Paramètres!$A$1:$I$89,3,0)*0.475*44/12</f>
        <v>0.35763870898610012</v>
      </c>
      <c r="BS135" s="22">
        <f t="shared" si="117"/>
        <v>59.277625784680644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-4.9658410716801891E-14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147.1862160897889</v>
      </c>
      <c r="CE135" s="59">
        <f t="shared" si="148"/>
        <v>147.31828668914011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8.5437619124331601</v>
      </c>
      <c r="CL135" s="21">
        <f>EXP(-LN(2)/25)*CL134+(1-EXP(-LN(2)/25))/(LN(2)/25)*Calculateur!CG135*Calculateur!CI135*VLOOKUP('Données projet'!$B$12,Paramètres!$A$1:$I$89,3,0)*0.475*44/12</f>
        <v>16.886066641137052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25.429828553570211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326.05837294177707</v>
      </c>
      <c r="T136" s="59">
        <f t="shared" si="142"/>
        <v>406.74689878702014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38.744036446326753</v>
      </c>
      <c r="AA136" s="21">
        <f>EXP(-LN(2)/25)*AA135+(1-EXP(-LN(2)/25))/(LN(2)/25)*Calculateur!V136*Calculateur!X136*VLOOKUP('Données projet'!$B$9,Paramètres!$A$1:$I$89,3,0)*0.475*44/12</f>
        <v>7.2928026480164991</v>
      </c>
      <c r="AB136" s="21">
        <f>EXP(-LN(2)/2)*AB135+(1-EXP(-LN(2)/2))/(LN(2)/2)*V136*Y136*VLOOKUP('Données projet'!$B$9,Paramètres!$A$1:$I$89,3,0)*0.475*44/12</f>
        <v>1.988606646041708E-10</v>
      </c>
      <c r="AC136" s="22">
        <f t="shared" si="111"/>
        <v>46.03683909454211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430.01253360000078</v>
      </c>
      <c r="AK136" s="13">
        <f t="shared" si="143"/>
        <v>97.835389274652726</v>
      </c>
      <c r="AL136" s="20">
        <f t="shared" si="112"/>
        <v>919.33513234002146</v>
      </c>
      <c r="AM136" s="59">
        <f t="shared" si="113"/>
        <v>1212.6684656733548</v>
      </c>
      <c r="AN136" s="59">
        <f ca="1">AVERAGE(OFFSET($AM$3,0,0,'Données projet'!$E$10+1,1))-AVERAGE(OFFSET($H$3,0,0,'Données projet'!$E$10+1,1))</f>
        <v>490.21869105612649</v>
      </c>
      <c r="AO136" s="59">
        <f t="shared" si="144"/>
        <v>207.08773997010911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32.309142075400985</v>
      </c>
      <c r="AV136" s="21">
        <f>EXP(-LN(2)/25)*AV135+(1-EXP(-LN(2)/25))/(LN(2)/25)*Calculateur!AQ136*Calculateur!AS136*VLOOKUP('Données projet'!$B$10,Paramètres!$A$1:$I$89,3,0)*0.475*44/12</f>
        <v>19.082887783152156</v>
      </c>
      <c r="AW136" s="21">
        <f>EXP(-LN(2)/2)*AW135+(1-EXP(-LN(2)/2))/(LN(2)/2)*AQ136*AT136*VLOOKUP('Données projet'!$B$10,Paramètres!$A$1:$I$89,3,0)*0.475*44/12</f>
        <v>0.22565458257930279</v>
      </c>
      <c r="AX136" s="21">
        <f t="shared" si="114"/>
        <v>51.617684441132447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481.9105980000009</v>
      </c>
      <c r="BF136" s="13">
        <f t="shared" si="145"/>
        <v>108.19850103573877</v>
      </c>
      <c r="BG136" s="20">
        <f t="shared" si="115"/>
        <v>1027.7733474872464</v>
      </c>
      <c r="BH136" s="59">
        <f t="shared" si="116"/>
        <v>1321.1066808205796</v>
      </c>
      <c r="BI136" s="59">
        <f ca="1">AVERAGE(OFFSET($BH$3,0,0,'Données projet'!$E$11+1,1))-AVERAGE(OFFSET($H$3,0,0,'Données projet'!$E$11+1,1))</f>
        <v>561.19833044503548</v>
      </c>
      <c r="BJ136" s="59">
        <f t="shared" si="146"/>
        <v>235.9089269943575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36.208521291397652</v>
      </c>
      <c r="BQ136" s="21">
        <f>EXP(-LN(2)/25)*BQ135+(1-EXP(-LN(2)/25))/(LN(2)/25)*Calculateur!BL136*Calculateur!BN136*VLOOKUP('Données projet'!$B$11,Paramètres!$A$1:$I$89,3,0)*0.475*44/12</f>
        <v>21.385994929394659</v>
      </c>
      <c r="BR136" s="21">
        <f>EXP(-LN(2)/2)*BR135+(1-EXP(-LN(2)/2))/(LN(2)/2)*BL136*BO136*VLOOKUP('Données projet'!$B$11,Paramètres!$A$1:$I$89,3,0)*0.475*44/12</f>
        <v>0.25288875633887364</v>
      </c>
      <c r="BS136" s="22">
        <f t="shared" si="117"/>
        <v>57.847404977131191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-4.9658410716801891E-14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147.1862160897889</v>
      </c>
      <c r="CE136" s="59">
        <f t="shared" si="148"/>
        <v>147.31828668914011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8.3762239525105517</v>
      </c>
      <c r="CL136" s="21">
        <f>EXP(-LN(2)/25)*CL135+(1-EXP(-LN(2)/25))/(LN(2)/25)*Calculateur!CG136*Calculateur!CI136*VLOOKUP('Données projet'!$B$12,Paramètres!$A$1:$I$89,3,0)*0.475*44/12</f>
        <v>16.424316260835507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24.800540213346061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326.05837294177707</v>
      </c>
      <c r="T137" s="59">
        <f t="shared" si="142"/>
        <v>406.74689878702014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37.984289523143097</v>
      </c>
      <c r="AA137" s="21">
        <f>EXP(-LN(2)/25)*AA136+(1-EXP(-LN(2)/25))/(LN(2)/25)*Calculateur!V137*Calculateur!X137*VLOOKUP('Données projet'!$B$9,Paramètres!$A$1:$I$89,3,0)*0.475*44/12</f>
        <v>7.0933805760946642</v>
      </c>
      <c r="AB137" s="21">
        <f>EXP(-LN(2)/2)*AB136+(1-EXP(-LN(2)/2))/(LN(2)/2)*V137*Y137*VLOOKUP('Données projet'!$B$9,Paramètres!$A$1:$I$89,3,0)*0.475*44/12</f>
        <v>1.4061572445287282E-10</v>
      </c>
      <c r="AC137" s="22">
        <f t="shared" si="111"/>
        <v>45.077670099378381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438.17654400000077</v>
      </c>
      <c r="AK137" s="13">
        <f t="shared" si="143"/>
        <v>99.474836110972063</v>
      </c>
      <c r="AL137" s="20">
        <f t="shared" si="112"/>
        <v>936.40948702661092</v>
      </c>
      <c r="AM137" s="59">
        <f t="shared" si="113"/>
        <v>1229.7428203599443</v>
      </c>
      <c r="AN137" s="59">
        <f ca="1">AVERAGE(OFFSET($AM$3,0,0,'Données projet'!$E$10+1,1))-AVERAGE(OFFSET($H$3,0,0,'Données projet'!$E$10+1,1))</f>
        <v>490.21869105612649</v>
      </c>
      <c r="AO137" s="59">
        <f t="shared" si="144"/>
        <v>207.08773997010911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44.746279842031008</v>
      </c>
      <c r="AV137" s="21">
        <f>EXP(-LN(2)/25)*AV136+(1-EXP(-LN(2)/25))/(LN(2)/25)*Calculateur!AQ137*Calculateur!AS137*VLOOKUP('Données projet'!$B$10,Paramètres!$A$1:$I$89,3,0)*0.475*44/12</f>
        <v>23.768759616615345</v>
      </c>
      <c r="AW137" s="21">
        <f>EXP(-LN(2)/2)*AW136+(1-EXP(-LN(2)/2))/(LN(2)/2)*AQ137*AT137*VLOOKUP('Données projet'!$B$10,Paramètres!$A$1:$I$89,3,0)*0.475*44/12</f>
        <v>0.15956188554764478</v>
      </c>
      <c r="AX137" s="21">
        <f t="shared" si="114"/>
        <v>68.674601344194002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491.05992000000094</v>
      </c>
      <c r="BF137" s="13">
        <f t="shared" si="145"/>
        <v>110.01160457151111</v>
      </c>
      <c r="BG137" s="20">
        <f t="shared" si="115"/>
        <v>1046.8662386287169</v>
      </c>
      <c r="BH137" s="59">
        <f t="shared" si="116"/>
        <v>1340.1995719620502</v>
      </c>
      <c r="BI137" s="59">
        <f ca="1">AVERAGE(OFFSET($BH$3,0,0,'Données projet'!$E$11+1,1))-AVERAGE(OFFSET($H$3,0,0,'Données projet'!$E$11+1,1))</f>
        <v>561.19833044503548</v>
      </c>
      <c r="BJ137" s="59">
        <f t="shared" si="146"/>
        <v>235.9089269943575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50.146692926414062</v>
      </c>
      <c r="BQ137" s="21">
        <f>EXP(-LN(2)/25)*BQ136+(1-EXP(-LN(2)/25))/(LN(2)/25)*Calculateur!BL137*Calculateur!BN137*VLOOKUP('Données projet'!$B$11,Paramètres!$A$1:$I$89,3,0)*0.475*44/12</f>
        <v>26.637403018620649</v>
      </c>
      <c r="BR137" s="21">
        <f>EXP(-LN(2)/2)*BR136+(1-EXP(-LN(2)/2))/(LN(2)/2)*BL137*BO137*VLOOKUP('Données projet'!$B$11,Paramètres!$A$1:$I$89,3,0)*0.475*44/12</f>
        <v>0.17881935449305006</v>
      </c>
      <c r="BS137" s="22">
        <f t="shared" si="117"/>
        <v>76.962915299527751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-4.9658410716801891E-14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147.1862160897889</v>
      </c>
      <c r="CE137" s="59">
        <f t="shared" si="148"/>
        <v>147.31828668914011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8.2119713097939595</v>
      </c>
      <c r="CL137" s="21">
        <f>EXP(-LN(2)/25)*CL136+(1-EXP(-LN(2)/25))/(LN(2)/25)*Calculateur!CG137*Calculateur!CI137*VLOOKUP('Données projet'!$B$12,Paramètres!$A$1:$I$89,3,0)*0.475*44/12</f>
        <v>15.975192468965707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24.187163778759668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326.05837294177707</v>
      </c>
      <c r="T138" s="59">
        <f t="shared" si="142"/>
        <v>406.74689878702014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37.23944077372321</v>
      </c>
      <c r="AA138" s="21">
        <f>EXP(-LN(2)/25)*AA137+(1-EXP(-LN(2)/25))/(LN(2)/25)*Calculateur!V138*Calculateur!X138*VLOOKUP('Données projet'!$B$9,Paramètres!$A$1:$I$89,3,0)*0.475*44/12</f>
        <v>6.8994117112166835</v>
      </c>
      <c r="AB138" s="21">
        <f>EXP(-LN(2)/2)*AB137+(1-EXP(-LN(2)/2))/(LN(2)/2)*V138*Y138*VLOOKUP('Données projet'!$B$9,Paramètres!$A$1:$I$89,3,0)*0.475*44/12</f>
        <v>9.94303323020854E-11</v>
      </c>
      <c r="AC138" s="22">
        <f t="shared" si="111"/>
        <v>44.13885248503933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391.45629120000086</v>
      </c>
      <c r="AK138" s="13">
        <f t="shared" si="143"/>
        <v>90.042388870129827</v>
      </c>
      <c r="AL138" s="20">
        <f t="shared" si="112"/>
        <v>838.6102011221443</v>
      </c>
      <c r="AM138" s="59">
        <f t="shared" si="113"/>
        <v>1131.9435344554777</v>
      </c>
      <c r="AN138" s="59">
        <f ca="1">AVERAGE(OFFSET($AM$3,0,0,'Données projet'!$E$10+1,1))-AVERAGE(OFFSET($H$3,0,0,'Données projet'!$E$10+1,1))</f>
        <v>490.21869105612649</v>
      </c>
      <c r="AO138" s="59">
        <f t="shared" si="144"/>
        <v>207.08773997010911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43.868832586864571</v>
      </c>
      <c r="AV138" s="21">
        <f>EXP(-LN(2)/25)*AV137+(1-EXP(-LN(2)/25))/(LN(2)/25)*Calculateur!AQ138*Calculateur!AS138*VLOOKUP('Données projet'!$B$10,Paramètres!$A$1:$I$89,3,0)*0.475*44/12</f>
        <v>23.118801634954256</v>
      </c>
      <c r="AW138" s="21">
        <f>EXP(-LN(2)/2)*AW137+(1-EXP(-LN(2)/2))/(LN(2)/2)*AQ138*AT138*VLOOKUP('Données projet'!$B$10,Paramètres!$A$1:$I$89,3,0)*0.475*44/12</f>
        <v>0.1128272912896514</v>
      </c>
      <c r="AX138" s="21">
        <f t="shared" si="114"/>
        <v>67.100461513108471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438.70101600000095</v>
      </c>
      <c r="BF138" s="13">
        <f t="shared" si="145"/>
        <v>99.580035175975198</v>
      </c>
      <c r="BG138" s="20">
        <f t="shared" si="115"/>
        <v>937.50616413149157</v>
      </c>
      <c r="BH138" s="59">
        <f t="shared" si="116"/>
        <v>1230.8394974648249</v>
      </c>
      <c r="BI138" s="59">
        <f ca="1">AVERAGE(OFFSET($BH$3,0,0,'Données projet'!$E$11+1,1))-AVERAGE(OFFSET($H$3,0,0,'Données projet'!$E$11+1,1))</f>
        <v>561.19833044503548</v>
      </c>
      <c r="BJ138" s="59">
        <f t="shared" si="146"/>
        <v>235.9089269943575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49.163346864589606</v>
      </c>
      <c r="BQ138" s="21">
        <f>EXP(-LN(2)/25)*BQ137+(1-EXP(-LN(2)/25))/(LN(2)/25)*Calculateur!BL138*Calculateur!BN138*VLOOKUP('Données projet'!$B$11,Paramètres!$A$1:$I$89,3,0)*0.475*44/12</f>
        <v>25.909001832276324</v>
      </c>
      <c r="BR138" s="21">
        <f>EXP(-LN(2)/2)*BR137+(1-EXP(-LN(2)/2))/(LN(2)/2)*BL138*BO138*VLOOKUP('Données projet'!$B$11,Paramètres!$A$1:$I$89,3,0)*0.475*44/12</f>
        <v>0.12644437816943682</v>
      </c>
      <c r="BS138" s="22">
        <f t="shared" si="117"/>
        <v>75.198793075035368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-4.9658410716801891E-14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147.1862160897889</v>
      </c>
      <c r="CE138" s="59">
        <f t="shared" si="148"/>
        <v>147.31828668914011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8.0509395612168202</v>
      </c>
      <c r="CL138" s="21">
        <f>EXP(-LN(2)/25)*CL137+(1-EXP(-LN(2)/25))/(LN(2)/25)*Calculateur!CG138*Calculateur!CI138*VLOOKUP('Données projet'!$B$12,Paramètres!$A$1:$I$89,3,0)*0.475*44/12</f>
        <v>15.538349990802979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23.5892895520198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326.05837294177707</v>
      </c>
      <c r="T139" s="59">
        <f t="shared" si="142"/>
        <v>406.74689878702014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36.509198053966564</v>
      </c>
      <c r="AA139" s="21">
        <f>EXP(-LN(2)/25)*AA138+(1-EXP(-LN(2)/25))/(LN(2)/25)*Calculateur!V139*Calculateur!X139*VLOOKUP('Données projet'!$B$9,Paramètres!$A$1:$I$89,3,0)*0.475*44/12</f>
        <v>6.71074693514917</v>
      </c>
      <c r="AB139" s="21">
        <f>EXP(-LN(2)/2)*AB138+(1-EXP(-LN(2)/2))/(LN(2)/2)*V139*Y139*VLOOKUP('Données projet'!$B$9,Paramètres!$A$1:$I$89,3,0)*0.475*44/12</f>
        <v>7.0307862226436409E-11</v>
      </c>
      <c r="AC139" s="22">
        <f t="shared" si="111"/>
        <v>43.21994498918604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399.72978240000077</v>
      </c>
      <c r="AK139" s="13">
        <f t="shared" si="143"/>
        <v>91.721880595341759</v>
      </c>
      <c r="AL139" s="20">
        <f t="shared" si="112"/>
        <v>855.94497971688827</v>
      </c>
      <c r="AM139" s="59">
        <f t="shared" si="113"/>
        <v>1149.2783130502216</v>
      </c>
      <c r="AN139" s="59">
        <f ca="1">AVERAGE(OFFSET($AM$3,0,0,'Données projet'!$E$10+1,1))-AVERAGE(OFFSET($H$3,0,0,'Données projet'!$E$10+1,1))</f>
        <v>490.21869105612649</v>
      </c>
      <c r="AO139" s="59">
        <f t="shared" si="144"/>
        <v>207.08773997010911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43.008591537181964</v>
      </c>
      <c r="AV139" s="21">
        <f>EXP(-LN(2)/25)*AV138+(1-EXP(-LN(2)/25))/(LN(2)/25)*Calculateur!AQ139*Calculateur!AS139*VLOOKUP('Données projet'!$B$10,Paramètres!$A$1:$I$89,3,0)*0.475*44/12</f>
        <v>22.486616788481491</v>
      </c>
      <c r="AW139" s="21">
        <f>EXP(-LN(2)/2)*AW138+(1-EXP(-LN(2)/2))/(LN(2)/2)*AQ139*AT139*VLOOKUP('Données projet'!$B$10,Paramètres!$A$1:$I$89,3,0)*0.475*44/12</f>
        <v>7.9780942773822389E-2</v>
      </c>
      <c r="AX139" s="21">
        <f t="shared" si="114"/>
        <v>65.574989268437278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447.97303200000096</v>
      </c>
      <c r="BF139" s="13">
        <f t="shared" si="145"/>
        <v>101.43742531380877</v>
      </c>
      <c r="BG139" s="20">
        <f t="shared" si="115"/>
        <v>956.88987982155186</v>
      </c>
      <c r="BH139" s="59">
        <f t="shared" si="116"/>
        <v>1250.2232131548851</v>
      </c>
      <c r="BI139" s="59">
        <f ca="1">AVERAGE(OFFSET($BH$3,0,0,'Données projet'!$E$11+1,1))-AVERAGE(OFFSET($H$3,0,0,'Données projet'!$E$11+1,1))</f>
        <v>561.19833044503548</v>
      </c>
      <c r="BJ139" s="59">
        <f t="shared" si="146"/>
        <v>235.9089269943575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48.199283619255652</v>
      </c>
      <c r="BQ139" s="21">
        <f>EXP(-LN(2)/25)*BQ138+(1-EXP(-LN(2)/25))/(LN(2)/25)*Calculateur!BL139*Calculateur!BN139*VLOOKUP('Données projet'!$B$11,Paramètres!$A$1:$I$89,3,0)*0.475*44/12</f>
        <v>25.200518814677537</v>
      </c>
      <c r="BR139" s="21">
        <f>EXP(-LN(2)/2)*BR138+(1-EXP(-LN(2)/2))/(LN(2)/2)*BL139*BO139*VLOOKUP('Données projet'!$B$11,Paramètres!$A$1:$I$89,3,0)*0.475*44/12</f>
        <v>8.9409677246525029E-2</v>
      </c>
      <c r="BS139" s="22">
        <f t="shared" si="117"/>
        <v>73.489212111179711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-4.9658410716801891E-14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147.1862160897889</v>
      </c>
      <c r="CE139" s="59">
        <f t="shared" si="148"/>
        <v>147.31828668914011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7.8930655470096101</v>
      </c>
      <c r="CL139" s="21">
        <f>EXP(-LN(2)/25)*CL138+(1-EXP(-LN(2)/25))/(LN(2)/25)*Calculateur!CG139*Calculateur!CI139*VLOOKUP('Données projet'!$B$12,Paramètres!$A$1:$I$89,3,0)*0.475*44/12</f>
        <v>15.113452993178159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23.00651854018777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326.05837294177707</v>
      </c>
      <c r="T140" s="59">
        <f t="shared" si="142"/>
        <v>406.74689878702014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35.793274948540272</v>
      </c>
      <c r="AA140" s="21">
        <f>EXP(-LN(2)/25)*AA139+(1-EXP(-LN(2)/25))/(LN(2)/25)*Calculateur!V140*Calculateur!X140*VLOOKUP('Données projet'!$B$9,Paramètres!$A$1:$I$89,3,0)*0.475*44/12</f>
        <v>6.5272412073046722</v>
      </c>
      <c r="AB140" s="21">
        <f>EXP(-LN(2)/2)*AB139+(1-EXP(-LN(2)/2))/(LN(2)/2)*V140*Y140*VLOOKUP('Données projet'!$B$9,Paramètres!$A$1:$I$89,3,0)*0.475*44/12</f>
        <v>4.97151661510427E-11</v>
      </c>
      <c r="AC140" s="22">
        <f t="shared" si="111"/>
        <v>42.320516155894659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408.00327360000085</v>
      </c>
      <c r="AK140" s="13">
        <f t="shared" si="143"/>
        <v>93.397330631669121</v>
      </c>
      <c r="AL140" s="20">
        <f t="shared" si="112"/>
        <v>873.27271903682515</v>
      </c>
      <c r="AM140" s="59">
        <f t="shared" si="113"/>
        <v>1166.6060523701585</v>
      </c>
      <c r="AN140" s="59">
        <f ca="1">AVERAGE(OFFSET($AM$3,0,0,'Données projet'!$E$10+1,1))-AVERAGE(OFFSET($H$3,0,0,'Données projet'!$E$10+1,1))</f>
        <v>490.21869105612649</v>
      </c>
      <c r="AO140" s="59">
        <f t="shared" si="144"/>
        <v>207.08773997010911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42.165219289788404</v>
      </c>
      <c r="AV140" s="21">
        <f>EXP(-LN(2)/25)*AV139+(1-EXP(-LN(2)/25))/(LN(2)/25)*Calculateur!AQ140*Calculateur!AS140*VLOOKUP('Données projet'!$B$10,Paramètres!$A$1:$I$89,3,0)*0.475*44/12</f>
        <v>21.871719069880683</v>
      </c>
      <c r="AW140" s="21">
        <f>EXP(-LN(2)/2)*AW139+(1-EXP(-LN(2)/2))/(LN(2)/2)*AQ140*AT140*VLOOKUP('Données projet'!$B$10,Paramètres!$A$1:$I$89,3,0)*0.475*44/12</f>
        <v>5.6413645644825698E-2</v>
      </c>
      <c r="AX140" s="21">
        <f t="shared" si="114"/>
        <v>64.093352005313903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457.24504800000096</v>
      </c>
      <c r="BF140" s="13">
        <f t="shared" si="145"/>
        <v>103.29034565107023</v>
      </c>
      <c r="BG140" s="20">
        <f t="shared" si="115"/>
        <v>976.26581060894898</v>
      </c>
      <c r="BH140" s="59">
        <f t="shared" si="116"/>
        <v>1269.5991439422824</v>
      </c>
      <c r="BI140" s="59">
        <f ca="1">AVERAGE(OFFSET($BH$3,0,0,'Données projet'!$E$11+1,1))-AVERAGE(OFFSET($H$3,0,0,'Données projet'!$E$11+1,1))</f>
        <v>561.19833044503548</v>
      </c>
      <c r="BJ140" s="59">
        <f t="shared" si="146"/>
        <v>235.9089269943575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47.25412506614218</v>
      </c>
      <c r="BQ140" s="21">
        <f>EXP(-LN(2)/25)*BQ139+(1-EXP(-LN(2)/25))/(LN(2)/25)*Calculateur!BL140*Calculateur!BN140*VLOOKUP('Données projet'!$B$11,Paramètres!$A$1:$I$89,3,0)*0.475*44/12</f>
        <v>24.511409302452492</v>
      </c>
      <c r="BR140" s="21">
        <f>EXP(-LN(2)/2)*BR139+(1-EXP(-LN(2)/2))/(LN(2)/2)*BL140*BO140*VLOOKUP('Données projet'!$B$11,Paramètres!$A$1:$I$89,3,0)*0.475*44/12</f>
        <v>6.3222189084718411E-2</v>
      </c>
      <c r="BS140" s="22">
        <f t="shared" si="117"/>
        <v>71.828756557679384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-4.9658410716801891E-14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147.1862160897889</v>
      </c>
      <c r="CE140" s="59">
        <f t="shared" si="148"/>
        <v>147.31828668914011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7.7382873459273629</v>
      </c>
      <c r="CL140" s="21">
        <f>EXP(-LN(2)/25)*CL139+(1-EXP(-LN(2)/25))/(LN(2)/25)*Calculateur!CG140*Calculateur!CI140*VLOOKUP('Données projet'!$B$12,Paramètres!$A$1:$I$89,3,0)*0.475*44/12</f>
        <v>14.700174826297751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22.438462172225115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326.05837294177707</v>
      </c>
      <c r="T141" s="59">
        <f t="shared" si="142"/>
        <v>406.74689878702014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35.091390658541414</v>
      </c>
      <c r="AA141" s="21">
        <f>EXP(-LN(2)/25)*AA140+(1-EXP(-LN(2)/25))/(LN(2)/25)*Calculateur!V141*Calculateur!X141*VLOOKUP('Données projet'!$B$9,Paramètres!$A$1:$I$89,3,0)*0.475*44/12</f>
        <v>6.3487534532382286</v>
      </c>
      <c r="AB141" s="21">
        <f>EXP(-LN(2)/2)*AB140+(1-EXP(-LN(2)/2))/(LN(2)/2)*V141*Y141*VLOOKUP('Données projet'!$B$9,Paramètres!$A$1:$I$89,3,0)*0.475*44/12</f>
        <v>3.5153931113218204E-11</v>
      </c>
      <c r="AC141" s="22">
        <f t="shared" si="111"/>
        <v>41.440144111814796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416.27676480000082</v>
      </c>
      <c r="AK141" s="13">
        <f t="shared" si="143"/>
        <v>95.068830381071379</v>
      </c>
      <c r="AL141" s="20">
        <f t="shared" si="112"/>
        <v>890.5935782737007</v>
      </c>
      <c r="AM141" s="59">
        <f t="shared" si="113"/>
        <v>1183.9269116070341</v>
      </c>
      <c r="AN141" s="59">
        <f ca="1">AVERAGE(OFFSET($AM$3,0,0,'Données projet'!$E$10+1,1))-AVERAGE(OFFSET($H$3,0,0,'Données projet'!$E$10+1,1))</f>
        <v>490.21869105612649</v>
      </c>
      <c r="AO141" s="59">
        <f t="shared" si="144"/>
        <v>207.08773997010911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41.338385057759957</v>
      </c>
      <c r="AV141" s="21">
        <f>EXP(-LN(2)/25)*AV140+(1-EXP(-LN(2)/25))/(LN(2)/25)*Calculateur!AQ141*Calculateur!AS141*VLOOKUP('Données projet'!$B$10,Paramètres!$A$1:$I$89,3,0)*0.475*44/12</f>
        <v>21.273635761731079</v>
      </c>
      <c r="AW141" s="21">
        <f>EXP(-LN(2)/2)*AW140+(1-EXP(-LN(2)/2))/(LN(2)/2)*AQ141*AT141*VLOOKUP('Données projet'!$B$10,Paramètres!$A$1:$I$89,3,0)*0.475*44/12</f>
        <v>3.9890471386911194E-2</v>
      </c>
      <c r="AX141" s="21">
        <f t="shared" si="114"/>
        <v>62.651911290877948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466.51706400000097</v>
      </c>
      <c r="BF141" s="13">
        <f t="shared" si="145"/>
        <v>105.13889727137632</v>
      </c>
      <c r="BG141" s="20">
        <f t="shared" si="115"/>
        <v>995.63413254764862</v>
      </c>
      <c r="BH141" s="59">
        <f t="shared" si="116"/>
        <v>1288.967465880982</v>
      </c>
      <c r="BI141" s="59">
        <f ca="1">AVERAGE(OFFSET($BH$3,0,0,'Données projet'!$E$11+1,1))-AVERAGE(OFFSET($H$3,0,0,'Données projet'!$E$11+1,1))</f>
        <v>561.19833044503548</v>
      </c>
      <c r="BJ141" s="59">
        <f t="shared" si="146"/>
        <v>235.9089269943575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46.32750049576547</v>
      </c>
      <c r="BQ141" s="21">
        <f>EXP(-LN(2)/25)*BQ140+(1-EXP(-LN(2)/25))/(LN(2)/25)*Calculateur!BL141*Calculateur!BN141*VLOOKUP('Données projet'!$B$11,Paramètres!$A$1:$I$89,3,0)*0.475*44/12</f>
        <v>23.841143526077936</v>
      </c>
      <c r="BR141" s="21">
        <f>EXP(-LN(2)/2)*BR140+(1-EXP(-LN(2)/2))/(LN(2)/2)*BL141*BO141*VLOOKUP('Données projet'!$B$11,Paramètres!$A$1:$I$89,3,0)*0.475*44/12</f>
        <v>4.4704838623262515E-2</v>
      </c>
      <c r="BS141" s="22">
        <f t="shared" si="117"/>
        <v>70.213348860466667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-4.9658410716801891E-14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147.1862160897889</v>
      </c>
      <c r="CE141" s="59">
        <f t="shared" si="148"/>
        <v>147.31828668914011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7.5865442509629579</v>
      </c>
      <c r="CL141" s="21">
        <f>EXP(-LN(2)/25)*CL140+(1-EXP(-LN(2)/25))/(LN(2)/25)*Calculateur!CG141*Calculateur!CI141*VLOOKUP('Données projet'!$B$12,Paramètres!$A$1:$I$89,3,0)*0.475*44/12</f>
        <v>14.298197772624043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21.884742023587002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326.05837294177707</v>
      </c>
      <c r="T142" s="59">
        <f t="shared" si="142"/>
        <v>406.74689878702014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34.403269891362285</v>
      </c>
      <c r="AA142" s="21">
        <f>EXP(-LN(2)/25)*AA141+(1-EXP(-LN(2)/25))/(LN(2)/25)*Calculateur!V142*Calculateur!X142*VLOOKUP('Données projet'!$B$9,Paramètres!$A$1:$I$89,3,0)*0.475*44/12</f>
        <v>6.1751464561929952</v>
      </c>
      <c r="AB142" s="21">
        <f>EXP(-LN(2)/2)*AB141+(1-EXP(-LN(2)/2))/(LN(2)/2)*V142*Y142*VLOOKUP('Données projet'!$B$9,Paramètres!$A$1:$I$89,3,0)*0.475*44/12</f>
        <v>2.485758307552135E-11</v>
      </c>
      <c r="AC142" s="22">
        <f t="shared" si="111"/>
        <v>40.578416347580138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424.55025600000084</v>
      </c>
      <c r="AK142" s="13">
        <f t="shared" si="143"/>
        <v>96.736467404516418</v>
      </c>
      <c r="AL142" s="20">
        <f t="shared" si="112"/>
        <v>907.90770992953412</v>
      </c>
      <c r="AM142" s="59">
        <f t="shared" si="113"/>
        <v>1201.2410432628674</v>
      </c>
      <c r="AN142" s="59">
        <f ca="1">AVERAGE(OFFSET($AM$3,0,0,'Données projet'!$E$10+1,1))-AVERAGE(OFFSET($H$3,0,0,'Données projet'!$E$10+1,1))</f>
        <v>490.21869105612649</v>
      </c>
      <c r="AO142" s="59">
        <f t="shared" si="144"/>
        <v>207.08773997010911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40.527764540702499</v>
      </c>
      <c r="AV142" s="21">
        <f>EXP(-LN(2)/25)*AV141+(1-EXP(-LN(2)/25))/(LN(2)/25)*Calculateur!AQ142*Calculateur!AS142*VLOOKUP('Données projet'!$B$10,Paramètres!$A$1:$I$89,3,0)*0.475*44/12</f>
        <v>20.691907073094658</v>
      </c>
      <c r="AW142" s="21">
        <f>EXP(-LN(2)/2)*AW141+(1-EXP(-LN(2)/2))/(LN(2)/2)*AQ142*AT142*VLOOKUP('Données projet'!$B$10,Paramètres!$A$1:$I$89,3,0)*0.475*44/12</f>
        <v>2.8206822822412849E-2</v>
      </c>
      <c r="AX142" s="21">
        <f t="shared" si="114"/>
        <v>61.247878436619573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475.78908000000098</v>
      </c>
      <c r="BF142" s="13">
        <f t="shared" si="145"/>
        <v>106.98317701049932</v>
      </c>
      <c r="BG142" s="20">
        <f t="shared" si="115"/>
        <v>1014.9950142932879</v>
      </c>
      <c r="BH142" s="59">
        <f t="shared" si="116"/>
        <v>1308.3283476266213</v>
      </c>
      <c r="BI142" s="59">
        <f ca="1">AVERAGE(OFFSET($BH$3,0,0,'Données projet'!$E$11+1,1))-AVERAGE(OFFSET($H$3,0,0,'Données projet'!$E$11+1,1))</f>
        <v>561.19833044503548</v>
      </c>
      <c r="BJ142" s="59">
        <f t="shared" si="146"/>
        <v>235.9089269943575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45.419046468028668</v>
      </c>
      <c r="BQ142" s="21">
        <f>EXP(-LN(2)/25)*BQ141+(1-EXP(-LN(2)/25))/(LN(2)/25)*Calculateur!BL142*Calculateur!BN142*VLOOKUP('Données projet'!$B$11,Paramètres!$A$1:$I$89,3,0)*0.475*44/12</f>
        <v>23.189206202606087</v>
      </c>
      <c r="BR142" s="21">
        <f>EXP(-LN(2)/2)*BR141+(1-EXP(-LN(2)/2))/(LN(2)/2)*BL142*BO142*VLOOKUP('Données projet'!$B$11,Paramètres!$A$1:$I$89,3,0)*0.475*44/12</f>
        <v>3.1611094542359205E-2</v>
      </c>
      <c r="BS142" s="22">
        <f t="shared" si="117"/>
        <v>68.639863765177111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-4.9658410716801891E-14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147.1862160897889</v>
      </c>
      <c r="CE142" s="59">
        <f t="shared" si="148"/>
        <v>147.31828668914011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7.4377767455366559</v>
      </c>
      <c r="CL142" s="21">
        <f>EXP(-LN(2)/25)*CL141+(1-EXP(-LN(2)/25))/(LN(2)/25)*Calculateur!CG142*Calculateur!CI142*VLOOKUP('Données projet'!$B$12,Paramètres!$A$1:$I$89,3,0)*0.475*44/12</f>
        <v>13.907212802622096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21.34498954815875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326.05837294177707</v>
      </c>
      <c r="T143" s="59">
        <f t="shared" si="142"/>
        <v>406.74689878702014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33.728642752715317</v>
      </c>
      <c r="AA143" s="21">
        <f>EXP(-LN(2)/25)*AA142+(1-EXP(-LN(2)/25))/(LN(2)/25)*Calculateur!V143*Calculateur!X143*VLOOKUP('Données projet'!$B$9,Paramètres!$A$1:$I$89,3,0)*0.475*44/12</f>
        <v>6.006286751611559</v>
      </c>
      <c r="AB143" s="21">
        <f>EXP(-LN(2)/2)*AB142+(1-EXP(-LN(2)/2))/(LN(2)/2)*V143*Y143*VLOOKUP('Données projet'!$B$9,Paramètres!$A$1:$I$89,3,0)*0.475*44/12</f>
        <v>1.7576965556609102E-11</v>
      </c>
      <c r="AC143" s="22">
        <f t="shared" si="111"/>
        <v>39.734929504344457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432.82374720000081</v>
      </c>
      <c r="AK143" s="13">
        <f t="shared" si="143"/>
        <v>98.400325655042849</v>
      </c>
      <c r="AL143" s="20">
        <f t="shared" si="112"/>
        <v>925.21526022253431</v>
      </c>
      <c r="AM143" s="59">
        <f t="shared" si="113"/>
        <v>1218.5485935558677</v>
      </c>
      <c r="AN143" s="59">
        <f ca="1">AVERAGE(OFFSET($AM$3,0,0,'Données projet'!$E$10+1,1))-AVERAGE(OFFSET($H$3,0,0,'Données projet'!$E$10+1,1))</f>
        <v>490.21869105612649</v>
      </c>
      <c r="AO143" s="59">
        <f t="shared" si="144"/>
        <v>207.08773997010911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39.733039797554845</v>
      </c>
      <c r="AV143" s="21">
        <f>EXP(-LN(2)/25)*AV142+(1-EXP(-LN(2)/25))/(LN(2)/25)*Calculateur!AQ143*Calculateur!AS143*VLOOKUP('Données projet'!$B$10,Paramètres!$A$1:$I$89,3,0)*0.475*44/12</f>
        <v>20.126085786040782</v>
      </c>
      <c r="AW143" s="21">
        <f>EXP(-LN(2)/2)*AW142+(1-EXP(-LN(2)/2))/(LN(2)/2)*AQ143*AT143*VLOOKUP('Données projet'!$B$10,Paramètres!$A$1:$I$89,3,0)*0.475*44/12</f>
        <v>1.9945235693455597E-2</v>
      </c>
      <c r="AX143" s="21">
        <f t="shared" si="114"/>
        <v>59.879070819289083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485.06109600000099</v>
      </c>
      <c r="BF143" s="13">
        <f t="shared" si="145"/>
        <v>108.82327771411607</v>
      </c>
      <c r="BG143" s="20">
        <f t="shared" si="115"/>
        <v>1034.348617552087</v>
      </c>
      <c r="BH143" s="59">
        <f t="shared" si="116"/>
        <v>1327.6819508854203</v>
      </c>
      <c r="BI143" s="59">
        <f ca="1">AVERAGE(OFFSET($BH$3,0,0,'Données projet'!$E$11+1,1))-AVERAGE(OFFSET($H$3,0,0,'Données projet'!$E$11+1,1))</f>
        <v>561.19833044503548</v>
      </c>
      <c r="BJ143" s="59">
        <f t="shared" si="146"/>
        <v>235.9089269943575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44.528406669673537</v>
      </c>
      <c r="BQ143" s="21">
        <f>EXP(-LN(2)/25)*BQ142+(1-EXP(-LN(2)/25))/(LN(2)/25)*Calculateur!BL143*Calculateur!BN143*VLOOKUP('Données projet'!$B$11,Paramètres!$A$1:$I$89,3,0)*0.475*44/12</f>
        <v>22.555096139528469</v>
      </c>
      <c r="BR143" s="21">
        <f>EXP(-LN(2)/2)*BR142+(1-EXP(-LN(2)/2))/(LN(2)/2)*BL143*BO143*VLOOKUP('Données projet'!$B$11,Paramètres!$A$1:$I$89,3,0)*0.475*44/12</f>
        <v>2.2352419311631257E-2</v>
      </c>
      <c r="BS143" s="22">
        <f t="shared" si="117"/>
        <v>67.105855228513633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-4.9658410716801891E-14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147.1862160897889</v>
      </c>
      <c r="CE143" s="59">
        <f t="shared" si="148"/>
        <v>147.31828668914011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7.2919264801525454</v>
      </c>
      <c r="CL143" s="21">
        <f>EXP(-LN(2)/25)*CL142+(1-EXP(-LN(2)/25))/(LN(2)/25)*Calculateur!CG143*Calculateur!CI143*VLOOKUP('Données projet'!$B$12,Paramètres!$A$1:$I$89,3,0)*0.475*44/12</f>
        <v>13.526919337185859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20.818845817338406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326.05837294177707</v>
      </c>
      <c r="T144" s="59">
        <f t="shared" si="142"/>
        <v>406.74689878702014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33.067244640775286</v>
      </c>
      <c r="AA144" s="21">
        <f>EXP(-LN(2)/25)*AA143+(1-EXP(-LN(2)/25))/(LN(2)/25)*Calculateur!V144*Calculateur!X144*VLOOKUP('Données projet'!$B$9,Paramètres!$A$1:$I$89,3,0)*0.475*44/12</f>
        <v>5.8420445245318486</v>
      </c>
      <c r="AB144" s="21">
        <f>EXP(-LN(2)/2)*AB143+(1-EXP(-LN(2)/2))/(LN(2)/2)*V144*Y144*VLOOKUP('Données projet'!$B$9,Paramètres!$A$1:$I$89,3,0)*0.475*44/12</f>
        <v>1.2428791537760675E-11</v>
      </c>
      <c r="AC144" s="22">
        <f t="shared" si="111"/>
        <v>38.909289165319564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441.09723840000083</v>
      </c>
      <c r="AK144" s="13">
        <f t="shared" si="143"/>
        <v>100.06048569250036</v>
      </c>
      <c r="AL144" s="20">
        <f t="shared" si="112"/>
        <v>942.51636946110614</v>
      </c>
      <c r="AM144" s="59">
        <f t="shared" si="113"/>
        <v>1235.8497027944395</v>
      </c>
      <c r="AN144" s="59">
        <f ca="1">AVERAGE(OFFSET($AM$3,0,0,'Données projet'!$E$10+1,1))-AVERAGE(OFFSET($H$3,0,0,'Données projet'!$E$10+1,1))</f>
        <v>490.21869105612649</v>
      </c>
      <c r="AO144" s="59">
        <f t="shared" si="144"/>
        <v>207.08773997010911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38.953899121886089</v>
      </c>
      <c r="AV144" s="21">
        <f>EXP(-LN(2)/25)*AV143+(1-EXP(-LN(2)/25))/(LN(2)/25)*Calculateur!AQ144*Calculateur!AS144*VLOOKUP('Données projet'!$B$10,Paramètres!$A$1:$I$89,3,0)*0.475*44/12</f>
        <v>19.575736911836646</v>
      </c>
      <c r="AW144" s="21">
        <f>EXP(-LN(2)/2)*AW143+(1-EXP(-LN(2)/2))/(LN(2)/2)*AQ144*AT144*VLOOKUP('Données projet'!$B$10,Paramètres!$A$1:$I$89,3,0)*0.475*44/12</f>
        <v>1.4103411411206425E-2</v>
      </c>
      <c r="AX144" s="21">
        <f t="shared" si="114"/>
        <v>58.543739445133944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494.33311200000099</v>
      </c>
      <c r="BF144" s="13">
        <f t="shared" si="145"/>
        <v>110.65928847529446</v>
      </c>
      <c r="BG144" s="20">
        <f t="shared" si="115"/>
        <v>1053.6950974944727</v>
      </c>
      <c r="BH144" s="59">
        <f t="shared" si="116"/>
        <v>1347.028430827806</v>
      </c>
      <c r="BI144" s="59">
        <f ca="1">AVERAGE(OFFSET($BH$3,0,0,'Données projet'!$E$11+1,1))-AVERAGE(OFFSET($H$3,0,0,'Données projet'!$E$11+1,1))</f>
        <v>561.19833044503548</v>
      </c>
      <c r="BJ144" s="59">
        <f t="shared" si="146"/>
        <v>235.9089269943575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43.655231774527515</v>
      </c>
      <c r="BQ144" s="21">
        <f>EXP(-LN(2)/25)*BQ143+(1-EXP(-LN(2)/25))/(LN(2)/25)*Calculateur!BL144*Calculateur!BN144*VLOOKUP('Données projet'!$B$11,Paramètres!$A$1:$I$89,3,0)*0.475*44/12</f>
        <v>21.938325849472108</v>
      </c>
      <c r="BR144" s="21">
        <f>EXP(-LN(2)/2)*BR143+(1-EXP(-LN(2)/2))/(LN(2)/2)*BL144*BO144*VLOOKUP('Données projet'!$B$11,Paramètres!$A$1:$I$89,3,0)*0.475*44/12</f>
        <v>1.5805547271179603E-2</v>
      </c>
      <c r="BS144" s="22">
        <f t="shared" si="117"/>
        <v>65.609363171270815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-4.9658410716801891E-14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147.1862160897889</v>
      </c>
      <c r="CE144" s="59">
        <f t="shared" si="148"/>
        <v>147.31828668914011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7.1489362495127393</v>
      </c>
      <c r="CL144" s="21">
        <f>EXP(-LN(2)/25)*CL143+(1-EXP(-LN(2)/25))/(LN(2)/25)*Calculateur!CG144*Calculateur!CI144*VLOOKUP('Données projet'!$B$12,Paramètres!$A$1:$I$89,3,0)*0.475*44/12</f>
        <v>13.157025016560739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20.305961266073478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326.05837294177707</v>
      </c>
      <c r="T145" s="59">
        <f t="shared" si="142"/>
        <v>406.74689878702014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32.41881614239739</v>
      </c>
      <c r="AA145" s="21">
        <f>EXP(-LN(2)/25)*AA144+(1-EXP(-LN(2)/25))/(LN(2)/25)*Calculateur!V145*Calculateur!X145*VLOOKUP('Données projet'!$B$9,Paramètres!$A$1:$I$89,3,0)*0.475*44/12</f>
        <v>5.6822935097887557</v>
      </c>
      <c r="AB145" s="21">
        <f>EXP(-LN(2)/2)*AB144+(1-EXP(-LN(2)/2))/(LN(2)/2)*V145*Y145*VLOOKUP('Données projet'!$B$9,Paramètres!$A$1:$I$89,3,0)*0.475*44/12</f>
        <v>8.7884827783045511E-12</v>
      </c>
      <c r="AC145" s="22">
        <f t="shared" si="111"/>
        <v>38.101109652194936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449.37072960000086</v>
      </c>
      <c r="AK145" s="13">
        <f t="shared" si="143"/>
        <v>101.71702488172154</v>
      </c>
      <c r="AL145" s="20">
        <f t="shared" si="112"/>
        <v>959.81117238899981</v>
      </c>
      <c r="AM145" s="59">
        <f t="shared" si="113"/>
        <v>1253.1445057223332</v>
      </c>
      <c r="AN145" s="59">
        <f ca="1">AVERAGE(OFFSET($AM$3,0,0,'Données projet'!$E$10+1,1))-AVERAGE(OFFSET($H$3,0,0,'Données projet'!$E$10+1,1))</f>
        <v>490.21869105612649</v>
      </c>
      <c r="AO145" s="59">
        <f t="shared" si="144"/>
        <v>207.08773997010911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38.19003691963831</v>
      </c>
      <c r="AV145" s="21">
        <f>EXP(-LN(2)/25)*AV144+(1-EXP(-LN(2)/25))/(LN(2)/25)*Calculateur!AQ145*Calculateur!AS145*VLOOKUP('Données projet'!$B$10,Paramètres!$A$1:$I$89,3,0)*0.475*44/12</f>
        <v>19.040437356539211</v>
      </c>
      <c r="AW145" s="21">
        <f>EXP(-LN(2)/2)*AW144+(1-EXP(-LN(2)/2))/(LN(2)/2)*AQ145*AT145*VLOOKUP('Données projet'!$B$10,Paramètres!$A$1:$I$89,3,0)*0.475*44/12</f>
        <v>9.9726178467277986E-3</v>
      </c>
      <c r="AX145" s="21">
        <f t="shared" si="114"/>
        <v>57.240446894024245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503.605128000001</v>
      </c>
      <c r="BF145" s="13">
        <f t="shared" si="145"/>
        <v>112.49129485365643</v>
      </c>
      <c r="BG145" s="20">
        <f t="shared" si="115"/>
        <v>1073.0346031367867</v>
      </c>
      <c r="BH145" s="59">
        <f t="shared" si="116"/>
        <v>1366.36793647012</v>
      </c>
      <c r="BI145" s="59">
        <f ca="1">AVERAGE(OFFSET($BH$3,0,0,'Données projet'!$E$11+1,1))-AVERAGE(OFFSET($H$3,0,0,'Données projet'!$E$11+1,1))</f>
        <v>561.19833044503548</v>
      </c>
      <c r="BJ145" s="59">
        <f t="shared" si="146"/>
        <v>235.9089269943575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42.799179306491212</v>
      </c>
      <c r="BQ145" s="21">
        <f>EXP(-LN(2)/25)*BQ144+(1-EXP(-LN(2)/25))/(LN(2)/25)*Calculateur!BL145*Calculateur!BN145*VLOOKUP('Données projet'!$B$11,Paramètres!$A$1:$I$89,3,0)*0.475*44/12</f>
        <v>21.338421175431876</v>
      </c>
      <c r="BR145" s="21">
        <f>EXP(-LN(2)/2)*BR144+(1-EXP(-LN(2)/2))/(LN(2)/2)*BL145*BO145*VLOOKUP('Données projet'!$B$11,Paramètres!$A$1:$I$89,3,0)*0.475*44/12</f>
        <v>1.1176209655815629E-2</v>
      </c>
      <c r="BS145" s="22">
        <f t="shared" si="117"/>
        <v>64.148776691578902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-4.9658410716801891E-14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147.1862160897889</v>
      </c>
      <c r="CE145" s="59">
        <f t="shared" si="148"/>
        <v>147.31828668914011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7.0087499700803511</v>
      </c>
      <c r="CL145" s="21">
        <f>EXP(-LN(2)/25)*CL144+(1-EXP(-LN(2)/25))/(LN(2)/25)*Calculateur!CG145*Calculateur!CI145*VLOOKUP('Données projet'!$B$12,Paramètres!$A$1:$I$89,3,0)*0.475*44/12</f>
        <v>12.797245475585012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19.805995445665364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326.05837294177707</v>
      </c>
      <c r="T146" s="59">
        <f t="shared" si="142"/>
        <v>406.74689878702014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31.783102931370351</v>
      </c>
      <c r="AA146" s="21">
        <f>EXP(-LN(2)/25)*AA145+(1-EXP(-LN(2)/25))/(LN(2)/25)*Calculateur!V146*Calculateur!X146*VLOOKUP('Données projet'!$B$9,Paramètres!$A$1:$I$89,3,0)*0.475*44/12</f>
        <v>5.5269108949447538</v>
      </c>
      <c r="AB146" s="21">
        <f>EXP(-LN(2)/2)*AB145+(1-EXP(-LN(2)/2))/(LN(2)/2)*V146*Y146*VLOOKUP('Données projet'!$B$9,Paramètres!$A$1:$I$89,3,0)*0.475*44/12</f>
        <v>6.2143957688803375E-12</v>
      </c>
      <c r="AC146" s="22">
        <f t="shared" si="111"/>
        <v>37.310013826321324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457.64422080000088</v>
      </c>
      <c r="AK146" s="13">
        <f t="shared" si="143"/>
        <v>103.37001757568726</v>
      </c>
      <c r="AL146" s="20">
        <f t="shared" si="112"/>
        <v>977.0997985043233</v>
      </c>
      <c r="AM146" s="59">
        <f t="shared" si="113"/>
        <v>1270.4331318376567</v>
      </c>
      <c r="AN146" s="59">
        <f ca="1">AVERAGE(OFFSET($AM$3,0,0,'Données projet'!$E$10+1,1))-AVERAGE(OFFSET($H$3,0,0,'Données projet'!$E$10+1,1))</f>
        <v>490.21869105612649</v>
      </c>
      <c r="AO146" s="59">
        <f t="shared" si="144"/>
        <v>207.08773997010911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37.441153589266669</v>
      </c>
      <c r="AV146" s="21">
        <f>EXP(-LN(2)/25)*AV145+(1-EXP(-LN(2)/25))/(LN(2)/25)*Calculateur!AQ146*Calculateur!AS146*VLOOKUP('Données projet'!$B$10,Paramètres!$A$1:$I$89,3,0)*0.475*44/12</f>
        <v>18.519775595731563</v>
      </c>
      <c r="AW146" s="21">
        <f>EXP(-LN(2)/2)*AW145+(1-EXP(-LN(2)/2))/(LN(2)/2)*AQ146*AT146*VLOOKUP('Données projet'!$B$10,Paramètres!$A$1:$I$89,3,0)*0.475*44/12</f>
        <v>7.0517057056032123E-3</v>
      </c>
      <c r="AX146" s="21">
        <f t="shared" si="114"/>
        <v>55.967980890703842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512.87714400000095</v>
      </c>
      <c r="BF146" s="13">
        <f t="shared" si="145"/>
        <v>114.31937907794493</v>
      </c>
      <c r="BG146" s="20">
        <f t="shared" si="115"/>
        <v>1092.3672776940891</v>
      </c>
      <c r="BH146" s="59">
        <f t="shared" si="116"/>
        <v>1385.7006110274224</v>
      </c>
      <c r="BI146" s="59">
        <f ca="1">AVERAGE(OFFSET($BH$3,0,0,'Données projet'!$E$11+1,1))-AVERAGE(OFFSET($H$3,0,0,'Données projet'!$E$11+1,1))</f>
        <v>561.19833044503548</v>
      </c>
      <c r="BJ146" s="59">
        <f t="shared" si="146"/>
        <v>235.9089269943575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41.959913505212647</v>
      </c>
      <c r="BQ146" s="21">
        <f>EXP(-LN(2)/25)*BQ145+(1-EXP(-LN(2)/25))/(LN(2)/25)*Calculateur!BL146*Calculateur!BN146*VLOOKUP('Données projet'!$B$11,Paramètres!$A$1:$I$89,3,0)*0.475*44/12</f>
        <v>20.75492092625089</v>
      </c>
      <c r="BR146" s="21">
        <f>EXP(-LN(2)/2)*BR145+(1-EXP(-LN(2)/2))/(LN(2)/2)*BL146*BO146*VLOOKUP('Données projet'!$B$11,Paramètres!$A$1:$I$89,3,0)*0.475*44/12</f>
        <v>7.9027736355898014E-3</v>
      </c>
      <c r="BS146" s="22">
        <f t="shared" si="117"/>
        <v>62.722737205099129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-4.9658410716801891E-14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147.1862160897889</v>
      </c>
      <c r="CE146" s="59">
        <f t="shared" si="148"/>
        <v>147.31828668914011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6.8713126580824442</v>
      </c>
      <c r="CL146" s="21">
        <f>EXP(-LN(2)/25)*CL145+(1-EXP(-LN(2)/25))/(LN(2)/25)*Calculateur!CG146*Calculateur!CI146*VLOOKUP('Données projet'!$B$12,Paramètres!$A$1:$I$89,3,0)*0.475*44/12</f>
        <v>12.447304125077249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19.318616783159694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326.05837294177707</v>
      </c>
      <c r="T147" s="59">
        <f t="shared" si="142"/>
        <v>406.74689878702014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31.159855668664779</v>
      </c>
      <c r="AA147" s="21">
        <f>EXP(-LN(2)/25)*AA146+(1-EXP(-LN(2)/25))/(LN(2)/25)*Calculateur!V147*Calculateur!X147*VLOOKUP('Données projet'!$B$9,Paramètres!$A$1:$I$89,3,0)*0.475*44/12</f>
        <v>5.3757772258748773</v>
      </c>
      <c r="AB147" s="21">
        <f>EXP(-LN(2)/2)*AB146+(1-EXP(-LN(2)/2))/(LN(2)/2)*V147*Y147*VLOOKUP('Données projet'!$B$9,Paramètres!$A$1:$I$89,3,0)*0.475*44/12</f>
        <v>4.3942413891522756E-12</v>
      </c>
      <c r="AC147" s="22">
        <f t="shared" si="111"/>
        <v>36.535632894544051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465.91771200000085</v>
      </c>
      <c r="AK147" s="13">
        <f t="shared" si="143"/>
        <v>105.01953528507198</v>
      </c>
      <c r="AL147" s="20">
        <f t="shared" si="112"/>
        <v>994.38237235483496</v>
      </c>
      <c r="AM147" s="59">
        <f t="shared" si="113"/>
        <v>1287.7157056881683</v>
      </c>
      <c r="AN147" s="59">
        <f ca="1">AVERAGE(OFFSET($AM$3,0,0,'Données projet'!$E$10+1,1))-AVERAGE(OFFSET($H$3,0,0,'Données projet'!$E$10+1,1))</f>
        <v>490.21869105612649</v>
      </c>
      <c r="AO147" s="59">
        <f t="shared" si="144"/>
        <v>207.08773997010911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49.997006091476479</v>
      </c>
      <c r="AV147" s="21">
        <f>EXP(-LN(2)/25)*AV146+(1-EXP(-LN(2)/25))/(LN(2)/25)*Calculateur!AQ147*Calculateur!AS147*VLOOKUP('Données projet'!$B$10,Paramètres!$A$1:$I$89,3,0)*0.475*44/12</f>
        <v>23.30844043566745</v>
      </c>
      <c r="AW147" s="21">
        <f>EXP(-LN(2)/2)*AW146+(1-EXP(-LN(2)/2))/(LN(2)/2)*AQ147*AT147*VLOOKUP('Données projet'!$B$10,Paramètres!$A$1:$I$89,3,0)*0.475*44/12</f>
        <v>4.9863089233638993E-3</v>
      </c>
      <c r="AX147" s="21">
        <f t="shared" si="114"/>
        <v>73.310432836067292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522.14916000000096</v>
      </c>
      <c r="BF147" s="13">
        <f t="shared" si="145"/>
        <v>116.14362023352821</v>
      </c>
      <c r="BG147" s="20">
        <f t="shared" si="115"/>
        <v>1111.6932589067299</v>
      </c>
      <c r="BH147" s="59">
        <f t="shared" si="116"/>
        <v>1405.0265922400631</v>
      </c>
      <c r="BI147" s="59">
        <f ca="1">AVERAGE(OFFSET($BH$3,0,0,'Données projet'!$E$11+1,1))-AVERAGE(OFFSET($H$3,0,0,'Données projet'!$E$11+1,1))</f>
        <v>561.19833044503548</v>
      </c>
      <c r="BJ147" s="59">
        <f t="shared" si="146"/>
        <v>235.9089269943575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56.031127516309859</v>
      </c>
      <c r="BQ147" s="21">
        <f>EXP(-LN(2)/25)*BQ146+(1-EXP(-LN(2)/25))/(LN(2)/25)*Calculateur!BL147*Calculateur!BN147*VLOOKUP('Données projet'!$B$11,Paramètres!$A$1:$I$89,3,0)*0.475*44/12</f>
        <v>26.121528074454901</v>
      </c>
      <c r="BR147" s="21">
        <f>EXP(-LN(2)/2)*BR146+(1-EXP(-LN(2)/2))/(LN(2)/2)*BL147*BO147*VLOOKUP('Données projet'!$B$11,Paramètres!$A$1:$I$89,3,0)*0.475*44/12</f>
        <v>5.5881048279078143E-3</v>
      </c>
      <c r="BS147" s="22">
        <f t="shared" si="117"/>
        <v>82.158243695592674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-4.9658410716801891E-14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147.1862160897889</v>
      </c>
      <c r="CE147" s="59">
        <f t="shared" si="148"/>
        <v>147.31828668914011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6.7365704079443338</v>
      </c>
      <c r="CL147" s="21">
        <f>EXP(-LN(2)/25)*CL146+(1-EXP(-LN(2)/25))/(LN(2)/25)*Calculateur!CG147*Calculateur!CI147*VLOOKUP('Données projet'!$B$12,Paramètres!$A$1:$I$89,3,0)*0.475*44/12</f>
        <v>12.106931939201736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18.843502347146071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326.05837294177707</v>
      </c>
      <c r="T148" s="59">
        <f t="shared" si="142"/>
        <v>406.74689878702014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30.548829904637572</v>
      </c>
      <c r="AA148" s="21">
        <f>EXP(-LN(2)/25)*AA147+(1-EXP(-LN(2)/25))/(LN(2)/25)*Calculateur!V148*Calculateur!X148*VLOOKUP('Données projet'!$B$9,Paramètres!$A$1:$I$89,3,0)*0.475*44/12</f>
        <v>5.2287763149334907</v>
      </c>
      <c r="AB148" s="21">
        <f>EXP(-LN(2)/2)*AB147+(1-EXP(-LN(2)/2))/(LN(2)/2)*V148*Y148*VLOOKUP('Données projet'!$B$9,Paramètres!$A$1:$I$89,3,0)*0.475*44/12</f>
        <v>3.1071978844401688E-12</v>
      </c>
      <c r="AC148" s="22">
        <f t="shared" si="111"/>
        <v>35.777606219574167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418.44738000000081</v>
      </c>
      <c r="AK148" s="13">
        <f t="shared" si="143"/>
        <v>95.506718301246906</v>
      </c>
      <c r="AL148" s="20">
        <f t="shared" si="112"/>
        <v>895.13672120800663</v>
      </c>
      <c r="AM148" s="59">
        <f t="shared" si="113"/>
        <v>1188.47005454134</v>
      </c>
      <c r="AN148" s="59">
        <f ca="1">AVERAGE(OFFSET($AM$3,0,0,'Données projet'!$E$10+1,1))-AVERAGE(OFFSET($H$3,0,0,'Données projet'!$E$10+1,1))</f>
        <v>490.21869105612649</v>
      </c>
      <c r="AO148" s="59">
        <f t="shared" si="144"/>
        <v>207.08773997010911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49.016595297185191</v>
      </c>
      <c r="AV148" s="21">
        <f>EXP(-LN(2)/25)*AV147+(1-EXP(-LN(2)/25))/(LN(2)/25)*Calculateur!AQ148*Calculateur!AS148*VLOOKUP('Données projet'!$B$10,Paramètres!$A$1:$I$89,3,0)*0.475*44/12</f>
        <v>22.671069906216513</v>
      </c>
      <c r="AW148" s="21">
        <f>EXP(-LN(2)/2)*AW147+(1-EXP(-LN(2)/2))/(LN(2)/2)*AQ148*AT148*VLOOKUP('Données projet'!$B$10,Paramètres!$A$1:$I$89,3,0)*0.475*44/12</f>
        <v>3.5258528528016061E-3</v>
      </c>
      <c r="AX148" s="21">
        <f t="shared" si="114"/>
        <v>71.69119105625451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468.94965000000099</v>
      </c>
      <c r="BF148" s="13">
        <f t="shared" si="145"/>
        <v>105.62316801364989</v>
      </c>
      <c r="BG148" s="20">
        <f t="shared" si="115"/>
        <v>1000.7143247071086</v>
      </c>
      <c r="BH148" s="59">
        <f t="shared" si="116"/>
        <v>1294.047658040442</v>
      </c>
      <c r="BI148" s="59">
        <f ca="1">AVERAGE(OFFSET($BH$3,0,0,'Données projet'!$E$11+1,1))-AVERAGE(OFFSET($H$3,0,0,'Données projet'!$E$11+1,1))</f>
        <v>561.19833044503548</v>
      </c>
      <c r="BJ148" s="59">
        <f t="shared" si="146"/>
        <v>235.9089269943575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54.932391281328243</v>
      </c>
      <c r="BQ148" s="21">
        <f>EXP(-LN(2)/25)*BQ147+(1-EXP(-LN(2)/25))/(LN(2)/25)*Calculateur!BL148*Calculateur!BN148*VLOOKUP('Données projet'!$B$11,Paramètres!$A$1:$I$89,3,0)*0.475*44/12</f>
        <v>25.407233515587471</v>
      </c>
      <c r="BR148" s="21">
        <f>EXP(-LN(2)/2)*BR147+(1-EXP(-LN(2)/2))/(LN(2)/2)*BL148*BO148*VLOOKUP('Données projet'!$B$11,Paramètres!$A$1:$I$89,3,0)*0.475*44/12</f>
        <v>3.9513868177949007E-3</v>
      </c>
      <c r="BS148" s="22">
        <f t="shared" si="117"/>
        <v>80.343576183733504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-4.9658410716801891E-14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147.1862160897889</v>
      </c>
      <c r="CE148" s="59">
        <f t="shared" si="148"/>
        <v>147.31828668914011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6.6044703711467738</v>
      </c>
      <c r="CL148" s="21">
        <f>EXP(-LN(2)/25)*CL147+(1-EXP(-LN(2)/25))/(LN(2)/25)*Calculateur!CG148*Calculateur!CI148*VLOOKUP('Données projet'!$B$12,Paramètres!$A$1:$I$89,3,0)*0.475*44/12</f>
        <v>11.775867248648385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18.38033761979516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326.05837294177707</v>
      </c>
      <c r="T149" s="59">
        <f t="shared" si="142"/>
        <v>406.74689878702014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29.949785983154019</v>
      </c>
      <c r="AA149" s="21">
        <f>EXP(-LN(2)/25)*AA148+(1-EXP(-LN(2)/25))/(LN(2)/25)*Calculateur!V149*Calculateur!X149*VLOOKUP('Données projet'!$B$9,Paramètres!$A$1:$I$89,3,0)*0.475*44/12</f>
        <v>5.0857951516322384</v>
      </c>
      <c r="AB149" s="21">
        <f>EXP(-LN(2)/2)*AB148+(1-EXP(-LN(2)/2))/(LN(2)/2)*V149*Y149*VLOOKUP('Données projet'!$B$9,Paramètres!$A$1:$I$89,3,0)*0.475*44/12</f>
        <v>2.1971206945761378E-12</v>
      </c>
      <c r="AC149" s="22">
        <f t="shared" si="111"/>
        <v>35.035581134788451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426.89368800000079</v>
      </c>
      <c r="AK149" s="13">
        <f t="shared" si="143"/>
        <v>97.208128358788159</v>
      </c>
      <c r="AL149" s="20">
        <f t="shared" si="112"/>
        <v>912.81066349155742</v>
      </c>
      <c r="AM149" s="59">
        <f t="shared" si="113"/>
        <v>1206.1439968248908</v>
      </c>
      <c r="AN149" s="59">
        <f ca="1">AVERAGE(OFFSET($AM$3,0,0,'Données projet'!$E$10+1,1))-AVERAGE(OFFSET($H$3,0,0,'Données projet'!$E$10+1,1))</f>
        <v>490.21869105612649</v>
      </c>
      <c r="AO149" s="59">
        <f t="shared" si="144"/>
        <v>207.08773997010911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48.055409760578421</v>
      </c>
      <c r="AV149" s="21">
        <f>EXP(-LN(2)/25)*AV148+(1-EXP(-LN(2)/25))/(LN(2)/25)*Calculateur!AQ149*Calculateur!AS149*VLOOKUP('Données projet'!$B$10,Paramètres!$A$1:$I$89,3,0)*0.475*44/12</f>
        <v>22.051128307411272</v>
      </c>
      <c r="AW149" s="21">
        <f>EXP(-LN(2)/2)*AW148+(1-EXP(-LN(2)/2))/(LN(2)/2)*AQ149*AT149*VLOOKUP('Données projet'!$B$10,Paramètres!$A$1:$I$89,3,0)*0.475*44/12</f>
        <v>2.4931544616819496E-3</v>
      </c>
      <c r="AX149" s="21">
        <f t="shared" si="114"/>
        <v>70.109031222451364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478.41534000000098</v>
      </c>
      <c r="BF149" s="13">
        <f t="shared" si="145"/>
        <v>107.50479816034752</v>
      </c>
      <c r="BG149" s="20">
        <f t="shared" si="115"/>
        <v>1020.4775739626069</v>
      </c>
      <c r="BH149" s="59">
        <f t="shared" si="116"/>
        <v>1313.8109072959403</v>
      </c>
      <c r="BI149" s="59">
        <f ca="1">AVERAGE(OFFSET($BH$3,0,0,'Données projet'!$E$11+1,1))-AVERAGE(OFFSET($H$3,0,0,'Données projet'!$E$11+1,1))</f>
        <v>561.19833044503548</v>
      </c>
      <c r="BJ149" s="59">
        <f t="shared" si="146"/>
        <v>235.9089269943575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53.85520059375169</v>
      </c>
      <c r="BQ149" s="21">
        <f>EXP(-LN(2)/25)*BQ148+(1-EXP(-LN(2)/25))/(LN(2)/25)*Calculateur!BL149*Calculateur!BN149*VLOOKUP('Données projet'!$B$11,Paramètres!$A$1:$I$89,3,0)*0.475*44/12</f>
        <v>24.712471378995389</v>
      </c>
      <c r="BR149" s="21">
        <f>EXP(-LN(2)/2)*BR148+(1-EXP(-LN(2)/2))/(LN(2)/2)*BL149*BO149*VLOOKUP('Données projet'!$B$11,Paramètres!$A$1:$I$89,3,0)*0.475*44/12</f>
        <v>2.7940524139539072E-3</v>
      </c>
      <c r="BS149" s="22">
        <f t="shared" si="117"/>
        <v>78.570466025161039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-4.9658410716801891E-14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147.1862160897889</v>
      </c>
      <c r="CE149" s="59">
        <f t="shared" si="148"/>
        <v>147.31828668914011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6.4749607354977474</v>
      </c>
      <c r="CL149" s="21">
        <f>EXP(-LN(2)/25)*CL148+(1-EXP(-LN(2)/25))/(LN(2)/25)*Calculateur!CG149*Calculateur!CI149*VLOOKUP('Données projet'!$B$12,Paramètres!$A$1:$I$89,3,0)*0.475*44/12</f>
        <v>11.453855539468151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17.928816274965897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326.05837294177707</v>
      </c>
      <c r="T150" s="59">
        <f t="shared" si="142"/>
        <v>406.74689878702014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29.362488947590045</v>
      </c>
      <c r="AA150" s="21">
        <f>EXP(-LN(2)/25)*AA149+(1-EXP(-LN(2)/25))/(LN(2)/25)*Calculateur!V150*Calculateur!X150*VLOOKUP('Données projet'!$B$9,Paramètres!$A$1:$I$89,3,0)*0.475*44/12</f>
        <v>4.9467238157605111</v>
      </c>
      <c r="AB150" s="21">
        <f>EXP(-LN(2)/2)*AB149+(1-EXP(-LN(2)/2))/(LN(2)/2)*V150*Y150*VLOOKUP('Données projet'!$B$9,Paramètres!$A$1:$I$89,3,0)*0.475*44/12</f>
        <v>1.5535989422200844E-12</v>
      </c>
      <c r="AC150" s="22">
        <f t="shared" si="111"/>
        <v>34.309212763352114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435.33999600000078</v>
      </c>
      <c r="AK150" s="13">
        <f t="shared" si="143"/>
        <v>98.905624251508897</v>
      </c>
      <c r="AL150" s="20">
        <f t="shared" si="112"/>
        <v>930.4777886047126</v>
      </c>
      <c r="AM150" s="59">
        <f t="shared" si="113"/>
        <v>1223.811121938046</v>
      </c>
      <c r="AN150" s="59">
        <f ca="1">AVERAGE(OFFSET($AM$3,0,0,'Données projet'!$E$10+1,1))-AVERAGE(OFFSET($H$3,0,0,'Données projet'!$E$10+1,1))</f>
        <v>490.21869105612649</v>
      </c>
      <c r="AO150" s="59">
        <f t="shared" si="144"/>
        <v>207.08773997010911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47.113072486079218</v>
      </c>
      <c r="AV150" s="21">
        <f>EXP(-LN(2)/25)*AV149+(1-EXP(-LN(2)/25))/(LN(2)/25)*Calculateur!AQ150*Calculateur!AS150*VLOOKUP('Données projet'!$B$10,Paramètres!$A$1:$I$89,3,0)*0.475*44/12</f>
        <v>21.448139044226672</v>
      </c>
      <c r="AW150" s="21">
        <f>EXP(-LN(2)/2)*AW149+(1-EXP(-LN(2)/2))/(LN(2)/2)*AQ150*AT150*VLOOKUP('Données projet'!$B$10,Paramètres!$A$1:$I$89,3,0)*0.475*44/12</f>
        <v>1.7629264264008031E-3</v>
      </c>
      <c r="AX150" s="21">
        <f t="shared" si="114"/>
        <v>68.562974456732277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487.88103000000092</v>
      </c>
      <c r="BF150" s="13">
        <f t="shared" si="145"/>
        <v>109.38209953839079</v>
      </c>
      <c r="BG150" s="20">
        <f t="shared" si="115"/>
        <v>1040.2332839460321</v>
      </c>
      <c r="BH150" s="59">
        <f t="shared" si="116"/>
        <v>1333.5666172793653</v>
      </c>
      <c r="BI150" s="59">
        <f ca="1">AVERAGE(OFFSET($BH$3,0,0,'Données projet'!$E$11+1,1))-AVERAGE(OFFSET($H$3,0,0,'Données projet'!$E$11+1,1))</f>
        <v>561.19833044503548</v>
      </c>
      <c r="BJ150" s="59">
        <f t="shared" si="146"/>
        <v>235.9089269943575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52.799132958537065</v>
      </c>
      <c r="BQ150" s="21">
        <f>EXP(-LN(2)/25)*BQ149+(1-EXP(-LN(2)/25))/(LN(2)/25)*Calculateur!BL150*Calculateur!BN150*VLOOKUP('Données projet'!$B$11,Paramètres!$A$1:$I$89,3,0)*0.475*44/12</f>
        <v>24.036707549564372</v>
      </c>
      <c r="BR150" s="21">
        <f>EXP(-LN(2)/2)*BR149+(1-EXP(-LN(2)/2))/(LN(2)/2)*BL150*BO150*VLOOKUP('Données projet'!$B$11,Paramètres!$A$1:$I$89,3,0)*0.475*44/12</f>
        <v>1.9756934088974503E-3</v>
      </c>
      <c r="BS150" s="22">
        <f t="shared" si="117"/>
        <v>76.837816201510336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-4.9658410716801891E-14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147.1862160897889</v>
      </c>
      <c r="CE150" s="59">
        <f t="shared" si="148"/>
        <v>147.31828668914011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6.3479907048107211</v>
      </c>
      <c r="CL150" s="21">
        <f>EXP(-LN(2)/25)*CL149+(1-EXP(-LN(2)/25))/(LN(2)/25)*Calculateur!CG150*Calculateur!CI150*VLOOKUP('Données projet'!$B$12,Paramètres!$A$1:$I$89,3,0)*0.475*44/12</f>
        <v>11.14064925740931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17.488639962220031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326.05837294177707</v>
      </c>
      <c r="T151" s="59">
        <f t="shared" si="142"/>
        <v>406.74689878702014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28.786708448677661</v>
      </c>
      <c r="AA151" s="21">
        <f>EXP(-LN(2)/25)*AA150+(1-EXP(-LN(2)/25))/(LN(2)/25)*Calculateur!V151*Calculateur!X151*VLOOKUP('Données projet'!$B$9,Paramètres!$A$1:$I$89,3,0)*0.475*44/12</f>
        <v>4.8114553928816406</v>
      </c>
      <c r="AB151" s="21">
        <f>EXP(-LN(2)/2)*AB150+(1-EXP(-LN(2)/2))/(LN(2)/2)*V151*Y151*VLOOKUP('Données projet'!$B$9,Paramètres!$A$1:$I$89,3,0)*0.475*44/12</f>
        <v>1.0985603472880689E-12</v>
      </c>
      <c r="AC151" s="22">
        <f t="shared" si="111"/>
        <v>33.5981638415604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443.78630400000077</v>
      </c>
      <c r="AK151" s="13">
        <f t="shared" si="143"/>
        <v>100.59929067522565</v>
      </c>
      <c r="AL151" s="20">
        <f t="shared" si="112"/>
        <v>948.13824405935259</v>
      </c>
      <c r="AM151" s="59">
        <f t="shared" si="113"/>
        <v>1241.471577392686</v>
      </c>
      <c r="AN151" s="59">
        <f ca="1">AVERAGE(OFFSET($AM$3,0,0,'Données projet'!$E$10+1,1))-AVERAGE(OFFSET($H$3,0,0,'Données projet'!$E$10+1,1))</f>
        <v>490.21869105612649</v>
      </c>
      <c r="AO151" s="59">
        <f t="shared" si="144"/>
        <v>207.08773997010911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46.189213870763965</v>
      </c>
      <c r="AV151" s="21">
        <f>EXP(-LN(2)/25)*AV150+(1-EXP(-LN(2)/25))/(LN(2)/25)*Calculateur!AQ151*Calculateur!AS151*VLOOKUP('Données projet'!$B$10,Paramètres!$A$1:$I$89,3,0)*0.475*44/12</f>
        <v>20.861638554153682</v>
      </c>
      <c r="AW151" s="21">
        <f>EXP(-LN(2)/2)*AW150+(1-EXP(-LN(2)/2))/(LN(2)/2)*AQ151*AT151*VLOOKUP('Données projet'!$B$10,Paramètres!$A$1:$I$89,3,0)*0.475*44/12</f>
        <v>1.2465772308409748E-3</v>
      </c>
      <c r="AX151" s="21">
        <f t="shared" si="114"/>
        <v>67.052099002148495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497.34672000000091</v>
      </c>
      <c r="BF151" s="13">
        <f t="shared" si="145"/>
        <v>111.25516581491246</v>
      </c>
      <c r="BG151" s="20">
        <f t="shared" si="115"/>
        <v>1059.9816177943073</v>
      </c>
      <c r="BH151" s="59">
        <f t="shared" si="116"/>
        <v>1353.3149511276406</v>
      </c>
      <c r="BI151" s="59">
        <f ca="1">AVERAGE(OFFSET($BH$3,0,0,'Données projet'!$E$11+1,1))-AVERAGE(OFFSET($H$3,0,0,'Données projet'!$E$11+1,1))</f>
        <v>561.19833044503548</v>
      </c>
      <c r="BJ151" s="59">
        <f t="shared" si="146"/>
        <v>235.9089269943575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51.76377416551135</v>
      </c>
      <c r="BQ151" s="21">
        <f>EXP(-LN(2)/25)*BQ150+(1-EXP(-LN(2)/25))/(LN(2)/25)*Calculateur!BL151*Calculateur!BN151*VLOOKUP('Données projet'!$B$11,Paramètres!$A$1:$I$89,3,0)*0.475*44/12</f>
        <v>23.379422517586022</v>
      </c>
      <c r="BR151" s="21">
        <f>EXP(-LN(2)/2)*BR150+(1-EXP(-LN(2)/2))/(LN(2)/2)*BL151*BO151*VLOOKUP('Données projet'!$B$11,Paramètres!$A$1:$I$89,3,0)*0.475*44/12</f>
        <v>1.3970262069769536E-3</v>
      </c>
      <c r="BS151" s="22">
        <f t="shared" si="117"/>
        <v>75.144593709304345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-4.9658410716801891E-14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147.1862160897889</v>
      </c>
      <c r="CE151" s="59">
        <f t="shared" si="148"/>
        <v>147.31828668914011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6.2235104789813951</v>
      </c>
      <c r="CL151" s="21">
        <f>EXP(-LN(2)/25)*CL150+(1-EXP(-LN(2)/25))/(LN(2)/25)*Calculateur!CG151*Calculateur!CI151*VLOOKUP('Données projet'!$B$12,Paramètres!$A$1:$I$89,3,0)*0.475*44/12</f>
        <v>10.836007617604169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17.059518096585563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326.05837294177707</v>
      </c>
      <c r="T152" s="59">
        <f t="shared" si="142"/>
        <v>406.74689878702014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28.222218654157523</v>
      </c>
      <c r="AA152" s="21">
        <f>EXP(-LN(2)/25)*AA151+(1-EXP(-LN(2)/25))/(LN(2)/25)*Calculateur!V152*Calculateur!X152*VLOOKUP('Données projet'!$B$9,Paramètres!$A$1:$I$89,3,0)*0.475*44/12</f>
        <v>4.6798858921398496</v>
      </c>
      <c r="AB152" s="21">
        <f>EXP(-LN(2)/2)*AB151+(1-EXP(-LN(2)/2))/(LN(2)/2)*V152*Y152*VLOOKUP('Données projet'!$B$9,Paramètres!$A$1:$I$89,3,0)*0.475*44/12</f>
        <v>7.7679947111004219E-13</v>
      </c>
      <c r="AC152" s="22">
        <f t="shared" si="111"/>
        <v>32.902104546298148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452.2326120000007</v>
      </c>
      <c r="AK152" s="13">
        <f t="shared" si="143"/>
        <v>102.28920891735658</v>
      </c>
      <c r="AL152" s="20">
        <f t="shared" si="112"/>
        <v>965.79217143106382</v>
      </c>
      <c r="AM152" s="59">
        <f t="shared" si="113"/>
        <v>1259.1255047643972</v>
      </c>
      <c r="AN152" s="59">
        <f ca="1">AVERAGE(OFFSET($AM$3,0,0,'Données projet'!$E$10+1,1))-AVERAGE(OFFSET($H$3,0,0,'Données projet'!$E$10+1,1))</f>
        <v>490.21869105612649</v>
      </c>
      <c r="AO152" s="59">
        <f t="shared" si="144"/>
        <v>207.08773997010911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45.283471559396929</v>
      </c>
      <c r="AV152" s="21">
        <f>EXP(-LN(2)/25)*AV151+(1-EXP(-LN(2)/25))/(LN(2)/25)*Calculateur!AQ152*Calculateur!AS152*VLOOKUP('Données projet'!$B$10,Paramètres!$A$1:$I$89,3,0)*0.475*44/12</f>
        <v>20.291175950824456</v>
      </c>
      <c r="AW152" s="21">
        <f>EXP(-LN(2)/2)*AW151+(1-EXP(-LN(2)/2))/(LN(2)/2)*AQ152*AT152*VLOOKUP('Données projet'!$B$10,Paramètres!$A$1:$I$89,3,0)*0.475*44/12</f>
        <v>8.8146321320040153E-4</v>
      </c>
      <c r="AX152" s="21">
        <f t="shared" si="114"/>
        <v>65.575528973434587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506.81241000000091</v>
      </c>
      <c r="BF152" s="13">
        <f t="shared" si="145"/>
        <v>113.12408688761556</v>
      </c>
      <c r="BG152" s="20">
        <f t="shared" si="115"/>
        <v>1079.7227320792654</v>
      </c>
      <c r="BH152" s="59">
        <f t="shared" si="116"/>
        <v>1373.0560654125986</v>
      </c>
      <c r="BI152" s="59">
        <f ca="1">AVERAGE(OFFSET($BH$3,0,0,'Données projet'!$E$11+1,1))-AVERAGE(OFFSET($H$3,0,0,'Données projet'!$E$11+1,1))</f>
        <v>561.19833044503548</v>
      </c>
      <c r="BJ152" s="59">
        <f t="shared" si="146"/>
        <v>235.9089269943575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50.748718126910362</v>
      </c>
      <c r="BQ152" s="21">
        <f>EXP(-LN(2)/25)*BQ151+(1-EXP(-LN(2)/25))/(LN(2)/25)*Calculateur!BL152*Calculateur!BN152*VLOOKUP('Données projet'!$B$11,Paramètres!$A$1:$I$89,3,0)*0.475*44/12</f>
        <v>22.740110979372236</v>
      </c>
      <c r="BR152" s="21">
        <f>EXP(-LN(2)/2)*BR151+(1-EXP(-LN(2)/2))/(LN(2)/2)*BL152*BO152*VLOOKUP('Données projet'!$B$11,Paramètres!$A$1:$I$89,3,0)*0.475*44/12</f>
        <v>9.8784670444872517E-4</v>
      </c>
      <c r="BS152" s="22">
        <f t="shared" si="117"/>
        <v>73.489816952987042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-4.9658410716801891E-14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147.1862160897889</v>
      </c>
      <c r="CE152" s="59">
        <f t="shared" si="148"/>
        <v>147.31828668914011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6.1014712344551416</v>
      </c>
      <c r="CL152" s="21">
        <f>EXP(-LN(2)/25)*CL151+(1-EXP(-LN(2)/25))/(LN(2)/25)*Calculateur!CG152*Calculateur!CI152*VLOOKUP('Données projet'!$B$12,Paramètres!$A$1:$I$89,3,0)*0.475*44/12</f>
        <v>10.539696419459908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16.641167653915048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326.05837294177707</v>
      </c>
      <c r="T153" s="59">
        <f t="shared" si="142"/>
        <v>406.74689878702014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27.668798160203146</v>
      </c>
      <c r="AA153" s="21">
        <f>EXP(-LN(2)/25)*AA152+(1-EXP(-LN(2)/25))/(LN(2)/25)*Calculateur!V153*Calculateur!X153*VLOOKUP('Données projet'!$B$9,Paramètres!$A$1:$I$89,3,0)*0.475*44/12</f>
        <v>4.5519141663147824</v>
      </c>
      <c r="AB153" s="21">
        <f>EXP(-LN(2)/2)*AB152+(1-EXP(-LN(2)/2))/(LN(2)/2)*V153*Y153*VLOOKUP('Données projet'!$B$9,Paramètres!$A$1:$I$89,3,0)*0.475*44/12</f>
        <v>5.4928017364403445E-13</v>
      </c>
      <c r="AC153" s="22">
        <f t="shared" si="111"/>
        <v>32.220712326518473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460.67892000000074</v>
      </c>
      <c r="AK153" s="13">
        <f t="shared" si="143"/>
        <v>103.97545705513664</v>
      </c>
      <c r="AL153" s="20">
        <f t="shared" si="112"/>
        <v>983.43970670436431</v>
      </c>
      <c r="AM153" s="59">
        <f t="shared" si="113"/>
        <v>1276.7730400376977</v>
      </c>
      <c r="AN153" s="59">
        <f ca="1">AVERAGE(OFFSET($AM$3,0,0,'Données projet'!$E$10+1,1))-AVERAGE(OFFSET($H$3,0,0,'Données projet'!$E$10+1,1))</f>
        <v>490.21869105612649</v>
      </c>
      <c r="AO153" s="59">
        <f t="shared" si="144"/>
        <v>207.08773997010911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44.395490302307536</v>
      </c>
      <c r="AV153" s="21">
        <f>EXP(-LN(2)/25)*AV152+(1-EXP(-LN(2)/25))/(LN(2)/25)*Calculateur!AQ153*Calculateur!AS153*VLOOKUP('Données projet'!$B$10,Paramètres!$A$1:$I$89,3,0)*0.475*44/12</f>
        <v>19.736312677382596</v>
      </c>
      <c r="AW153" s="21">
        <f>EXP(-LN(2)/2)*AW152+(1-EXP(-LN(2)/2))/(LN(2)/2)*AQ153*AT153*VLOOKUP('Données projet'!$B$10,Paramètres!$A$1:$I$89,3,0)*0.475*44/12</f>
        <v>6.2328861542048741E-4</v>
      </c>
      <c r="AX153" s="21">
        <f t="shared" si="114"/>
        <v>64.132426268305551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516.2781000000009</v>
      </c>
      <c r="BF153" s="13">
        <f t="shared" si="145"/>
        <v>114.98894910398533</v>
      </c>
      <c r="BG153" s="20">
        <f t="shared" si="115"/>
        <v>1099.4567771894424</v>
      </c>
      <c r="BH153" s="59">
        <f t="shared" si="116"/>
        <v>1392.7901105227756</v>
      </c>
      <c r="BI153" s="59">
        <f ca="1">AVERAGE(OFFSET($BH$3,0,0,'Données projet'!$E$11+1,1))-AVERAGE(OFFSET($H$3,0,0,'Données projet'!$E$11+1,1))</f>
        <v>561.19833044503548</v>
      </c>
      <c r="BJ153" s="59">
        <f t="shared" si="146"/>
        <v>235.9089269943575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49.753566718103286</v>
      </c>
      <c r="BQ153" s="21">
        <f>EXP(-LN(2)/25)*BQ152+(1-EXP(-LN(2)/25))/(LN(2)/25)*Calculateur!BL153*Calculateur!BN153*VLOOKUP('Données projet'!$B$11,Paramètres!$A$1:$I$89,3,0)*0.475*44/12</f>
        <v>22.118281448790839</v>
      </c>
      <c r="BR153" s="21">
        <f>EXP(-LN(2)/2)*BR152+(1-EXP(-LN(2)/2))/(LN(2)/2)*BL153*BO153*VLOOKUP('Données projet'!$B$11,Paramètres!$A$1:$I$89,3,0)*0.475*44/12</f>
        <v>6.9851310348847679E-4</v>
      </c>
      <c r="BS153" s="22">
        <f t="shared" si="117"/>
        <v>71.872546679997612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-4.9658410716801891E-14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147.1862160897889</v>
      </c>
      <c r="CE153" s="59">
        <f t="shared" si="148"/>
        <v>147.31828668914011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5.9818251050774585</v>
      </c>
      <c r="CL153" s="21">
        <f>EXP(-LN(2)/25)*CL152+(1-EXP(-LN(2)/25))/(LN(2)/25)*Calculateur!CG153*Calculateur!CI153*VLOOKUP('Données projet'!$B$12,Paramètres!$A$1:$I$89,3,0)*0.475*44/12</f>
        <v>10.251487866611232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16.23331297168869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326.05837294177707</v>
      </c>
      <c r="T154" s="59">
        <f t="shared" si="142"/>
        <v>406.74689878702014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27.126229904582043</v>
      </c>
      <c r="AA154" s="21">
        <f>EXP(-LN(2)/25)*AA153+(1-EXP(-LN(2)/25))/(LN(2)/25)*Calculateur!V154*Calculateur!X154*VLOOKUP('Données projet'!$B$9,Paramètres!$A$1:$I$89,3,0)*0.475*44/12</f>
        <v>4.427441834062142</v>
      </c>
      <c r="AB154" s="21">
        <f>EXP(-LN(2)/2)*AB153+(1-EXP(-LN(2)/2))/(LN(2)/2)*V154*Y154*VLOOKUP('Données projet'!$B$9,Paramètres!$A$1:$I$89,3,0)*0.475*44/12</f>
        <v>3.883997355550211E-13</v>
      </c>
      <c r="AC154" s="22">
        <f t="shared" ref="AC154:AC203" si="163">SUM(Z154:AB154)</f>
        <v>31.553671738644571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469.12522800000067</v>
      </c>
      <c r="AK154" s="13">
        <f t="shared" ref="AK154:AK203" si="164">EXP(-1.0587+0.8836*LN(AJ154)+0.284)</f>
        <v>105.65811013888603</v>
      </c>
      <c r="AL154" s="20">
        <f t="shared" ref="AL154:AL203" si="165">(AJ154+AK154)*0.475*44/12</f>
        <v>1001.0809805918944</v>
      </c>
      <c r="AM154" s="59">
        <f t="shared" si="113"/>
        <v>1294.4143139252278</v>
      </c>
      <c r="AN154" s="59">
        <f ca="1">AVERAGE(OFFSET($AM$3,0,0,'Données projet'!$E$10+1,1))-AVERAGE(OFFSET($H$3,0,0,'Données projet'!$E$10+1,1))</f>
        <v>490.21869105612649</v>
      </c>
      <c r="AO154" s="59">
        <f t="shared" si="144"/>
        <v>207.08773997010911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43.524921816054579</v>
      </c>
      <c r="AV154" s="21">
        <f>EXP(-LN(2)/25)*AV153+(1-EXP(-LN(2)/25))/(LN(2)/25)*Calculateur!AQ154*Calculateur!AS154*VLOOKUP('Données projet'!$B$10,Paramètres!$A$1:$I$89,3,0)*0.475*44/12</f>
        <v>19.196622169331992</v>
      </c>
      <c r="AW154" s="21">
        <f>EXP(-LN(2)/2)*AW153+(1-EXP(-LN(2)/2))/(LN(2)/2)*AQ154*AT154*VLOOKUP('Données projet'!$B$10,Paramètres!$A$1:$I$89,3,0)*0.475*44/12</f>
        <v>4.4073160660020077E-4</v>
      </c>
      <c r="AX154" s="21">
        <f t="shared" ref="AX154:AX203" si="166">SUM(AU154:AW154)</f>
        <v>62.721984716993177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525.7437900000009</v>
      </c>
      <c r="BF154" s="13">
        <f t="shared" ref="BF154:BF203" si="167">EXP(-1.0587+0.8836*LN(BE154)+0.284)</f>
        <v>116.84983546396843</v>
      </c>
      <c r="BG154" s="20">
        <f t="shared" ref="BG154:BG203" si="168">(BE154+BF154)*0.475*44/12</f>
        <v>1119.18389768308</v>
      </c>
      <c r="BH154" s="59">
        <f t="shared" si="116"/>
        <v>1412.5172310164132</v>
      </c>
      <c r="BI154" s="59">
        <f ca="1">AVERAGE(OFFSET($BH$3,0,0,'Données projet'!$E$11+1,1))-AVERAGE(OFFSET($H$3,0,0,'Données projet'!$E$11+1,1))</f>
        <v>561.19833044503548</v>
      </c>
      <c r="BJ154" s="59">
        <f t="shared" si="146"/>
        <v>235.9089269943575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48.777929621440492</v>
      </c>
      <c r="BQ154" s="21">
        <f>EXP(-LN(2)/25)*BQ153+(1-EXP(-LN(2)/25))/(LN(2)/25)*Calculateur!BL154*Calculateur!BN154*VLOOKUP('Données projet'!$B$11,Paramètres!$A$1:$I$89,3,0)*0.475*44/12</f>
        <v>21.513455879423784</v>
      </c>
      <c r="BR154" s="21">
        <f>EXP(-LN(2)/2)*BR153+(1-EXP(-LN(2)/2))/(LN(2)/2)*BL154*BO154*VLOOKUP('Données projet'!$B$11,Paramètres!$A$1:$I$89,3,0)*0.475*44/12</f>
        <v>4.9392335222436259E-4</v>
      </c>
      <c r="BS154" s="22">
        <f t="shared" ref="BS154:BS203" si="169">SUM(BP154:BR154)</f>
        <v>70.291879424216503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-4.9658410716801891E-14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147.1862160897889</v>
      </c>
      <c r="CE154" s="59">
        <f t="shared" si="148"/>
        <v>147.31828668914011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5.8645251633199393</v>
      </c>
      <c r="CL154" s="21">
        <f>EXP(-LN(2)/25)*CL153+(1-EXP(-LN(2)/25))/(LN(2)/25)*Calculateur!CG154*Calculateur!CI154*VLOOKUP('Données projet'!$B$12,Paramètres!$A$1:$I$89,3,0)*0.475*44/12</f>
        <v>9.9711603917964311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15.83568555511637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326.05837294177707</v>
      </c>
      <c r="T155" s="59">
        <f t="shared" si="142"/>
        <v>406.74689878702014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26.594301081519713</v>
      </c>
      <c r="AA155" s="21">
        <f>EXP(-LN(2)/25)*AA154+(1-EXP(-LN(2)/25))/(LN(2)/25)*Calculateur!V155*Calculateur!X155*VLOOKUP('Données projet'!$B$9,Paramètres!$A$1:$I$89,3,0)*0.475*44/12</f>
        <v>4.3063732042806659</v>
      </c>
      <c r="AB155" s="21">
        <f>EXP(-LN(2)/2)*AB154+(1-EXP(-LN(2)/2))/(LN(2)/2)*V155*Y155*VLOOKUP('Données projet'!$B$9,Paramètres!$A$1:$I$89,3,0)*0.475*44/12</f>
        <v>2.7464008682201722E-13</v>
      </c>
      <c r="AC155" s="22">
        <f t="shared" si="163"/>
        <v>30.900674285800651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477.57153600000072</v>
      </c>
      <c r="AK155" s="13">
        <f t="shared" si="164"/>
        <v>107.3372403617045</v>
      </c>
      <c r="AL155" s="20">
        <f t="shared" si="165"/>
        <v>1018.71611882997</v>
      </c>
      <c r="AM155" s="59">
        <f t="shared" si="113"/>
        <v>1312.0494521633034</v>
      </c>
      <c r="AN155" s="59">
        <f ca="1">AVERAGE(OFFSET($AM$3,0,0,'Données projet'!$E$10+1,1))-AVERAGE(OFFSET($H$3,0,0,'Données projet'!$E$10+1,1))</f>
        <v>490.21869105612649</v>
      </c>
      <c r="AO155" s="59">
        <f t="shared" si="144"/>
        <v>207.08773997010911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42.6714246468227</v>
      </c>
      <c r="AV155" s="21">
        <f>EXP(-LN(2)/25)*AV154+(1-EXP(-LN(2)/25))/(LN(2)/25)*Calculateur!AQ155*Calculateur!AS155*VLOOKUP('Données projet'!$B$10,Paramètres!$A$1:$I$89,3,0)*0.475*44/12</f>
        <v>18.671689526605125</v>
      </c>
      <c r="AW155" s="21">
        <f>EXP(-LN(2)/2)*AW154+(1-EXP(-LN(2)/2))/(LN(2)/2)*AQ155*AT155*VLOOKUP('Données projet'!$B$10,Paramètres!$A$1:$I$89,3,0)*0.475*44/12</f>
        <v>3.1164430771024371E-4</v>
      </c>
      <c r="AX155" s="21">
        <f t="shared" si="166"/>
        <v>61.343425817735529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535.20948000000089</v>
      </c>
      <c r="BF155" s="13">
        <f t="shared" si="167"/>
        <v>118.70682580764394</v>
      </c>
      <c r="BG155" s="20">
        <f t="shared" si="168"/>
        <v>1138.9042326149813</v>
      </c>
      <c r="BH155" s="59">
        <f t="shared" si="116"/>
        <v>1432.2375659483146</v>
      </c>
      <c r="BI155" s="59">
        <f ca="1">AVERAGE(OFFSET($BH$3,0,0,'Données projet'!$E$11+1,1))-AVERAGE(OFFSET($H$3,0,0,'Données projet'!$E$11+1,1))</f>
        <v>561.19833044503548</v>
      </c>
      <c r="BJ155" s="59">
        <f t="shared" si="146"/>
        <v>235.9089269943575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47.821424173163386</v>
      </c>
      <c r="BQ155" s="21">
        <f>EXP(-LN(2)/25)*BQ154+(1-EXP(-LN(2)/25))/(LN(2)/25)*Calculateur!BL155*Calculateur!BN155*VLOOKUP('Données projet'!$B$11,Paramètres!$A$1:$I$89,3,0)*0.475*44/12</f>
        <v>20.925169297057465</v>
      </c>
      <c r="BR155" s="21">
        <f>EXP(-LN(2)/2)*BR154+(1-EXP(-LN(2)/2))/(LN(2)/2)*BL155*BO155*VLOOKUP('Données projet'!$B$11,Paramètres!$A$1:$I$89,3,0)*0.475*44/12</f>
        <v>3.492565517442384E-4</v>
      </c>
      <c r="BS155" s="22">
        <f t="shared" si="169"/>
        <v>68.746942726772602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-4.9658410716801891E-14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147.1862160897889</v>
      </c>
      <c r="CE155" s="59">
        <f t="shared" si="148"/>
        <v>147.31828668914011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5.7495254018743847</v>
      </c>
      <c r="CL155" s="21">
        <f>EXP(-LN(2)/25)*CL154+(1-EXP(-LN(2)/25))/(LN(2)/25)*Calculateur!CG155*Calculateur!CI155*VLOOKUP('Données projet'!$B$12,Paramètres!$A$1:$I$89,3,0)*0.475*44/12</f>
        <v>9.6984984865222224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15.448023888396607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326.05837294177707</v>
      </c>
      <c r="T156" s="59">
        <f t="shared" si="142"/>
        <v>406.74689878702014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26.072803058233088</v>
      </c>
      <c r="AA156" s="21">
        <f>EXP(-LN(2)/25)*AA155+(1-EXP(-LN(2)/25))/(LN(2)/25)*Calculateur!V156*Calculateur!X156*VLOOKUP('Données projet'!$B$9,Paramètres!$A$1:$I$89,3,0)*0.475*44/12</f>
        <v>4.1886152025472869</v>
      </c>
      <c r="AB156" s="21">
        <f>EXP(-LN(2)/2)*AB155+(1-EXP(-LN(2)/2))/(LN(2)/2)*V156*Y156*VLOOKUP('Données projet'!$B$9,Paramètres!$A$1:$I$89,3,0)*0.475*44/12</f>
        <v>1.9419986777751055E-13</v>
      </c>
      <c r="AC156" s="22">
        <f t="shared" si="163"/>
        <v>30.26141826078057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486.01784400000076</v>
      </c>
      <c r="AK156" s="13">
        <f t="shared" si="164"/>
        <v>109.01291721682281</v>
      </c>
      <c r="AL156" s="20">
        <f t="shared" si="165"/>
        <v>1036.3452424526342</v>
      </c>
      <c r="AM156" s="59">
        <f t="shared" si="113"/>
        <v>1329.6785757859675</v>
      </c>
      <c r="AN156" s="59">
        <f ca="1">AVERAGE(OFFSET($AM$3,0,0,'Données projet'!$E$10+1,1))-AVERAGE(OFFSET($H$3,0,0,'Données projet'!$E$10+1,1))</f>
        <v>490.21869105612649</v>
      </c>
      <c r="AO156" s="59">
        <f t="shared" si="144"/>
        <v>207.08773997010911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41.834664036497585</v>
      </c>
      <c r="AV156" s="21">
        <f>EXP(-LN(2)/25)*AV155+(1-EXP(-LN(2)/25))/(LN(2)/25)*Calculateur!AQ156*Calculateur!AS156*VLOOKUP('Données projet'!$B$10,Paramètres!$A$1:$I$89,3,0)*0.475*44/12</f>
        <v>18.161111194598629</v>
      </c>
      <c r="AW156" s="21">
        <f>EXP(-LN(2)/2)*AW155+(1-EXP(-LN(2)/2))/(LN(2)/2)*AQ156*AT156*VLOOKUP('Données projet'!$B$10,Paramètres!$A$1:$I$89,3,0)*0.475*44/12</f>
        <v>2.2036580330010038E-4</v>
      </c>
      <c r="AX156" s="21">
        <f t="shared" si="166"/>
        <v>59.995995596899519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544.67517000000089</v>
      </c>
      <c r="BF156" s="13">
        <f t="shared" si="167"/>
        <v>120.55999698924055</v>
      </c>
      <c r="BG156" s="20">
        <f t="shared" si="168"/>
        <v>1158.6179158395955</v>
      </c>
      <c r="BH156" s="59">
        <f t="shared" si="116"/>
        <v>1451.9512491729288</v>
      </c>
      <c r="BI156" s="59">
        <f ca="1">AVERAGE(OFFSET($BH$3,0,0,'Données projet'!$E$11+1,1))-AVERAGE(OFFSET($H$3,0,0,'Données projet'!$E$11+1,1))</f>
        <v>561.19833044503548</v>
      </c>
      <c r="BJ156" s="59">
        <f t="shared" si="146"/>
        <v>235.9089269943575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46.88367521331628</v>
      </c>
      <c r="BQ156" s="21">
        <f>EXP(-LN(2)/25)*BQ155+(1-EXP(-LN(2)/25))/(LN(2)/25)*Calculateur!BL156*Calculateur!BN156*VLOOKUP('Données projet'!$B$11,Paramètres!$A$1:$I$89,3,0)*0.475*44/12</f>
        <v>20.352969442222602</v>
      </c>
      <c r="BR156" s="21">
        <f>EXP(-LN(2)/2)*BR155+(1-EXP(-LN(2)/2))/(LN(2)/2)*BL156*BO156*VLOOKUP('Données projet'!$B$11,Paramètres!$A$1:$I$89,3,0)*0.475*44/12</f>
        <v>2.4696167611218129E-4</v>
      </c>
      <c r="BS156" s="22">
        <f t="shared" si="169"/>
        <v>67.236891617214994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-4.9658410716801891E-14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147.1862160897889</v>
      </c>
      <c r="CE156" s="59">
        <f t="shared" si="148"/>
        <v>147.31828668914011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5.6367807156078493</v>
      </c>
      <c r="CL156" s="21">
        <f>EXP(-LN(2)/25)*CL155+(1-EXP(-LN(2)/25))/(LN(2)/25)*Calculateur!CG156*Calculateur!CI156*VLOOKUP('Données projet'!$B$12,Paramètres!$A$1:$I$89,3,0)*0.475*44/12</f>
        <v>9.4332925353864034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15.070073250994252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326.05837294177707</v>
      </c>
      <c r="T157" s="59">
        <f t="shared" si="142"/>
        <v>406.74689878702014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25.561531293100728</v>
      </c>
      <c r="AA157" s="21">
        <f>EXP(-LN(2)/25)*AA156+(1-EXP(-LN(2)/25))/(LN(2)/25)*Calculateur!V157*Calculateur!X157*VLOOKUP('Données projet'!$B$9,Paramètres!$A$1:$I$89,3,0)*0.475*44/12</f>
        <v>4.0740772995639309</v>
      </c>
      <c r="AB157" s="21">
        <f>EXP(-LN(2)/2)*AB156+(1-EXP(-LN(2)/2))/(LN(2)/2)*V157*Y157*VLOOKUP('Données projet'!$B$9,Paramètres!$A$1:$I$89,3,0)*0.475*44/12</f>
        <v>1.3732004341100861E-13</v>
      </c>
      <c r="AC157" s="22">
        <f t="shared" si="163"/>
        <v>29.635608592664799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494.46415200000081</v>
      </c>
      <c r="AK157" s="13">
        <f t="shared" si="164"/>
        <v>110.68520764370523</v>
      </c>
      <c r="AL157" s="20">
        <f t="shared" si="165"/>
        <v>1053.9684680461214</v>
      </c>
      <c r="AM157" s="59">
        <f t="shared" si="113"/>
        <v>1347.3018013794547</v>
      </c>
      <c r="AN157" s="59">
        <f ca="1">AVERAGE(OFFSET($AM$3,0,0,'Données projet'!$E$10+1,1))-AVERAGE(OFFSET($H$3,0,0,'Données projet'!$E$10+1,1))</f>
        <v>490.21869105612649</v>
      </c>
      <c r="AO157" s="59">
        <f t="shared" si="144"/>
        <v>207.08773997010911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54.143075455710473</v>
      </c>
      <c r="AV157" s="21">
        <f>EXP(-LN(2)/25)*AV156+(1-EXP(-LN(2)/25))/(LN(2)/25)*Calculateur!AQ157*Calculateur!AS157*VLOOKUP('Données projet'!$B$10,Paramètres!$A$1:$I$89,3,0)*0.475*44/12</f>
        <v>22.895322941669175</v>
      </c>
      <c r="AW157" s="21">
        <f>EXP(-LN(2)/2)*AW156+(1-EXP(-LN(2)/2))/(LN(2)/2)*AQ157*AT157*VLOOKUP('Données projet'!$B$10,Paramètres!$A$1:$I$89,3,0)*0.475*44/12</f>
        <v>1.5582215385512185E-4</v>
      </c>
      <c r="AX157" s="21">
        <f t="shared" si="166"/>
        <v>77.038554219533509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554.140860000001</v>
      </c>
      <c r="BF157" s="13">
        <f t="shared" si="167"/>
        <v>122.40942303871579</v>
      </c>
      <c r="BG157" s="20">
        <f t="shared" si="168"/>
        <v>1178.3250762924317</v>
      </c>
      <c r="BH157" s="59">
        <f t="shared" si="116"/>
        <v>1471.658409625765</v>
      </c>
      <c r="BI157" s="59">
        <f ca="1">AVERAGE(OFFSET($BH$3,0,0,'Données projet'!$E$11+1,1))-AVERAGE(OFFSET($H$3,0,0,'Données projet'!$E$11+1,1))</f>
        <v>561.19833044503548</v>
      </c>
      <c r="BJ157" s="59">
        <f t="shared" si="146"/>
        <v>235.9089269943575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60.67758456243417</v>
      </c>
      <c r="BQ157" s="21">
        <f>EXP(-LN(2)/25)*BQ156+(1-EXP(-LN(2)/25))/(LN(2)/25)*Calculateur!BL157*Calculateur!BN157*VLOOKUP('Données projet'!$B$11,Paramètres!$A$1:$I$89,3,0)*0.475*44/12</f>
        <v>25.658551572560288</v>
      </c>
      <c r="BR157" s="21">
        <f>EXP(-LN(2)/2)*BR156+(1-EXP(-LN(2)/2))/(LN(2)/2)*BL157*BO157*VLOOKUP('Données projet'!$B$11,Paramètres!$A$1:$I$89,3,0)*0.475*44/12</f>
        <v>1.746282758721192E-4</v>
      </c>
      <c r="BS157" s="22">
        <f t="shared" si="169"/>
        <v>86.336310763270333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-4.9658410716801891E-14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147.1862160897889</v>
      </c>
      <c r="CE157" s="59">
        <f t="shared" si="148"/>
        <v>147.31828668914011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5.526246883871532</v>
      </c>
      <c r="CL157" s="21">
        <f>EXP(-LN(2)/25)*CL156+(1-EXP(-LN(2)/25))/(LN(2)/25)*Calculateur!CG157*Calculateur!CI157*VLOOKUP('Données projet'!$B$12,Paramètres!$A$1:$I$89,3,0)*0.475*44/12</f>
        <v>9.1753386549309681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14.701585538802501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326.05837294177707</v>
      </c>
      <c r="T158" s="59">
        <f t="shared" si="142"/>
        <v>406.74689878702014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25.060285255437631</v>
      </c>
      <c r="AA158" s="21">
        <f>EXP(-LN(2)/25)*AA157+(1-EXP(-LN(2)/25))/(LN(2)/25)*Calculateur!V158*Calculateur!X158*VLOOKUP('Données projet'!$B$9,Paramètres!$A$1:$I$89,3,0)*0.475*44/12</f>
        <v>3.9626714415609414</v>
      </c>
      <c r="AB158" s="21">
        <f>EXP(-LN(2)/2)*AB157+(1-EXP(-LN(2)/2))/(LN(2)/2)*V158*Y158*VLOOKUP('Données projet'!$B$9,Paramètres!$A$1:$I$89,3,0)*0.475*44/12</f>
        <v>9.7099933888755274E-14</v>
      </c>
      <c r="AC158" s="22">
        <f t="shared" si="163"/>
        <v>29.022956696998669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447.81085440000084</v>
      </c>
      <c r="AK158" s="13">
        <f t="shared" si="164"/>
        <v>101.40497625718913</v>
      </c>
      <c r="AL158" s="20">
        <f t="shared" si="165"/>
        <v>956.55090506127237</v>
      </c>
      <c r="AM158" s="59">
        <f t="shared" si="113"/>
        <v>1249.8842383946057</v>
      </c>
      <c r="AN158" s="59">
        <f ca="1">AVERAGE(OFFSET($AM$3,0,0,'Données projet'!$E$10+1,1))-AVERAGE(OFFSET($H$3,0,0,'Données projet'!$E$10+1,1))</f>
        <v>490.21869105612649</v>
      </c>
      <c r="AO158" s="59">
        <f t="shared" si="144"/>
        <v>207.08773997010911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53.081362770039171</v>
      </c>
      <c r="AV158" s="21">
        <f>EXP(-LN(2)/25)*AV157+(1-EXP(-LN(2)/25))/(LN(2)/25)*Calculateur!AQ158*Calculateur!AS158*VLOOKUP('Données projet'!$B$10,Paramètres!$A$1:$I$89,3,0)*0.475*44/12</f>
        <v>22.269249131816526</v>
      </c>
      <c r="AW158" s="21">
        <f>EXP(-LN(2)/2)*AW157+(1-EXP(-LN(2)/2))/(LN(2)/2)*AQ158*AT158*VLOOKUP('Données projet'!$B$10,Paramètres!$A$1:$I$89,3,0)*0.475*44/12</f>
        <v>1.1018290165005019E-4</v>
      </c>
      <c r="AX158" s="21">
        <f t="shared" si="166"/>
        <v>75.350722084757351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501.85699200000107</v>
      </c>
      <c r="BF158" s="13">
        <f t="shared" si="167"/>
        <v>112.14619280341684</v>
      </c>
      <c r="BG158" s="20">
        <f t="shared" si="168"/>
        <v>1069.3888801992859</v>
      </c>
      <c r="BH158" s="59">
        <f t="shared" si="116"/>
        <v>1362.7222135326192</v>
      </c>
      <c r="BI158" s="59">
        <f ca="1">AVERAGE(OFFSET($BH$3,0,0,'Données projet'!$E$11+1,1))-AVERAGE(OFFSET($H$3,0,0,'Données projet'!$E$11+1,1))</f>
        <v>561.19833044503548</v>
      </c>
      <c r="BJ158" s="59">
        <f t="shared" si="146"/>
        <v>235.9089269943575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59.48773413883702</v>
      </c>
      <c r="BQ158" s="21">
        <f>EXP(-LN(2)/25)*BQ157+(1-EXP(-LN(2)/25))/(LN(2)/25)*Calculateur!BL158*Calculateur!BN158*VLOOKUP('Données projet'!$B$11,Paramètres!$A$1:$I$89,3,0)*0.475*44/12</f>
        <v>24.956917130484044</v>
      </c>
      <c r="BR158" s="21">
        <f>EXP(-LN(2)/2)*BR157+(1-EXP(-LN(2)/2))/(LN(2)/2)*BL158*BO158*VLOOKUP('Données projet'!$B$11,Paramètres!$A$1:$I$89,3,0)*0.475*44/12</f>
        <v>1.2348083805609065E-4</v>
      </c>
      <c r="BS158" s="22">
        <f t="shared" si="169"/>
        <v>84.444774750159127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-4.9658410716801891E-14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147.1862160897889</v>
      </c>
      <c r="CE158" s="59">
        <f t="shared" si="148"/>
        <v>147.31828668914011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5.4178805531565839</v>
      </c>
      <c r="CL158" s="21">
        <f>EXP(-LN(2)/25)*CL157+(1-EXP(-LN(2)/25))/(LN(2)/25)*Calculateur!CG158*Calculateur!CI158*VLOOKUP('Données projet'!$B$12,Paramètres!$A$1:$I$89,3,0)*0.475*44/12</f>
        <v>8.9244385369017909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14.342319090058375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326.05837294177707</v>
      </c>
      <c r="T159" s="59">
        <f t="shared" si="142"/>
        <v>406.74689878702014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24.56886834684321</v>
      </c>
      <c r="AA159" s="21">
        <f>EXP(-LN(2)/25)*AA158+(1-EXP(-LN(2)/25))/(LN(2)/25)*Calculateur!V159*Calculateur!X159*VLOOKUP('Données projet'!$B$9,Paramètres!$A$1:$I$89,3,0)*0.475*44/12</f>
        <v>3.854311982603623</v>
      </c>
      <c r="AB159" s="21">
        <f>EXP(-LN(2)/2)*AB158+(1-EXP(-LN(2)/2))/(LN(2)/2)*V159*Y159*VLOOKUP('Données projet'!$B$9,Paramètres!$A$1:$I$89,3,0)*0.475*44/12</f>
        <v>6.8660021705504306E-14</v>
      </c>
      <c r="AC159" s="22">
        <f t="shared" si="163"/>
        <v>28.4231803294469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456.39559680000082</v>
      </c>
      <c r="AK159" s="13">
        <f t="shared" si="164"/>
        <v>103.12077454694855</v>
      </c>
      <c r="AL159" s="20">
        <f t="shared" si="165"/>
        <v>974.49101342927031</v>
      </c>
      <c r="AM159" s="59">
        <f t="shared" si="113"/>
        <v>1267.8243467626037</v>
      </c>
      <c r="AN159" s="59">
        <f ca="1">AVERAGE(OFFSET($AM$3,0,0,'Données projet'!$E$10+1,1))-AVERAGE(OFFSET($H$3,0,0,'Données projet'!$E$10+1,1))</f>
        <v>490.21869105612649</v>
      </c>
      <c r="AO159" s="59">
        <f t="shared" si="144"/>
        <v>207.08773997010911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52.040469622553083</v>
      </c>
      <c r="AV159" s="21">
        <f>EXP(-LN(2)/25)*AV158+(1-EXP(-LN(2)/25))/(LN(2)/25)*Calculateur!AQ159*Calculateur!AS159*VLOOKUP('Données projet'!$B$10,Paramètres!$A$1:$I$89,3,0)*0.475*44/12</f>
        <v>21.660295343218088</v>
      </c>
      <c r="AW159" s="21">
        <f>EXP(-LN(2)/2)*AW158+(1-EXP(-LN(2)/2))/(LN(2)/2)*AQ159*AT159*VLOOKUP('Données projet'!$B$10,Paramètres!$A$1:$I$89,3,0)*0.475*44/12</f>
        <v>7.7911076927560926E-5</v>
      </c>
      <c r="AX159" s="21">
        <f t="shared" si="166"/>
        <v>73.7008428768481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511.47782400000102</v>
      </c>
      <c r="BF159" s="13">
        <f t="shared" si="167"/>
        <v>114.04373524085221</v>
      </c>
      <c r="BG159" s="20">
        <f t="shared" si="168"/>
        <v>1089.4500490111525</v>
      </c>
      <c r="BH159" s="59">
        <f t="shared" si="116"/>
        <v>1382.7833823444857</v>
      </c>
      <c r="BI159" s="59">
        <f ca="1">AVERAGE(OFFSET($BH$3,0,0,'Données projet'!$E$11+1,1))-AVERAGE(OFFSET($H$3,0,0,'Données projet'!$E$11+1,1))</f>
        <v>561.19833044503548</v>
      </c>
      <c r="BJ159" s="59">
        <f t="shared" si="146"/>
        <v>235.9089269943575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58.321215956309508</v>
      </c>
      <c r="BQ159" s="21">
        <f>EXP(-LN(2)/25)*BQ158+(1-EXP(-LN(2)/25))/(LN(2)/25)*Calculateur!BL159*Calculateur!BN159*VLOOKUP('Données projet'!$B$11,Paramètres!$A$1:$I$89,3,0)*0.475*44/12</f>
        <v>24.274468919123727</v>
      </c>
      <c r="BR159" s="21">
        <f>EXP(-LN(2)/2)*BR158+(1-EXP(-LN(2)/2))/(LN(2)/2)*BL159*BO159*VLOOKUP('Données projet'!$B$11,Paramètres!$A$1:$I$89,3,0)*0.475*44/12</f>
        <v>8.7314137936059599E-5</v>
      </c>
      <c r="BS159" s="22">
        <f t="shared" si="169"/>
        <v>82.595772189571179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-4.9658410716801891E-14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147.1862160897889</v>
      </c>
      <c r="CE159" s="59">
        <f t="shared" si="148"/>
        <v>147.31828668914011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5.3116392200900204</v>
      </c>
      <c r="CL159" s="21">
        <f>EXP(-LN(2)/25)*CL158+(1-EXP(-LN(2)/25))/(LN(2)/25)*Calculateur!CG159*Calculateur!CI159*VLOOKUP('Données projet'!$B$12,Paramètres!$A$1:$I$89,3,0)*0.475*44/12</f>
        <v>8.6803992957943858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13.992038515884406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326.05837294177707</v>
      </c>
      <c r="T160" s="59">
        <f t="shared" si="142"/>
        <v>406.74689878702014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24.087087824091608</v>
      </c>
      <c r="AA160" s="21">
        <f>EXP(-LN(2)/25)*AA159+(1-EXP(-LN(2)/25))/(LN(2)/25)*Calculateur!V160*Calculateur!X160*VLOOKUP('Données projet'!$B$9,Paramètres!$A$1:$I$89,3,0)*0.475*44/12</f>
        <v>3.7489156187498689</v>
      </c>
      <c r="AB160" s="21">
        <f>EXP(-LN(2)/2)*AB159+(1-EXP(-LN(2)/2))/(LN(2)/2)*V160*Y160*VLOOKUP('Données projet'!$B$9,Paramètres!$A$1:$I$89,3,0)*0.475*44/12</f>
        <v>4.8549966944377637E-14</v>
      </c>
      <c r="AC160" s="22">
        <f t="shared" si="163"/>
        <v>27.836003442841527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464.98033920000091</v>
      </c>
      <c r="AK160" s="13">
        <f t="shared" si="164"/>
        <v>104.83282002515982</v>
      </c>
      <c r="AL160" s="20">
        <f t="shared" si="165"/>
        <v>992.4245856504881</v>
      </c>
      <c r="AM160" s="59">
        <f t="shared" si="113"/>
        <v>1285.7579189838214</v>
      </c>
      <c r="AN160" s="59">
        <f ca="1">AVERAGE(OFFSET($AM$3,0,0,'Données projet'!$E$10+1,1))-AVERAGE(OFFSET($H$3,0,0,'Données projet'!$E$10+1,1))</f>
        <v>490.21869105612649</v>
      </c>
      <c r="AO160" s="59">
        <f t="shared" si="144"/>
        <v>207.08773997010911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51.019987754807069</v>
      </c>
      <c r="AV160" s="21">
        <f>EXP(-LN(2)/25)*AV159+(1-EXP(-LN(2)/25))/(LN(2)/25)*Calculateur!AQ160*Calculateur!AS160*VLOOKUP('Données projet'!$B$10,Paramètres!$A$1:$I$89,3,0)*0.475*44/12</f>
        <v>21.067993427992363</v>
      </c>
      <c r="AW160" s="21">
        <f>EXP(-LN(2)/2)*AW159+(1-EXP(-LN(2)/2))/(LN(2)/2)*AQ160*AT160*VLOOKUP('Données projet'!$B$10,Paramètres!$A$1:$I$89,3,0)*0.475*44/12</f>
        <v>5.5091450825025096E-5</v>
      </c>
      <c r="AX160" s="21">
        <f t="shared" si="166"/>
        <v>72.088036274250257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521.09865600000103</v>
      </c>
      <c r="BF160" s="13">
        <f t="shared" si="167"/>
        <v>115.93712735408282</v>
      </c>
      <c r="BG160" s="20">
        <f t="shared" si="168"/>
        <v>1109.5039893416961</v>
      </c>
      <c r="BH160" s="59">
        <f t="shared" si="116"/>
        <v>1402.8373226750293</v>
      </c>
      <c r="BI160" s="59">
        <f ca="1">AVERAGE(OFFSET($BH$3,0,0,'Données projet'!$E$11+1,1))-AVERAGE(OFFSET($H$3,0,0,'Données projet'!$E$11+1,1))</f>
        <v>561.19833044503548</v>
      </c>
      <c r="BJ160" s="59">
        <f t="shared" si="146"/>
        <v>235.9089269943575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57.177572483835526</v>
      </c>
      <c r="BQ160" s="21">
        <f>EXP(-LN(2)/25)*BQ159+(1-EXP(-LN(2)/25))/(LN(2)/25)*Calculateur!BL160*Calculateur!BN160*VLOOKUP('Données projet'!$B$11,Paramètres!$A$1:$I$89,3,0)*0.475*44/12</f>
        <v>23.610682289991448</v>
      </c>
      <c r="BR160" s="21">
        <f>EXP(-LN(2)/2)*BR159+(1-EXP(-LN(2)/2))/(LN(2)/2)*BL160*BO160*VLOOKUP('Données projet'!$B$11,Paramètres!$A$1:$I$89,3,0)*0.475*44/12</f>
        <v>6.1740419028045323E-5</v>
      </c>
      <c r="BS160" s="22">
        <f t="shared" si="169"/>
        <v>80.788316514246006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-4.9658410716801891E-14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147.1862160897889</v>
      </c>
      <c r="CE160" s="59">
        <f t="shared" si="148"/>
        <v>147.31828668914011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5.2074812147640781</v>
      </c>
      <c r="CL160" s="21">
        <f>EXP(-LN(2)/25)*CL159+(1-EXP(-LN(2)/25))/(LN(2)/25)*Calculateur!CG160*Calculateur!CI160*VLOOKUP('Données projet'!$B$12,Paramètres!$A$1:$I$89,3,0)*0.475*44/12</f>
        <v>8.443033320568528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13.650514535332606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326.05837294177707</v>
      </c>
      <c r="T161" s="59">
        <f t="shared" si="142"/>
        <v>406.74689878702014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23.614754723534062</v>
      </c>
      <c r="AA161" s="21">
        <f>EXP(-LN(2)/25)*AA160+(1-EXP(-LN(2)/25))/(LN(2)/25)*Calculateur!V161*Calculateur!X161*VLOOKUP('Données projet'!$B$9,Paramètres!$A$1:$I$89,3,0)*0.475*44/12</f>
        <v>3.6464013240082496</v>
      </c>
      <c r="AB161" s="21">
        <f>EXP(-LN(2)/2)*AB160+(1-EXP(-LN(2)/2))/(LN(2)/2)*V161*Y161*VLOOKUP('Données projet'!$B$9,Paramètres!$A$1:$I$89,3,0)*0.475*44/12</f>
        <v>3.4330010852752153E-14</v>
      </c>
      <c r="AC161" s="22">
        <f t="shared" si="163"/>
        <v>27.261156047542347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473.56508160000089</v>
      </c>
      <c r="AK161" s="13">
        <f t="shared" si="164"/>
        <v>106.54118996921356</v>
      </c>
      <c r="AL161" s="20">
        <f t="shared" si="165"/>
        <v>1010.3517563163817</v>
      </c>
      <c r="AM161" s="59">
        <f t="shared" si="113"/>
        <v>1303.6850896497151</v>
      </c>
      <c r="AN161" s="59">
        <f ca="1">AVERAGE(OFFSET($AM$3,0,0,'Données projet'!$E$10+1,1))-AVERAGE(OFFSET($H$3,0,0,'Données projet'!$E$10+1,1))</f>
        <v>490.21869105612649</v>
      </c>
      <c r="AO161" s="59">
        <f t="shared" si="144"/>
        <v>207.08773997010911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50.019516914055075</v>
      </c>
      <c r="AV161" s="21">
        <f>EXP(-LN(2)/25)*AV160+(1-EXP(-LN(2)/25))/(LN(2)/25)*Calculateur!AQ161*Calculateur!AS161*VLOOKUP('Données projet'!$B$10,Paramètres!$A$1:$I$89,3,0)*0.475*44/12</f>
        <v>20.491888039786289</v>
      </c>
      <c r="AW161" s="21">
        <f>EXP(-LN(2)/2)*AW160+(1-EXP(-LN(2)/2))/(LN(2)/2)*AQ161*AT161*VLOOKUP('Données projet'!$B$10,Paramètres!$A$1:$I$89,3,0)*0.475*44/12</f>
        <v>3.8955538463780463E-5</v>
      </c>
      <c r="AX161" s="21">
        <f t="shared" si="166"/>
        <v>70.511443909379821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530.71948800000109</v>
      </c>
      <c r="BF161" s="13">
        <f t="shared" si="167"/>
        <v>117.82645460602643</v>
      </c>
      <c r="BG161" s="20">
        <f t="shared" si="168"/>
        <v>1129.5508500388312</v>
      </c>
      <c r="BH161" s="59">
        <f t="shared" si="116"/>
        <v>1422.8841833721644</v>
      </c>
      <c r="BI161" s="59">
        <f ca="1">AVERAGE(OFFSET($BH$3,0,0,'Données projet'!$E$11+1,1))-AVERAGE(OFFSET($H$3,0,0,'Données projet'!$E$11+1,1))</f>
        <v>561.19833044503548</v>
      </c>
      <c r="BJ161" s="59">
        <f t="shared" si="146"/>
        <v>235.9089269943575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56.05635516230312</v>
      </c>
      <c r="BQ161" s="21">
        <f>EXP(-LN(2)/25)*BQ160+(1-EXP(-LN(2)/25))/(LN(2)/25)*Calculateur!BL161*Calculateur!BN161*VLOOKUP('Données projet'!$B$11,Paramètres!$A$1:$I$89,3,0)*0.475*44/12</f>
        <v>22.965046941139814</v>
      </c>
      <c r="BR161" s="21">
        <f>EXP(-LN(2)/2)*BR160+(1-EXP(-LN(2)/2))/(LN(2)/2)*BL161*BO161*VLOOKUP('Données projet'!$B$11,Paramètres!$A$1:$I$89,3,0)*0.475*44/12</f>
        <v>4.36570689680298E-5</v>
      </c>
      <c r="BS161" s="22">
        <f t="shared" si="169"/>
        <v>79.021445760511909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-4.9658410716801891E-14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147.1862160897889</v>
      </c>
      <c r="CE161" s="59">
        <f t="shared" si="148"/>
        <v>147.31828668914011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5.1053656843924671</v>
      </c>
      <c r="CL161" s="21">
        <f>EXP(-LN(2)/25)*CL160+(1-EXP(-LN(2)/25))/(LN(2)/25)*Calculateur!CG161*Calculateur!CI161*VLOOKUP('Données projet'!$B$12,Paramètres!$A$1:$I$89,3,0)*0.475*44/12</f>
        <v>8.2121581304177553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13.317523814810222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326.05837294177707</v>
      </c>
      <c r="T162" s="59">
        <f t="shared" si="142"/>
        <v>406.74689878702014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23.151683786983707</v>
      </c>
      <c r="AA162" s="21">
        <f>EXP(-LN(2)/25)*AA161+(1-EXP(-LN(2)/25))/(LN(2)/25)*Calculateur!V162*Calculateur!X162*VLOOKUP('Données projet'!$B$9,Paramètres!$A$1:$I$89,3,0)*0.475*44/12</f>
        <v>3.5466902880473321</v>
      </c>
      <c r="AB162" s="21">
        <f>EXP(-LN(2)/2)*AB161+(1-EXP(-LN(2)/2))/(LN(2)/2)*V162*Y162*VLOOKUP('Données projet'!$B$9,Paramètres!$A$1:$I$89,3,0)*0.475*44/12</f>
        <v>2.4274983472188818E-14</v>
      </c>
      <c r="AC162" s="22">
        <f t="shared" si="163"/>
        <v>26.698374075031065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482.14982400000099</v>
      </c>
      <c r="AK162" s="13">
        <f t="shared" si="164"/>
        <v>108.24595869432409</v>
      </c>
      <c r="AL162" s="20">
        <f t="shared" si="165"/>
        <v>1028.272654859283</v>
      </c>
      <c r="AM162" s="59">
        <f t="shared" si="113"/>
        <v>1321.6059881926162</v>
      </c>
      <c r="AN162" s="59">
        <f ca="1">AVERAGE(OFFSET($AM$3,0,0,'Données projet'!$E$10+1,1))-AVERAGE(OFFSET($H$3,0,0,'Données projet'!$E$10+1,1))</f>
        <v>490.21869105612649</v>
      </c>
      <c r="AO162" s="59">
        <f t="shared" si="144"/>
        <v>207.08773997010911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49.038664696263268</v>
      </c>
      <c r="AV162" s="21">
        <f>EXP(-LN(2)/25)*AV161+(1-EXP(-LN(2)/25))/(LN(2)/25)*Calculateur!AQ162*Calculateur!AS162*VLOOKUP('Données projet'!$B$10,Paramètres!$A$1:$I$89,3,0)*0.475*44/12</f>
        <v>19.931536283716778</v>
      </c>
      <c r="AW162" s="21">
        <f>EXP(-LN(2)/2)*AW161+(1-EXP(-LN(2)/2))/(LN(2)/2)*AQ162*AT162*VLOOKUP('Données projet'!$B$10,Paramètres!$A$1:$I$89,3,0)*0.475*44/12</f>
        <v>2.7545725412512548E-5</v>
      </c>
      <c r="AX162" s="21">
        <f t="shared" si="166"/>
        <v>68.970228525705465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540.34032000000116</v>
      </c>
      <c r="BF162" s="13">
        <f t="shared" si="167"/>
        <v>119.71179918365929</v>
      </c>
      <c r="BG162" s="20">
        <f t="shared" si="168"/>
        <v>1149.5907742448753</v>
      </c>
      <c r="BH162" s="59">
        <f t="shared" si="116"/>
        <v>1442.9241075782086</v>
      </c>
      <c r="BI162" s="59">
        <f ca="1">AVERAGE(OFFSET($BH$3,0,0,'Données projet'!$E$11+1,1))-AVERAGE(OFFSET($H$3,0,0,'Données projet'!$E$11+1,1))</f>
        <v>561.19833044503548</v>
      </c>
      <c r="BJ162" s="59">
        <f t="shared" si="146"/>
        <v>235.9089269943575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54.957124228570926</v>
      </c>
      <c r="BQ162" s="21">
        <f>EXP(-LN(2)/25)*BQ161+(1-EXP(-LN(2)/25))/(LN(2)/25)*Calculateur!BL162*Calculateur!BN162*VLOOKUP('Données projet'!$B$11,Paramètres!$A$1:$I$89,3,0)*0.475*44/12</f>
        <v>22.337066524855015</v>
      </c>
      <c r="BR162" s="21">
        <f>EXP(-LN(2)/2)*BR161+(1-EXP(-LN(2)/2))/(LN(2)/2)*BL162*BO162*VLOOKUP('Données projet'!$B$11,Paramètres!$A$1:$I$89,3,0)*0.475*44/12</f>
        <v>3.0870209514022662E-5</v>
      </c>
      <c r="BS162" s="22">
        <f t="shared" si="169"/>
        <v>77.294221623635451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-4.9658410716801891E-14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147.1862160897889</v>
      </c>
      <c r="CE162" s="59">
        <f t="shared" si="148"/>
        <v>147.31828668914011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5.0052525772871199</v>
      </c>
      <c r="CL162" s="21">
        <f>EXP(-LN(2)/25)*CL161+(1-EXP(-LN(2)/25))/(LN(2)/25)*Calculateur!CG162*Calculateur!CI162*VLOOKUP('Données projet'!$B$12,Paramètres!$A$1:$I$89,3,0)*0.475*44/12</f>
        <v>7.9875962344828553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12.992848811769974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326.05837294177707</v>
      </c>
      <c r="T163" s="59">
        <f t="shared" si="142"/>
        <v>406.74689878702014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22.697693389053722</v>
      </c>
      <c r="AA163" s="21">
        <f>EXP(-LN(2)/25)*AA162+(1-EXP(-LN(2)/25))/(LN(2)/25)*Calculateur!V163*Calculateur!X163*VLOOKUP('Données projet'!$B$9,Paramètres!$A$1:$I$89,3,0)*0.475*44/12</f>
        <v>3.4497058556083418</v>
      </c>
      <c r="AB163" s="21">
        <f>EXP(-LN(2)/2)*AB162+(1-EXP(-LN(2)/2))/(LN(2)/2)*V163*Y163*VLOOKUP('Données projet'!$B$9,Paramètres!$A$1:$I$89,3,0)*0.475*44/12</f>
        <v>1.7165005426376076E-14</v>
      </c>
      <c r="AC163" s="22">
        <f t="shared" si="163"/>
        <v>26.147399244662083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490.73456640000109</v>
      </c>
      <c r="AK163" s="13">
        <f t="shared" si="164"/>
        <v>109.94719771775897</v>
      </c>
      <c r="AL163" s="20">
        <f t="shared" si="165"/>
        <v>1046.1874058384321</v>
      </c>
      <c r="AM163" s="59">
        <f t="shared" si="113"/>
        <v>1339.5207391717654</v>
      </c>
      <c r="AN163" s="59">
        <f ca="1">AVERAGE(OFFSET($AM$3,0,0,'Données projet'!$E$10+1,1))-AVERAGE(OFFSET($H$3,0,0,'Données projet'!$E$10+1,1))</f>
        <v>490.21869105612649</v>
      </c>
      <c r="AO163" s="59">
        <f t="shared" si="144"/>
        <v>207.08773997010911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48.077046392201581</v>
      </c>
      <c r="AV163" s="21">
        <f>EXP(-LN(2)/25)*AV162+(1-EXP(-LN(2)/25))/(LN(2)/25)*Calculateur!AQ163*Calculateur!AS163*VLOOKUP('Données projet'!$B$10,Paramètres!$A$1:$I$89,3,0)*0.475*44/12</f>
        <v>19.386507375884602</v>
      </c>
      <c r="AW163" s="21">
        <f>EXP(-LN(2)/2)*AW162+(1-EXP(-LN(2)/2))/(LN(2)/2)*AQ163*AT163*VLOOKUP('Données projet'!$B$10,Paramètres!$A$1:$I$89,3,0)*0.475*44/12</f>
        <v>1.9477769231890232E-5</v>
      </c>
      <c r="AX163" s="21">
        <f t="shared" si="166"/>
        <v>67.463573245855414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549.96115200000122</v>
      </c>
      <c r="BF163" s="13">
        <f t="shared" si="167"/>
        <v>121.59324017964097</v>
      </c>
      <c r="BG163" s="20">
        <f t="shared" si="168"/>
        <v>1169.6238997128767</v>
      </c>
      <c r="BH163" s="59">
        <f t="shared" si="116"/>
        <v>1462.9572330462099</v>
      </c>
      <c r="BI163" s="59">
        <f ca="1">AVERAGE(OFFSET($BH$3,0,0,'Données projet'!$E$11+1,1))-AVERAGE(OFFSET($H$3,0,0,'Données projet'!$E$11+1,1))</f>
        <v>561.19833044503548</v>
      </c>
      <c r="BJ163" s="59">
        <f t="shared" si="146"/>
        <v>235.9089269943575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53.879448542984555</v>
      </c>
      <c r="BQ163" s="21">
        <f>EXP(-LN(2)/25)*BQ162+(1-EXP(-LN(2)/25))/(LN(2)/25)*Calculateur!BL163*Calculateur!BN163*VLOOKUP('Données projet'!$B$11,Paramètres!$A$1:$I$89,3,0)*0.475*44/12</f>
        <v>21.726258266077579</v>
      </c>
      <c r="BR163" s="21">
        <f>EXP(-LN(2)/2)*BR162+(1-EXP(-LN(2)/2))/(LN(2)/2)*BL163*BO163*VLOOKUP('Données projet'!$B$11,Paramètres!$A$1:$I$89,3,0)*0.475*44/12</f>
        <v>2.18285344840149E-5</v>
      </c>
      <c r="BS163" s="22">
        <f t="shared" si="169"/>
        <v>75.605728637596613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-4.9658410716801891E-14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147.1862160897889</v>
      </c>
      <c r="CE163" s="59">
        <f t="shared" si="148"/>
        <v>147.31828668914011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4.9071026271491425</v>
      </c>
      <c r="CL163" s="21">
        <f>EXP(-LN(2)/25)*CL162+(1-EXP(-LN(2)/25))/(LN(2)/25)*Calculateur!CG163*Calculateur!CI163*VLOOKUP('Données projet'!$B$12,Paramètres!$A$1:$I$89,3,0)*0.475*44/12</f>
        <v>7.7691749954014915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12.676277622550634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326.05837294177707</v>
      </c>
      <c r="T164" s="59">
        <f t="shared" si="142"/>
        <v>406.74689878702014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22.252605465920343</v>
      </c>
      <c r="AA164" s="21">
        <f>EXP(-LN(2)/25)*AA163+(1-EXP(-LN(2)/25))/(LN(2)/25)*Calculateur!V164*Calculateur!X164*VLOOKUP('Données projet'!$B$9,Paramètres!$A$1:$I$89,3,0)*0.475*44/12</f>
        <v>3.355373467574585</v>
      </c>
      <c r="AB164" s="21">
        <f>EXP(-LN(2)/2)*AB163+(1-EXP(-LN(2)/2))/(LN(2)/2)*V164*Y164*VLOOKUP('Données projet'!$B$9,Paramètres!$A$1:$I$89,3,0)*0.475*44/12</f>
        <v>1.2137491736094409E-14</v>
      </c>
      <c r="AC164" s="22">
        <f t="shared" si="163"/>
        <v>25.607978933494937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499.31930880000107</v>
      </c>
      <c r="AK164" s="13">
        <f t="shared" si="164"/>
        <v>111.64497591125094</v>
      </c>
      <c r="AL164" s="20">
        <f t="shared" si="165"/>
        <v>1064.0961292054305</v>
      </c>
      <c r="AM164" s="59">
        <f t="shared" si="113"/>
        <v>1357.4294625387638</v>
      </c>
      <c r="AN164" s="59">
        <f ca="1">AVERAGE(OFFSET($AM$3,0,0,'Données projet'!$E$10+1,1))-AVERAGE(OFFSET($H$3,0,0,'Données projet'!$E$10+1,1))</f>
        <v>490.21869105612649</v>
      </c>
      <c r="AO164" s="59">
        <f t="shared" si="144"/>
        <v>207.08773997010911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47.134284836553292</v>
      </c>
      <c r="AV164" s="21">
        <f>EXP(-LN(2)/25)*AV163+(1-EXP(-LN(2)/25))/(LN(2)/25)*Calculateur!AQ164*Calculateur!AS164*VLOOKUP('Données projet'!$B$10,Paramètres!$A$1:$I$89,3,0)*0.475*44/12</f>
        <v>18.856382312198924</v>
      </c>
      <c r="AW164" s="21">
        <f>EXP(-LN(2)/2)*AW163+(1-EXP(-LN(2)/2))/(LN(2)/2)*AQ164*AT164*VLOOKUP('Données projet'!$B$10,Paramètres!$A$1:$I$89,3,0)*0.475*44/12</f>
        <v>1.3772862706256274E-5</v>
      </c>
      <c r="AX164" s="21">
        <f t="shared" si="166"/>
        <v>65.99068092161491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559.58198400000128</v>
      </c>
      <c r="BF164" s="13">
        <f t="shared" si="167"/>
        <v>123.47085376087081</v>
      </c>
      <c r="BG164" s="20">
        <f t="shared" si="168"/>
        <v>1189.6503591001856</v>
      </c>
      <c r="BH164" s="59">
        <f t="shared" si="116"/>
        <v>1482.9836924335189</v>
      </c>
      <c r="BI164" s="59">
        <f ca="1">AVERAGE(OFFSET($BH$3,0,0,'Données projet'!$E$11+1,1))-AVERAGE(OFFSET($H$3,0,0,'Données projet'!$E$11+1,1))</f>
        <v>561.19833044503548</v>
      </c>
      <c r="BJ164" s="59">
        <f t="shared" si="146"/>
        <v>235.9089269943575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52.822905420275269</v>
      </c>
      <c r="BQ164" s="21">
        <f>EXP(-LN(2)/25)*BQ163+(1-EXP(-LN(2)/25))/(LN(2)/25)*Calculateur!BL164*Calculateur!BN164*VLOOKUP('Données projet'!$B$11,Paramètres!$A$1:$I$89,3,0)*0.475*44/12</f>
        <v>21.132152591257423</v>
      </c>
      <c r="BR164" s="21">
        <f>EXP(-LN(2)/2)*BR163+(1-EXP(-LN(2)/2))/(LN(2)/2)*BL164*BO164*VLOOKUP('Données projet'!$B$11,Paramètres!$A$1:$I$89,3,0)*0.475*44/12</f>
        <v>1.5435104757011331E-5</v>
      </c>
      <c r="BS164" s="22">
        <f t="shared" si="169"/>
        <v>73.955073446637442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-4.9658410716801891E-14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147.1862160897889</v>
      </c>
      <c r="CE164" s="59">
        <f t="shared" si="148"/>
        <v>147.31828668914011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4.8108773376678124</v>
      </c>
      <c r="CL164" s="21">
        <f>EXP(-LN(2)/25)*CL163+(1-EXP(-LN(2)/25))/(LN(2)/25)*Calculateur!CG164*Calculateur!CI164*VLOOKUP('Données projet'!$B$12,Paramètres!$A$1:$I$89,3,0)*0.475*44/12</f>
        <v>7.5567264965890812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12.367603834256894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326.05837294177707</v>
      </c>
      <c r="T165" s="59">
        <f t="shared" si="142"/>
        <v>406.74689878702014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21.816245445482782</v>
      </c>
      <c r="AA165" s="21">
        <f>EXP(-LN(2)/25)*AA164+(1-EXP(-LN(2)/25))/(LN(2)/25)*Calculateur!V165*Calculateur!X165*VLOOKUP('Données projet'!$B$9,Paramètres!$A$1:$I$89,3,0)*0.475*44/12</f>
        <v>3.2636206036523361</v>
      </c>
      <c r="AB165" s="21">
        <f>EXP(-LN(2)/2)*AB164+(1-EXP(-LN(2)/2))/(LN(2)/2)*V165*Y165*VLOOKUP('Données projet'!$B$9,Paramètres!$A$1:$I$89,3,0)*0.475*44/12</f>
        <v>8.5825027131880382E-15</v>
      </c>
      <c r="AC165" s="22">
        <f t="shared" si="163"/>
        <v>25.079866049135124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507.90405120000116</v>
      </c>
      <c r="AK165" s="13">
        <f t="shared" si="164"/>
        <v>113.33935964263163</v>
      </c>
      <c r="AL165" s="20">
        <f t="shared" si="165"/>
        <v>1081.9989405509189</v>
      </c>
      <c r="AM165" s="59">
        <f t="shared" si="113"/>
        <v>1375.3322738842521</v>
      </c>
      <c r="AN165" s="59">
        <f ca="1">AVERAGE(OFFSET($AM$3,0,0,'Données projet'!$E$10+1,1))-AVERAGE(OFFSET($H$3,0,0,'Données projet'!$E$10+1,1))</f>
        <v>490.21869105612649</v>
      </c>
      <c r="AO165" s="59">
        <f t="shared" si="144"/>
        <v>207.08773997010911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46.210010259983498</v>
      </c>
      <c r="AV165" s="21">
        <f>EXP(-LN(2)/25)*AV164+(1-EXP(-LN(2)/25))/(LN(2)/25)*Calculateur!AQ165*Calculateur!AS165*VLOOKUP('Données projet'!$B$10,Paramètres!$A$1:$I$89,3,0)*0.475*44/12</f>
        <v>18.340753546257798</v>
      </c>
      <c r="AW165" s="21">
        <f>EXP(-LN(2)/2)*AW164+(1-EXP(-LN(2)/2))/(LN(2)/2)*AQ165*AT165*VLOOKUP('Données projet'!$B$10,Paramètres!$A$1:$I$89,3,0)*0.475*44/12</f>
        <v>9.7388846159451158E-6</v>
      </c>
      <c r="AX165" s="21">
        <f t="shared" si="166"/>
        <v>64.550773545125907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569.20281600000135</v>
      </c>
      <c r="BF165" s="13">
        <f t="shared" si="167"/>
        <v>125.34471332512402</v>
      </c>
      <c r="BG165" s="20">
        <f t="shared" si="168"/>
        <v>1209.6702802412601</v>
      </c>
      <c r="BH165" s="59">
        <f t="shared" si="116"/>
        <v>1503.0036135745934</v>
      </c>
      <c r="BI165" s="59">
        <f ca="1">AVERAGE(OFFSET($BH$3,0,0,'Données projet'!$E$11+1,1))-AVERAGE(OFFSET($H$3,0,0,'Données projet'!$E$11+1,1))</f>
        <v>561.19833044503548</v>
      </c>
      <c r="BJ165" s="59">
        <f t="shared" si="146"/>
        <v>235.9089269943575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51.787080463774636</v>
      </c>
      <c r="BQ165" s="21">
        <f>EXP(-LN(2)/25)*BQ164+(1-EXP(-LN(2)/25))/(LN(2)/25)*Calculateur!BL165*Calculateur!BN165*VLOOKUP('Données projet'!$B$11,Paramètres!$A$1:$I$89,3,0)*0.475*44/12</f>
        <v>20.554292767357882</v>
      </c>
      <c r="BR165" s="21">
        <f>EXP(-LN(2)/2)*BR164+(1-EXP(-LN(2)/2))/(LN(2)/2)*BL165*BO165*VLOOKUP('Données projet'!$B$11,Paramètres!$A$1:$I$89,3,0)*0.475*44/12</f>
        <v>1.091426724200745E-5</v>
      </c>
      <c r="BS165" s="22">
        <f t="shared" si="169"/>
        <v>72.341384145399758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-4.9658410716801891E-14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147.1862160897889</v>
      </c>
      <c r="CE165" s="59">
        <f t="shared" si="148"/>
        <v>147.31828668914011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4.7165389674215801</v>
      </c>
      <c r="CL165" s="21">
        <f>EXP(-LN(2)/25)*CL164+(1-EXP(-LN(2)/25))/(LN(2)/25)*Calculateur!CG165*Calculateur!CI165*VLOOKUP('Données projet'!$B$12,Paramètres!$A$1:$I$89,3,0)*0.475*44/12</f>
        <v>7.3500874131488771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12.066626380570458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326.05837294177707</v>
      </c>
      <c r="T166" s="59">
        <f t="shared" si="142"/>
        <v>406.74689878702014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21.388442178892667</v>
      </c>
      <c r="AA166" s="21">
        <f>EXP(-LN(2)/25)*AA165+(1-EXP(-LN(2)/25))/(LN(2)/25)*Calculateur!V166*Calculateur!X166*VLOOKUP('Données projet'!$B$9,Paramètres!$A$1:$I$89,3,0)*0.475*44/12</f>
        <v>3.1743767266191143</v>
      </c>
      <c r="AB166" s="21">
        <f>EXP(-LN(2)/2)*AB165+(1-EXP(-LN(2)/2))/(LN(2)/2)*V166*Y166*VLOOKUP('Données projet'!$B$9,Paramètres!$A$1:$I$89,3,0)*0.475*44/12</f>
        <v>6.0687458680472046E-15</v>
      </c>
      <c r="AC166" s="22">
        <f t="shared" si="163"/>
        <v>24.56281890551179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516.48879360000115</v>
      </c>
      <c r="AK166" s="13">
        <f t="shared" si="164"/>
        <v>115.03041290761819</v>
      </c>
      <c r="AL166" s="20">
        <f t="shared" si="165"/>
        <v>1099.8959513341035</v>
      </c>
      <c r="AM166" s="59">
        <f t="shared" si="113"/>
        <v>1393.2292846674368</v>
      </c>
      <c r="AN166" s="59">
        <f ca="1">AVERAGE(OFFSET($AM$3,0,0,'Données projet'!$E$10+1,1))-AVERAGE(OFFSET($H$3,0,0,'Données projet'!$E$10+1,1))</f>
        <v>490.21869105612649</v>
      </c>
      <c r="AO166" s="59">
        <f t="shared" si="144"/>
        <v>207.08773997010911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45.303860144108413</v>
      </c>
      <c r="AV166" s="21">
        <f>EXP(-LN(2)/25)*AV165+(1-EXP(-LN(2)/25))/(LN(2)/25)*Calculateur!AQ166*Calculateur!AS166*VLOOKUP('Données projet'!$B$10,Paramètres!$A$1:$I$89,3,0)*0.475*44/12</f>
        <v>17.839224676037066</v>
      </c>
      <c r="AW166" s="21">
        <f>EXP(-LN(2)/2)*AW165+(1-EXP(-LN(2)/2))/(LN(2)/2)*AQ166*AT166*VLOOKUP('Données projet'!$B$10,Paramètres!$A$1:$I$89,3,0)*0.475*44/12</f>
        <v>6.886431353128137E-6</v>
      </c>
      <c r="AX166" s="21">
        <f t="shared" si="166"/>
        <v>63.143091706576826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578.82364800000141</v>
      </c>
      <c r="BF166" s="13">
        <f t="shared" si="167"/>
        <v>127.21488964679713</v>
      </c>
      <c r="BG166" s="20">
        <f t="shared" si="168"/>
        <v>1229.6837864015072</v>
      </c>
      <c r="BH166" s="59">
        <f t="shared" si="116"/>
        <v>1523.0171197348404</v>
      </c>
      <c r="BI166" s="59">
        <f ca="1">AVERAGE(OFFSET($BH$3,0,0,'Données projet'!$E$11+1,1))-AVERAGE(OFFSET($H$3,0,0,'Données projet'!$E$11+1,1))</f>
        <v>561.19833044503548</v>
      </c>
      <c r="BJ166" s="59">
        <f t="shared" si="146"/>
        <v>235.9089269943575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50.771567402880144</v>
      </c>
      <c r="BQ166" s="21">
        <f>EXP(-LN(2)/25)*BQ165+(1-EXP(-LN(2)/25))/(LN(2)/25)*Calculateur!BL166*Calculateur!BN166*VLOOKUP('Données projet'!$B$11,Paramètres!$A$1:$I$89,3,0)*0.475*44/12</f>
        <v>19.992234550731201</v>
      </c>
      <c r="BR166" s="21">
        <f>EXP(-LN(2)/2)*BR165+(1-EXP(-LN(2)/2))/(LN(2)/2)*BL166*BO166*VLOOKUP('Données projet'!$B$11,Paramètres!$A$1:$I$89,3,0)*0.475*44/12</f>
        <v>7.7175523785056654E-6</v>
      </c>
      <c r="BS166" s="22">
        <f t="shared" si="169"/>
        <v>70.763809671163727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-4.9658410716801891E-14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147.1862160897889</v>
      </c>
      <c r="CE166" s="59">
        <f t="shared" si="148"/>
        <v>147.31828668914011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4.6240505150751519</v>
      </c>
      <c r="CL166" s="21">
        <f>EXP(-LN(2)/25)*CL165+(1-EXP(-LN(2)/25))/(LN(2)/25)*Calculateur!CG166*Calculateur!CI166*VLOOKUP('Données projet'!$B$12,Paramètres!$A$1:$I$89,3,0)*0.475*44/12</f>
        <v>7.1490988863120233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11.773149401387176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326.05837294177707</v>
      </c>
      <c r="T167" s="59">
        <f t="shared" si="142"/>
        <v>406.74689878702014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20.96902787342616</v>
      </c>
      <c r="AA167" s="21">
        <f>EXP(-LN(2)/25)*AA166+(1-EXP(-LN(2)/25))/(LN(2)/25)*Calculateur!V167*Calculateur!X167*VLOOKUP('Données projet'!$B$9,Paramètres!$A$1:$I$89,3,0)*0.475*44/12</f>
        <v>3.0875732280964976</v>
      </c>
      <c r="AB167" s="21">
        <f>EXP(-LN(2)/2)*AB166+(1-EXP(-LN(2)/2))/(LN(2)/2)*V167*Y167*VLOOKUP('Données projet'!$B$9,Paramètres!$A$1:$I$89,3,0)*0.475*44/12</f>
        <v>4.2912513565940191E-15</v>
      </c>
      <c r="AC167" s="22">
        <f t="shared" si="163"/>
        <v>24.056601101522663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525.07353600000124</v>
      </c>
      <c r="AK167" s="13">
        <f t="shared" si="164"/>
        <v>116.71819745258949</v>
      </c>
      <c r="AL167" s="20">
        <f t="shared" si="165"/>
        <v>1117.7872690965953</v>
      </c>
      <c r="AM167" s="59">
        <f t="shared" si="113"/>
        <v>1411.1206024299286</v>
      </c>
      <c r="AN167" s="59">
        <f ca="1">AVERAGE(OFFSET($AM$3,0,0,'Données projet'!$E$10+1,1))-AVERAGE(OFFSET($H$3,0,0,'Données projet'!$E$10+1,1))</f>
        <v>490.21869105612649</v>
      </c>
      <c r="AO167" s="59">
        <f t="shared" si="144"/>
        <v>207.08773997010911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58.613038082092139</v>
      </c>
      <c r="AV167" s="21">
        <f>EXP(-LN(2)/25)*AV166+(1-EXP(-LN(2)/25))/(LN(2)/25)*Calculateur!AQ167*Calculateur!AS167*VLOOKUP('Données projet'!$B$10,Paramètres!$A$1:$I$89,3,0)*0.475*44/12</f>
        <v>23.008073260464958</v>
      </c>
      <c r="AW167" s="21">
        <f>EXP(-LN(2)/2)*AW166+(1-EXP(-LN(2)/2))/(LN(2)/2)*AQ167*AT167*VLOOKUP('Données projet'!$B$10,Paramètres!$A$1:$I$89,3,0)*0.475*44/12</f>
        <v>4.8694423079725579E-6</v>
      </c>
      <c r="AX167" s="21">
        <f t="shared" si="166"/>
        <v>81.621116211999407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588.44448000000148</v>
      </c>
      <c r="BF167" s="13">
        <f t="shared" si="167"/>
        <v>129.08145101269025</v>
      </c>
      <c r="BG167" s="20">
        <f t="shared" si="168"/>
        <v>1249.6909965137713</v>
      </c>
      <c r="BH167" s="59">
        <f t="shared" si="116"/>
        <v>1543.0243298471046</v>
      </c>
      <c r="BI167" s="59">
        <f ca="1">AVERAGE(OFFSET($BH$3,0,0,'Données projet'!$E$11+1,1))-AVERAGE(OFFSET($H$3,0,0,'Données projet'!$E$11+1,1))</f>
        <v>561.19833044503548</v>
      </c>
      <c r="BJ167" s="59">
        <f t="shared" si="146"/>
        <v>235.9089269943575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65.687025436827426</v>
      </c>
      <c r="BQ167" s="21">
        <f>EXP(-LN(2)/25)*BQ166+(1-EXP(-LN(2)/25))/(LN(2)/25)*Calculateur!BL167*Calculateur!BN167*VLOOKUP('Données projet'!$B$11,Paramètres!$A$1:$I$89,3,0)*0.475*44/12</f>
        <v>25.784909688452114</v>
      </c>
      <c r="BR167" s="21">
        <f>EXP(-LN(2)/2)*BR166+(1-EXP(-LN(2)/2))/(LN(2)/2)*BL167*BO167*VLOOKUP('Données projet'!$B$11,Paramètres!$A$1:$I$89,3,0)*0.475*44/12</f>
        <v>5.4571336210037249E-6</v>
      </c>
      <c r="BS167" s="22">
        <f t="shared" si="169"/>
        <v>91.471940582413168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-4.9658410716801891E-14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147.1862160897889</v>
      </c>
      <c r="CE167" s="59">
        <f t="shared" si="148"/>
        <v>147.31828668914011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4.5333757048668515</v>
      </c>
      <c r="CL167" s="21">
        <f>EXP(-LN(2)/25)*CL166+(1-EXP(-LN(2)/25))/(LN(2)/25)*Calculateur!CG167*Calculateur!CI167*VLOOKUP('Données projet'!$B$12,Paramètres!$A$1:$I$89,3,0)*0.475*44/12</f>
        <v>6.9536064013110499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11.486982106177901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326.05837294177707</v>
      </c>
      <c r="T168" s="59">
        <f t="shared" si="142"/>
        <v>406.74689878702014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20.557838026672385</v>
      </c>
      <c r="AA168" s="21">
        <f>EXP(-LN(2)/25)*AA167+(1-EXP(-LN(2)/25))/(LN(2)/25)*Calculateur!V168*Calculateur!X168*VLOOKUP('Données projet'!$B$9,Paramètres!$A$1:$I$89,3,0)*0.475*44/12</f>
        <v>3.0031433758057795</v>
      </c>
      <c r="AB168" s="21">
        <f>EXP(-LN(2)/2)*AB167+(1-EXP(-LN(2)/2))/(LN(2)/2)*V168*Y168*VLOOKUP('Données projet'!$B$9,Paramètres!$A$1:$I$89,3,0)*0.475*44/12</f>
        <v>3.0343729340236023E-15</v>
      </c>
      <c r="AC168" s="22">
        <f t="shared" si="163"/>
        <v>23.56098140247817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474.04462560000115</v>
      </c>
      <c r="AK168" s="13">
        <f t="shared" si="164"/>
        <v>106.63651269520395</v>
      </c>
      <c r="AL168" s="20">
        <f t="shared" si="165"/>
        <v>1011.3529825308154</v>
      </c>
      <c r="AM168" s="59">
        <f t="shared" si="113"/>
        <v>1304.6863158641488</v>
      </c>
      <c r="AN168" s="59">
        <f ca="1">AVERAGE(OFFSET($AM$3,0,0,'Données projet'!$E$10+1,1))-AVERAGE(OFFSET($H$3,0,0,'Données projet'!$E$10+1,1))</f>
        <v>490.21869105612649</v>
      </c>
      <c r="AO168" s="59">
        <f t="shared" si="144"/>
        <v>207.08773997010911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57.463672155725483</v>
      </c>
      <c r="AV168" s="21">
        <f>EXP(-LN(2)/25)*AV167+(1-EXP(-LN(2)/25))/(LN(2)/25)*Calculateur!AQ168*Calculateur!AS168*VLOOKUP('Données projet'!$B$10,Paramètres!$A$1:$I$89,3,0)*0.475*44/12</f>
        <v>22.378916287215556</v>
      </c>
      <c r="AW168" s="21">
        <f>EXP(-LN(2)/2)*AW167+(1-EXP(-LN(2)/2))/(LN(2)/2)*AQ168*AT168*VLOOKUP('Données projet'!$B$10,Paramètres!$A$1:$I$89,3,0)*0.475*44/12</f>
        <v>3.4432156765640685E-6</v>
      </c>
      <c r="AX168" s="21">
        <f t="shared" si="166"/>
        <v>79.842591886156711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531.25690800000132</v>
      </c>
      <c r="BF168" s="13">
        <f t="shared" si="167"/>
        <v>117.93187429253524</v>
      </c>
      <c r="BG168" s="20">
        <f t="shared" si="168"/>
        <v>1130.6704624928343</v>
      </c>
      <c r="BH168" s="59">
        <f t="shared" si="116"/>
        <v>1424.0037958261676</v>
      </c>
      <c r="BI168" s="59">
        <f ca="1">AVERAGE(OFFSET($BH$3,0,0,'Données projet'!$E$11+1,1))-AVERAGE(OFFSET($H$3,0,0,'Données projet'!$E$11+1,1))</f>
        <v>561.19833044503548</v>
      </c>
      <c r="BJ168" s="59">
        <f t="shared" si="146"/>
        <v>235.9089269943575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64.39894293314066</v>
      </c>
      <c r="BQ168" s="21">
        <f>EXP(-LN(2)/25)*BQ167+(1-EXP(-LN(2)/25))/(LN(2)/25)*Calculateur!BL168*Calculateur!BN168*VLOOKUP('Données projet'!$B$11,Paramètres!$A$1:$I$89,3,0)*0.475*44/12</f>
        <v>25.079819977051923</v>
      </c>
      <c r="BR168" s="21">
        <f>EXP(-LN(2)/2)*BR167+(1-EXP(-LN(2)/2))/(LN(2)/2)*BL168*BO168*VLOOKUP('Données projet'!$B$11,Paramètres!$A$1:$I$89,3,0)*0.475*44/12</f>
        <v>3.8587761892528327E-6</v>
      </c>
      <c r="BS168" s="22">
        <f t="shared" si="169"/>
        <v>89.478766768968782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-4.9658410716801891E-14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147.1862160897889</v>
      </c>
      <c r="CE168" s="59">
        <f t="shared" si="148"/>
        <v>147.31828668914011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4.4444789723805629</v>
      </c>
      <c r="CL168" s="21">
        <f>EXP(-LN(2)/25)*CL167+(1-EXP(-LN(2)/25))/(LN(2)/25)*Calculateur!CG168*Calculateur!CI168*VLOOKUP('Données projet'!$B$12,Paramètres!$A$1:$I$89,3,0)*0.475*44/12</f>
        <v>6.7634596685929314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11.207938640973495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326.05837294177707</v>
      </c>
      <c r="T169" s="59">
        <f t="shared" si="142"/>
        <v>406.74689878702014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20.15471136201241</v>
      </c>
      <c r="AA169" s="21">
        <f>EXP(-LN(2)/25)*AA168+(1-EXP(-LN(2)/25))/(LN(2)/25)*Calculateur!V169*Calculateur!X169*VLOOKUP('Données projet'!$B$9,Paramètres!$A$1:$I$89,3,0)*0.475*44/12</f>
        <v>2.9210222622659243</v>
      </c>
      <c r="AB169" s="21">
        <f>EXP(-LN(2)/2)*AB168+(1-EXP(-LN(2)/2))/(LN(2)/2)*V169*Y169*VLOOKUP('Données projet'!$B$9,Paramètres!$A$1:$I$89,3,0)*0.475*44/12</f>
        <v>2.1456256782970096E-15</v>
      </c>
      <c r="AC169" s="22">
        <f t="shared" si="163"/>
        <v>23.075733624278339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482.75061120000112</v>
      </c>
      <c r="AK169" s="13">
        <f t="shared" si="164"/>
        <v>108.36513078962237</v>
      </c>
      <c r="AL169" s="20">
        <f t="shared" si="165"/>
        <v>1029.5265839652609</v>
      </c>
      <c r="AM169" s="59">
        <f t="shared" si="113"/>
        <v>1322.8599172985942</v>
      </c>
      <c r="AN169" s="59">
        <f ca="1">AVERAGE(OFFSET($AM$3,0,0,'Données projet'!$E$10+1,1))-AVERAGE(OFFSET($H$3,0,0,'Données projet'!$E$10+1,1))</f>
        <v>490.21869105612649</v>
      </c>
      <c r="AO169" s="59">
        <f t="shared" si="144"/>
        <v>207.08773997010911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56.336844594130881</v>
      </c>
      <c r="AV169" s="21">
        <f>EXP(-LN(2)/25)*AV168+(1-EXP(-LN(2)/25))/(LN(2)/25)*Calculateur!AQ169*Calculateur!AS169*VLOOKUP('Données projet'!$B$10,Paramètres!$A$1:$I$89,3,0)*0.475*44/12</f>
        <v>21.766963644485589</v>
      </c>
      <c r="AW169" s="21">
        <f>EXP(-LN(2)/2)*AW168+(1-EXP(-LN(2)/2))/(LN(2)/2)*AQ169*AT169*VLOOKUP('Données projet'!$B$10,Paramètres!$A$1:$I$89,3,0)*0.475*44/12</f>
        <v>2.434721153986279E-6</v>
      </c>
      <c r="AX169" s="21">
        <f t="shared" si="166"/>
        <v>78.10381067333762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541.01361600000132</v>
      </c>
      <c r="BF169" s="13">
        <f t="shared" si="167"/>
        <v>119.84359445909256</v>
      </c>
      <c r="BG169" s="20">
        <f t="shared" si="168"/>
        <v>1150.9929748829218</v>
      </c>
      <c r="BH169" s="59">
        <f t="shared" si="116"/>
        <v>1444.326308216255</v>
      </c>
      <c r="BI169" s="59">
        <f ca="1">AVERAGE(OFFSET($BH$3,0,0,'Données projet'!$E$11+1,1))-AVERAGE(OFFSET($H$3,0,0,'Données projet'!$E$11+1,1))</f>
        <v>561.19833044503548</v>
      </c>
      <c r="BJ169" s="59">
        <f t="shared" si="146"/>
        <v>235.9089269943575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63.136118941698435</v>
      </c>
      <c r="BQ169" s="21">
        <f>EXP(-LN(2)/25)*BQ168+(1-EXP(-LN(2)/25))/(LN(2)/25)*Calculateur!BL169*Calculateur!BN169*VLOOKUP('Données projet'!$B$11,Paramètres!$A$1:$I$89,3,0)*0.475*44/12</f>
        <v>24.394010980889025</v>
      </c>
      <c r="BR169" s="21">
        <f>EXP(-LN(2)/2)*BR168+(1-EXP(-LN(2)/2))/(LN(2)/2)*BL169*BO169*VLOOKUP('Données projet'!$B$11,Paramètres!$A$1:$I$89,3,0)*0.475*44/12</f>
        <v>2.7285668105018625E-6</v>
      </c>
      <c r="BS169" s="22">
        <f t="shared" si="169"/>
        <v>87.530132651154275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-4.9658410716801891E-14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147.1862160897889</v>
      </c>
      <c r="CE169" s="59">
        <f t="shared" si="148"/>
        <v>147.31828668914011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4.3573254505966776</v>
      </c>
      <c r="CL169" s="21">
        <f>EXP(-LN(2)/25)*CL168+(1-EXP(-LN(2)/25))/(LN(2)/25)*Calculateur!CG169*Calculateur!CI169*VLOOKUP('Données projet'!$B$12,Paramètres!$A$1:$I$89,3,0)*0.475*44/12</f>
        <v>6.5785125082803715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10.935837958877048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326.05837294177707</v>
      </c>
      <c r="T170" s="59">
        <f t="shared" si="142"/>
        <v>406.74689878702014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19.75948976536343</v>
      </c>
      <c r="AA170" s="21">
        <f>EXP(-LN(2)/25)*AA169+(1-EXP(-LN(2)/25))/(LN(2)/25)*Calculateur!V170*Calculateur!X170*VLOOKUP('Données projet'!$B$9,Paramètres!$A$1:$I$89,3,0)*0.475*44/12</f>
        <v>2.8411467548943778</v>
      </c>
      <c r="AB170" s="21">
        <f>EXP(-LN(2)/2)*AB169+(1-EXP(-LN(2)/2))/(LN(2)/2)*V170*Y170*VLOOKUP('Données projet'!$B$9,Paramètres!$A$1:$I$89,3,0)*0.475*44/12</f>
        <v>1.5171864670118012E-15</v>
      </c>
      <c r="AC170" s="22">
        <f t="shared" si="163"/>
        <v>22.600636520257808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491.45659680000102</v>
      </c>
      <c r="AK170" s="13">
        <f t="shared" si="164"/>
        <v>110.09012381497753</v>
      </c>
      <c r="AL170" s="20">
        <f t="shared" si="165"/>
        <v>1047.6938717377543</v>
      </c>
      <c r="AM170" s="59">
        <f t="shared" si="113"/>
        <v>1341.0272050710876</v>
      </c>
      <c r="AN170" s="59">
        <f ca="1">AVERAGE(OFFSET($AM$3,0,0,'Données projet'!$E$10+1,1))-AVERAGE(OFFSET($H$3,0,0,'Données projet'!$E$10+1,1))</f>
        <v>490.21869105612649</v>
      </c>
      <c r="AO170" s="59">
        <f t="shared" si="144"/>
        <v>207.08773997010911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55.232113433722205</v>
      </c>
      <c r="AV170" s="21">
        <f>EXP(-LN(2)/25)*AV169+(1-EXP(-LN(2)/25))/(LN(2)/25)*Calculateur!AQ170*Calculateur!AS170*VLOOKUP('Données projet'!$B$10,Paramètres!$A$1:$I$89,3,0)*0.475*44/12</f>
        <v>21.171744878952261</v>
      </c>
      <c r="AW170" s="21">
        <f>EXP(-LN(2)/2)*AW169+(1-EXP(-LN(2)/2))/(LN(2)/2)*AQ170*AT170*VLOOKUP('Données projet'!$B$10,Paramètres!$A$1:$I$89,3,0)*0.475*44/12</f>
        <v>1.7216078382820342E-6</v>
      </c>
      <c r="AX170" s="21">
        <f t="shared" si="166"/>
        <v>76.403860034282303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550.77032400000132</v>
      </c>
      <c r="BF170" s="13">
        <f t="shared" si="167"/>
        <v>121.75130557491971</v>
      </c>
      <c r="BG170" s="20">
        <f t="shared" si="168"/>
        <v>1171.3085048429873</v>
      </c>
      <c r="BH170" s="59">
        <f t="shared" si="116"/>
        <v>1464.6418381763206</v>
      </c>
      <c r="BI170" s="59">
        <f ca="1">AVERAGE(OFFSET($BH$3,0,0,'Données projet'!$E$11+1,1))-AVERAGE(OFFSET($H$3,0,0,'Données projet'!$E$11+1,1))</f>
        <v>561.19833044503548</v>
      </c>
      <c r="BJ170" s="59">
        <f t="shared" si="146"/>
        <v>235.9089269943575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61.89805815848181</v>
      </c>
      <c r="BQ170" s="21">
        <f>EXP(-LN(2)/25)*BQ169+(1-EXP(-LN(2)/25))/(LN(2)/25)*Calculateur!BL170*Calculateur!BN170*VLOOKUP('Données projet'!$B$11,Paramètres!$A$1:$I$89,3,0)*0.475*44/12</f>
        <v>23.726955467791331</v>
      </c>
      <c r="BR170" s="21">
        <f>EXP(-LN(2)/2)*BR169+(1-EXP(-LN(2)/2))/(LN(2)/2)*BL170*BO170*VLOOKUP('Données projet'!$B$11,Paramètres!$A$1:$I$89,3,0)*0.475*44/12</f>
        <v>1.9293880946264163E-6</v>
      </c>
      <c r="BS170" s="22">
        <f t="shared" si="169"/>
        <v>85.625015555661236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-4.9658410716801891E-14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147.1862160897889</v>
      </c>
      <c r="CE170" s="59">
        <f t="shared" si="148"/>
        <v>147.31828668914011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4.2718809562165747</v>
      </c>
      <c r="CL170" s="21">
        <f>EXP(-LN(2)/25)*CL169+(1-EXP(-LN(2)/25))/(LN(2)/25)*Calculateur!CG170*Calculateur!CI170*VLOOKUP('Données projet'!$B$12,Paramètres!$A$1:$I$89,3,0)*0.475*44/12</f>
        <v>6.3986227377925076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10.670503694009081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326.05837294177707</v>
      </c>
      <c r="T171" s="59">
        <f t="shared" si="142"/>
        <v>406.74689878702014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19.372018223163362</v>
      </c>
      <c r="AA171" s="21">
        <f>EXP(-LN(2)/25)*AA170+(1-EXP(-LN(2)/25))/(LN(2)/25)*Calculateur!V171*Calculateur!X171*VLOOKUP('Données projet'!$B$9,Paramètres!$A$1:$I$89,3,0)*0.475*44/12</f>
        <v>2.7634554474723769</v>
      </c>
      <c r="AB171" s="21">
        <f>EXP(-LN(2)/2)*AB170+(1-EXP(-LN(2)/2))/(LN(2)/2)*V171*Y171*VLOOKUP('Données projet'!$B$9,Paramètres!$A$1:$I$89,3,0)*0.475*44/12</f>
        <v>1.0728128391485048E-15</v>
      </c>
      <c r="AC171" s="22">
        <f t="shared" si="163"/>
        <v>22.13547367063574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500.16258240000104</v>
      </c>
      <c r="AK171" s="13">
        <f t="shared" si="164"/>
        <v>111.81156339666074</v>
      </c>
      <c r="AL171" s="20">
        <f t="shared" si="165"/>
        <v>1065.8549705958526</v>
      </c>
      <c r="AM171" s="59">
        <f t="shared" si="113"/>
        <v>1359.1883039291858</v>
      </c>
      <c r="AN171" s="59">
        <f ca="1">AVERAGE(OFFSET($AM$3,0,0,'Données projet'!$E$10+1,1))-AVERAGE(OFFSET($H$3,0,0,'Données projet'!$E$10+1,1))</f>
        <v>490.21869105612649</v>
      </c>
      <c r="AO171" s="59">
        <f t="shared" si="144"/>
        <v>207.08773997010911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54.149045377549669</v>
      </c>
      <c r="AV171" s="21">
        <f>EXP(-LN(2)/25)*AV170+(1-EXP(-LN(2)/25))/(LN(2)/25)*Calculateur!AQ171*Calculateur!AS171*VLOOKUP('Données projet'!$B$10,Paramètres!$A$1:$I$89,3,0)*0.475*44/12</f>
        <v>20.592802401863636</v>
      </c>
      <c r="AW171" s="21">
        <f>EXP(-LN(2)/2)*AW170+(1-EXP(-LN(2)/2))/(LN(2)/2)*AQ171*AT171*VLOOKUP('Données projet'!$B$10,Paramètres!$A$1:$I$89,3,0)*0.475*44/12</f>
        <v>1.2173605769931395E-6</v>
      </c>
      <c r="AX171" s="21">
        <f t="shared" si="166"/>
        <v>74.741848996773882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560.52703200000121</v>
      </c>
      <c r="BF171" s="13">
        <f t="shared" si="167"/>
        <v>123.65508685225305</v>
      </c>
      <c r="BG171" s="20">
        <f t="shared" si="168"/>
        <v>1191.6171903343427</v>
      </c>
      <c r="BH171" s="59">
        <f t="shared" si="116"/>
        <v>1484.950523667676</v>
      </c>
      <c r="BI171" s="59">
        <f ca="1">AVERAGE(OFFSET($BH$3,0,0,'Données projet'!$E$11+1,1))-AVERAGE(OFFSET($H$3,0,0,'Données projet'!$E$11+1,1))</f>
        <v>561.19833044503548</v>
      </c>
      <c r="BJ171" s="59">
        <f t="shared" si="146"/>
        <v>235.9089269943575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60.684274992081555</v>
      </c>
      <c r="BQ171" s="21">
        <f>EXP(-LN(2)/25)*BQ170+(1-EXP(-LN(2)/25))/(LN(2)/25)*Calculateur!BL171*Calculateur!BN171*VLOOKUP('Données projet'!$B$11,Paramètres!$A$1:$I$89,3,0)*0.475*44/12</f>
        <v>23.078140622778218</v>
      </c>
      <c r="BR171" s="21">
        <f>EXP(-LN(2)/2)*BR170+(1-EXP(-LN(2)/2))/(LN(2)/2)*BL171*BO171*VLOOKUP('Données projet'!$B$11,Paramètres!$A$1:$I$89,3,0)*0.475*44/12</f>
        <v>1.3642834052509312E-6</v>
      </c>
      <c r="BS171" s="22">
        <f t="shared" si="169"/>
        <v>83.762416979143183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-4.9658410716801891E-14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147.1862160897889</v>
      </c>
      <c r="CE171" s="59">
        <f t="shared" si="148"/>
        <v>147.31828668914011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4.1881119762552705</v>
      </c>
      <c r="CL171" s="21">
        <f>EXP(-LN(2)/25)*CL170+(1-EXP(-LN(2)/25))/(LN(2)/25)*Calculateur!CG171*Calculateur!CI171*VLOOKUP('Données projet'!$B$12,Paramètres!$A$1:$I$89,3,0)*0.475*44/12</f>
        <v>6.2236520625386262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10.411764038793898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326.05837294177707</v>
      </c>
      <c r="T172" s="59">
        <f t="shared" si="142"/>
        <v>406.74689878702014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18.992144761571534</v>
      </c>
      <c r="AA172" s="21">
        <f>EXP(-LN(2)/25)*AA171+(1-EXP(-LN(2)/25))/(LN(2)/25)*Calculateur!V172*Calculateur!X172*VLOOKUP('Données projet'!$B$9,Paramètres!$A$1:$I$89,3,0)*0.475*44/12</f>
        <v>2.6878886129374386</v>
      </c>
      <c r="AB172" s="21">
        <f>EXP(-LN(2)/2)*AB171+(1-EXP(-LN(2)/2))/(LN(2)/2)*V172*Y172*VLOOKUP('Données projet'!$B$9,Paramètres!$A$1:$I$89,3,0)*0.475*44/12</f>
        <v>7.5859323350590058E-16</v>
      </c>
      <c r="AC172" s="22">
        <f t="shared" si="163"/>
        <v>21.680033374508973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508.86856800000095</v>
      </c>
      <c r="AK172" s="13">
        <f t="shared" si="164"/>
        <v>113.52951852374844</v>
      </c>
      <c r="AL172" s="20">
        <f t="shared" si="165"/>
        <v>1084.0100006955302</v>
      </c>
      <c r="AM172" s="59">
        <f t="shared" si="113"/>
        <v>1377.3433340288634</v>
      </c>
      <c r="AN172" s="59">
        <f ca="1">AVERAGE(OFFSET($AM$3,0,0,'Données projet'!$E$10+1,1))-AVERAGE(OFFSET($H$3,0,0,'Données projet'!$E$10+1,1))</f>
        <v>490.21869105612649</v>
      </c>
      <c r="AO172" s="59">
        <f t="shared" si="144"/>
        <v>207.08773997010911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53.087215625352393</v>
      </c>
      <c r="AV172" s="21">
        <f>EXP(-LN(2)/25)*AV171+(1-EXP(-LN(2)/25))/(LN(2)/25)*Calculateur!AQ172*Calculateur!AS172*VLOOKUP('Données projet'!$B$10,Paramètres!$A$1:$I$89,3,0)*0.475*44/12</f>
        <v>20.029691137256261</v>
      </c>
      <c r="AW172" s="21">
        <f>EXP(-LN(2)/2)*AW171+(1-EXP(-LN(2)/2))/(LN(2)/2)*AQ172*AT172*VLOOKUP('Données projet'!$B$10,Paramètres!$A$1:$I$89,3,0)*0.475*44/12</f>
        <v>8.6080391914101712E-7</v>
      </c>
      <c r="AX172" s="21">
        <f t="shared" si="166"/>
        <v>73.116907623412573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570.28374000000122</v>
      </c>
      <c r="BF172" s="13">
        <f t="shared" si="167"/>
        <v>125.55501458776541</v>
      </c>
      <c r="BG172" s="20">
        <f t="shared" si="168"/>
        <v>1211.9191642403603</v>
      </c>
      <c r="BH172" s="59">
        <f t="shared" si="116"/>
        <v>1505.2524975736935</v>
      </c>
      <c r="BI172" s="59">
        <f ca="1">AVERAGE(OFFSET($BH$3,0,0,'Données projet'!$E$11+1,1))-AVERAGE(OFFSET($H$3,0,0,'Données projet'!$E$11+1,1))</f>
        <v>561.19833044503548</v>
      </c>
      <c r="BJ172" s="59">
        <f t="shared" si="146"/>
        <v>235.9089269943575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59.494293373239778</v>
      </c>
      <c r="BQ172" s="21">
        <f>EXP(-LN(2)/25)*BQ171+(1-EXP(-LN(2)/25))/(LN(2)/25)*Calculateur!BL172*Calculateur!BN172*VLOOKUP('Données projet'!$B$11,Paramètres!$A$1:$I$89,3,0)*0.475*44/12</f>
        <v>22.447067653821676</v>
      </c>
      <c r="BR172" s="21">
        <f>EXP(-LN(2)/2)*BR171+(1-EXP(-LN(2)/2))/(LN(2)/2)*BL172*BO172*VLOOKUP('Données projet'!$B$11,Paramètres!$A$1:$I$89,3,0)*0.475*44/12</f>
        <v>9.6469404731320817E-7</v>
      </c>
      <c r="BS172" s="22">
        <f t="shared" si="169"/>
        <v>81.9413619917555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-4.9658410716801891E-14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147.1862160897889</v>
      </c>
      <c r="CE172" s="59">
        <f t="shared" si="148"/>
        <v>147.31828668914011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4.1059856548969744</v>
      </c>
      <c r="CL172" s="21">
        <f>EXP(-LN(2)/25)*CL171+(1-EXP(-LN(2)/25))/(LN(2)/25)*Calculateur!CG172*Calculateur!CI172*VLOOKUP('Données projet'!$B$12,Paramètres!$A$1:$I$89,3,0)*0.475*44/12</f>
        <v>6.0534659696008699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10.159451624497844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326.05837294177707</v>
      </c>
      <c r="T173" s="59">
        <f t="shared" si="142"/>
        <v>406.74689878702014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18.619720386861591</v>
      </c>
      <c r="AA173" s="21">
        <f>EXP(-LN(2)/25)*AA172+(1-EXP(-LN(2)/25))/(LN(2)/25)*Calculateur!V173*Calculateur!X173*VLOOKUP('Données projet'!$B$9,Paramètres!$A$1:$I$89,3,0)*0.475*44/12</f>
        <v>2.6143881574667454</v>
      </c>
      <c r="AB173" s="21">
        <f>EXP(-LN(2)/2)*AB172+(1-EXP(-LN(2)/2))/(LN(2)/2)*V173*Y173*VLOOKUP('Données projet'!$B$9,Paramètres!$A$1:$I$89,3,0)*0.475*44/12</f>
        <v>5.3640641957425239E-16</v>
      </c>
      <c r="AC173" s="22">
        <f t="shared" si="163"/>
        <v>21.234108544328336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517.57455360000097</v>
      </c>
      <c r="AK173" s="13">
        <f t="shared" si="164"/>
        <v>115.24405568945055</v>
      </c>
      <c r="AL173" s="20">
        <f t="shared" si="165"/>
        <v>1102.1590778457946</v>
      </c>
      <c r="AM173" s="59">
        <f t="shared" si="113"/>
        <v>1395.4924111791279</v>
      </c>
      <c r="AN173" s="59">
        <f ca="1">AVERAGE(OFFSET($AM$3,0,0,'Données projet'!$E$10+1,1))-AVERAGE(OFFSET($H$3,0,0,'Données projet'!$E$10+1,1))</f>
        <v>490.21869105612649</v>
      </c>
      <c r="AO173" s="59">
        <f t="shared" si="144"/>
        <v>207.08773997010911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52.046207706943505</v>
      </c>
      <c r="AV173" s="21">
        <f>EXP(-LN(2)/25)*AV172+(1-EXP(-LN(2)/25))/(LN(2)/25)*Calculateur!AQ173*Calculateur!AS173*VLOOKUP('Données projet'!$B$10,Paramètres!$A$1:$I$89,3,0)*0.475*44/12</f>
        <v>19.481978179792311</v>
      </c>
      <c r="AW173" s="21">
        <f>EXP(-LN(2)/2)*AW172+(1-EXP(-LN(2)/2))/(LN(2)/2)*AQ173*AT173*VLOOKUP('Données projet'!$B$10,Paramètres!$A$1:$I$89,3,0)*0.475*44/12</f>
        <v>6.0868028849656974E-7</v>
      </c>
      <c r="AX173" s="21">
        <f t="shared" si="166"/>
        <v>71.528186495416108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580.04044800000111</v>
      </c>
      <c r="BF173" s="13">
        <f t="shared" si="167"/>
        <v>127.45116231789045</v>
      </c>
      <c r="BG173" s="20">
        <f t="shared" si="168"/>
        <v>1232.2145546369943</v>
      </c>
      <c r="BH173" s="59">
        <f t="shared" si="116"/>
        <v>1525.5478879703276</v>
      </c>
      <c r="BI173" s="59">
        <f ca="1">AVERAGE(OFFSET($BH$3,0,0,'Données projet'!$E$11+1,1))-AVERAGE(OFFSET($H$3,0,0,'Données projet'!$E$11+1,1))</f>
        <v>561.19833044503548</v>
      </c>
      <c r="BJ173" s="59">
        <f t="shared" si="146"/>
        <v>235.9089269943575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58.327646568126369</v>
      </c>
      <c r="BQ173" s="21">
        <f>EXP(-LN(2)/25)*BQ172+(1-EXP(-LN(2)/25))/(LN(2)/25)*Calculateur!BL173*Calculateur!BN173*VLOOKUP('Données projet'!$B$11,Paramètres!$A$1:$I$89,3,0)*0.475*44/12</f>
        <v>21.833251408387937</v>
      </c>
      <c r="BR173" s="21">
        <f>EXP(-LN(2)/2)*BR172+(1-EXP(-LN(2)/2))/(LN(2)/2)*BL173*BO173*VLOOKUP('Données projet'!$B$11,Paramètres!$A$1:$I$89,3,0)*0.475*44/12</f>
        <v>6.8214170262546562E-7</v>
      </c>
      <c r="BS173" s="22">
        <f t="shared" si="169"/>
        <v>80.160898658656009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-4.9658410716801891E-14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147.1862160897889</v>
      </c>
      <c r="CE173" s="59">
        <f t="shared" si="148"/>
        <v>147.31828668914011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4.0254697806084048</v>
      </c>
      <c r="CL173" s="21">
        <f>EXP(-LN(2)/25)*CL172+(1-EXP(-LN(2)/25))/(LN(2)/25)*Calculateur!CG173*Calculateur!CI173*VLOOKUP('Données projet'!$B$12,Paramètres!$A$1:$I$89,3,0)*0.475*44/12</f>
        <v>5.8879336243241944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9.9134034049325983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326.05837294177707</v>
      </c>
      <c r="T174" s="59">
        <f t="shared" si="142"/>
        <v>406.74689878702014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18.254599026983268</v>
      </c>
      <c r="AA174" s="21">
        <f>EXP(-LN(2)/25)*AA173+(1-EXP(-LN(2)/25))/(LN(2)/25)*Calculateur!V174*Calculateur!X174*VLOOKUP('Données projet'!$B$9,Paramètres!$A$1:$I$89,3,0)*0.475*44/12</f>
        <v>2.5428975758161192</v>
      </c>
      <c r="AB174" s="21">
        <f>EXP(-LN(2)/2)*AB173+(1-EXP(-LN(2)/2))/(LN(2)/2)*V174*Y174*VLOOKUP('Données projet'!$B$9,Paramètres!$A$1:$I$89,3,0)*0.475*44/12</f>
        <v>3.7929661675295029E-16</v>
      </c>
      <c r="AC174" s="22">
        <f t="shared" si="163"/>
        <v>20.797496602799388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526.28053920000093</v>
      </c>
      <c r="AK174" s="13">
        <f t="shared" si="164"/>
        <v>116.95523902184036</v>
      </c>
      <c r="AL174" s="20">
        <f t="shared" si="165"/>
        <v>1120.3023137363737</v>
      </c>
      <c r="AM174" s="59">
        <f t="shared" si="113"/>
        <v>1413.6356470697069</v>
      </c>
      <c r="AN174" s="59">
        <f ca="1">AVERAGE(OFFSET($AM$3,0,0,'Données projet'!$E$10+1,1))-AVERAGE(OFFSET($H$3,0,0,'Données projet'!$E$10+1,1))</f>
        <v>490.21869105612649</v>
      </c>
      <c r="AO174" s="59">
        <f t="shared" si="144"/>
        <v>207.08773997010911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51.025613318862483</v>
      </c>
      <c r="AV174" s="21">
        <f>EXP(-LN(2)/25)*AV173+(1-EXP(-LN(2)/25))/(LN(2)/25)*Calculateur!AQ174*Calculateur!AS174*VLOOKUP('Données projet'!$B$10,Paramètres!$A$1:$I$89,3,0)*0.475*44/12</f>
        <v>18.949242461953183</v>
      </c>
      <c r="AW174" s="21">
        <f>EXP(-LN(2)/2)*AW173+(1-EXP(-LN(2)/2))/(LN(2)/2)*AQ174*AT174*VLOOKUP('Données projet'!$B$10,Paramètres!$A$1:$I$89,3,0)*0.475*44/12</f>
        <v>4.3040195957050856E-7</v>
      </c>
      <c r="AX174" s="21">
        <f t="shared" si="166"/>
        <v>69.974856211217613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589.79715600000111</v>
      </c>
      <c r="BF174" s="13">
        <f t="shared" si="167"/>
        <v>129.34360096340086</v>
      </c>
      <c r="BG174" s="20">
        <f t="shared" si="168"/>
        <v>1252.5034850445916</v>
      </c>
      <c r="BH174" s="59">
        <f t="shared" si="116"/>
        <v>1545.8368183779248</v>
      </c>
      <c r="BI174" s="59">
        <f ca="1">AVERAGE(OFFSET($BH$3,0,0,'Données projet'!$E$11+1,1))-AVERAGE(OFFSET($H$3,0,0,'Données projet'!$E$11+1,1))</f>
        <v>561.19833044503548</v>
      </c>
      <c r="BJ174" s="59">
        <f t="shared" si="146"/>
        <v>235.9089269943575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57.183876995276947</v>
      </c>
      <c r="BQ174" s="21">
        <f>EXP(-LN(2)/25)*BQ173+(1-EXP(-LN(2)/25))/(LN(2)/25)*Calculateur!BL174*Calculateur!BN174*VLOOKUP('Données projet'!$B$11,Paramètres!$A$1:$I$89,3,0)*0.475*44/12</f>
        <v>21.23622000046478</v>
      </c>
      <c r="BR174" s="21">
        <f>EXP(-LN(2)/2)*BR173+(1-EXP(-LN(2)/2))/(LN(2)/2)*BL174*BO174*VLOOKUP('Données projet'!$B$11,Paramètres!$A$1:$I$89,3,0)*0.475*44/12</f>
        <v>4.8234702365660409E-7</v>
      </c>
      <c r="BS174" s="22">
        <f t="shared" si="169"/>
        <v>78.420097478088749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-4.9658410716801891E-14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147.1862160897889</v>
      </c>
      <c r="CE174" s="59">
        <f t="shared" si="148"/>
        <v>147.31828668914011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3.9465327735048001</v>
      </c>
      <c r="CL174" s="21">
        <f>EXP(-LN(2)/25)*CL173+(1-EXP(-LN(2)/25))/(LN(2)/25)*Calculateur!CG174*Calculateur!CI174*VLOOKUP('Données projet'!$B$12,Paramètres!$A$1:$I$89,3,0)*0.475*44/12</f>
        <v>5.7269277697340772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9.6734605432388783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326.05837294177707</v>
      </c>
      <c r="T175" s="59">
        <f t="shared" si="142"/>
        <v>406.74689878702014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17.896637474270122</v>
      </c>
      <c r="AA175" s="21">
        <f>EXP(-LN(2)/25)*AA174+(1-EXP(-LN(2)/25))/(LN(2)/25)*Calculateur!V175*Calculateur!X175*VLOOKUP('Données projet'!$B$9,Paramètres!$A$1:$I$89,3,0)*0.475*44/12</f>
        <v>2.4733619078802556</v>
      </c>
      <c r="AB175" s="21">
        <f>EXP(-LN(2)/2)*AB174+(1-EXP(-LN(2)/2))/(LN(2)/2)*V175*Y175*VLOOKUP('Données projet'!$B$9,Paramètres!$A$1:$I$89,3,0)*0.475*44/12</f>
        <v>2.6820320978712619E-16</v>
      </c>
      <c r="AC175" s="22">
        <f t="shared" si="163"/>
        <v>20.369999382150379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534.98652480000089</v>
      </c>
      <c r="AK175" s="13">
        <f t="shared" si="164"/>
        <v>118.66313040568902</v>
      </c>
      <c r="AL175" s="20">
        <f t="shared" si="165"/>
        <v>1138.4398161499098</v>
      </c>
      <c r="AM175" s="59">
        <f t="shared" si="113"/>
        <v>1431.7731494832431</v>
      </c>
      <c r="AN175" s="59">
        <f ca="1">AVERAGE(OFFSET($AM$3,0,0,'Données projet'!$E$10+1,1))-AVERAGE(OFFSET($H$3,0,0,'Données projet'!$E$10+1,1))</f>
        <v>490.21869105612649</v>
      </c>
      <c r="AO175" s="59">
        <f t="shared" si="144"/>
        <v>207.08773997010911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50.025032164230616</v>
      </c>
      <c r="AV175" s="21">
        <f>EXP(-LN(2)/25)*AV174+(1-EXP(-LN(2)/25))/(LN(2)/25)*Calculateur!AQ175*Calculateur!AS175*VLOOKUP('Données projet'!$B$10,Paramètres!$A$1:$I$89,3,0)*0.475*44/12</f>
        <v>18.431074430333723</v>
      </c>
      <c r="AW175" s="21">
        <f>EXP(-LN(2)/2)*AW174+(1-EXP(-LN(2)/2))/(LN(2)/2)*AQ175*AT175*VLOOKUP('Données projet'!$B$10,Paramètres!$A$1:$I$89,3,0)*0.475*44/12</f>
        <v>3.0434014424828487E-7</v>
      </c>
      <c r="AX175" s="21">
        <f t="shared" si="166"/>
        <v>68.456106898904494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599.553864000001</v>
      </c>
      <c r="BF175" s="13">
        <f t="shared" si="167"/>
        <v>131.23239896414796</v>
      </c>
      <c r="BG175" s="20">
        <f t="shared" si="168"/>
        <v>1272.7860746625593</v>
      </c>
      <c r="BH175" s="59">
        <f t="shared" si="116"/>
        <v>1566.1194079958925</v>
      </c>
      <c r="BI175" s="59">
        <f ca="1">AVERAGE(OFFSET($BH$3,0,0,'Données projet'!$E$11+1,1))-AVERAGE(OFFSET($H$3,0,0,'Données projet'!$E$11+1,1))</f>
        <v>561.19833044503548</v>
      </c>
      <c r="BJ175" s="59">
        <f t="shared" si="146"/>
        <v>235.9089269943575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56.062536046120549</v>
      </c>
      <c r="BQ175" s="21">
        <f>EXP(-LN(2)/25)*BQ174+(1-EXP(-LN(2)/25))/(LN(2)/25)*Calculateur!BL175*Calculateur!BN175*VLOOKUP('Données projet'!$B$11,Paramètres!$A$1:$I$89,3,0)*0.475*44/12</f>
        <v>20.655514447787798</v>
      </c>
      <c r="BR175" s="21">
        <f>EXP(-LN(2)/2)*BR174+(1-EXP(-LN(2)/2))/(LN(2)/2)*BL175*BO175*VLOOKUP('Données projet'!$B$11,Paramètres!$A$1:$I$89,3,0)*0.475*44/12</f>
        <v>3.4107085131273281E-7</v>
      </c>
      <c r="BS175" s="22">
        <f t="shared" si="169"/>
        <v>76.718050834979195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-4.9658410716801891E-14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147.1862160897889</v>
      </c>
      <c r="CE175" s="59">
        <f t="shared" si="148"/>
        <v>147.31828668914011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3.869143672963677</v>
      </c>
      <c r="CL175" s="21">
        <f>EXP(-LN(2)/25)*CL174+(1-EXP(-LN(2)/25))/(LN(2)/25)*Calculateur!CG175*Calculateur!CI175*VLOOKUP('Données projet'!$B$12,Paramètres!$A$1:$I$89,3,0)*0.475*44/12</f>
        <v>5.5703246287046566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9.4394683016683345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326.05837294177707</v>
      </c>
      <c r="T176" s="59">
        <f t="shared" si="142"/>
        <v>406.74689878702014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17.545695329270693</v>
      </c>
      <c r="AA176" s="21">
        <f>EXP(-LN(2)/25)*AA175+(1-EXP(-LN(2)/25))/(LN(2)/25)*Calculateur!V176*Calculateur!X176*VLOOKUP('Données projet'!$B$9,Paramètres!$A$1:$I$89,3,0)*0.475*44/12</f>
        <v>2.4057276964408203</v>
      </c>
      <c r="AB176" s="21">
        <f>EXP(-LN(2)/2)*AB175+(1-EXP(-LN(2)/2))/(LN(2)/2)*V176*Y176*VLOOKUP('Données projet'!$B$9,Paramètres!$A$1:$I$89,3,0)*0.475*44/12</f>
        <v>1.8964830837647514E-16</v>
      </c>
      <c r="AC176" s="22">
        <f t="shared" si="163"/>
        <v>19.951423025711513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543.69251040000086</v>
      </c>
      <c r="AK176" s="13">
        <f t="shared" si="164"/>
        <v>120.36778959614513</v>
      </c>
      <c r="AL176" s="20">
        <f t="shared" si="165"/>
        <v>1156.5716891599543</v>
      </c>
      <c r="AM176" s="59">
        <f t="shared" si="113"/>
        <v>1449.9050224932876</v>
      </c>
      <c r="AN176" s="59">
        <f ca="1">AVERAGE(OFFSET($AM$3,0,0,'Données projet'!$E$10+1,1))-AVERAGE(OFFSET($H$3,0,0,'Données projet'!$E$10+1,1))</f>
        <v>490.21869105612649</v>
      </c>
      <c r="AO176" s="59">
        <f t="shared" si="144"/>
        <v>207.08773997010911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49.044071795746838</v>
      </c>
      <c r="AV176" s="21">
        <f>EXP(-LN(2)/25)*AV175+(1-EXP(-LN(2)/25))/(LN(2)/25)*Calculateur!AQ176*Calculateur!AS176*VLOOKUP('Données projet'!$B$10,Paramètres!$A$1:$I$89,3,0)*0.475*44/12</f>
        <v>17.927075730788168</v>
      </c>
      <c r="AW176" s="21">
        <f>EXP(-LN(2)/2)*AW175+(1-EXP(-LN(2)/2))/(LN(2)/2)*AQ176*AT176*VLOOKUP('Données projet'!$B$10,Paramètres!$A$1:$I$89,3,0)*0.475*44/12</f>
        <v>2.1520097978525428E-7</v>
      </c>
      <c r="AX176" s="21">
        <f t="shared" si="166"/>
        <v>66.97114774173599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609.310572000001</v>
      </c>
      <c r="BF176" s="13">
        <f t="shared" si="167"/>
        <v>133.11762240478217</v>
      </c>
      <c r="BG176" s="20">
        <f t="shared" si="168"/>
        <v>1293.0624385883307</v>
      </c>
      <c r="BH176" s="59">
        <f t="shared" si="116"/>
        <v>1586.3957719216639</v>
      </c>
      <c r="BI176" s="59">
        <f ca="1">AVERAGE(OFFSET($BH$3,0,0,'Données projet'!$E$11+1,1))-AVERAGE(OFFSET($H$3,0,0,'Données projet'!$E$11+1,1))</f>
        <v>561.19833044503548</v>
      </c>
      <c r="BJ176" s="59">
        <f t="shared" si="146"/>
        <v>235.9089269943575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54.963183909026661</v>
      </c>
      <c r="BQ176" s="21">
        <f>EXP(-LN(2)/25)*BQ175+(1-EXP(-LN(2)/25))/(LN(2)/25)*Calculateur!BL176*Calculateur!BN176*VLOOKUP('Données projet'!$B$11,Paramètres!$A$1:$I$89,3,0)*0.475*44/12</f>
        <v>20.090688318986746</v>
      </c>
      <c r="BR176" s="21">
        <f>EXP(-LN(2)/2)*BR175+(1-EXP(-LN(2)/2))/(LN(2)/2)*BL176*BO176*VLOOKUP('Données projet'!$B$11,Paramètres!$A$1:$I$89,3,0)*0.475*44/12</f>
        <v>2.4117351182830204E-7</v>
      </c>
      <c r="BS176" s="22">
        <f t="shared" si="169"/>
        <v>75.053872469186913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-4.9658410716801891E-14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147.1862160897889</v>
      </c>
      <c r="CE176" s="59">
        <f t="shared" si="148"/>
        <v>147.31828668914011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3.7932721254814745</v>
      </c>
      <c r="CL176" s="21">
        <f>EXP(-LN(2)/25)*CL175+(1-EXP(-LN(2)/25))/(LN(2)/25)*Calculateur!CG176*Calculateur!CI176*VLOOKUP('Données projet'!$B$12,Paramètres!$A$1:$I$89,3,0)*0.475*44/12</f>
        <v>5.4180038088020863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9.2112759342835613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326.05837294177707</v>
      </c>
      <c r="T177" s="59">
        <f t="shared" si="142"/>
        <v>406.74689878702014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17.201634945681128</v>
      </c>
      <c r="AA177" s="21">
        <f>EXP(-LN(2)/25)*AA176+(1-EXP(-LN(2)/25))/(LN(2)/25)*Calculateur!V177*Calculateur!X177*VLOOKUP('Données projet'!$B$9,Paramètres!$A$1:$I$89,3,0)*0.475*44/12</f>
        <v>2.3399429460699248</v>
      </c>
      <c r="AB177" s="21">
        <f>EXP(-LN(2)/2)*AB176+(1-EXP(-LN(2)/2))/(LN(2)/2)*V177*Y177*VLOOKUP('Données projet'!$B$9,Paramètres!$A$1:$I$89,3,0)*0.475*44/12</f>
        <v>1.341016048935631E-16</v>
      </c>
      <c r="AC177" s="22">
        <f t="shared" si="163"/>
        <v>19.541577891751054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552.3984960000007</v>
      </c>
      <c r="AK177" s="13">
        <f t="shared" si="164"/>
        <v>122.06927432492597</v>
      </c>
      <c r="AL177" s="20">
        <f t="shared" si="165"/>
        <v>1174.698033315914</v>
      </c>
      <c r="AM177" s="59">
        <f t="shared" si="113"/>
        <v>1468.0313666492473</v>
      </c>
      <c r="AN177" s="59">
        <f ca="1">AVERAGE(OFFSET($AM$3,0,0,'Données projet'!$E$10+1,1))-AVERAGE(OFFSET($H$3,0,0,'Données projet'!$E$10+1,1))</f>
        <v>490.21869105612649</v>
      </c>
      <c r="AO177" s="59">
        <f t="shared" si="144"/>
        <v>207.08773997010911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94.533010057963907</v>
      </c>
      <c r="AV177" s="21">
        <f>EXP(-LN(2)/25)*AV176+(1-EXP(-LN(2)/25))/(LN(2)/25)*Calculateur!AQ177*Calculateur!AS177*VLOOKUP('Données projet'!$B$10,Paramètres!$A$1:$I$89,3,0)*0.475*44/12</f>
        <v>22.577722084238086</v>
      </c>
      <c r="AW177" s="21">
        <f>EXP(-LN(2)/2)*AW176+(1-EXP(-LN(2)/2))/(LN(2)/2)*AQ177*AT177*VLOOKUP('Données projet'!$B$10,Paramètres!$A$1:$I$89,3,0)*0.475*44/12</f>
        <v>10.244437980189536</v>
      </c>
      <c r="AX177" s="21">
        <f t="shared" si="166"/>
        <v>127.35517012239153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619.06728000000089</v>
      </c>
      <c r="BF177" s="13">
        <f t="shared" si="167"/>
        <v>134.99933513219278</v>
      </c>
      <c r="BG177" s="20">
        <f t="shared" si="168"/>
        <v>1313.332688021904</v>
      </c>
      <c r="BH177" s="59">
        <f t="shared" si="116"/>
        <v>1606.6660213552373</v>
      </c>
      <c r="BI177" s="59">
        <f ca="1">AVERAGE(OFFSET($BH$3,0,0,'Données projet'!$E$11+1,1))-AVERAGE(OFFSET($H$3,0,0,'Données projet'!$E$11+1,1))</f>
        <v>561.19833044503548</v>
      </c>
      <c r="BJ177" s="59">
        <f t="shared" si="146"/>
        <v>235.9089269943575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105.94216644426993</v>
      </c>
      <c r="BQ177" s="21">
        <f>EXP(-LN(2)/25)*BQ176+(1-EXP(-LN(2)/25))/(LN(2)/25)*Calculateur!BL177*Calculateur!BN177*VLOOKUP('Données projet'!$B$11,Paramètres!$A$1:$I$89,3,0)*0.475*44/12</f>
        <v>25.30261957716338</v>
      </c>
      <c r="BR177" s="21">
        <f>EXP(-LN(2)/2)*BR176+(1-EXP(-LN(2)/2))/(LN(2)/2)*BL177*BO177*VLOOKUP('Données projet'!$B$11,Paramètres!$A$1:$I$89,3,0)*0.475*44/12</f>
        <v>11.480835667453793</v>
      </c>
      <c r="BS177" s="22">
        <f t="shared" si="169"/>
        <v>142.72562168888709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-4.9658410716801891E-14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147.1862160897889</v>
      </c>
      <c r="CE177" s="59">
        <f t="shared" si="148"/>
        <v>147.31828668914011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3.7188883727683235</v>
      </c>
      <c r="CL177" s="21">
        <f>EXP(-LN(2)/25)*CL176+(1-EXP(-LN(2)/25))/(LN(2)/25)*Calculateur!CG177*Calculateur!CI177*VLOOKUP('Données projet'!$B$12,Paramètres!$A$1:$I$89,3,0)*0.475*44/12</f>
        <v>5.2698482097299557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8.9887365824982801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326.05837294177707</v>
      </c>
      <c r="T178" s="59">
        <f t="shared" si="142"/>
        <v>406.74689878702014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16.864321376357644</v>
      </c>
      <c r="AA178" s="21">
        <f>EXP(-LN(2)/25)*AA177+(1-EXP(-LN(2)/25))/(LN(2)/25)*Calculateur!V178*Calculateur!X178*VLOOKUP('Données projet'!$B$9,Paramètres!$A$1:$I$89,3,0)*0.475*44/12</f>
        <v>2.2759570831573912</v>
      </c>
      <c r="AB178" s="21">
        <f>EXP(-LN(2)/2)*AB177+(1-EXP(-LN(2)/2))/(LN(2)/2)*V178*Y178*VLOOKUP('Données projet'!$B$9,Paramètres!$A$1:$I$89,3,0)*0.475*44/12</f>
        <v>9.4824154188237572E-17</v>
      </c>
      <c r="AC178" s="22">
        <f t="shared" si="163"/>
        <v>19.140278459515034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340.80196800000078</v>
      </c>
      <c r="AK178" s="13">
        <f t="shared" si="164"/>
        <v>79.665615362245418</v>
      </c>
      <c r="AL178" s="20">
        <f t="shared" si="165"/>
        <v>732.31437435591215</v>
      </c>
      <c r="AM178" s="59">
        <f t="shared" si="113"/>
        <v>1025.6477076892454</v>
      </c>
      <c r="AN178" s="59">
        <f ca="1">AVERAGE(OFFSET($AM$3,0,0,'Données projet'!$E$10+1,1))-AVERAGE(OFFSET($H$3,0,0,'Données projet'!$E$10+1,1))</f>
        <v>490.21869105612649</v>
      </c>
      <c r="AO178" s="59">
        <f t="shared" si="144"/>
        <v>207.08773997010911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92.679275390169977</v>
      </c>
      <c r="AV178" s="21">
        <f>EXP(-LN(2)/25)*AV177+(1-EXP(-LN(2)/25))/(LN(2)/25)*Calculateur!AQ178*Calculateur!AS178*VLOOKUP('Données projet'!$B$10,Paramètres!$A$1:$I$89,3,0)*0.475*44/12</f>
        <v>21.960333086533794</v>
      </c>
      <c r="AW178" s="21">
        <f>EXP(-LN(2)/2)*AW177+(1-EXP(-LN(2)/2))/(LN(2)/2)*AQ178*AT178*VLOOKUP('Données projet'!$B$10,Paramètres!$A$1:$I$89,3,0)*0.475*44/12</f>
        <v>7.2439115652370401</v>
      </c>
      <c r="AX178" s="21">
        <f t="shared" si="166"/>
        <v>121.88352004194081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381.93324000000092</v>
      </c>
      <c r="BF178" s="13">
        <f t="shared" si="167"/>
        <v>88.104112736615605</v>
      </c>
      <c r="BG178" s="20">
        <f t="shared" si="168"/>
        <v>818.64838934960699</v>
      </c>
      <c r="BH178" s="59">
        <f t="shared" si="116"/>
        <v>1111.9817226829402</v>
      </c>
      <c r="BI178" s="59">
        <f ca="1">AVERAGE(OFFSET($BH$3,0,0,'Données projet'!$E$11+1,1))-AVERAGE(OFFSET($H$3,0,0,'Données projet'!$E$11+1,1))</f>
        <v>561.19833044503548</v>
      </c>
      <c r="BJ178" s="59">
        <f t="shared" si="146"/>
        <v>235.9089269943575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103.8647051786388</v>
      </c>
      <c r="BQ178" s="21">
        <f>EXP(-LN(2)/25)*BQ177+(1-EXP(-LN(2)/25))/(LN(2)/25)*Calculateur!BL178*Calculateur!BN178*VLOOKUP('Données projet'!$B$11,Paramètres!$A$1:$I$89,3,0)*0.475*44/12</f>
        <v>24.610718114218916</v>
      </c>
      <c r="BR178" s="21">
        <f>EXP(-LN(2)/2)*BR177+(1-EXP(-LN(2)/2))/(LN(2)/2)*BL178*BO178*VLOOKUP('Données projet'!$B$11,Paramètres!$A$1:$I$89,3,0)*0.475*44/12</f>
        <v>8.1181767541449599</v>
      </c>
      <c r="BS178" s="22">
        <f t="shared" si="169"/>
        <v>136.5936000470027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-4.9658410716801891E-14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147.1862160897889</v>
      </c>
      <c r="CE178" s="59">
        <f t="shared" si="148"/>
        <v>147.31828668914011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3.6459632400762683</v>
      </c>
      <c r="CL178" s="21">
        <f>EXP(-LN(2)/25)*CL177+(1-EXP(-LN(2)/25))/(LN(2)/25)*Calculateur!CG178*Calculateur!CI178*VLOOKUP('Données projet'!$B$12,Paramètres!$A$1:$I$89,3,0)*0.475*44/12</f>
        <v>5.1257439333056167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8.7717071733818841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326.05837294177707</v>
      </c>
      <c r="T179" s="59">
        <f t="shared" si="142"/>
        <v>406.74689878702014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16.533622320387629</v>
      </c>
      <c r="AA179" s="21">
        <f>EXP(-LN(2)/25)*AA178+(1-EXP(-LN(2)/25))/(LN(2)/25)*Calculateur!V179*Calculateur!X179*VLOOKUP('Données projet'!$B$9,Paramètres!$A$1:$I$89,3,0)*0.475*44/12</f>
        <v>2.213720917031071</v>
      </c>
      <c r="AB179" s="21">
        <f>EXP(-LN(2)/2)*AB178+(1-EXP(-LN(2)/2))/(LN(2)/2)*V179*Y179*VLOOKUP('Données projet'!$B$9,Paramètres!$A$1:$I$89,3,0)*0.475*44/12</f>
        <v>6.7050802446781548E-17</v>
      </c>
      <c r="AC179" s="22">
        <f t="shared" si="163"/>
        <v>18.747343237418701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346.35744000000079</v>
      </c>
      <c r="AK179" s="13">
        <f t="shared" si="164"/>
        <v>80.812014230904367</v>
      </c>
      <c r="AL179" s="20">
        <f t="shared" si="165"/>
        <v>743.98679945215974</v>
      </c>
      <c r="AM179" s="59">
        <f t="shared" si="113"/>
        <v>1037.3201327854931</v>
      </c>
      <c r="AN179" s="59">
        <f ca="1">AVERAGE(OFFSET($AM$3,0,0,'Données projet'!$E$10+1,1))-AVERAGE(OFFSET($H$3,0,0,'Données projet'!$E$10+1,1))</f>
        <v>490.21869105612649</v>
      </c>
      <c r="AO179" s="59">
        <f t="shared" si="144"/>
        <v>207.08773997010911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90.861891328544985</v>
      </c>
      <c r="AV179" s="21">
        <f>EXP(-LN(2)/25)*AV178+(1-EXP(-LN(2)/25))/(LN(2)/25)*Calculateur!AQ179*Calculateur!AS179*VLOOKUP('Données projet'!$B$10,Paramètres!$A$1:$I$89,3,0)*0.475*44/12</f>
        <v>21.359826623438803</v>
      </c>
      <c r="AW179" s="21">
        <f>EXP(-LN(2)/2)*AW178+(1-EXP(-LN(2)/2))/(LN(2)/2)*AQ179*AT179*VLOOKUP('Données projet'!$B$10,Paramètres!$A$1:$I$89,3,0)*0.475*44/12</f>
        <v>5.122218990094769</v>
      </c>
      <c r="AX179" s="21">
        <f t="shared" si="166"/>
        <v>117.34393694207856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388.15920000000091</v>
      </c>
      <c r="BF179" s="13">
        <f t="shared" si="167"/>
        <v>89.37194271202209</v>
      </c>
      <c r="BG179" s="20">
        <f t="shared" si="168"/>
        <v>831.70007355677342</v>
      </c>
      <c r="BH179" s="59">
        <f t="shared" si="116"/>
        <v>1125.0334068901068</v>
      </c>
      <c r="BI179" s="59">
        <f ca="1">AVERAGE(OFFSET($BH$3,0,0,'Données projet'!$E$11+1,1))-AVERAGE(OFFSET($H$3,0,0,'Données projet'!$E$11+1,1))</f>
        <v>561.19833044503548</v>
      </c>
      <c r="BJ179" s="59">
        <f t="shared" si="146"/>
        <v>235.9089269943575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101.82798166130044</v>
      </c>
      <c r="BQ179" s="21">
        <f>EXP(-LN(2)/25)*BQ178+(1-EXP(-LN(2)/25))/(LN(2)/25)*Calculateur!BL179*Calculateur!BN179*VLOOKUP('Données projet'!$B$11,Paramètres!$A$1:$I$89,3,0)*0.475*44/12</f>
        <v>23.937736733164183</v>
      </c>
      <c r="BR179" s="21">
        <f>EXP(-LN(2)/2)*BR178+(1-EXP(-LN(2)/2))/(LN(2)/2)*BL179*BO179*VLOOKUP('Données projet'!$B$11,Paramètres!$A$1:$I$89,3,0)*0.475*44/12</f>
        <v>5.7404178337268972</v>
      </c>
      <c r="BS179" s="22">
        <f t="shared" si="169"/>
        <v>131.50613622819154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-4.9658410716801891E-14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147.1862160897889</v>
      </c>
      <c r="CE179" s="59">
        <f t="shared" si="148"/>
        <v>147.31828668914011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3.5744681247563652</v>
      </c>
      <c r="CL179" s="21">
        <f>EXP(-LN(2)/25)*CL178+(1-EXP(-LN(2)/25))/(LN(2)/25)*Calculateur!CG179*Calculateur!CI179*VLOOKUP('Données projet'!$B$12,Paramètres!$A$1:$I$89,3,0)*0.475*44/12</f>
        <v>4.9855801958982164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8.5600483206545821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326.05837294177707</v>
      </c>
      <c r="T180" s="59">
        <f t="shared" si="142"/>
        <v>406.74689878702014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16.209408071198681</v>
      </c>
      <c r="AA180" s="21">
        <f>EXP(-LN(2)/25)*AA179+(1-EXP(-LN(2)/25))/(LN(2)/25)*Calculateur!V180*Calculateur!X180*VLOOKUP('Données projet'!$B$9,Paramètres!$A$1:$I$89,3,0)*0.475*44/12</f>
        <v>2.153186602140333</v>
      </c>
      <c r="AB180" s="21">
        <f>EXP(-LN(2)/2)*AB179+(1-EXP(-LN(2)/2))/(LN(2)/2)*V180*Y180*VLOOKUP('Données projet'!$B$9,Paramètres!$A$1:$I$89,3,0)*0.475*44/12</f>
        <v>4.7412077094118786E-17</v>
      </c>
      <c r="AC180" s="22">
        <f t="shared" si="163"/>
        <v>18.362594673339014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351.91291200000074</v>
      </c>
      <c r="AK180" s="13">
        <f t="shared" si="164"/>
        <v>81.956274647572329</v>
      </c>
      <c r="AL180" s="20">
        <f t="shared" si="165"/>
        <v>755.65550007785635</v>
      </c>
      <c r="AM180" s="59">
        <f t="shared" si="113"/>
        <v>1048.9888334111897</v>
      </c>
      <c r="AN180" s="59">
        <f ca="1">AVERAGE(OFFSET($AM$3,0,0,'Données projet'!$E$10+1,1))-AVERAGE(OFFSET($H$3,0,0,'Données projet'!$E$10+1,1))</f>
        <v>490.21869105612649</v>
      </c>
      <c r="AO180" s="59">
        <f t="shared" si="144"/>
        <v>207.08773997010911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113.98157109998739</v>
      </c>
      <c r="AV180" s="21">
        <f>EXP(-LN(2)/25)*AV179+(1-EXP(-LN(2)/25))/(LN(2)/25)*Calculateur!AQ180*Calculateur!AS180*VLOOKUP('Données projet'!$B$10,Paramètres!$A$1:$I$89,3,0)*0.475*44/12</f>
        <v>23.531672112001587</v>
      </c>
      <c r="AW180" s="21">
        <f>EXP(-LN(2)/2)*AW179+(1-EXP(-LN(2)/2))/(LN(2)/2)*AQ180*AT180*VLOOKUP('Données projet'!$B$10,Paramètres!$A$1:$I$89,3,0)*0.475*44/12</f>
        <v>9.1138281615892875</v>
      </c>
      <c r="AX180" s="21">
        <f t="shared" si="166"/>
        <v>146.62707137357827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394.38516000000089</v>
      </c>
      <c r="BF180" s="13">
        <f t="shared" si="167"/>
        <v>90.637407722136572</v>
      </c>
      <c r="BG180" s="20">
        <f t="shared" si="168"/>
        <v>844.74763878272279</v>
      </c>
      <c r="BH180" s="59">
        <f t="shared" si="116"/>
        <v>1138.080972116056</v>
      </c>
      <c r="BI180" s="59">
        <f ca="1">AVERAGE(OFFSET($BH$3,0,0,'Données projet'!$E$11+1,1))-AVERAGE(OFFSET($H$3,0,0,'Données projet'!$E$11+1,1))</f>
        <v>561.19833044503548</v>
      </c>
      <c r="BJ180" s="59">
        <f t="shared" si="146"/>
        <v>235.9089269943575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127.73796761205486</v>
      </c>
      <c r="BQ180" s="21">
        <f>EXP(-LN(2)/25)*BQ179+(1-EXP(-LN(2)/25))/(LN(2)/25)*Calculateur!BL180*Calculateur!BN180*VLOOKUP('Données projet'!$B$11,Paramètres!$A$1:$I$89,3,0)*0.475*44/12</f>
        <v>26.371701504829375</v>
      </c>
      <c r="BR180" s="21">
        <f>EXP(-LN(2)/2)*BR179+(1-EXP(-LN(2)/2))/(LN(2)/2)*BL180*BO180*VLOOKUP('Données projet'!$B$11,Paramètres!$A$1:$I$89,3,0)*0.475*44/12</f>
        <v>10.213772939712136</v>
      </c>
      <c r="BS180" s="22">
        <f t="shared" si="169"/>
        <v>164.32344205659635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-4.9658410716801891E-14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147.1862160897889</v>
      </c>
      <c r="CE180" s="59">
        <f t="shared" si="148"/>
        <v>147.31828668914011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3.5043749850401711</v>
      </c>
      <c r="CL180" s="21">
        <f>EXP(-LN(2)/25)*CL179+(1-EXP(-LN(2)/25))/(LN(2)/25)*Calculateur!CG180*Calculateur!CI180*VLOOKUP('Données projet'!$B$12,Paramètres!$A$1:$I$89,3,0)*0.475*44/12</f>
        <v>4.8492492432611121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8.3536242283012836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326.05837294177707</v>
      </c>
      <c r="T181" s="59">
        <f t="shared" si="142"/>
        <v>406.74689878702014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15.891551465685161</v>
      </c>
      <c r="AA181" s="21">
        <f>EXP(-LN(2)/25)*AA180+(1-EXP(-LN(2)/25))/(LN(2)/25)*Calculateur!V181*Calculateur!X181*VLOOKUP('Données projet'!$B$9,Paramètres!$A$1:$I$89,3,0)*0.475*44/12</f>
        <v>2.0943076012736435</v>
      </c>
      <c r="AB181" s="21">
        <f>EXP(-LN(2)/2)*AB180+(1-EXP(-LN(2)/2))/(LN(2)/2)*V181*Y181*VLOOKUP('Données projet'!$B$9,Paramètres!$A$1:$I$89,3,0)*0.475*44/12</f>
        <v>3.3525401223390774E-17</v>
      </c>
      <c r="AC181" s="22">
        <f t="shared" si="163"/>
        <v>17.985859066958806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238.90339200000074</v>
      </c>
      <c r="AK181" s="13">
        <f t="shared" si="164"/>
        <v>58.203527078995975</v>
      </c>
      <c r="AL181" s="20">
        <f t="shared" si="165"/>
        <v>517.46121739591933</v>
      </c>
      <c r="AM181" s="59">
        <f t="shared" si="113"/>
        <v>810.79455072925271</v>
      </c>
      <c r="AN181" s="59">
        <f ca="1">AVERAGE(OFFSET($AM$3,0,0,'Données projet'!$E$10+1,1))-AVERAGE(OFFSET($H$3,0,0,'Données projet'!$E$10+1,1))</f>
        <v>490.21869105612649</v>
      </c>
      <c r="AO181" s="59">
        <f t="shared" si="144"/>
        <v>207.08773997010911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111.74646201261029</v>
      </c>
      <c r="AV181" s="21">
        <f>EXP(-LN(2)/25)*AV180+(1-EXP(-LN(2)/25))/(LN(2)/25)*Calculateur!AQ181*Calculateur!AS181*VLOOKUP('Données projet'!$B$10,Paramètres!$A$1:$I$89,3,0)*0.475*44/12</f>
        <v>22.88819730062205</v>
      </c>
      <c r="AW181" s="21">
        <f>EXP(-LN(2)/2)*AW180+(1-EXP(-LN(2)/2))/(LN(2)/2)*AQ181*AT181*VLOOKUP('Données projet'!$B$10,Paramètres!$A$1:$I$89,3,0)*0.475*44/12</f>
        <v>6.4444496956287116</v>
      </c>
      <c r="AX181" s="21">
        <f t="shared" si="166"/>
        <v>141.07910900886105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267.73656000000085</v>
      </c>
      <c r="BF181" s="13">
        <f t="shared" si="167"/>
        <v>64.368675094258279</v>
      </c>
      <c r="BG181" s="20">
        <f t="shared" si="168"/>
        <v>578.41661778916796</v>
      </c>
      <c r="BH181" s="59">
        <f t="shared" si="116"/>
        <v>871.74995112250122</v>
      </c>
      <c r="BI181" s="59">
        <f ca="1">AVERAGE(OFFSET($BH$3,0,0,'Données projet'!$E$11+1,1))-AVERAGE(OFFSET($H$3,0,0,'Données projet'!$E$11+1,1))</f>
        <v>561.19833044503548</v>
      </c>
      <c r="BJ181" s="59">
        <f t="shared" si="146"/>
        <v>235.9089269943575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125.23310397964948</v>
      </c>
      <c r="BQ181" s="21">
        <f>EXP(-LN(2)/25)*BQ180+(1-EXP(-LN(2)/25))/(LN(2)/25)*Calculateur!BL181*Calculateur!BN181*VLOOKUP('Données projet'!$B$11,Paramètres!$A$1:$I$89,3,0)*0.475*44/12</f>
        <v>25.650565940352308</v>
      </c>
      <c r="BR181" s="21">
        <f>EXP(-LN(2)/2)*BR180+(1-EXP(-LN(2)/2))/(LN(2)/2)*BL181*BO181*VLOOKUP('Données projet'!$B$11,Paramètres!$A$1:$I$89,3,0)*0.475*44/12</f>
        <v>7.2222281071701104</v>
      </c>
      <c r="BS181" s="22">
        <f t="shared" si="169"/>
        <v>158.10589802717192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-4.9658410716801891E-14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147.1862160897889</v>
      </c>
      <c r="CE181" s="59">
        <f t="shared" si="148"/>
        <v>147.31828668914011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3.4356563290412176</v>
      </c>
      <c r="CL181" s="21">
        <f>EXP(-LN(2)/25)*CL180+(1-EXP(-LN(2)/25))/(LN(2)/25)*Calculateur!CG181*Calculateur!CI181*VLOOKUP('Données projet'!$B$12,Paramètres!$A$1:$I$89,3,0)*0.475*44/12</f>
        <v>4.7166462676932026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8.1523025967344207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326.05837294177707</v>
      </c>
      <c r="T182" s="59">
        <f t="shared" si="142"/>
        <v>406.74689878702014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15.579927834332375</v>
      </c>
      <c r="AA182" s="21">
        <f>EXP(-LN(2)/25)*AA181+(1-EXP(-LN(2)/25))/(LN(2)/25)*Calculateur!V182*Calculateur!X182*VLOOKUP('Données projet'!$B$9,Paramètres!$A$1:$I$89,3,0)*0.475*44/12</f>
        <v>2.0370386497819655</v>
      </c>
      <c r="AB182" s="21">
        <f>EXP(-LN(2)/2)*AB181+(1-EXP(-LN(2)/2))/(LN(2)/2)*V182*Y182*VLOOKUP('Données projet'!$B$9,Paramètres!$A$1:$I$89,3,0)*0.475*44/12</f>
        <v>2.3706038547059393E-17</v>
      </c>
      <c r="AC182" s="22">
        <f t="shared" si="163"/>
        <v>17.616966484114339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242.30544000000074</v>
      </c>
      <c r="AK182" s="13">
        <f t="shared" si="164"/>
        <v>58.935280802002858</v>
      </c>
      <c r="AL182" s="20">
        <f t="shared" si="165"/>
        <v>524.66092206348958</v>
      </c>
      <c r="AM182" s="59">
        <f t="shared" si="113"/>
        <v>817.99425539682284</v>
      </c>
      <c r="AN182" s="59">
        <f ca="1">AVERAGE(OFFSET($AM$3,0,0,'Données projet'!$E$10+1,1))-AVERAGE(OFFSET($H$3,0,0,'Données projet'!$E$10+1,1))</f>
        <v>490.21869105612649</v>
      </c>
      <c r="AO182" s="59">
        <f t="shared" si="144"/>
        <v>207.08773997010911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109.55518205115473</v>
      </c>
      <c r="AV182" s="21">
        <f>EXP(-LN(2)/25)*AV181+(1-EXP(-LN(2)/25))/(LN(2)/25)*Calculateur!AQ182*Calculateur!AS182*VLOOKUP('Données projet'!$B$10,Paramètres!$A$1:$I$89,3,0)*0.475*44/12</f>
        <v>22.262318341798554</v>
      </c>
      <c r="AW182" s="21">
        <f>EXP(-LN(2)/2)*AW181+(1-EXP(-LN(2)/2))/(LN(2)/2)*AQ182*AT182*VLOOKUP('Données projet'!$B$10,Paramètres!$A$1:$I$89,3,0)*0.475*44/12</f>
        <v>4.5569140807946447</v>
      </c>
      <c r="AX182" s="21">
        <f t="shared" si="166"/>
        <v>136.37441447374795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271.54920000000084</v>
      </c>
      <c r="BF182" s="13">
        <f t="shared" si="167"/>
        <v>65.177939068610073</v>
      </c>
      <c r="BG182" s="20">
        <f t="shared" si="168"/>
        <v>586.46643387783058</v>
      </c>
      <c r="BH182" s="59">
        <f t="shared" si="116"/>
        <v>879.79976721116395</v>
      </c>
      <c r="BI182" s="59">
        <f ca="1">AVERAGE(OFFSET($BH$3,0,0,'Données projet'!$E$11+1,1))-AVERAGE(OFFSET($H$3,0,0,'Données projet'!$E$11+1,1))</f>
        <v>561.19833044503548</v>
      </c>
      <c r="BJ182" s="59">
        <f t="shared" si="146"/>
        <v>235.9089269943575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122.77735919525963</v>
      </c>
      <c r="BQ182" s="21">
        <f>EXP(-LN(2)/25)*BQ181+(1-EXP(-LN(2)/25))/(LN(2)/25)*Calculateur!BL182*Calculateur!BN182*VLOOKUP('Données projet'!$B$11,Paramètres!$A$1:$I$89,3,0)*0.475*44/12</f>
        <v>24.949149865808735</v>
      </c>
      <c r="BR182" s="21">
        <f>EXP(-LN(2)/2)*BR181+(1-EXP(-LN(2)/2))/(LN(2)/2)*BL182*BO182*VLOOKUP('Données projet'!$B$11,Paramètres!$A$1:$I$89,3,0)*0.475*44/12</f>
        <v>5.106886469856069</v>
      </c>
      <c r="BS182" s="22">
        <f t="shared" si="169"/>
        <v>152.83339553092446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-4.9658410716801891E-14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147.1862160897889</v>
      </c>
      <c r="CE182" s="59">
        <f t="shared" si="148"/>
        <v>147.31828668914011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3.3682852039721625</v>
      </c>
      <c r="CL182" s="21">
        <f>EXP(-LN(2)/25)*CL181+(1-EXP(-LN(2)/25))/(LN(2)/25)*Calculateur!CG182*Calculateur!CI182*VLOOKUP('Données projet'!$B$12,Paramètres!$A$1:$I$89,3,0)*0.475*44/12</f>
        <v>4.5876693274654849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7.9559545314376479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326.05837294177707</v>
      </c>
      <c r="T183" s="59">
        <f t="shared" si="142"/>
        <v>406.74689878702014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15.274414952318772</v>
      </c>
      <c r="AA183" s="21">
        <f>EXP(-LN(2)/25)*AA182+(1-EXP(-LN(2)/25))/(LN(2)/25)*Calculateur!V183*Calculateur!X183*VLOOKUP('Données projet'!$B$9,Paramètres!$A$1:$I$89,3,0)*0.475*44/12</f>
        <v>1.9813357207804707</v>
      </c>
      <c r="AB183" s="21">
        <f>EXP(-LN(2)/2)*AB182+(1-EXP(-LN(2)/2))/(LN(2)/2)*V183*Y183*VLOOKUP('Données projet'!$B$9,Paramètres!$A$1:$I$89,3,0)*0.475*44/12</f>
        <v>1.6762700611695387E-17</v>
      </c>
      <c r="AC183" s="22">
        <f t="shared" si="163"/>
        <v>17.255750673099243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245.70748800000069</v>
      </c>
      <c r="AK183" s="13">
        <f t="shared" si="164"/>
        <v>59.665839559289225</v>
      </c>
      <c r="AL183" s="20">
        <f t="shared" si="165"/>
        <v>531.85854549909652</v>
      </c>
      <c r="AM183" s="59">
        <f t="shared" si="113"/>
        <v>825.19187883242989</v>
      </c>
      <c r="AN183" s="59">
        <f ca="1">AVERAGE(OFFSET($AM$3,0,0,'Données projet'!$E$10+1,1))-AVERAGE(OFFSET($H$3,0,0,'Données projet'!$E$10+1,1))</f>
        <v>490.21869105612649</v>
      </c>
      <c r="AO183" s="59">
        <f t="shared" si="144"/>
        <v>207.08773997010911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124.23943061149308</v>
      </c>
      <c r="AV183" s="21">
        <f>EXP(-LN(2)/25)*AV182+(1-EXP(-LN(2)/25))/(LN(2)/25)*Calculateur!AQ183*Calculateur!AS183*VLOOKUP('Données projet'!$B$10,Paramètres!$A$1:$I$89,3,0)*0.475*44/12</f>
        <v>23.516474371613818</v>
      </c>
      <c r="AW183" s="21">
        <f>EXP(-LN(2)/2)*AW182+(1-EXP(-LN(2)/2))/(LN(2)/2)*AQ183*AT183*VLOOKUP('Données projet'!$B$10,Paramètres!$A$1:$I$89,3,0)*0.475*44/12</f>
        <v>6.9345530057429094</v>
      </c>
      <c r="AX183" s="21">
        <f t="shared" si="166"/>
        <v>154.6904579888498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275.36184000000083</v>
      </c>
      <c r="BF183" s="13">
        <f t="shared" si="167"/>
        <v>65.985881501741488</v>
      </c>
      <c r="BG183" s="20">
        <f t="shared" si="168"/>
        <v>594.51394828220111</v>
      </c>
      <c r="BH183" s="59">
        <f t="shared" si="116"/>
        <v>887.84728161553448</v>
      </c>
      <c r="BI183" s="59">
        <f ca="1">AVERAGE(OFFSET($BH$3,0,0,'Données projet'!$E$11+1,1))-AVERAGE(OFFSET($H$3,0,0,'Données projet'!$E$11+1,1))</f>
        <v>561.19833044503548</v>
      </c>
      <c r="BJ183" s="59">
        <f t="shared" si="146"/>
        <v>235.9089269943575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139.23384465081122</v>
      </c>
      <c r="BQ183" s="21">
        <f>EXP(-LN(2)/25)*BQ182+(1-EXP(-LN(2)/25))/(LN(2)/25)*Calculateur!BL183*Calculateur!BN183*VLOOKUP('Données projet'!$B$11,Paramètres!$A$1:$I$89,3,0)*0.475*44/12</f>
        <v>26.35466955439481</v>
      </c>
      <c r="BR183" s="21">
        <f>EXP(-LN(2)/2)*BR182+(1-EXP(-LN(2)/2))/(LN(2)/2)*BL183*BO183*VLOOKUP('Données projet'!$B$11,Paramètres!$A$1:$I$89,3,0)*0.475*44/12</f>
        <v>7.771481816780847</v>
      </c>
      <c r="BS183" s="22">
        <f t="shared" si="169"/>
        <v>173.35999602198686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-4.9658410716801891E-14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147.1862160897889</v>
      </c>
      <c r="CE183" s="59">
        <f t="shared" si="148"/>
        <v>147.31828668914011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3.3022351855733825</v>
      </c>
      <c r="CL183" s="21">
        <f>EXP(-LN(2)/25)*CL182+(1-EXP(-LN(2)/25))/(LN(2)/25)*Calculateur!CG183*Calculateur!CI183*VLOOKUP('Données projet'!$B$12,Paramètres!$A$1:$I$89,3,0)*0.475*44/12</f>
        <v>4.4622192684508963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7.7644544540242784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326.05837294177707</v>
      </c>
      <c r="T184" s="59">
        <f t="shared" si="142"/>
        <v>406.74689878702014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14.974892991576995</v>
      </c>
      <c r="AA184" s="21">
        <f>EXP(-LN(2)/25)*AA183+(1-EXP(-LN(2)/25))/(LN(2)/25)*Calculateur!V184*Calculateur!X184*VLOOKUP('Données projet'!$B$9,Paramètres!$A$1:$I$89,3,0)*0.475*44/12</f>
        <v>1.9271559913018115</v>
      </c>
      <c r="AB184" s="21">
        <f>EXP(-LN(2)/2)*AB183+(1-EXP(-LN(2)/2))/(LN(2)/2)*V184*Y184*VLOOKUP('Données projet'!$B$9,Paramètres!$A$1:$I$89,3,0)*0.475*44/12</f>
        <v>1.1853019273529697E-17</v>
      </c>
      <c r="AC184" s="22">
        <f t="shared" si="163"/>
        <v>16.902048982878807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169.09204000000074</v>
      </c>
      <c r="AK184" s="13">
        <f t="shared" si="164"/>
        <v>42.886607412438856</v>
      </c>
      <c r="AL184" s="20">
        <f t="shared" si="165"/>
        <v>369.1961442433323</v>
      </c>
      <c r="AM184" s="59">
        <f t="shared" si="113"/>
        <v>662.52947757666561</v>
      </c>
      <c r="AN184" s="59">
        <f ca="1">AVERAGE(OFFSET($AM$3,0,0,'Données projet'!$E$10+1,1))-AVERAGE(OFFSET($H$3,0,0,'Données projet'!$E$10+1,1))</f>
        <v>490.21869105612649</v>
      </c>
      <c r="AO184" s="59">
        <f t="shared" si="144"/>
        <v>207.08773997010911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121.80317115577186</v>
      </c>
      <c r="AV184" s="21">
        <f>EXP(-LN(2)/25)*AV183+(1-EXP(-LN(2)/25))/(LN(2)/25)*Calculateur!AQ184*Calculateur!AS184*VLOOKUP('Données projet'!$B$10,Paramètres!$A$1:$I$89,3,0)*0.475*44/12</f>
        <v>22.873415143244397</v>
      </c>
      <c r="AW184" s="21">
        <f>EXP(-LN(2)/2)*AW183+(1-EXP(-LN(2)/2))/(LN(2)/2)*AQ184*AT184*VLOOKUP('Données projet'!$B$10,Paramètres!$A$1:$I$89,3,0)*0.475*44/12</f>
        <v>4.9034694548583673</v>
      </c>
      <c r="AX184" s="21">
        <f t="shared" si="166"/>
        <v>149.58005575387463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189.49970000000084</v>
      </c>
      <c r="BF184" s="13">
        <f t="shared" si="167"/>
        <v>47.42932665712091</v>
      </c>
      <c r="BG184" s="20">
        <f t="shared" si="168"/>
        <v>412.651388094487</v>
      </c>
      <c r="BH184" s="59">
        <f t="shared" si="116"/>
        <v>705.98472142782032</v>
      </c>
      <c r="BI184" s="59">
        <f ca="1">AVERAGE(OFFSET($BH$3,0,0,'Données projet'!$E$11+1,1))-AVERAGE(OFFSET($H$3,0,0,'Données projet'!$E$11+1,1))</f>
        <v>561.19833044503548</v>
      </c>
      <c r="BJ184" s="59">
        <f t="shared" si="146"/>
        <v>235.9089269943575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136.50355388146846</v>
      </c>
      <c r="BQ184" s="21">
        <f>EXP(-LN(2)/25)*BQ183+(1-EXP(-LN(2)/25))/(LN(2)/25)*Calculateur!BL184*Calculateur!BN184*VLOOKUP('Données projet'!$B$11,Paramètres!$A$1:$I$89,3,0)*0.475*44/12</f>
        <v>25.633999729498047</v>
      </c>
      <c r="BR184" s="21">
        <f>EXP(-LN(2)/2)*BR183+(1-EXP(-LN(2)/2))/(LN(2)/2)*BL184*BO184*VLOOKUP('Données projet'!$B$11,Paramètres!$A$1:$I$89,3,0)*0.475*44/12</f>
        <v>5.4952674925136877</v>
      </c>
      <c r="BS184" s="22">
        <f t="shared" si="169"/>
        <v>167.63282110348018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-4.9658410716801891E-14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147.1862160897889</v>
      </c>
      <c r="CE184" s="59">
        <f t="shared" si="148"/>
        <v>147.31828668914011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3.2374803677488693</v>
      </c>
      <c r="CL184" s="21">
        <f>EXP(-LN(2)/25)*CL183+(1-EXP(-LN(2)/25))/(LN(2)/25)*Calculateur!CG184*Calculateur!CI184*VLOOKUP('Données projet'!$B$12,Paramètres!$A$1:$I$89,3,0)*0.475*44/12</f>
        <v>4.3401996478971938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7.5776800156460631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326.05837294177707</v>
      </c>
      <c r="T185" s="59">
        <f t="shared" si="142"/>
        <v>406.74689878702014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14.68124447379501</v>
      </c>
      <c r="AA185" s="21">
        <f>EXP(-LN(2)/25)*AA184+(1-EXP(-LN(2)/25))/(LN(2)/25)*Calculateur!V185*Calculateur!X185*VLOOKUP('Données projet'!$B$9,Paramètres!$A$1:$I$89,3,0)*0.475*44/12</f>
        <v>1.8744578093749344</v>
      </c>
      <c r="AB185" s="21">
        <f>EXP(-LN(2)/2)*AB184+(1-EXP(-LN(2)/2))/(LN(2)/2)*V185*Y185*VLOOKUP('Données projet'!$B$9,Paramètres!$A$1:$I$89,3,0)*0.475*44/12</f>
        <v>8.3813503058476936E-18</v>
      </c>
      <c r="AC185" s="22">
        <f t="shared" si="163"/>
        <v>16.555702283169943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171.16704800000073</v>
      </c>
      <c r="AK185" s="13">
        <f t="shared" si="164"/>
        <v>43.351299348190551</v>
      </c>
      <c r="AL185" s="20">
        <f t="shared" si="165"/>
        <v>373.61945496476648</v>
      </c>
      <c r="AM185" s="59">
        <f t="shared" si="113"/>
        <v>666.95278829809979</v>
      </c>
      <c r="AN185" s="59">
        <f ca="1">AVERAGE(OFFSET($AM$3,0,0,'Données projet'!$E$10+1,1))-AVERAGE(OFFSET($H$3,0,0,'Données projet'!$E$10+1,1))</f>
        <v>490.21869105612649</v>
      </c>
      <c r="AO185" s="59">
        <f t="shared" si="144"/>
        <v>207.08773997010911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119.4146852620058</v>
      </c>
      <c r="AV185" s="21">
        <f>EXP(-LN(2)/25)*AV184+(1-EXP(-LN(2)/25))/(LN(2)/25)*Calculateur!AQ185*Calculateur!AS185*VLOOKUP('Données projet'!$B$10,Paramètres!$A$1:$I$89,3,0)*0.475*44/12</f>
        <v>22.247940403291754</v>
      </c>
      <c r="AW185" s="21">
        <f>EXP(-LN(2)/2)*AW184+(1-EXP(-LN(2)/2))/(LN(2)/2)*AQ185*AT185*VLOOKUP('Données projet'!$B$10,Paramètres!$A$1:$I$89,3,0)*0.475*44/12</f>
        <v>3.4672765028714552</v>
      </c>
      <c r="AX185" s="21">
        <f t="shared" si="166"/>
        <v>145.129902168169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191.82514000000083</v>
      </c>
      <c r="BF185" s="13">
        <f t="shared" si="167"/>
        <v>47.943240602417134</v>
      </c>
      <c r="BG185" s="20">
        <f t="shared" si="168"/>
        <v>417.59659621587792</v>
      </c>
      <c r="BH185" s="59">
        <f t="shared" si="116"/>
        <v>710.92992954921124</v>
      </c>
      <c r="BI185" s="59">
        <f ca="1">AVERAGE(OFFSET($BH$3,0,0,'Données projet'!$E$11+1,1))-AVERAGE(OFFSET($H$3,0,0,'Données projet'!$E$11+1,1))</f>
        <v>561.19833044503548</v>
      </c>
      <c r="BJ185" s="59">
        <f t="shared" si="146"/>
        <v>235.9089269943575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133.82680244879958</v>
      </c>
      <c r="BQ185" s="21">
        <f>EXP(-LN(2)/25)*BQ184+(1-EXP(-LN(2)/25))/(LN(2)/25)*Calculateur!BL185*Calculateur!BN185*VLOOKUP('Données projet'!$B$11,Paramètres!$A$1:$I$89,3,0)*0.475*44/12</f>
        <v>24.933036658861464</v>
      </c>
      <c r="BR185" s="21">
        <f>EXP(-LN(2)/2)*BR184+(1-EXP(-LN(2)/2))/(LN(2)/2)*BL185*BO185*VLOOKUP('Données projet'!$B$11,Paramètres!$A$1:$I$89,3,0)*0.475*44/12</f>
        <v>3.885740908390424</v>
      </c>
      <c r="BS185" s="22">
        <f t="shared" si="169"/>
        <v>162.64558001605147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-4.9658410716801891E-14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147.1862160897889</v>
      </c>
      <c r="CE185" s="59">
        <f t="shared" si="148"/>
        <v>147.31828668914011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3.1739953524053561</v>
      </c>
      <c r="CL185" s="21">
        <f>EXP(-LN(2)/25)*CL184+(1-EXP(-LN(2)/25))/(LN(2)/25)*Calculateur!CG185*Calculateur!CI185*VLOOKUP('Données projet'!$B$12,Paramètres!$A$1:$I$89,3,0)*0.475*44/12</f>
        <v>4.2215166602842649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7.395512012689621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326.05837294177707</v>
      </c>
      <c r="T186" s="59">
        <f t="shared" si="142"/>
        <v>406.74689878702014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14.393354224338818</v>
      </c>
      <c r="AA186" s="21">
        <f>EXP(-LN(2)/25)*AA185+(1-EXP(-LN(2)/25))/(LN(2)/25)*Calculateur!V186*Calculateur!X186*VLOOKUP('Données projet'!$B$9,Paramètres!$A$1:$I$89,3,0)*0.475*44/12</f>
        <v>1.8232006620041248</v>
      </c>
      <c r="AB186" s="21">
        <f>EXP(-LN(2)/2)*AB185+(1-EXP(-LN(2)/2))/(LN(2)/2)*V186*Y186*VLOOKUP('Données projet'!$B$9,Paramètres!$A$1:$I$89,3,0)*0.475*44/12</f>
        <v>5.9265096367648483E-18</v>
      </c>
      <c r="AC186" s="22">
        <f t="shared" si="163"/>
        <v>16.216554886342944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173.2420560000007</v>
      </c>
      <c r="AK186" s="13">
        <f t="shared" si="164"/>
        <v>43.815336010445158</v>
      </c>
      <c r="AL186" s="20">
        <f t="shared" si="165"/>
        <v>378.04162441819318</v>
      </c>
      <c r="AM186" s="59">
        <f t="shared" si="113"/>
        <v>671.37495775152649</v>
      </c>
      <c r="AN186" s="59">
        <f ca="1">AVERAGE(OFFSET($AM$3,0,0,'Données projet'!$E$10+1,1))-AVERAGE(OFFSET($H$3,0,0,'Données projet'!$E$10+1,1))</f>
        <v>490.21869105612649</v>
      </c>
      <c r="AO186" s="59">
        <f t="shared" si="144"/>
        <v>207.08773997010911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154.13098765017864</v>
      </c>
      <c r="AV186" s="21">
        <f>EXP(-LN(2)/25)*AV185+(1-EXP(-LN(2)/25))/(LN(2)/25)*Calculateur!AQ186*Calculateur!AS186*VLOOKUP('Données projet'!$B$10,Paramètres!$A$1:$I$89,3,0)*0.475*44/12</f>
        <v>25.740907109110182</v>
      </c>
      <c r="AW186" s="21">
        <f>EXP(-LN(2)/2)*AW185+(1-EXP(-LN(2)/2))/(LN(2)/2)*AQ186*AT186*VLOOKUP('Données projet'!$B$10,Paramètres!$A$1:$I$89,3,0)*0.475*44/12</f>
        <v>10.624661856307879</v>
      </c>
      <c r="AX186" s="21">
        <f t="shared" si="166"/>
        <v>190.49655661559669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194.15058000000082</v>
      </c>
      <c r="BF186" s="13">
        <f t="shared" si="167"/>
        <v>48.456429865053252</v>
      </c>
      <c r="BG186" s="20">
        <f t="shared" si="168"/>
        <v>422.54054218163583</v>
      </c>
      <c r="BH186" s="59">
        <f t="shared" si="116"/>
        <v>715.87387551496909</v>
      </c>
      <c r="BI186" s="59">
        <f ca="1">AVERAGE(OFFSET($BH$3,0,0,'Données projet'!$E$11+1,1))-AVERAGE(OFFSET($H$3,0,0,'Données projet'!$E$11+1,1))</f>
        <v>561.19833044503548</v>
      </c>
      <c r="BJ186" s="59">
        <f t="shared" si="146"/>
        <v>235.9089269943575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172.73300340106223</v>
      </c>
      <c r="BQ186" s="21">
        <f>EXP(-LN(2)/25)*BQ185+(1-EXP(-LN(2)/25))/(LN(2)/25)*Calculateur!BL186*Calculateur!BN186*VLOOKUP('Données projet'!$B$11,Paramètres!$A$1:$I$89,3,0)*0.475*44/12</f>
        <v>28.847568311933841</v>
      </c>
      <c r="BR186" s="21">
        <f>EXP(-LN(2)/2)*BR185+(1-EXP(-LN(2)/2))/(LN(2)/2)*BL186*BO186*VLOOKUP('Données projet'!$B$11,Paramètres!$A$1:$I$89,3,0)*0.475*44/12</f>
        <v>11.906948632069174</v>
      </c>
      <c r="BS186" s="22">
        <f t="shared" si="169"/>
        <v>213.48752034506524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-4.9658410716801891E-14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147.1862160897889</v>
      </c>
      <c r="CE186" s="59">
        <f t="shared" si="148"/>
        <v>147.31828668914011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3.1117552394906931</v>
      </c>
      <c r="CL186" s="21">
        <f>EXP(-LN(2)/25)*CL185+(1-EXP(-LN(2)/25))/(LN(2)/25)*Calculateur!CG186*Calculateur!CI186*VLOOKUP('Données projet'!$B$12,Paramètres!$A$1:$I$89,3,0)*0.475*44/12</f>
        <v>4.1060790652088786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7.2178343046995721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326.05837294177707</v>
      </c>
      <c r="T187" s="59">
        <f t="shared" si="142"/>
        <v>406.74689878702014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14.111109327078749</v>
      </c>
      <c r="AA187" s="21">
        <f>EXP(-LN(2)/25)*AA186+(1-EXP(-LN(2)/25))/(LN(2)/25)*Calculateur!V187*Calculateur!X187*VLOOKUP('Données projet'!$B$9,Paramètres!$A$1:$I$89,3,0)*0.475*44/12</f>
        <v>1.7733451440236661</v>
      </c>
      <c r="AB187" s="21">
        <f>EXP(-LN(2)/2)*AB186+(1-EXP(-LN(2)/2))/(LN(2)/2)*V187*Y187*VLOOKUP('Données projet'!$B$9,Paramètres!$A$1:$I$89,3,0)*0.475*44/12</f>
        <v>4.1906751529238468E-18</v>
      </c>
      <c r="AC187" s="22">
        <f t="shared" si="163"/>
        <v>15.884454471102416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7.2004695539362725E-13</v>
      </c>
      <c r="AK187" s="13">
        <f t="shared" si="164"/>
        <v>8.5963894794935589E-12</v>
      </c>
      <c r="AL187" s="20">
        <f t="shared" si="165"/>
        <v>1.6226126790761848E-11</v>
      </c>
      <c r="AM187" s="59">
        <f t="shared" si="113"/>
        <v>293.33333333334951</v>
      </c>
      <c r="AN187" s="59">
        <f ca="1">AVERAGE(OFFSET($AM$3,0,0,'Données projet'!$E$10+1,1))-AVERAGE(OFFSET($H$3,0,0,'Données projet'!$E$10+1,1))</f>
        <v>490.21869105612649</v>
      </c>
      <c r="AO187" s="59">
        <f t="shared" si="144"/>
        <v>207.08773997010911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151.10857299297834</v>
      </c>
      <c r="AV187" s="21">
        <f>EXP(-LN(2)/25)*AV186+(1-EXP(-LN(2)/25))/(LN(2)/25)*Calculateur!AQ187*Calculateur!AS187*VLOOKUP('Données projet'!$B$10,Paramètres!$A$1:$I$89,3,0)*0.475*44/12</f>
        <v>25.037020650556091</v>
      </c>
      <c r="AW187" s="21">
        <f>EXP(-LN(2)/2)*AW186+(1-EXP(-LN(2)/2))/(LN(2)/2)*AQ187*AT187*VLOOKUP('Données projet'!$B$10,Paramètres!$A$1:$I$89,3,0)*0.475*44/12</f>
        <v>7.5127704464093537</v>
      </c>
      <c r="AX187" s="21">
        <f t="shared" si="166"/>
        <v>183.65836408994377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8.0694917414803056E-13</v>
      </c>
      <c r="BF187" s="13">
        <f t="shared" si="167"/>
        <v>9.5069530861628001E-12</v>
      </c>
      <c r="BG187" s="20">
        <f t="shared" si="168"/>
        <v>1.7963379770041364E-11</v>
      </c>
      <c r="BH187" s="59">
        <f t="shared" si="116"/>
        <v>293.33333333335128</v>
      </c>
      <c r="BI187" s="59">
        <f ca="1">AVERAGE(OFFSET($BH$3,0,0,'Données projet'!$E$11+1,1))-AVERAGE(OFFSET($H$3,0,0,'Données projet'!$E$11+1,1))</f>
        <v>561.19833044503548</v>
      </c>
      <c r="BJ187" s="59">
        <f t="shared" si="146"/>
        <v>235.9089269943575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169.34581456109638</v>
      </c>
      <c r="BQ187" s="21">
        <f>EXP(-LN(2)/25)*BQ186+(1-EXP(-LN(2)/25))/(LN(2)/25)*Calculateur!BL187*Calculateur!BN187*VLOOKUP('Données projet'!$B$11,Paramètres!$A$1:$I$89,3,0)*0.475*44/12</f>
        <v>28.058730039416325</v>
      </c>
      <c r="BR187" s="21">
        <f>EXP(-LN(2)/2)*BR186+(1-EXP(-LN(2)/2))/(LN(2)/2)*BL187*BO187*VLOOKUP('Données projet'!$B$11,Paramètres!$A$1:$I$89,3,0)*0.475*44/12</f>
        <v>8.4194841209759996</v>
      </c>
      <c r="BS187" s="22">
        <f t="shared" si="169"/>
        <v>205.8240287214887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-4.9658410716801891E-14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147.1862160897889</v>
      </c>
      <c r="CE187" s="59">
        <f t="shared" si="148"/>
        <v>147.31828668914011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3.0507356172275664</v>
      </c>
      <c r="CL187" s="21">
        <f>EXP(-LN(2)/25)*CL186+(1-EXP(-LN(2)/25))/(LN(2)/25)*Calculateur!CG187*Calculateur!CI187*VLOOKUP('Données projet'!$B$12,Paramètres!$A$1:$I$89,3,0)*0.475*44/12</f>
        <v>3.9937981172414281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7.0445337344689944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326.05837294177707</v>
      </c>
      <c r="T188" s="59">
        <f t="shared" si="142"/>
        <v>406.74689878702014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13.83439908010156</v>
      </c>
      <c r="AA188" s="21">
        <f>EXP(-LN(2)/25)*AA187+(1-EXP(-LN(2)/25))/(LN(2)/25)*Calculateur!V188*Calculateur!X188*VLOOKUP('Données projet'!$B$9,Paramètres!$A$1:$I$89,3,0)*0.475*44/12</f>
        <v>1.7248529278041709</v>
      </c>
      <c r="AB188" s="21">
        <f>EXP(-LN(2)/2)*AB187+(1-EXP(-LN(2)/2))/(LN(2)/2)*V188*Y188*VLOOKUP('Données projet'!$B$9,Paramètres!$A$1:$I$89,3,0)*0.475*44/12</f>
        <v>2.9632548183824241E-18</v>
      </c>
      <c r="AC188" s="22">
        <f t="shared" si="163"/>
        <v>15.559252007905732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7.2004695539362725E-13</v>
      </c>
      <c r="AK188" s="13">
        <f t="shared" si="164"/>
        <v>8.5963894794935589E-12</v>
      </c>
      <c r="AL188" s="20">
        <f t="shared" si="165"/>
        <v>1.6226126790761848E-11</v>
      </c>
      <c r="AM188" s="59">
        <f t="shared" si="113"/>
        <v>293.33333333334951</v>
      </c>
      <c r="AN188" s="59">
        <f ca="1">AVERAGE(OFFSET($AM$3,0,0,'Données projet'!$E$10+1,1))-AVERAGE(OFFSET($H$3,0,0,'Données projet'!$E$10+1,1))</f>
        <v>490.21869105612649</v>
      </c>
      <c r="AO188" s="59">
        <f t="shared" si="144"/>
        <v>207.08773997010911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148.14542604371482</v>
      </c>
      <c r="AV188" s="21">
        <f>EXP(-LN(2)/25)*AV187+(1-EXP(-LN(2)/25))/(LN(2)/25)*Calculateur!AQ188*Calculateur!AS188*VLOOKUP('Données projet'!$B$10,Paramètres!$A$1:$I$89,3,0)*0.475*44/12</f>
        <v>24.352382004226943</v>
      </c>
      <c r="AW188" s="21">
        <f>EXP(-LN(2)/2)*AW187+(1-EXP(-LN(2)/2))/(LN(2)/2)*AQ188*AT188*VLOOKUP('Données projet'!$B$10,Paramètres!$A$1:$I$89,3,0)*0.475*44/12</f>
        <v>5.3123309281539406</v>
      </c>
      <c r="AX188" s="21">
        <f t="shared" si="166"/>
        <v>177.81013897609569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8.0694917414803056E-13</v>
      </c>
      <c r="BF188" s="13">
        <f t="shared" si="167"/>
        <v>9.5069530861628001E-12</v>
      </c>
      <c r="BG188" s="20">
        <f t="shared" si="168"/>
        <v>1.7963379770041364E-11</v>
      </c>
      <c r="BH188" s="59">
        <f t="shared" si="116"/>
        <v>293.33333333335128</v>
      </c>
      <c r="BI188" s="59">
        <f ca="1">AVERAGE(OFFSET($BH$3,0,0,'Données projet'!$E$11+1,1))-AVERAGE(OFFSET($H$3,0,0,'Données projet'!$E$11+1,1))</f>
        <v>561.19833044503548</v>
      </c>
      <c r="BJ188" s="59">
        <f t="shared" si="146"/>
        <v>235.9089269943575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166.02504642830104</v>
      </c>
      <c r="BQ188" s="21">
        <f>EXP(-LN(2)/25)*BQ187+(1-EXP(-LN(2)/25))/(LN(2)/25)*Calculateur!BL188*Calculateur!BN188*VLOOKUP('Données projet'!$B$11,Paramètres!$A$1:$I$89,3,0)*0.475*44/12</f>
        <v>27.291462590944001</v>
      </c>
      <c r="BR188" s="21">
        <f>EXP(-LN(2)/2)*BR187+(1-EXP(-LN(2)/2))/(LN(2)/2)*BL188*BO188*VLOOKUP('Données projet'!$B$11,Paramètres!$A$1:$I$89,3,0)*0.475*44/12</f>
        <v>5.9534743160345878</v>
      </c>
      <c r="BS188" s="22">
        <f t="shared" si="169"/>
        <v>199.26998333527965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-4.9658410716801891E-14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147.1862160897889</v>
      </c>
      <c r="CE188" s="59">
        <f t="shared" si="148"/>
        <v>147.31828668914011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2.9909125525387252</v>
      </c>
      <c r="CL188" s="21">
        <f>EXP(-LN(2)/25)*CL187+(1-EXP(-LN(2)/25))/(LN(2)/25)*Calculateur!CG188*Calculateur!CI188*VLOOKUP('Données projet'!$B$12,Paramètres!$A$1:$I$89,3,0)*0.475*44/12</f>
        <v>3.8845874977007462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6.8755000502394719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326.05837294177707</v>
      </c>
      <c r="T189" s="59">
        <f t="shared" si="142"/>
        <v>406.74689878702014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13.563114952291009</v>
      </c>
      <c r="AA189" s="21">
        <f>EXP(-LN(2)/25)*AA188+(1-EXP(-LN(2)/25))/(LN(2)/25)*Calculateur!V189*Calculateur!X189*VLOOKUP('Données projet'!$B$9,Paramètres!$A$1:$I$89,3,0)*0.475*44/12</f>
        <v>1.6776867337872925</v>
      </c>
      <c r="AB189" s="21">
        <f>EXP(-LN(2)/2)*AB188+(1-EXP(-LN(2)/2))/(LN(2)/2)*V189*Y189*VLOOKUP('Données projet'!$B$9,Paramètres!$A$1:$I$89,3,0)*0.475*44/12</f>
        <v>2.0953375764619234E-18</v>
      </c>
      <c r="AC189" s="22">
        <f t="shared" si="163"/>
        <v>15.240801686078301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7.2004695539362725E-13</v>
      </c>
      <c r="AK189" s="13">
        <f t="shared" si="164"/>
        <v>8.5963894794935589E-12</v>
      </c>
      <c r="AL189" s="20">
        <f t="shared" si="165"/>
        <v>1.6226126790761848E-11</v>
      </c>
      <c r="AM189" s="59">
        <f t="shared" si="113"/>
        <v>293.33333333334951</v>
      </c>
      <c r="AN189" s="59">
        <f ca="1">AVERAGE(OFFSET($AM$3,0,0,'Données projet'!$E$10+1,1))-AVERAGE(OFFSET($H$3,0,0,'Données projet'!$E$10+1,1))</f>
        <v>490.21869105612649</v>
      </c>
      <c r="AO189" s="59">
        <f t="shared" si="144"/>
        <v>207.08773997010911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145.24038459878517</v>
      </c>
      <c r="AV189" s="21">
        <f>EXP(-LN(2)/25)*AV188+(1-EXP(-LN(2)/25))/(LN(2)/25)*Calculateur!AQ189*Calculateur!AS189*VLOOKUP('Données projet'!$B$10,Paramètres!$A$1:$I$89,3,0)*0.475*44/12</f>
        <v>23.686464837685246</v>
      </c>
      <c r="AW189" s="21">
        <f>EXP(-LN(2)/2)*AW188+(1-EXP(-LN(2)/2))/(LN(2)/2)*AQ189*AT189*VLOOKUP('Données projet'!$B$10,Paramètres!$A$1:$I$89,3,0)*0.475*44/12</f>
        <v>3.7563852232046777</v>
      </c>
      <c r="AX189" s="21">
        <f t="shared" si="166"/>
        <v>172.68323465967509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8.0694917414803056E-13</v>
      </c>
      <c r="BF189" s="13">
        <f t="shared" si="167"/>
        <v>9.5069530861628001E-12</v>
      </c>
      <c r="BG189" s="20">
        <f t="shared" si="168"/>
        <v>1.7963379770041364E-11</v>
      </c>
      <c r="BH189" s="59">
        <f t="shared" si="116"/>
        <v>293.33333333335128</v>
      </c>
      <c r="BI189" s="59">
        <f ca="1">AVERAGE(OFFSET($BH$3,0,0,'Données projet'!$E$11+1,1))-AVERAGE(OFFSET($H$3,0,0,'Données projet'!$E$11+1,1))</f>
        <v>561.19833044503548</v>
      </c>
      <c r="BJ189" s="59">
        <f t="shared" si="146"/>
        <v>235.9089269943575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162.76939653312127</v>
      </c>
      <c r="BQ189" s="21">
        <f>EXP(-LN(2)/25)*BQ188+(1-EXP(-LN(2)/25))/(LN(2)/25)*Calculateur!BL189*Calculateur!BN189*VLOOKUP('Données projet'!$B$11,Paramètres!$A$1:$I$89,3,0)*0.475*44/12</f>
        <v>26.545176111198995</v>
      </c>
      <c r="BR189" s="21">
        <f>EXP(-LN(2)/2)*BR188+(1-EXP(-LN(2)/2))/(LN(2)/2)*BL189*BO189*VLOOKUP('Données projet'!$B$11,Paramètres!$A$1:$I$89,3,0)*0.475*44/12</f>
        <v>4.2097420604879998</v>
      </c>
      <c r="BS189" s="22">
        <f t="shared" si="169"/>
        <v>193.52431470480826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-4.9658410716801891E-14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147.1862160897889</v>
      </c>
      <c r="CE189" s="59">
        <f t="shared" si="148"/>
        <v>147.31828668914011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2.9322625816599657</v>
      </c>
      <c r="CL189" s="21">
        <f>EXP(-LN(2)/25)*CL188+(1-EXP(-LN(2)/25))/(LN(2)/25)*Calculateur!CG189*Calculateur!CI189*VLOOKUP('Données projet'!$B$12,Paramètres!$A$1:$I$89,3,0)*0.475*44/12</f>
        <v>3.7783632482945411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6.7106258299545072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326.05837294177707</v>
      </c>
      <c r="T190" s="59">
        <f t="shared" si="142"/>
        <v>406.74689878702014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13.297150540759844</v>
      </c>
      <c r="AA190" s="21">
        <f>EXP(-LN(2)/25)*AA189+(1-EXP(-LN(2)/25))/(LN(2)/25)*Calculateur!V190*Calculateur!X190*VLOOKUP('Données projet'!$B$9,Paramètres!$A$1:$I$89,3,0)*0.475*44/12</f>
        <v>1.631810301826168</v>
      </c>
      <c r="AB190" s="21">
        <f>EXP(-LN(2)/2)*AB189+(1-EXP(-LN(2)/2))/(LN(2)/2)*V190*Y190*VLOOKUP('Données projet'!$B$9,Paramètres!$A$1:$I$89,3,0)*0.475*44/12</f>
        <v>1.4816274091912121E-18</v>
      </c>
      <c r="AC190" s="22">
        <f t="shared" si="163"/>
        <v>14.928960842586012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7.2004695539362725E-13</v>
      </c>
      <c r="AK190" s="13">
        <f t="shared" si="164"/>
        <v>8.5963894794935589E-12</v>
      </c>
      <c r="AL190" s="20">
        <f t="shared" si="165"/>
        <v>1.6226126790761848E-11</v>
      </c>
      <c r="AM190" s="59">
        <f t="shared" si="113"/>
        <v>293.33333333334951</v>
      </c>
      <c r="AN190" s="59">
        <f ca="1">AVERAGE(OFFSET($AM$3,0,0,'Données projet'!$E$10+1,1))-AVERAGE(OFFSET($H$3,0,0,'Données projet'!$E$10+1,1))</f>
        <v>490.21869105612649</v>
      </c>
      <c r="AO190" s="59">
        <f t="shared" si="144"/>
        <v>207.08773997010911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142.39230924469027</v>
      </c>
      <c r="AV190" s="21">
        <f>EXP(-LN(2)/25)*AV189+(1-EXP(-LN(2)/25))/(LN(2)/25)*Calculateur!AQ190*Calculateur!AS190*VLOOKUP('Données projet'!$B$10,Paramètres!$A$1:$I$89,3,0)*0.475*44/12</f>
        <v>23.038757211081695</v>
      </c>
      <c r="AW190" s="21">
        <f>EXP(-LN(2)/2)*AW189+(1-EXP(-LN(2)/2))/(LN(2)/2)*AQ190*AT190*VLOOKUP('Données projet'!$B$10,Paramètres!$A$1:$I$89,3,0)*0.475*44/12</f>
        <v>2.6561654640769707</v>
      </c>
      <c r="AX190" s="21">
        <f t="shared" si="166"/>
        <v>168.08723191984893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8.0694917414803056E-13</v>
      </c>
      <c r="BF190" s="13">
        <f t="shared" si="167"/>
        <v>9.5069530861628001E-12</v>
      </c>
      <c r="BG190" s="20">
        <f t="shared" si="168"/>
        <v>1.7963379770041364E-11</v>
      </c>
      <c r="BH190" s="59">
        <f t="shared" si="116"/>
        <v>293.33333333335128</v>
      </c>
      <c r="BI190" s="59">
        <f ca="1">AVERAGE(OFFSET($BH$3,0,0,'Données projet'!$E$11+1,1))-AVERAGE(OFFSET($H$3,0,0,'Données projet'!$E$11+1,1))</f>
        <v>561.19833044503548</v>
      </c>
      <c r="BJ190" s="59">
        <f t="shared" si="146"/>
        <v>235.9089269943575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159.57758794663562</v>
      </c>
      <c r="BQ190" s="21">
        <f>EXP(-LN(2)/25)*BQ189+(1-EXP(-LN(2)/25))/(LN(2)/25)*Calculateur!BL190*Calculateur!BN190*VLOOKUP('Données projet'!$B$11,Paramètres!$A$1:$I$89,3,0)*0.475*44/12</f>
        <v>25.819296874488117</v>
      </c>
      <c r="BR190" s="21">
        <f>EXP(-LN(2)/2)*BR189+(1-EXP(-LN(2)/2))/(LN(2)/2)*BL190*BO190*VLOOKUP('Données projet'!$B$11,Paramètres!$A$1:$I$89,3,0)*0.475*44/12</f>
        <v>2.9767371580172939</v>
      </c>
      <c r="BS190" s="22">
        <f t="shared" si="169"/>
        <v>188.37362197914103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-4.9658410716801891E-14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147.1862160897889</v>
      </c>
      <c r="CE190" s="59">
        <f t="shared" si="148"/>
        <v>147.31828668914011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2.8747627009371883</v>
      </c>
      <c r="CL190" s="21">
        <f>EXP(-LN(2)/25)*CL189+(1-EXP(-LN(2)/25))/(LN(2)/25)*Calculateur!CG190*Calculateur!CI190*VLOOKUP('Données projet'!$B$12,Paramètres!$A$1:$I$89,3,0)*0.475*44/12</f>
        <v>3.675043706574439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6.5498064075116273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326.05837294177707</v>
      </c>
      <c r="T191" s="59">
        <f t="shared" si="142"/>
        <v>406.74689878702014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13.036401529116532</v>
      </c>
      <c r="AA191" s="21">
        <f>EXP(-LN(2)/25)*AA190+(1-EXP(-LN(2)/25))/(LN(2)/25)*Calculateur!V191*Calculateur!X191*VLOOKUP('Données projet'!$B$9,Paramètres!$A$1:$I$89,3,0)*0.475*44/12</f>
        <v>1.5871883633095571</v>
      </c>
      <c r="AB191" s="21">
        <f>EXP(-LN(2)/2)*AB190+(1-EXP(-LN(2)/2))/(LN(2)/2)*V191*Y191*VLOOKUP('Données projet'!$B$9,Paramètres!$A$1:$I$89,3,0)*0.475*44/12</f>
        <v>1.0476687882309617E-18</v>
      </c>
      <c r="AC191" s="22">
        <f t="shared" si="163"/>
        <v>14.623589892426089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7.2004695539362725E-13</v>
      </c>
      <c r="AK191" s="13">
        <f t="shared" si="164"/>
        <v>8.5963894794935589E-12</v>
      </c>
      <c r="AL191" s="20">
        <f t="shared" si="165"/>
        <v>1.6226126790761848E-11</v>
      </c>
      <c r="AM191" s="59">
        <f t="shared" si="113"/>
        <v>293.33333333334951</v>
      </c>
      <c r="AN191" s="59">
        <f ca="1">AVERAGE(OFFSET($AM$3,0,0,'Données projet'!$E$10+1,1))-AVERAGE(OFFSET($H$3,0,0,'Données projet'!$E$10+1,1))</f>
        <v>490.21869105612649</v>
      </c>
      <c r="AO191" s="59">
        <f t="shared" si="144"/>
        <v>207.08773997010911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139.60008291113473</v>
      </c>
      <c r="AV191" s="21">
        <f>EXP(-LN(2)/25)*AV190+(1-EXP(-LN(2)/25))/(LN(2)/25)*Calculateur!AQ191*Calculateur!AS191*VLOOKUP('Données projet'!$B$10,Paramètres!$A$1:$I$89,3,0)*0.475*44/12</f>
        <v>22.408761183589078</v>
      </c>
      <c r="AW191" s="21">
        <f>EXP(-LN(2)/2)*AW190+(1-EXP(-LN(2)/2))/(LN(2)/2)*AQ191*AT191*VLOOKUP('Données projet'!$B$10,Paramètres!$A$1:$I$89,3,0)*0.475*44/12</f>
        <v>1.8781926116023391</v>
      </c>
      <c r="AX191" s="21">
        <f t="shared" si="166"/>
        <v>163.88703670632617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8.0694917414803056E-13</v>
      </c>
      <c r="BF191" s="13">
        <f t="shared" si="167"/>
        <v>9.5069530861628001E-12</v>
      </c>
      <c r="BG191" s="20">
        <f t="shared" si="168"/>
        <v>1.7963379770041364E-11</v>
      </c>
      <c r="BH191" s="59">
        <f t="shared" si="116"/>
        <v>293.33333333335128</v>
      </c>
      <c r="BI191" s="59">
        <f ca="1">AVERAGE(OFFSET($BH$3,0,0,'Données projet'!$E$11+1,1))-AVERAGE(OFFSET($H$3,0,0,'Données projet'!$E$11+1,1))</f>
        <v>561.19833044503548</v>
      </c>
      <c r="BJ191" s="59">
        <f t="shared" si="146"/>
        <v>235.9089269943575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156.44836877971994</v>
      </c>
      <c r="BQ191" s="21">
        <f>EXP(-LN(2)/25)*BQ190+(1-EXP(-LN(2)/25))/(LN(2)/25)*Calculateur!BL191*Calculateur!BN191*VLOOKUP('Données projet'!$B$11,Paramètres!$A$1:$I$89,3,0)*0.475*44/12</f>
        <v>25.113266843677426</v>
      </c>
      <c r="BR191" s="21">
        <f>EXP(-LN(2)/2)*BR190+(1-EXP(-LN(2)/2))/(LN(2)/2)*BL191*BO191*VLOOKUP('Données projet'!$B$11,Paramètres!$A$1:$I$89,3,0)*0.475*44/12</f>
        <v>2.1048710302439999</v>
      </c>
      <c r="BS191" s="22">
        <f t="shared" si="169"/>
        <v>183.66650665364136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-4.9658410716801891E-14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147.1862160897889</v>
      </c>
      <c r="CE191" s="59">
        <f t="shared" si="148"/>
        <v>147.31828668914011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2.8183903578039207</v>
      </c>
      <c r="CL191" s="21">
        <f>EXP(-LN(2)/25)*CL190+(1-EXP(-LN(2)/25))/(LN(2)/25)*Calculateur!CG191*Calculateur!CI191*VLOOKUP('Données projet'!$B$12,Paramètres!$A$1:$I$89,3,0)*0.475*44/12</f>
        <v>3.5745494431560121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6.3929398009599332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326.05837294177707</v>
      </c>
      <c r="T192" s="59">
        <f t="shared" si="142"/>
        <v>406.74689878702014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12.780765646550352</v>
      </c>
      <c r="AA192" s="21">
        <f>EXP(-LN(2)/25)*AA191+(1-EXP(-LN(2)/25))/(LN(2)/25)*Calculateur!V192*Calculateur!X192*VLOOKUP('Données projet'!$B$9,Paramètres!$A$1:$I$89,3,0)*0.475*44/12</f>
        <v>1.5437866140482488</v>
      </c>
      <c r="AB192" s="21">
        <f>EXP(-LN(2)/2)*AB191+(1-EXP(-LN(2)/2))/(LN(2)/2)*V192*Y192*VLOOKUP('Données projet'!$B$9,Paramètres!$A$1:$I$89,3,0)*0.475*44/12</f>
        <v>7.4081370459560603E-19</v>
      </c>
      <c r="AC192" s="22">
        <f t="shared" si="163"/>
        <v>14.324552260598601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7.2004695539362725E-13</v>
      </c>
      <c r="AK192" s="13">
        <f t="shared" si="164"/>
        <v>8.5963894794935589E-12</v>
      </c>
      <c r="AL192" s="20">
        <f t="shared" si="165"/>
        <v>1.6226126790761848E-11</v>
      </c>
      <c r="AM192" s="59">
        <f t="shared" si="113"/>
        <v>293.33333333334951</v>
      </c>
      <c r="AN192" s="59">
        <f ca="1">AVERAGE(OFFSET($AM$3,0,0,'Données projet'!$E$10+1,1))-AVERAGE(OFFSET($H$3,0,0,'Données projet'!$E$10+1,1))</f>
        <v>490.21869105612649</v>
      </c>
      <c r="AO192" s="59">
        <f t="shared" si="144"/>
        <v>207.08773997010911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136.86261043289034</v>
      </c>
      <c r="AV192" s="21">
        <f>EXP(-LN(2)/25)*AV191+(1-EXP(-LN(2)/25))/(LN(2)/25)*Calculateur!AQ192*Calculateur!AS192*VLOOKUP('Données projet'!$B$10,Paramètres!$A$1:$I$89,3,0)*0.475*44/12</f>
        <v>21.7959924305983</v>
      </c>
      <c r="AW192" s="21">
        <f>EXP(-LN(2)/2)*AW191+(1-EXP(-LN(2)/2))/(LN(2)/2)*AQ192*AT192*VLOOKUP('Données projet'!$B$10,Paramètres!$A$1:$I$89,3,0)*0.475*44/12</f>
        <v>1.3280827320384856</v>
      </c>
      <c r="AX192" s="21">
        <f t="shared" si="166"/>
        <v>159.98668559552712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8.0694917414803056E-13</v>
      </c>
      <c r="BF192" s="13">
        <f t="shared" si="167"/>
        <v>9.5069530861628001E-12</v>
      </c>
      <c r="BG192" s="20">
        <f t="shared" si="168"/>
        <v>1.7963379770041364E-11</v>
      </c>
      <c r="BH192" s="59">
        <f t="shared" si="116"/>
        <v>293.33333333335128</v>
      </c>
      <c r="BI192" s="59">
        <f ca="1">AVERAGE(OFFSET($BH$3,0,0,'Données projet'!$E$11+1,1))-AVERAGE(OFFSET($H$3,0,0,'Données projet'!$E$11+1,1))</f>
        <v>561.19833044503548</v>
      </c>
      <c r="BJ192" s="59">
        <f t="shared" si="146"/>
        <v>235.9089269943575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153.38051169203226</v>
      </c>
      <c r="BQ192" s="21">
        <f>EXP(-LN(2)/25)*BQ191+(1-EXP(-LN(2)/25))/(LN(2)/25)*Calculateur!BL192*Calculateur!BN192*VLOOKUP('Données projet'!$B$11,Paramètres!$A$1:$I$89,3,0)*0.475*44/12</f>
        <v>24.426543241187762</v>
      </c>
      <c r="BR192" s="21">
        <f>EXP(-LN(2)/2)*BR191+(1-EXP(-LN(2)/2))/(LN(2)/2)*BL192*BO192*VLOOKUP('Données projet'!$B$11,Paramètres!$A$1:$I$89,3,0)*0.475*44/12</f>
        <v>1.4883685790086469</v>
      </c>
      <c r="BS192" s="22">
        <f t="shared" si="169"/>
        <v>179.29542351222867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-4.9658410716801891E-14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147.1862160897889</v>
      </c>
      <c r="CE192" s="59">
        <f t="shared" si="148"/>
        <v>147.31828668914011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2.763123441935762</v>
      </c>
      <c r="CL192" s="21">
        <f>EXP(-LN(2)/25)*CL191+(1-EXP(-LN(2)/25))/(LN(2)/25)*Calculateur!CG192*Calculateur!CI192*VLOOKUP('Données projet'!$B$12,Paramètres!$A$1:$I$89,3,0)*0.475*44/12</f>
        <v>3.4768032006555254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6.2399266425912874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326.05837294177707</v>
      </c>
      <c r="T193" s="59">
        <f t="shared" si="142"/>
        <v>406.74689878702014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12.530142627718803</v>
      </c>
      <c r="AA193" s="21">
        <f>EXP(-LN(2)/25)*AA192+(1-EXP(-LN(2)/25))/(LN(2)/25)*Calculateur!V193*Calculateur!X193*VLOOKUP('Données projet'!$B$9,Paramètres!$A$1:$I$89,3,0)*0.475*44/12</f>
        <v>1.5015716879028898</v>
      </c>
      <c r="AB193" s="21">
        <f>EXP(-LN(2)/2)*AB192+(1-EXP(-LN(2)/2))/(LN(2)/2)*V193*Y193*VLOOKUP('Données projet'!$B$9,Paramètres!$A$1:$I$89,3,0)*0.475*44/12</f>
        <v>5.2383439411548085E-19</v>
      </c>
      <c r="AC193" s="22">
        <f t="shared" si="163"/>
        <v>14.031714315621693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7.2004695539362725E-13</v>
      </c>
      <c r="AK193" s="13">
        <f t="shared" si="164"/>
        <v>8.5963894794935589E-12</v>
      </c>
      <c r="AL193" s="20">
        <f t="shared" si="165"/>
        <v>1.6226126790761848E-11</v>
      </c>
      <c r="AM193" s="59">
        <f t="shared" si="113"/>
        <v>293.33333333334951</v>
      </c>
      <c r="AN193" s="59">
        <f ca="1">AVERAGE(OFFSET($AM$3,0,0,'Données projet'!$E$10+1,1))-AVERAGE(OFFSET($H$3,0,0,'Données projet'!$E$10+1,1))</f>
        <v>490.21869105612649</v>
      </c>
      <c r="AO193" s="59">
        <f t="shared" si="144"/>
        <v>207.08773997010911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134.17881812025095</v>
      </c>
      <c r="AV193" s="21">
        <f>EXP(-LN(2)/25)*AV192+(1-EXP(-LN(2)/25))/(LN(2)/25)*Calculateur!AQ193*Calculateur!AS193*VLOOKUP('Données projet'!$B$10,Paramètres!$A$1:$I$89,3,0)*0.475*44/12</f>
        <v>21.199979871382162</v>
      </c>
      <c r="AW193" s="21">
        <f>EXP(-LN(2)/2)*AW192+(1-EXP(-LN(2)/2))/(LN(2)/2)*AQ193*AT193*VLOOKUP('Données projet'!$B$10,Paramètres!$A$1:$I$89,3,0)*0.475*44/12</f>
        <v>0.93909630580116976</v>
      </c>
      <c r="AX193" s="21">
        <f t="shared" si="166"/>
        <v>156.31789429743429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8.0694917414803056E-13</v>
      </c>
      <c r="BF193" s="13">
        <f t="shared" si="167"/>
        <v>9.5069530861628001E-12</v>
      </c>
      <c r="BG193" s="20">
        <f t="shared" si="168"/>
        <v>1.7963379770041364E-11</v>
      </c>
      <c r="BH193" s="59">
        <f t="shared" si="116"/>
        <v>293.33333333335128</v>
      </c>
      <c r="BI193" s="59">
        <f ca="1">AVERAGE(OFFSET($BH$3,0,0,'Données projet'!$E$11+1,1))-AVERAGE(OFFSET($H$3,0,0,'Données projet'!$E$11+1,1))</f>
        <v>561.19833044503548</v>
      </c>
      <c r="BJ193" s="59">
        <f t="shared" si="146"/>
        <v>235.9089269943575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150.37281341062607</v>
      </c>
      <c r="BQ193" s="21">
        <f>EXP(-LN(2)/25)*BQ192+(1-EXP(-LN(2)/25))/(LN(2)/25)*Calculateur!BL193*Calculateur!BN193*VLOOKUP('Données projet'!$B$11,Paramètres!$A$1:$I$89,3,0)*0.475*44/12</f>
        <v>23.758598131721403</v>
      </c>
      <c r="BR193" s="21">
        <f>EXP(-LN(2)/2)*BR192+(1-EXP(-LN(2)/2))/(LN(2)/2)*BL193*BO193*VLOOKUP('Données projet'!$B$11,Paramètres!$A$1:$I$89,3,0)*0.475*44/12</f>
        <v>1.052435515122</v>
      </c>
      <c r="BS193" s="22">
        <f t="shared" si="169"/>
        <v>175.18384705746948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-4.9658410716801891E-14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147.1862160897889</v>
      </c>
      <c r="CE193" s="59">
        <f t="shared" si="148"/>
        <v>147.31828668914011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2.708940276578288</v>
      </c>
      <c r="CL193" s="21">
        <f>EXP(-LN(2)/25)*CL192+(1-EXP(-LN(2)/25))/(LN(2)/25)*Calculateur!CG193*Calculateur!CI193*VLOOKUP('Données projet'!$B$12,Paramètres!$A$1:$I$89,3,0)*0.475*44/12</f>
        <v>3.3817298342964661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6.0906701108747541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326.05837294177707</v>
      </c>
      <c r="T194" s="59">
        <f t="shared" si="142"/>
        <v>406.74689878702014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12.284434173421593</v>
      </c>
      <c r="AA194" s="21">
        <f>EXP(-LN(2)/25)*AA193+(1-EXP(-LN(2)/25))/(LN(2)/25)*Calculateur!V194*Calculateur!X194*VLOOKUP('Données projet'!$B$9,Paramètres!$A$1:$I$89,3,0)*0.475*44/12</f>
        <v>1.4605111311329622</v>
      </c>
      <c r="AB194" s="21">
        <f>EXP(-LN(2)/2)*AB193+(1-EXP(-LN(2)/2))/(LN(2)/2)*V194*Y194*VLOOKUP('Données projet'!$B$9,Paramètres!$A$1:$I$89,3,0)*0.475*44/12</f>
        <v>3.7040685229780302E-19</v>
      </c>
      <c r="AC194" s="22">
        <f t="shared" si="163"/>
        <v>13.744945304554555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7.2004695539362725E-13</v>
      </c>
      <c r="AK194" s="13">
        <f t="shared" si="164"/>
        <v>8.5963894794935589E-12</v>
      </c>
      <c r="AL194" s="20">
        <f t="shared" si="165"/>
        <v>1.6226126790761848E-11</v>
      </c>
      <c r="AM194" s="59">
        <f t="shared" si="113"/>
        <v>293.33333333334951</v>
      </c>
      <c r="AN194" s="59">
        <f ca="1">AVERAGE(OFFSET($AM$3,0,0,'Données projet'!$E$10+1,1))-AVERAGE(OFFSET($H$3,0,0,'Données projet'!$E$10+1,1))</f>
        <v>490.21869105612649</v>
      </c>
      <c r="AO194" s="59">
        <f t="shared" si="144"/>
        <v>207.08773997010911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131.54765333791076</v>
      </c>
      <c r="AV194" s="21">
        <f>EXP(-LN(2)/25)*AV193+(1-EXP(-LN(2)/25))/(LN(2)/25)*Calculateur!AQ194*Calculateur!AS194*VLOOKUP('Données projet'!$B$10,Paramètres!$A$1:$I$89,3,0)*0.475*44/12</f>
        <v>20.620265306940727</v>
      </c>
      <c r="AW194" s="21">
        <f>EXP(-LN(2)/2)*AW193+(1-EXP(-LN(2)/2))/(LN(2)/2)*AQ194*AT194*VLOOKUP('Données projet'!$B$10,Paramètres!$A$1:$I$89,3,0)*0.475*44/12</f>
        <v>0.66404136601924291</v>
      </c>
      <c r="AX194" s="21">
        <f t="shared" si="166"/>
        <v>152.83196001087072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8.0694917414803056E-13</v>
      </c>
      <c r="BF194" s="13">
        <f t="shared" si="167"/>
        <v>9.5069530861628001E-12</v>
      </c>
      <c r="BG194" s="20">
        <f t="shared" si="168"/>
        <v>1.7963379770041364E-11</v>
      </c>
      <c r="BH194" s="59">
        <f t="shared" si="116"/>
        <v>293.33333333335128</v>
      </c>
      <c r="BI194" s="59">
        <f ca="1">AVERAGE(OFFSET($BH$3,0,0,'Données projet'!$E$11+1,1))-AVERAGE(OFFSET($H$3,0,0,'Données projet'!$E$11+1,1))</f>
        <v>561.19833044503548</v>
      </c>
      <c r="BJ194" s="59">
        <f t="shared" si="146"/>
        <v>235.9089269943575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147.42409425800344</v>
      </c>
      <c r="BQ194" s="21">
        <f>EXP(-LN(2)/25)*BQ193+(1-EXP(-LN(2)/25))/(LN(2)/25)*Calculateur!BL194*Calculateur!BN194*VLOOKUP('Données projet'!$B$11,Paramètres!$A$1:$I$89,3,0)*0.475*44/12</f>
        <v>23.108918016399105</v>
      </c>
      <c r="BR194" s="21">
        <f>EXP(-LN(2)/2)*BR193+(1-EXP(-LN(2)/2))/(LN(2)/2)*BL194*BO194*VLOOKUP('Données projet'!$B$11,Paramètres!$A$1:$I$89,3,0)*0.475*44/12</f>
        <v>0.74418428950432347</v>
      </c>
      <c r="BS194" s="22">
        <f t="shared" si="169"/>
        <v>171.27719656390687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-4.9658410716801891E-14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147.1862160897889</v>
      </c>
      <c r="CE194" s="59">
        <f t="shared" si="148"/>
        <v>147.31828668914011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2.6558196100450062</v>
      </c>
      <c r="CL194" s="21">
        <f>EXP(-LN(2)/25)*CL193+(1-EXP(-LN(2)/25))/(LN(2)/25)*Calculateur!CG194*Calculateur!CI194*VLOOKUP('Données projet'!$B$12,Paramètres!$A$1:$I$89,3,0)*0.475*44/12</f>
        <v>3.2892562541401862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5.945075864185192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326.05837294177707</v>
      </c>
      <c r="T195" s="59">
        <f t="shared" si="142"/>
        <v>406.74689878702014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12.043543912045791</v>
      </c>
      <c r="AA195" s="21">
        <f>EXP(-LN(2)/25)*AA194+(1-EXP(-LN(2)/25))/(LN(2)/25)*Calculateur!V195*Calculateur!X195*VLOOKUP('Données projet'!$B$9,Paramètres!$A$1:$I$89,3,0)*0.475*44/12</f>
        <v>1.4205733774471889</v>
      </c>
      <c r="AB195" s="21">
        <f>EXP(-LN(2)/2)*AB194+(1-EXP(-LN(2)/2))/(LN(2)/2)*V195*Y195*VLOOKUP('Données projet'!$B$9,Paramètres!$A$1:$I$89,3,0)*0.475*44/12</f>
        <v>2.6191719705774042E-19</v>
      </c>
      <c r="AC195" s="22">
        <f t="shared" si="163"/>
        <v>13.464117289492981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7.2004695539362725E-13</v>
      </c>
      <c r="AK195" s="13">
        <f t="shared" si="164"/>
        <v>8.5963894794935589E-12</v>
      </c>
      <c r="AL195" s="20">
        <f t="shared" si="165"/>
        <v>1.6226126790761848E-11</v>
      </c>
      <c r="AM195" s="59">
        <f t="shared" si="113"/>
        <v>293.33333333334951</v>
      </c>
      <c r="AN195" s="59">
        <f ca="1">AVERAGE(OFFSET($AM$3,0,0,'Données projet'!$E$10+1,1))-AVERAGE(OFFSET($H$3,0,0,'Données projet'!$E$10+1,1))</f>
        <v>490.21869105612649</v>
      </c>
      <c r="AO195" s="59">
        <f t="shared" si="144"/>
        <v>207.08773997010911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128.96808409210021</v>
      </c>
      <c r="AV195" s="21">
        <f>EXP(-LN(2)/25)*AV194+(1-EXP(-LN(2)/25))/(LN(2)/25)*Calculateur!AQ195*Calculateur!AS195*VLOOKUP('Données projet'!$B$10,Paramètres!$A$1:$I$89,3,0)*0.475*44/12</f>
        <v>20.056403067749809</v>
      </c>
      <c r="AW195" s="21">
        <f>EXP(-LN(2)/2)*AW194+(1-EXP(-LN(2)/2))/(LN(2)/2)*AQ195*AT195*VLOOKUP('Données projet'!$B$10,Paramètres!$A$1:$I$89,3,0)*0.475*44/12</f>
        <v>0.46954815290058494</v>
      </c>
      <c r="AX195" s="21">
        <f t="shared" si="166"/>
        <v>149.49403531275061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8.0694917414803056E-13</v>
      </c>
      <c r="BF195" s="13">
        <f t="shared" si="167"/>
        <v>9.5069530861628001E-12</v>
      </c>
      <c r="BG195" s="20">
        <f t="shared" si="168"/>
        <v>1.7963379770041364E-11</v>
      </c>
      <c r="BH195" s="59">
        <f t="shared" si="116"/>
        <v>293.33333333335128</v>
      </c>
      <c r="BI195" s="59">
        <f ca="1">AVERAGE(OFFSET($BH$3,0,0,'Données projet'!$E$11+1,1))-AVERAGE(OFFSET($H$3,0,0,'Données projet'!$E$11+1,1))</f>
        <v>561.19833044503548</v>
      </c>
      <c r="BJ195" s="59">
        <f t="shared" si="146"/>
        <v>235.9089269943575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144.53319768942265</v>
      </c>
      <c r="BQ195" s="21">
        <f>EXP(-LN(2)/25)*BQ194+(1-EXP(-LN(2)/25))/(LN(2)/25)*Calculateur!BL195*Calculateur!BN195*VLOOKUP('Données projet'!$B$11,Paramètres!$A$1:$I$89,3,0)*0.475*44/12</f>
        <v>22.477003437995489</v>
      </c>
      <c r="BR195" s="21">
        <f>EXP(-LN(2)/2)*BR194+(1-EXP(-LN(2)/2))/(LN(2)/2)*BL195*BO195*VLOOKUP('Données projet'!$B$11,Paramètres!$A$1:$I$89,3,0)*0.475*44/12</f>
        <v>0.52621775756099998</v>
      </c>
      <c r="BS195" s="22">
        <f t="shared" si="169"/>
        <v>167.53641888497913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-4.9658410716801891E-14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147.1862160897889</v>
      </c>
      <c r="CE195" s="59">
        <f t="shared" si="148"/>
        <v>147.31828668914011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2.6037406073820351</v>
      </c>
      <c r="CL195" s="21">
        <f>EXP(-LN(2)/25)*CL194+(1-EXP(-LN(2)/25))/(LN(2)/25)*Calculateur!CG195*Calculateur!CI195*VLOOKUP('Données projet'!$B$12,Paramètres!$A$1:$I$89,3,0)*0.475*44/12</f>
        <v>3.1993113688962542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5.8030519762782893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326.05837294177707</v>
      </c>
      <c r="T196" s="59">
        <f t="shared" si="142"/>
        <v>406.74689878702014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11.807377361767019</v>
      </c>
      <c r="AA196" s="21">
        <f>EXP(-LN(2)/25)*AA195+(1-EXP(-LN(2)/25))/(LN(2)/25)*Calculateur!V196*Calculateur!X196*VLOOKUP('Données projet'!$B$9,Paramètres!$A$1:$I$89,3,0)*0.475*44/12</f>
        <v>1.3817277237361885</v>
      </c>
      <c r="AB196" s="21">
        <f>EXP(-LN(2)/2)*AB195+(1-EXP(-LN(2)/2))/(LN(2)/2)*V196*Y196*VLOOKUP('Données projet'!$B$9,Paramètres!$A$1:$I$89,3,0)*0.475*44/12</f>
        <v>1.8520342614890151E-19</v>
      </c>
      <c r="AC196" s="22">
        <f t="shared" si="163"/>
        <v>13.189105085503208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7.2004695539362725E-13</v>
      </c>
      <c r="AK196" s="13">
        <f t="shared" si="164"/>
        <v>8.5963894794935589E-12</v>
      </c>
      <c r="AL196" s="20">
        <f t="shared" si="165"/>
        <v>1.6226126790761848E-11</v>
      </c>
      <c r="AM196" s="59">
        <f t="shared" ref="AM196:AM203" si="193">AL196+(AD196+AE196)*44/12</f>
        <v>293.33333333334951</v>
      </c>
      <c r="AN196" s="59">
        <f ca="1">AVERAGE(OFFSET($AM$3,0,0,'Données projet'!$E$10+1,1))-AVERAGE(OFFSET($H$3,0,0,'Données projet'!$E$10+1,1))</f>
        <v>490.21869105612649</v>
      </c>
      <c r="AO196" s="59">
        <f t="shared" si="144"/>
        <v>207.08773997010911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126.43909862581812</v>
      </c>
      <c r="AV196" s="21">
        <f>EXP(-LN(2)/25)*AV195+(1-EXP(-LN(2)/25))/(LN(2)/25)*Calculateur!AQ196*Calculateur!AS196*VLOOKUP('Données projet'!$B$10,Paramètres!$A$1:$I$89,3,0)*0.475*44/12</f>
        <v>19.507959671141794</v>
      </c>
      <c r="AW196" s="21">
        <f>EXP(-LN(2)/2)*AW195+(1-EXP(-LN(2)/2))/(LN(2)/2)*AQ196*AT196*VLOOKUP('Données projet'!$B$10,Paramètres!$A$1:$I$89,3,0)*0.475*44/12</f>
        <v>0.33202068300962151</v>
      </c>
      <c r="AX196" s="21">
        <f t="shared" si="166"/>
        <v>146.27907897996954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8.0694917414803056E-13</v>
      </c>
      <c r="BF196" s="13">
        <f t="shared" si="167"/>
        <v>9.5069530861628001E-12</v>
      </c>
      <c r="BG196" s="20">
        <f t="shared" si="168"/>
        <v>1.7963379770041364E-11</v>
      </c>
      <c r="BH196" s="59">
        <f t="shared" ref="BH196:BH203" si="194">BG196+(AY196+AZ196)*44/12</f>
        <v>293.33333333335128</v>
      </c>
      <c r="BI196" s="59">
        <f ca="1">AVERAGE(OFFSET($BH$3,0,0,'Données projet'!$E$11+1,1))-AVERAGE(OFFSET($H$3,0,0,'Données projet'!$E$11+1,1))</f>
        <v>561.19833044503548</v>
      </c>
      <c r="BJ196" s="59">
        <f t="shared" si="146"/>
        <v>235.9089269943575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141.69898983927894</v>
      </c>
      <c r="BQ196" s="21">
        <f>EXP(-LN(2)/25)*BQ195+(1-EXP(-LN(2)/25))/(LN(2)/25)*Calculateur!BL196*Calculateur!BN196*VLOOKUP('Données projet'!$B$11,Paramètres!$A$1:$I$89,3,0)*0.475*44/12</f>
        <v>21.862368596969262</v>
      </c>
      <c r="BR196" s="21">
        <f>EXP(-LN(2)/2)*BR195+(1-EXP(-LN(2)/2))/(LN(2)/2)*BL196*BO196*VLOOKUP('Données projet'!$B$11,Paramètres!$A$1:$I$89,3,0)*0.475*44/12</f>
        <v>0.37209214475216174</v>
      </c>
      <c r="BS196" s="22">
        <f t="shared" si="169"/>
        <v>163.93345058100039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-4.9658410716801891E-14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147.1862160897889</v>
      </c>
      <c r="CE196" s="59">
        <f t="shared" si="148"/>
        <v>147.31828668914011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2.5526828421962295</v>
      </c>
      <c r="CL196" s="21">
        <f>EXP(-LN(2)/25)*CL195+(1-EXP(-LN(2)/25))/(LN(2)/25)*Calculateur!CG196*Calculateur!CI196*VLOOKUP('Données projet'!$B$12,Paramètres!$A$1:$I$89,3,0)*0.475*44/12</f>
        <v>3.1118260312693136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5.6645088734655431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326.05837294177707</v>
      </c>
      <c r="T197" s="59">
        <f t="shared" ref="T197:T203" si="204">$T$3</f>
        <v>406.74689878702014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11.575841893491841</v>
      </c>
      <c r="AA197" s="21">
        <f>EXP(-LN(2)/25)*AA196+(1-EXP(-LN(2)/25))/(LN(2)/25)*Calculateur!V197*Calculateur!X197*VLOOKUP('Données projet'!$B$9,Paramètres!$A$1:$I$89,3,0)*0.475*44/12</f>
        <v>1.3439443064687193</v>
      </c>
      <c r="AB197" s="21">
        <f>EXP(-LN(2)/2)*AB196+(1-EXP(-LN(2)/2))/(LN(2)/2)*V197*Y197*VLOOKUP('Données projet'!$B$9,Paramètres!$A$1:$I$89,3,0)*0.475*44/12</f>
        <v>1.3095859852887021E-19</v>
      </c>
      <c r="AC197" s="22">
        <f t="shared" si="163"/>
        <v>12.91978619996056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7.2004695539362725E-13</v>
      </c>
      <c r="AK197" s="13">
        <f t="shared" si="164"/>
        <v>8.5963894794935589E-12</v>
      </c>
      <c r="AL197" s="20">
        <f t="shared" si="165"/>
        <v>1.6226126790761848E-11</v>
      </c>
      <c r="AM197" s="59">
        <f t="shared" si="193"/>
        <v>293.33333333334951</v>
      </c>
      <c r="AN197" s="59">
        <f ca="1">AVERAGE(OFFSET($AM$3,0,0,'Données projet'!$E$10+1,1))-AVERAGE(OFFSET($H$3,0,0,'Données projet'!$E$10+1,1))</f>
        <v>490.21869105612649</v>
      </c>
      <c r="AO197" s="59">
        <f t="shared" ref="AO197:AO203" si="205">$AO$3</f>
        <v>207.08773997010911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123.959705022001</v>
      </c>
      <c r="AV197" s="21">
        <f>EXP(-LN(2)/25)*AV196+(1-EXP(-LN(2)/25))/(LN(2)/25)*Calculateur!AQ197*Calculateur!AS197*VLOOKUP('Données projet'!$B$10,Paramètres!$A$1:$I$89,3,0)*0.475*44/12</f>
        <v>18.974513488055408</v>
      </c>
      <c r="AW197" s="21">
        <f>EXP(-LN(2)/2)*AW196+(1-EXP(-LN(2)/2))/(LN(2)/2)*AQ197*AT197*VLOOKUP('Données projet'!$B$10,Paramètres!$A$1:$I$89,3,0)*0.475*44/12</f>
        <v>0.2347740764502925</v>
      </c>
      <c r="AX197" s="21">
        <f t="shared" si="166"/>
        <v>143.1689925865067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8.0694917414803056E-13</v>
      </c>
      <c r="BF197" s="13">
        <f t="shared" si="167"/>
        <v>9.5069530861628001E-12</v>
      </c>
      <c r="BG197" s="20">
        <f t="shared" si="168"/>
        <v>1.7963379770041364E-11</v>
      </c>
      <c r="BH197" s="59">
        <f t="shared" si="194"/>
        <v>293.33333333335128</v>
      </c>
      <c r="BI197" s="59">
        <f ca="1">AVERAGE(OFFSET($BH$3,0,0,'Données projet'!$E$11+1,1))-AVERAGE(OFFSET($H$3,0,0,'Données projet'!$E$11+1,1))</f>
        <v>561.19833044503548</v>
      </c>
      <c r="BJ197" s="59">
        <f t="shared" ref="BJ197:BJ203" si="206">$BJ$3</f>
        <v>235.9089269943575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138.92035907638044</v>
      </c>
      <c r="BQ197" s="21">
        <f>EXP(-LN(2)/25)*BQ196+(1-EXP(-LN(2)/25))/(LN(2)/25)*Calculateur!BL197*Calculateur!BN197*VLOOKUP('Données projet'!$B$11,Paramètres!$A$1:$I$89,3,0)*0.475*44/12</f>
        <v>21.264540977993139</v>
      </c>
      <c r="BR197" s="21">
        <f>EXP(-LN(2)/2)*BR196+(1-EXP(-LN(2)/2))/(LN(2)/2)*BL197*BO197*VLOOKUP('Données projet'!$B$11,Paramètres!$A$1:$I$89,3,0)*0.475*44/12</f>
        <v>0.26310887878049999</v>
      </c>
      <c r="BS197" s="22">
        <f t="shared" si="169"/>
        <v>160.44800893315409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-4.9658410716801891E-14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147.1862160897889</v>
      </c>
      <c r="CE197" s="59">
        <f t="shared" ref="CE197:CE203" si="207">$CE$3</f>
        <v>147.31828668914011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2.502626288643556</v>
      </c>
      <c r="CL197" s="21">
        <f>EXP(-LN(2)/25)*CL196+(1-EXP(-LN(2)/25))/(LN(2)/25)*Calculateur!CG197*Calculateur!CI197*VLOOKUP('Données projet'!$B$12,Paramètres!$A$1:$I$89,3,0)*0.475*44/12</f>
        <v>3.0267329848004354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5.5293592734439914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326.05837294177707</v>
      </c>
      <c r="T198" s="59">
        <f t="shared" si="204"/>
        <v>406.74689878702014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11.348846694526848</v>
      </c>
      <c r="AA198" s="21">
        <f>EXP(-LN(2)/25)*AA197+(1-EXP(-LN(2)/25))/(LN(2)/25)*Calculateur!V198*Calculateur!X198*VLOOKUP('Données projet'!$B$9,Paramètres!$A$1:$I$89,3,0)*0.475*44/12</f>
        <v>1.3071940787333727</v>
      </c>
      <c r="AB198" s="21">
        <f>EXP(-LN(2)/2)*AB197+(1-EXP(-LN(2)/2))/(LN(2)/2)*V198*Y198*VLOOKUP('Données projet'!$B$9,Paramètres!$A$1:$I$89,3,0)*0.475*44/12</f>
        <v>9.2601713074450754E-20</v>
      </c>
      <c r="AC198" s="22">
        <f t="shared" si="163"/>
        <v>12.656040773260221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7.2004695539362725E-13</v>
      </c>
      <c r="AK198" s="13">
        <f t="shared" si="164"/>
        <v>8.5963894794935589E-12</v>
      </c>
      <c r="AL198" s="20">
        <f t="shared" si="165"/>
        <v>1.6226126790761848E-11</v>
      </c>
      <c r="AM198" s="59">
        <f t="shared" si="193"/>
        <v>293.33333333334951</v>
      </c>
      <c r="AN198" s="59">
        <f ca="1">AVERAGE(OFFSET($AM$3,0,0,'Données projet'!$E$10+1,1))-AVERAGE(OFFSET($H$3,0,0,'Données projet'!$E$10+1,1))</f>
        <v>490.21869105612649</v>
      </c>
      <c r="AO198" s="59">
        <f t="shared" si="205"/>
        <v>207.08773997010911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121.52893081447397</v>
      </c>
      <c r="AV198" s="21">
        <f>EXP(-LN(2)/25)*AV197+(1-EXP(-LN(2)/25))/(LN(2)/25)*Calculateur!AQ198*Calculateur!AS198*VLOOKUP('Données projet'!$B$10,Paramètres!$A$1:$I$89,3,0)*0.475*44/12</f>
        <v>18.455654418898234</v>
      </c>
      <c r="AW198" s="21">
        <f>EXP(-LN(2)/2)*AW197+(1-EXP(-LN(2)/2))/(LN(2)/2)*AQ198*AT198*VLOOKUP('Données projet'!$B$10,Paramètres!$A$1:$I$89,3,0)*0.475*44/12</f>
        <v>0.16601034150481075</v>
      </c>
      <c r="AX198" s="21">
        <f t="shared" si="166"/>
        <v>140.150595574877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8.0694917414803056E-13</v>
      </c>
      <c r="BF198" s="13">
        <f t="shared" si="167"/>
        <v>9.5069530861628001E-12</v>
      </c>
      <c r="BG198" s="20">
        <f t="shared" si="168"/>
        <v>1.7963379770041364E-11</v>
      </c>
      <c r="BH198" s="59">
        <f t="shared" si="194"/>
        <v>293.33333333335128</v>
      </c>
      <c r="BI198" s="59">
        <f ca="1">AVERAGE(OFFSET($BH$3,0,0,'Données projet'!$E$11+1,1))-AVERAGE(OFFSET($H$3,0,0,'Données projet'!$E$11+1,1))</f>
        <v>561.19833044503548</v>
      </c>
      <c r="BJ198" s="59">
        <f t="shared" si="206"/>
        <v>235.9089269943575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136.19621556794496</v>
      </c>
      <c r="BQ198" s="21">
        <f>EXP(-LN(2)/25)*BQ197+(1-EXP(-LN(2)/25))/(LN(2)/25)*Calculateur!BL198*Calculateur!BN198*VLOOKUP('Données projet'!$B$11,Paramètres!$A$1:$I$89,3,0)*0.475*44/12</f>
        <v>20.683060986696308</v>
      </c>
      <c r="BR198" s="21">
        <f>EXP(-LN(2)/2)*BR197+(1-EXP(-LN(2)/2))/(LN(2)/2)*BL198*BO198*VLOOKUP('Données projet'!$B$11,Paramètres!$A$1:$I$89,3,0)*0.475*44/12</f>
        <v>0.18604607237608087</v>
      </c>
      <c r="BS198" s="22">
        <f t="shared" si="169"/>
        <v>157.06532262701737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-4.9658410716801891E-14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147.1862160897889</v>
      </c>
      <c r="CE198" s="59">
        <f t="shared" si="207"/>
        <v>147.31828668914011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2.4535513135745672</v>
      </c>
      <c r="CL198" s="21">
        <f>EXP(-LN(2)/25)*CL197+(1-EXP(-LN(2)/25))/(LN(2)/25)*Calculateur!CG198*Calculateur!CI198*VLOOKUP('Données projet'!$B$12,Paramètres!$A$1:$I$89,3,0)*0.475*44/12</f>
        <v>2.9439668121620977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5.3975181257366653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326.05837294177707</v>
      </c>
      <c r="T199" s="59">
        <f t="shared" si="204"/>
        <v>406.74689878702014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11.126302732960159</v>
      </c>
      <c r="AA199" s="21">
        <f>EXP(-LN(2)/25)*AA198+(1-EXP(-LN(2)/25))/(LN(2)/25)*Calculateur!V199*Calculateur!X199*VLOOKUP('Données projet'!$B$9,Paramètres!$A$1:$I$89,3,0)*0.475*44/12</f>
        <v>1.2714487879080596</v>
      </c>
      <c r="AB199" s="21">
        <f>EXP(-LN(2)/2)*AB198+(1-EXP(-LN(2)/2))/(LN(2)/2)*V199*Y199*VLOOKUP('Données projet'!$B$9,Paramètres!$A$1:$I$89,3,0)*0.475*44/12</f>
        <v>6.5479299264435106E-20</v>
      </c>
      <c r="AC199" s="22">
        <f t="shared" si="163"/>
        <v>12.397751520868219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7.2004695539362725E-13</v>
      </c>
      <c r="AK199" s="13">
        <f t="shared" si="164"/>
        <v>8.5963894794935589E-12</v>
      </c>
      <c r="AL199" s="20">
        <f t="shared" si="165"/>
        <v>1.6226126790761848E-11</v>
      </c>
      <c r="AM199" s="59">
        <f t="shared" si="193"/>
        <v>293.33333333334951</v>
      </c>
      <c r="AN199" s="59">
        <f ca="1">AVERAGE(OFFSET($AM$3,0,0,'Données projet'!$E$10+1,1))-AVERAGE(OFFSET($H$3,0,0,'Données projet'!$E$10+1,1))</f>
        <v>490.21869105612649</v>
      </c>
      <c r="AO199" s="59">
        <f t="shared" si="205"/>
        <v>207.08773997010911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119.14582260653066</v>
      </c>
      <c r="AV199" s="21">
        <f>EXP(-LN(2)/25)*AV198+(1-EXP(-LN(2)/25))/(LN(2)/25)*Calculateur!AQ199*Calculateur!AS199*VLOOKUP('Données projet'!$B$10,Paramètres!$A$1:$I$89,3,0)*0.475*44/12</f>
        <v>17.950983578272776</v>
      </c>
      <c r="AW199" s="21">
        <f>EXP(-LN(2)/2)*AW198+(1-EXP(-LN(2)/2))/(LN(2)/2)*AQ199*AT199*VLOOKUP('Données projet'!$B$10,Paramètres!$A$1:$I$89,3,0)*0.475*44/12</f>
        <v>0.11738703822514625</v>
      </c>
      <c r="AX199" s="21">
        <f t="shared" si="166"/>
        <v>137.21419322302856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8.0694917414803056E-13</v>
      </c>
      <c r="BF199" s="13">
        <f t="shared" si="167"/>
        <v>9.5069530861628001E-12</v>
      </c>
      <c r="BG199" s="20">
        <f t="shared" si="168"/>
        <v>1.7963379770041364E-11</v>
      </c>
      <c r="BH199" s="59">
        <f t="shared" si="194"/>
        <v>293.33333333335128</v>
      </c>
      <c r="BI199" s="59">
        <f ca="1">AVERAGE(OFFSET($BH$3,0,0,'Données projet'!$E$11+1,1))-AVERAGE(OFFSET($H$3,0,0,'Données projet'!$E$11+1,1))</f>
        <v>561.19833044503548</v>
      </c>
      <c r="BJ199" s="59">
        <f t="shared" si="206"/>
        <v>235.9089269943575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133.52549085214642</v>
      </c>
      <c r="BQ199" s="21">
        <f>EXP(-LN(2)/25)*BQ198+(1-EXP(-LN(2)/25))/(LN(2)/25)*Calculateur!BL199*Calculateur!BN199*VLOOKUP('Données projet'!$B$11,Paramètres!$A$1:$I$89,3,0)*0.475*44/12</f>
        <v>20.117481596340191</v>
      </c>
      <c r="BR199" s="21">
        <f>EXP(-LN(2)/2)*BR198+(1-EXP(-LN(2)/2))/(LN(2)/2)*BL199*BO199*VLOOKUP('Données projet'!$B$11,Paramètres!$A$1:$I$89,3,0)*0.475*44/12</f>
        <v>0.13155443939024999</v>
      </c>
      <c r="BS199" s="22">
        <f t="shared" si="169"/>
        <v>153.77452688787685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-4.9658410716801891E-14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147.1862160897889</v>
      </c>
      <c r="CE199" s="59">
        <f t="shared" si="207"/>
        <v>147.31828668914011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2.4054386688339022</v>
      </c>
      <c r="CL199" s="21">
        <f>EXP(-LN(2)/25)*CL198+(1-EXP(-LN(2)/25))/(LN(2)/25)*Calculateur!CG199*Calculateur!CI199*VLOOKUP('Données projet'!$B$12,Paramètres!$A$1:$I$89,3,0)*0.475*44/12</f>
        <v>2.8634638848670391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5.2689025537009417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326.05837294177707</v>
      </c>
      <c r="T200" s="59">
        <f t="shared" si="204"/>
        <v>406.74689878702014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10.908122722741378</v>
      </c>
      <c r="AA200" s="21">
        <f>EXP(-LN(2)/25)*AA199+(1-EXP(-LN(2)/25))/(LN(2)/25)*Calculateur!V200*Calculateur!X200*VLOOKUP('Données projet'!$B$9,Paramètres!$A$1:$I$89,3,0)*0.475*44/12</f>
        <v>1.2366809539401278</v>
      </c>
      <c r="AB200" s="21">
        <f>EXP(-LN(2)/2)*AB199+(1-EXP(-LN(2)/2))/(LN(2)/2)*V200*Y200*VLOOKUP('Données projet'!$B$9,Paramètres!$A$1:$I$89,3,0)*0.475*44/12</f>
        <v>4.6300856537225377E-20</v>
      </c>
      <c r="AC200" s="22">
        <f t="shared" si="163"/>
        <v>12.144803676681507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7.2004695539362725E-13</v>
      </c>
      <c r="AK200" s="13">
        <f t="shared" si="164"/>
        <v>8.5963894794935589E-12</v>
      </c>
      <c r="AL200" s="20">
        <f t="shared" si="165"/>
        <v>1.6226126790761848E-11</v>
      </c>
      <c r="AM200" s="59">
        <f t="shared" si="193"/>
        <v>293.33333333334951</v>
      </c>
      <c r="AN200" s="59">
        <f ca="1">AVERAGE(OFFSET($AM$3,0,0,'Données projet'!$E$10+1,1))-AVERAGE(OFFSET($H$3,0,0,'Données projet'!$E$10+1,1))</f>
        <v>490.21869105612649</v>
      </c>
      <c r="AO200" s="59">
        <f t="shared" si="205"/>
        <v>207.08773997010911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116.80944569699264</v>
      </c>
      <c r="AV200" s="21">
        <f>EXP(-LN(2)/25)*AV199+(1-EXP(-LN(2)/25))/(LN(2)/25)*Calculateur!AQ200*Calculateur!AS200*VLOOKUP('Données projet'!$B$10,Paramètres!$A$1:$I$89,3,0)*0.475*44/12</f>
        <v>17.460112988323708</v>
      </c>
      <c r="AW200" s="21">
        <f>EXP(-LN(2)/2)*AW199+(1-EXP(-LN(2)/2))/(LN(2)/2)*AQ200*AT200*VLOOKUP('Données projet'!$B$10,Paramètres!$A$1:$I$89,3,0)*0.475*44/12</f>
        <v>8.3005170752405377E-2</v>
      </c>
      <c r="AX200" s="21">
        <f t="shared" si="166"/>
        <v>134.35256385606877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8.0694917414803056E-13</v>
      </c>
      <c r="BF200" s="13">
        <f t="shared" si="167"/>
        <v>9.5069530861628001E-12</v>
      </c>
      <c r="BG200" s="20">
        <f t="shared" si="168"/>
        <v>1.7963379770041364E-11</v>
      </c>
      <c r="BH200" s="59">
        <f t="shared" si="194"/>
        <v>293.33333333335128</v>
      </c>
      <c r="BI200" s="59">
        <f ca="1">AVERAGE(OFFSET($BH$3,0,0,'Données projet'!$E$11+1,1))-AVERAGE(OFFSET($H$3,0,0,'Données projet'!$E$11+1,1))</f>
        <v>561.19833044503548</v>
      </c>
      <c r="BJ200" s="59">
        <f t="shared" si="206"/>
        <v>235.9089269943575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130.90713741904347</v>
      </c>
      <c r="BQ200" s="21">
        <f>EXP(-LN(2)/25)*BQ199+(1-EXP(-LN(2)/25))/(LN(2)/25)*Calculateur!BL200*Calculateur!BN200*VLOOKUP('Données projet'!$B$11,Paramètres!$A$1:$I$89,3,0)*0.475*44/12</f>
        <v>19.567368004155892</v>
      </c>
      <c r="BR200" s="21">
        <f>EXP(-LN(2)/2)*BR199+(1-EXP(-LN(2)/2))/(LN(2)/2)*BL200*BO200*VLOOKUP('Données projet'!$B$11,Paramètres!$A$1:$I$89,3,0)*0.475*44/12</f>
        <v>9.3023036188040434E-2</v>
      </c>
      <c r="BS200" s="22">
        <f t="shared" si="169"/>
        <v>150.5675284593874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-4.9658410716801891E-14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147.1862160897889</v>
      </c>
      <c r="CE200" s="59">
        <f t="shared" si="207"/>
        <v>147.31828668914011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2.358269483710786</v>
      </c>
      <c r="CL200" s="21">
        <f>EXP(-LN(2)/25)*CL199+(1-EXP(-LN(2)/25))/(LN(2)/25)*Calculateur!CG200*Calculateur!CI200*VLOOKUP('Données projet'!$B$12,Paramètres!$A$1:$I$89,3,0)*0.475*44/12</f>
        <v>2.7851623143523287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5.1434317980631148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326.05837294177707</v>
      </c>
      <c r="T201" s="59">
        <f t="shared" si="204"/>
        <v>406.74689878702014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10.694221089446323</v>
      </c>
      <c r="AA201" s="21">
        <f>EXP(-LN(2)/25)*AA200+(1-EXP(-LN(2)/25))/(LN(2)/25)*Calculateur!V201*Calculateur!X201*VLOOKUP('Données projet'!$B$9,Paramètres!$A$1:$I$89,3,0)*0.475*44/12</f>
        <v>1.2028638482204101</v>
      </c>
      <c r="AB201" s="21">
        <f>EXP(-LN(2)/2)*AB200+(1-EXP(-LN(2)/2))/(LN(2)/2)*V201*Y201*VLOOKUP('Données projet'!$B$9,Paramètres!$A$1:$I$89,3,0)*0.475*44/12</f>
        <v>3.2739649632217553E-20</v>
      </c>
      <c r="AC201" s="22">
        <f t="shared" si="163"/>
        <v>11.897084937666733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7.2004695539362725E-13</v>
      </c>
      <c r="AK201" s="13">
        <f t="shared" si="164"/>
        <v>8.5963894794935589E-12</v>
      </c>
      <c r="AL201" s="20">
        <f t="shared" si="165"/>
        <v>1.6226126790761848E-11</v>
      </c>
      <c r="AM201" s="59">
        <f t="shared" si="193"/>
        <v>293.33333333334951</v>
      </c>
      <c r="AN201" s="59">
        <f ca="1">AVERAGE(OFFSET($AM$3,0,0,'Données projet'!$E$10+1,1))-AVERAGE(OFFSET($H$3,0,0,'Données projet'!$E$10+1,1))</f>
        <v>490.21869105612649</v>
      </c>
      <c r="AO201" s="59">
        <f t="shared" si="205"/>
        <v>207.08773997010911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114.51888371360145</v>
      </c>
      <c r="AV201" s="21">
        <f>EXP(-LN(2)/25)*AV200+(1-EXP(-LN(2)/25))/(LN(2)/25)*Calculateur!AQ201*Calculateur!AS201*VLOOKUP('Données projet'!$B$10,Paramètres!$A$1:$I$89,3,0)*0.475*44/12</f>
        <v>16.98266528047056</v>
      </c>
      <c r="AW201" s="21">
        <f>EXP(-LN(2)/2)*AW200+(1-EXP(-LN(2)/2))/(LN(2)/2)*AQ201*AT201*VLOOKUP('Données projet'!$B$10,Paramètres!$A$1:$I$89,3,0)*0.475*44/12</f>
        <v>5.8693519112573124E-2</v>
      </c>
      <c r="AX201" s="21">
        <f t="shared" si="166"/>
        <v>131.56024251318459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8.0694917414803056E-13</v>
      </c>
      <c r="BF201" s="13">
        <f t="shared" si="167"/>
        <v>9.5069530861628001E-12</v>
      </c>
      <c r="BG201" s="20">
        <f t="shared" si="168"/>
        <v>1.7963379770041364E-11</v>
      </c>
      <c r="BH201" s="59">
        <f t="shared" si="194"/>
        <v>293.33333333335128</v>
      </c>
      <c r="BI201" s="59">
        <f ca="1">AVERAGE(OFFSET($BH$3,0,0,'Données projet'!$E$11+1,1))-AVERAGE(OFFSET($H$3,0,0,'Données projet'!$E$11+1,1))</f>
        <v>561.19833044503548</v>
      </c>
      <c r="BJ201" s="59">
        <f t="shared" si="206"/>
        <v>235.9089269943575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128.34012829972576</v>
      </c>
      <c r="BQ201" s="21">
        <f>EXP(-LN(2)/25)*BQ200+(1-EXP(-LN(2)/25))/(LN(2)/25)*Calculateur!BL201*Calculateur!BN201*VLOOKUP('Données projet'!$B$11,Paramètres!$A$1:$I$89,3,0)*0.475*44/12</f>
        <v>19.032297297079086</v>
      </c>
      <c r="BR201" s="21">
        <f>EXP(-LN(2)/2)*BR200+(1-EXP(-LN(2)/2))/(LN(2)/2)*BL201*BO201*VLOOKUP('Données projet'!$B$11,Paramètres!$A$1:$I$89,3,0)*0.475*44/12</f>
        <v>6.5777219695124997E-2</v>
      </c>
      <c r="BS201" s="22">
        <f t="shared" si="169"/>
        <v>147.43820281649997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-4.9658410716801891E-14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147.1862160897889</v>
      </c>
      <c r="CE201" s="59">
        <f t="shared" si="207"/>
        <v>147.31828668914011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2.3120252575375724</v>
      </c>
      <c r="CL201" s="21">
        <f>EXP(-LN(2)/25)*CL200+(1-EXP(-LN(2)/25))/(LN(2)/25)*Calculateur!CG201*Calculateur!CI201*VLOOKUP('Données projet'!$B$12,Paramètres!$A$1:$I$89,3,0)*0.475*44/12</f>
        <v>2.7090019044010436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5.0210271619386155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326.05837294177707</v>
      </c>
      <c r="T202" s="59">
        <f t="shared" si="204"/>
        <v>406.74689878702014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10.48451393671307</v>
      </c>
      <c r="AA202" s="21">
        <f>EXP(-LN(2)/25)*AA201+(1-EXP(-LN(2)/25))/(LN(2)/25)*Calculateur!V202*Calculateur!X202*VLOOKUP('Données projet'!$B$9,Paramètres!$A$1:$I$89,3,0)*0.475*44/12</f>
        <v>1.1699714730349624</v>
      </c>
      <c r="AB202" s="21">
        <f>EXP(-LN(2)/2)*AB201+(1-EXP(-LN(2)/2))/(LN(2)/2)*V202*Y202*VLOOKUP('Données projet'!$B$9,Paramètres!$A$1:$I$89,3,0)*0.475*44/12</f>
        <v>2.3150428268612689E-20</v>
      </c>
      <c r="AC202" s="22">
        <f t="shared" si="163"/>
        <v>11.654485409748032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7.2004695539362725E-13</v>
      </c>
      <c r="AK202" s="13">
        <f t="shared" si="164"/>
        <v>8.5963894794935589E-12</v>
      </c>
      <c r="AL202" s="20">
        <f t="shared" si="165"/>
        <v>1.6226126790761848E-11</v>
      </c>
      <c r="AM202" s="59">
        <f t="shared" si="193"/>
        <v>293.33333333334951</v>
      </c>
      <c r="AN202" s="59">
        <f ca="1">AVERAGE(OFFSET($AM$3,0,0,'Données projet'!$E$10+1,1))-AVERAGE(OFFSET($H$3,0,0,'Données projet'!$E$10+1,1))</f>
        <v>490.21869105612649</v>
      </c>
      <c r="AO202" s="59">
        <f t="shared" si="205"/>
        <v>207.08773997010911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112.27323825359971</v>
      </c>
      <c r="AV202" s="21">
        <f>EXP(-LN(2)/25)*AV201+(1-EXP(-LN(2)/25))/(LN(2)/25)*Calculateur!AQ202*Calculateur!AS202*VLOOKUP('Données projet'!$B$10,Paramètres!$A$1:$I$89,3,0)*0.475*44/12</f>
        <v>16.51827340529654</v>
      </c>
      <c r="AW202" s="21">
        <f>EXP(-LN(2)/2)*AW201+(1-EXP(-LN(2)/2))/(LN(2)/2)*AQ202*AT202*VLOOKUP('Données projet'!$B$10,Paramètres!$A$1:$I$89,3,0)*0.475*44/12</f>
        <v>4.1502585376202689E-2</v>
      </c>
      <c r="AX202" s="21">
        <f t="shared" si="166"/>
        <v>128.83301424427245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8.0694917414803056E-13</v>
      </c>
      <c r="BF202" s="13">
        <f t="shared" si="167"/>
        <v>9.5069530861628001E-12</v>
      </c>
      <c r="BG202" s="20">
        <f t="shared" si="168"/>
        <v>1.7963379770041364E-11</v>
      </c>
      <c r="BH202" s="59">
        <f t="shared" si="194"/>
        <v>293.33333333335128</v>
      </c>
      <c r="BI202" s="59">
        <f ca="1">AVERAGE(OFFSET($BH$3,0,0,'Données projet'!$E$11+1,1))-AVERAGE(OFFSET($H$3,0,0,'Données projet'!$E$11+1,1))</f>
        <v>561.19833044503548</v>
      </c>
      <c r="BJ202" s="59">
        <f t="shared" si="206"/>
        <v>235.9089269943575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125.82345666351692</v>
      </c>
      <c r="BQ202" s="21">
        <f>EXP(-LN(2)/25)*BQ201+(1-EXP(-LN(2)/25))/(LN(2)/25)*Calculateur!BL202*Calculateur!BN202*VLOOKUP('Données projet'!$B$11,Paramètres!$A$1:$I$89,3,0)*0.475*44/12</f>
        <v>18.511858126625444</v>
      </c>
      <c r="BR202" s="21">
        <f>EXP(-LN(2)/2)*BR201+(1-EXP(-LN(2)/2))/(LN(2)/2)*BL202*BO202*VLOOKUP('Données projet'!$B$11,Paramètres!$A$1:$I$89,3,0)*0.475*44/12</f>
        <v>4.6511518094020217E-2</v>
      </c>
      <c r="BS202" s="22">
        <f t="shared" si="169"/>
        <v>144.38182630823638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-4.9658410716801891E-14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147.1862160897889</v>
      </c>
      <c r="CE202" s="59">
        <f t="shared" si="207"/>
        <v>147.31828668914011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2.2666878524334222</v>
      </c>
      <c r="CL202" s="21">
        <f>EXP(-LN(2)/25)*CL201+(1-EXP(-LN(2)/25))/(LN(2)/25)*Calculateur!CG202*Calculateur!CI202*VLOOKUP('Données projet'!$B$12,Paramètres!$A$1:$I$89,3,0)*0.475*44/12</f>
        <v>2.6349241048649783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4.9016119572984005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326.05837294177707</v>
      </c>
      <c r="T203" s="59">
        <f t="shared" si="204"/>
        <v>406.74689878702014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10.278919013336182</v>
      </c>
      <c r="AA203" s="21">
        <f>EXP(-LN(2)/25)*AA202+(1-EXP(-LN(2)/25))/(LN(2)/25)*Calculateur!V203*Calculateur!X203*VLOOKUP('Données projet'!$B$9,Paramètres!$A$1:$I$89,3,0)*0.475*44/12</f>
        <v>1.1379785415786956</v>
      </c>
      <c r="AB203" s="21">
        <f>EXP(-LN(2)/2)*AB202+(1-EXP(-LN(2)/2))/(LN(2)/2)*V203*Y203*VLOOKUP('Données projet'!$B$9,Paramètres!$A$1:$I$89,3,0)*0.475*44/12</f>
        <v>1.6369824816108776E-20</v>
      </c>
      <c r="AC203" s="22">
        <f t="shared" si="163"/>
        <v>11.416897554914877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7.2004695539362725E-13</v>
      </c>
      <c r="AK203" s="13">
        <f t="shared" si="164"/>
        <v>8.5963894794935589E-12</v>
      </c>
      <c r="AL203" s="20">
        <f t="shared" si="165"/>
        <v>1.6226126790761848E-11</v>
      </c>
      <c r="AM203" s="59">
        <f t="shared" si="193"/>
        <v>293.33333333334951</v>
      </c>
      <c r="AN203" s="59">
        <f ca="1">AVERAGE(OFFSET($AM$3,0,0,'Données projet'!$E$10+1,1))-AVERAGE(OFFSET($H$3,0,0,'Données projet'!$E$10+1,1))</f>
        <v>490.21869105612649</v>
      </c>
      <c r="AO203" s="59">
        <f t="shared" si="205"/>
        <v>207.08773997010911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110.07162853136013</v>
      </c>
      <c r="AV203" s="21">
        <f>EXP(-LN(2)/25)*AV202+(1-EXP(-LN(2)/25))/(LN(2)/25)*Calculateur!AQ203*Calculateur!AS203*VLOOKUP('Données projet'!$B$10,Paramètres!$A$1:$I$89,3,0)*0.475*44/12</f>
        <v>16.066580350370462</v>
      </c>
      <c r="AW203" s="21">
        <f>EXP(-LN(2)/2)*AW202+(1-EXP(-LN(2)/2))/(LN(2)/2)*AQ203*AT203*VLOOKUP('Données projet'!$B$10,Paramètres!$A$1:$I$89,3,0)*0.475*44/12</f>
        <v>2.9346759556286562E-2</v>
      </c>
      <c r="AX203" s="21">
        <f t="shared" si="166"/>
        <v>126.16755564128688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8.0694917414803056E-13</v>
      </c>
      <c r="BF203" s="13">
        <f t="shared" si="167"/>
        <v>9.5069530861628001E-12</v>
      </c>
      <c r="BG203" s="20">
        <f t="shared" si="168"/>
        <v>1.7963379770041364E-11</v>
      </c>
      <c r="BH203" s="59">
        <f t="shared" si="194"/>
        <v>293.33333333335128</v>
      </c>
      <c r="BI203" s="59">
        <f ca="1">AVERAGE(OFFSET($BH$3,0,0,'Données projet'!$E$11+1,1))-AVERAGE(OFFSET($H$3,0,0,'Données projet'!$E$11+1,1))</f>
        <v>561.19833044503548</v>
      </c>
      <c r="BJ203" s="59">
        <f t="shared" si="206"/>
        <v>235.9089269943575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123.35613542307601</v>
      </c>
      <c r="BQ203" s="21">
        <f>EXP(-LN(2)/25)*BQ202+(1-EXP(-LN(2)/25))/(LN(2)/25)*Calculateur!BL203*Calculateur!BN203*VLOOKUP('Données projet'!$B$11,Paramètres!$A$1:$I$89,3,0)*0.475*44/12</f>
        <v>18.005650392656563</v>
      </c>
      <c r="BR203" s="21">
        <f>EXP(-LN(2)/2)*BR202+(1-EXP(-LN(2)/2))/(LN(2)/2)*BL203*BO203*VLOOKUP('Données projet'!$B$11,Paramètres!$A$1:$I$89,3,0)*0.475*44/12</f>
        <v>3.2888609847562499E-2</v>
      </c>
      <c r="BS203" s="22">
        <f t="shared" si="169"/>
        <v>141.39467442558012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-4.9658410716801891E-14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147.1862160897889</v>
      </c>
      <c r="CE203" s="59">
        <f t="shared" si="207"/>
        <v>147.31828668914011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2.2222394861902779</v>
      </c>
      <c r="CL203" s="21">
        <f>EXP(-LN(2)/25)*CL202+(1-EXP(-LN(2)/25))/(LN(2)/25)*Calculateur!CG203*Calculateur!CI203*VLOOKUP('Données projet'!$B$12,Paramètres!$A$1:$I$89,3,0)*0.475*44/12</f>
        <v>2.5628719666528088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4.7851114528430863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1.3927421509577205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1.1303799945549604</v>
      </c>
      <c r="BV205" s="82">
        <f>EXP(LN('Données projet'!B114)/'Données projet'!A114)</f>
        <v>1.3394525703100604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9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96875" style="4" bestFit="1" customWidth="1"/>
    <col min="7" max="7" width="11.46484375" style="4" bestFit="1" customWidth="1"/>
    <col min="8" max="8" width="39" style="4" bestFit="1" customWidth="1"/>
    <col min="9" max="9" width="16.79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L20" sqref="L20"/>
    </sheetView>
  </sheetViews>
  <sheetFormatPr baseColWidth="10" defaultColWidth="11.46484375" defaultRowHeight="14.25" x14ac:dyDescent="0.45"/>
  <cols>
    <col min="1" max="1" width="22.7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maritime</v>
      </c>
      <c r="B6" s="146">
        <f>'Données projet'!D9</f>
        <v>6.3</v>
      </c>
      <c r="C6" s="147">
        <f ca="1">IF(OR('Données projet'!B9="",'Données projet'!C9="",'Données projet'!C9=0%),0,Calculateur!S3)</f>
        <v>326.05837294177707</v>
      </c>
      <c r="D6" s="147">
        <f>IF(OR('Données projet'!B9="",'Données projet'!C9="",'Données projet'!C9=0%),0,Calculateur!T3)</f>
        <v>406.74689878702014</v>
      </c>
      <c r="E6" s="147">
        <f ca="1">MIN(C6,D6)</f>
        <v>326.05837294177707</v>
      </c>
      <c r="F6" s="147">
        <f ca="1">E6*B6</f>
        <v>2054.1677495331955</v>
      </c>
      <c r="G6" s="147">
        <f ca="1">F6*(100%-'Données projet'!$C$24)*(100%-'Données projet'!$C$25)*(100%-'Données projet'!$C$26)*(100%-'Données projet'!$C$27)</f>
        <v>1571.4383283928946</v>
      </c>
      <c r="H6" s="148">
        <f>IF(OR('Données projet'!B9="",'Données projet'!C9="",'Données projet'!C9=0%),0,AVERAGE(Calculateur!$AC$3:$AC$33)*B6)</f>
        <v>89.437420982503681</v>
      </c>
      <c r="I6" s="149">
        <f>H6*(100%-'Données projet'!$C$24)*(100%-'Données projet'!$C$25)*(100%-'Données projet'!$C$26)*(100%-'Données projet'!$C$27)</f>
        <v>68.419627051615308</v>
      </c>
      <c r="J6" s="150">
        <f>IF(OR('Données projet'!B9="",'Données projet'!C9="",'Données projet'!C9=0%),0,SUM(Calculateur!$V$3:$V$33)*VLOOKUP('Données projet'!$B$9,Paramètres!$A$1:$I$89,9,0)*B6)</f>
        <v>601.37342999999998</v>
      </c>
      <c r="K6" s="151">
        <f>J6*(100%-'Données projet'!$C$24)*(100%-'Données projet'!$C$25)*(100%-'Données projet'!$C$26)*(100%-'Données projet'!$C$27)</f>
        <v>460.05067394999998</v>
      </c>
      <c r="L6" s="152">
        <f ca="1">G6+I6+K6</f>
        <v>2099.9086293945102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sessile</v>
      </c>
      <c r="B7" s="154">
        <f>'Données projet'!D10</f>
        <v>1.44</v>
      </c>
      <c r="C7" s="147">
        <f ca="1">IF(OR('Données projet'!B10="",'Données projet'!C10="",'Données projet'!C10=0%),0,Calculateur!AN3)</f>
        <v>490.21869105612649</v>
      </c>
      <c r="D7" s="147">
        <f>IF(OR('Données projet'!B10="",'Données projet'!C10="",'Données projet'!C10=0%),0,Calculateur!AO3)</f>
        <v>207.08773997010911</v>
      </c>
      <c r="E7" s="147">
        <f t="shared" ref="E7:E15" ca="1" si="0">MIN(C7,D7)</f>
        <v>207.08773997010911</v>
      </c>
      <c r="F7" s="147">
        <f t="shared" ref="F7:F15" ca="1" si="1">E7*B7</f>
        <v>298.2063455569571</v>
      </c>
      <c r="G7" s="147">
        <f ca="1">F7*(100%-'Données projet'!$C$24)*(100%-'Données projet'!$C$25)*(100%-'Données projet'!$C$26)*(100%-'Données projet'!$C$27)</f>
        <v>228.12785435107222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228.12785435107222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0.63000000000000012</v>
      </c>
      <c r="C8" s="147">
        <f ca="1">IF(OR('Données projet'!B11="",'Données projet'!C11="",'Données projet'!C11=0%),0,Calculateur!BI3)</f>
        <v>561.19833044503548</v>
      </c>
      <c r="D8" s="147">
        <f>IF(OR('Données projet'!B11="",'Données projet'!C11="",'Données projet'!C11=0%),0,Calculateur!BJ3)</f>
        <v>235.9089269943575</v>
      </c>
      <c r="E8" s="147">
        <f t="shared" ca="1" si="0"/>
        <v>235.9089269943575</v>
      </c>
      <c r="F8" s="147">
        <f t="shared" ca="1" si="1"/>
        <v>148.62262400644525</v>
      </c>
      <c r="G8" s="147">
        <f ca="1">F8*(100%-'Données projet'!$C$24)*(100%-'Données projet'!$C$25)*(100%-'Données projet'!$C$26)*(100%-'Données projet'!$C$27)</f>
        <v>113.69630736493062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113.69630736493062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rouge d'Amérique</v>
      </c>
      <c r="B9" s="154">
        <f>'Données projet'!D12</f>
        <v>0.63000000000000012</v>
      </c>
      <c r="C9" s="147">
        <f ca="1">IF(OR('Données projet'!B12="",'Données projet'!C12="",'Données projet'!C12=0%),0,Calculateur!CD3)</f>
        <v>147.1862160897889</v>
      </c>
      <c r="D9" s="147">
        <f>IF(OR('Données projet'!B12="",'Données projet'!C12="",'Données projet'!C12=0%),0,Calculateur!CE3)</f>
        <v>147.31828668914011</v>
      </c>
      <c r="E9" s="147">
        <f t="shared" ca="1" si="0"/>
        <v>147.1862160897889</v>
      </c>
      <c r="F9" s="147">
        <f t="shared" ca="1" si="1"/>
        <v>92.727316136567026</v>
      </c>
      <c r="G9" s="147">
        <f ca="1">F9*(100%-'Données projet'!$C$24)*(100%-'Données projet'!$C$25)*(100%-'Données projet'!$C$26)*(100%-'Données projet'!$C$27)</f>
        <v>70.936396844473776</v>
      </c>
      <c r="H9" s="155">
        <f>IF(OR('Données projet'!B12="",'Données projet'!C12="",'Données projet'!C12=0%),0,AVERAGE(Calculateur!$CN$3:$CN$33)*B9)</f>
        <v>1.8639229863417621</v>
      </c>
      <c r="I9" s="149">
        <f>H9*(100%-'Données projet'!$C$24)*(100%-'Données projet'!$C$25)*(100%-'Données projet'!$C$26)*(100%-'Données projet'!$C$27)</f>
        <v>1.4259010845514479</v>
      </c>
      <c r="J9" s="150">
        <f>IF(OR('Données projet'!B12="",'Données projet'!C12="",'Données projet'!C12=0%),0,SUM(Calculateur!$CG$3:$CG$33)*VLOOKUP('Données projet'!$B$12,Paramètres!$A$1:$I$89,9,0)*B9)</f>
        <v>10.802884615384617</v>
      </c>
      <c r="K9" s="151">
        <f>J9*(100%-'Données projet'!$C$24)*(100%-'Données projet'!$C$25)*(100%-'Données projet'!$C$26)*(100%-'Données projet'!$C$27)</f>
        <v>8.2642067307692315</v>
      </c>
      <c r="L9" s="152">
        <f t="shared" ca="1" si="2"/>
        <v>80.626504659794449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2593.7240352331651</v>
      </c>
      <c r="G16" s="166">
        <f t="shared" ca="1" si="3"/>
        <v>1984.1988869533714</v>
      </c>
      <c r="H16" s="167">
        <f t="shared" si="3"/>
        <v>91.301343968845444</v>
      </c>
      <c r="I16" s="167">
        <f t="shared" si="3"/>
        <v>69.845528136166749</v>
      </c>
      <c r="J16" s="168">
        <f t="shared" si="3"/>
        <v>612.17631461538463</v>
      </c>
      <c r="K16" s="168">
        <f t="shared" si="3"/>
        <v>468.31488068076919</v>
      </c>
      <c r="L16" s="169">
        <f t="shared" ca="1" si="3"/>
        <v>2522.3592957703077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3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796875" style="1" bestFit="1" customWidth="1"/>
    <col min="3" max="3" width="18.19921875" style="1" bestFit="1" customWidth="1"/>
    <col min="4" max="5" width="11.46484375" style="1"/>
    <col min="6" max="6" width="14" style="1" customWidth="1"/>
    <col min="7" max="7" width="17.53125" style="1" customWidth="1"/>
    <col min="8" max="8" width="21.796875" style="1" customWidth="1"/>
    <col min="9" max="9" width="37" style="1" customWidth="1"/>
    <col min="10" max="10" width="11.46484375" style="1"/>
    <col min="11" max="11" width="8.7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9921875" style="1" customWidth="1"/>
    <col min="21" max="21" width="16.46484375" style="1" customWidth="1"/>
    <col min="22" max="22" width="17.7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3818.6604282070393</v>
      </c>
      <c r="U10" s="178">
        <f>'Données projet'!D9</f>
        <v>6.3</v>
      </c>
      <c r="V10" s="177">
        <f>U10*T10</f>
        <v>24057.560697704346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806.00592941238369</v>
      </c>
      <c r="U11" s="178">
        <f>'Données projet'!D10</f>
        <v>1.44</v>
      </c>
      <c r="V11" s="177">
        <f t="shared" ref="V11" si="0">U11*T11</f>
        <v>1160.6485383538325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861.70395431010343</v>
      </c>
      <c r="U12" s="178">
        <f>'Données projet'!D11</f>
        <v>0.63000000000000012</v>
      </c>
      <c r="V12" s="177">
        <f t="shared" ref="V12:V19" si="1">U12*T12</f>
        <v>542.87349121536522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552.68169148238576</v>
      </c>
      <c r="U13" s="178">
        <f>'Données projet'!D12</f>
        <v>0.63000000000000012</v>
      </c>
      <c r="V13" s="177">
        <f t="shared" si="1"/>
        <v>348.18946563390307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>
        <v>1</v>
      </c>
      <c r="I15" s="191">
        <v>2889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749.99999999999943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7155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544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544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15</v>
      </c>
      <c r="B23" s="181">
        <f>'Données projet'!D36</f>
        <v>50.480000000000004</v>
      </c>
      <c r="C23" s="193">
        <v>8</v>
      </c>
      <c r="D23" s="182">
        <f>B23*C23</f>
        <v>403.84000000000003</v>
      </c>
      <c r="E23" s="193">
        <v>60</v>
      </c>
      <c r="F23" s="230"/>
      <c r="H23" s="190">
        <v>4</v>
      </c>
      <c r="I23" s="191">
        <v>544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-27439.556340162657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20</v>
      </c>
      <c r="B24" s="181">
        <f>'Données projet'!D37</f>
        <v>55.160000000000025</v>
      </c>
      <c r="C24" s="193">
        <v>13.125</v>
      </c>
      <c r="D24" s="182">
        <f t="shared" ref="D24:D42" si="2">B24*C24</f>
        <v>723.97500000000036</v>
      </c>
      <c r="E24" s="193">
        <v>60</v>
      </c>
      <c r="F24" s="233"/>
      <c r="H24" s="190">
        <v>5</v>
      </c>
      <c r="I24" s="191">
        <v>544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747.29013726815151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26</v>
      </c>
      <c r="B25" s="181">
        <f>'Données projet'!D38</f>
        <v>56.150000000000006</v>
      </c>
      <c r="C25" s="193">
        <v>24.5</v>
      </c>
      <c r="D25" s="182">
        <f t="shared" si="2"/>
        <v>1375.6750000000002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-28186.846477430809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32</v>
      </c>
      <c r="B26" s="181">
        <f>'Données projet'!D39</f>
        <v>79.57000000000005</v>
      </c>
      <c r="C26" s="193">
        <v>24.5</v>
      </c>
      <c r="D26" s="182">
        <f t="shared" si="2"/>
        <v>1949.4650000000013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40</v>
      </c>
      <c r="B27" s="181">
        <f>'Données projet'!D40</f>
        <v>116.63</v>
      </c>
      <c r="C27" s="193">
        <v>24.5</v>
      </c>
      <c r="D27" s="182">
        <f t="shared" si="2"/>
        <v>2857.4349999999999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106.28000000000003</v>
      </c>
      <c r="C28" s="193">
        <v>24.5</v>
      </c>
      <c r="D28" s="182">
        <f t="shared" si="2"/>
        <v>2603.8600000000006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56</v>
      </c>
      <c r="B29" s="181">
        <f>'Données projet'!D42</f>
        <v>563.75</v>
      </c>
      <c r="C29" s="193">
        <v>35.5</v>
      </c>
      <c r="D29" s="182">
        <f t="shared" si="2"/>
        <v>20013.125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42</v>
      </c>
      <c r="B54" s="181">
        <f>'Données projet'!D62</f>
        <v>44.510000000000005</v>
      </c>
      <c r="C54" s="191">
        <v>15</v>
      </c>
      <c r="D54" s="179">
        <f>B54*C54</f>
        <v>667.65000000000009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50</v>
      </c>
      <c r="B55" s="181">
        <f>'Données projet'!D63</f>
        <v>37.54000000000002</v>
      </c>
      <c r="C55" s="191">
        <v>15</v>
      </c>
      <c r="D55" s="179">
        <f t="shared" ref="D55:D73" si="4">B55*C55</f>
        <v>563.10000000000036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58</v>
      </c>
      <c r="B56" s="181">
        <f>'Données projet'!D64</f>
        <v>47.789999999999992</v>
      </c>
      <c r="C56" s="191">
        <v>15</v>
      </c>
      <c r="D56" s="179">
        <f t="shared" si="4"/>
        <v>716.84999999999991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66</v>
      </c>
      <c r="B57" s="181">
        <f>'Données projet'!D65</f>
        <v>53.679999999999978</v>
      </c>
      <c r="C57" s="191">
        <v>59.875</v>
      </c>
      <c r="D57" s="179">
        <f t="shared" si="4"/>
        <v>3214.0899999999988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74</v>
      </c>
      <c r="B58" s="181">
        <f>'Données projet'!D66</f>
        <v>51.339999999999975</v>
      </c>
      <c r="C58" s="191">
        <v>59.875</v>
      </c>
      <c r="D58" s="179">
        <f t="shared" si="4"/>
        <v>3073.9824999999987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84</v>
      </c>
      <c r="B59" s="181">
        <f>'Données projet'!D67</f>
        <v>66.69</v>
      </c>
      <c r="C59" s="191">
        <v>59.875</v>
      </c>
      <c r="D59" s="179">
        <f t="shared" si="4"/>
        <v>3993.0637499999998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94</v>
      </c>
      <c r="B60" s="181">
        <f>'Données projet'!D68</f>
        <v>67.350000000000023</v>
      </c>
      <c r="C60" s="191">
        <v>59.875</v>
      </c>
      <c r="D60" s="179">
        <f t="shared" si="4"/>
        <v>4032.5812500000015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104</v>
      </c>
      <c r="B61" s="181">
        <f>'Données projet'!D69</f>
        <v>66.089999999999975</v>
      </c>
      <c r="C61" s="191">
        <v>59.875</v>
      </c>
      <c r="D61" s="179">
        <f t="shared" si="4"/>
        <v>3957.1387499999987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114</v>
      </c>
      <c r="B62" s="181">
        <f>'Données projet'!D70</f>
        <v>61.860000000000014</v>
      </c>
      <c r="C62" s="191">
        <v>59.875</v>
      </c>
      <c r="D62" s="179">
        <f t="shared" si="4"/>
        <v>3703.8675000000007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124</v>
      </c>
      <c r="B63" s="181">
        <f>'Données projet'!D71</f>
        <v>57.81</v>
      </c>
      <c r="C63" s="191">
        <v>59.875</v>
      </c>
      <c r="D63" s="179">
        <f t="shared" si="4"/>
        <v>3461.3737500000002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134</v>
      </c>
      <c r="B64" s="181">
        <f>'Données projet'!D72</f>
        <v>60.779999999999973</v>
      </c>
      <c r="C64" s="191">
        <v>179.75</v>
      </c>
      <c r="D64" s="179">
        <f t="shared" si="4"/>
        <v>10925.204999999994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144</v>
      </c>
      <c r="B65" s="181">
        <f>'Données projet'!D73</f>
        <v>61.800000000000068</v>
      </c>
      <c r="C65" s="191">
        <v>179.75</v>
      </c>
      <c r="D65" s="179">
        <f t="shared" si="4"/>
        <v>11108.550000000012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154</v>
      </c>
      <c r="B66" s="181">
        <f>'Données projet'!D74</f>
        <v>61.050000000000011</v>
      </c>
      <c r="C66" s="191">
        <v>179.75</v>
      </c>
      <c r="D66" s="179">
        <f t="shared" si="4"/>
        <v>10973.737500000003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164</v>
      </c>
      <c r="B67" s="181">
        <f>'Données projet'!D75</f>
        <v>66.020000000000095</v>
      </c>
      <c r="C67" s="191">
        <v>179.75</v>
      </c>
      <c r="D67" s="179">
        <f t="shared" si="4"/>
        <v>11867.095000000018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174</v>
      </c>
      <c r="B68" s="181">
        <f>'Données projet'!D76</f>
        <v>240</v>
      </c>
      <c r="C68" s="191">
        <v>234.375</v>
      </c>
      <c r="D68" s="179">
        <f t="shared" si="4"/>
        <v>56250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177</v>
      </c>
      <c r="B69" s="181">
        <f>'Données projet'!D77</f>
        <v>128.66000000000003</v>
      </c>
      <c r="C69" s="191">
        <v>234.375</v>
      </c>
      <c r="D69" s="179">
        <f t="shared" si="4"/>
        <v>30154.687500000007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180</v>
      </c>
      <c r="B70" s="181">
        <f>'Données projet'!D78</f>
        <v>86.97</v>
      </c>
      <c r="C70" s="191">
        <v>234.375</v>
      </c>
      <c r="D70" s="179">
        <f t="shared" si="4"/>
        <v>20383.59375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183</v>
      </c>
      <c r="B71" s="181">
        <f>'Données projet'!D79</f>
        <v>191.47</v>
      </c>
      <c r="C71" s="191">
        <v>234.375</v>
      </c>
      <c r="D71" s="179">
        <f t="shared" si="4"/>
        <v>44875.78125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66</v>
      </c>
      <c r="B88" s="181">
        <f>'Données projet'!D91</f>
        <v>53.679999999999978</v>
      </c>
      <c r="C88" s="191">
        <v>59.875</v>
      </c>
      <c r="D88" s="179">
        <f t="shared" si="6"/>
        <v>3214.0899999999988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74</v>
      </c>
      <c r="B89" s="181">
        <f>'Données projet'!D92</f>
        <v>51.339999999999975</v>
      </c>
      <c r="C89" s="191">
        <v>59.875</v>
      </c>
      <c r="D89" s="179">
        <f t="shared" si="6"/>
        <v>3073.9824999999987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66.69</v>
      </c>
      <c r="C90" s="191">
        <v>59.875</v>
      </c>
      <c r="D90" s="179">
        <f t="shared" si="6"/>
        <v>3993.0637499999998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94</v>
      </c>
      <c r="B91" s="181">
        <f>'Données projet'!D94</f>
        <v>67.350000000000023</v>
      </c>
      <c r="C91" s="191">
        <v>59.875</v>
      </c>
      <c r="D91" s="179">
        <f t="shared" si="6"/>
        <v>4032.5812500000015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104</v>
      </c>
      <c r="B92" s="181">
        <f>'Données projet'!D95</f>
        <v>66.089999999999975</v>
      </c>
      <c r="C92" s="191">
        <v>59.875</v>
      </c>
      <c r="D92" s="179">
        <f t="shared" si="6"/>
        <v>3957.1387499999987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114</v>
      </c>
      <c r="B93" s="181">
        <f>'Données projet'!D96</f>
        <v>61.860000000000014</v>
      </c>
      <c r="C93" s="191">
        <v>59.875</v>
      </c>
      <c r="D93" s="179">
        <f t="shared" si="6"/>
        <v>3703.8675000000007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124</v>
      </c>
      <c r="B94" s="181">
        <f>'Données projet'!D97</f>
        <v>57.81</v>
      </c>
      <c r="C94" s="191">
        <v>59.875</v>
      </c>
      <c r="D94" s="179">
        <f t="shared" si="6"/>
        <v>3461.3737500000002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134</v>
      </c>
      <c r="B95" s="181">
        <f>'Données projet'!D98</f>
        <v>60.779999999999973</v>
      </c>
      <c r="C95" s="191">
        <v>179.75</v>
      </c>
      <c r="D95" s="179">
        <f t="shared" si="6"/>
        <v>10925.204999999994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144</v>
      </c>
      <c r="B96" s="181">
        <f>'Données projet'!D99</f>
        <v>61.800000000000068</v>
      </c>
      <c r="C96" s="191">
        <v>179.75</v>
      </c>
      <c r="D96" s="179">
        <f t="shared" si="6"/>
        <v>11108.550000000012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154</v>
      </c>
      <c r="B97" s="181">
        <f>'Données projet'!D100</f>
        <v>61.050000000000011</v>
      </c>
      <c r="C97" s="191">
        <v>179.75</v>
      </c>
      <c r="D97" s="179">
        <f t="shared" si="6"/>
        <v>10973.737500000003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164</v>
      </c>
      <c r="B98" s="181">
        <f>'Données projet'!D101</f>
        <v>66.020000000000095</v>
      </c>
      <c r="C98" s="191">
        <v>179.75</v>
      </c>
      <c r="D98" s="179">
        <f t="shared" si="6"/>
        <v>11867.095000000018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174</v>
      </c>
      <c r="B99" s="181">
        <f>'Données projet'!D102</f>
        <v>240</v>
      </c>
      <c r="C99" s="191">
        <v>234.375</v>
      </c>
      <c r="D99" s="179">
        <f t="shared" si="6"/>
        <v>56250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177</v>
      </c>
      <c r="B100" s="181">
        <f>'Données projet'!D103</f>
        <v>128.66000000000003</v>
      </c>
      <c r="C100" s="191">
        <v>234.375</v>
      </c>
      <c r="D100" s="179">
        <f t="shared" si="6"/>
        <v>30154.687500000007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180</v>
      </c>
      <c r="B101" s="181">
        <f>'Données projet'!D104</f>
        <v>86.97</v>
      </c>
      <c r="C101" s="191">
        <v>234.375</v>
      </c>
      <c r="D101" s="179">
        <f t="shared" si="6"/>
        <v>20383.59375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183</v>
      </c>
      <c r="B102" s="181">
        <f>'Données projet'!D105</f>
        <v>191.47</v>
      </c>
      <c r="C102" s="191">
        <v>234.375</v>
      </c>
      <c r="D102" s="179">
        <f t="shared" si="6"/>
        <v>44875.78125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10</v>
      </c>
      <c r="B116" s="181">
        <f>'Données projet'!D114</f>
        <v>0</v>
      </c>
      <c r="C116" s="191">
        <v>13.5625</v>
      </c>
      <c r="D116" s="179">
        <f>B116*C116</f>
        <v>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15</v>
      </c>
      <c r="B117" s="181">
        <f>'Données projet'!D115</f>
        <v>0</v>
      </c>
      <c r="C117" s="191">
        <v>13.5625</v>
      </c>
      <c r="D117" s="179">
        <f t="shared" ref="D117:D135" si="8">B117*C117</f>
        <v>0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20</v>
      </c>
      <c r="B118" s="181">
        <f>'Données projet'!D116</f>
        <v>34.615384615384613</v>
      </c>
      <c r="C118" s="191">
        <v>13.5625</v>
      </c>
      <c r="D118" s="179">
        <f t="shared" si="8"/>
        <v>469.47115384615381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25</v>
      </c>
      <c r="B119" s="181">
        <f>'Données projet'!D117</f>
        <v>16.666666666666668</v>
      </c>
      <c r="C119" s="191">
        <v>13.5625</v>
      </c>
      <c r="D119" s="179">
        <f t="shared" si="8"/>
        <v>226.04166666666669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30</v>
      </c>
      <c r="B120" s="181">
        <f>'Données projet'!D118</f>
        <v>17.307692307692307</v>
      </c>
      <c r="C120" s="191">
        <v>13.5625</v>
      </c>
      <c r="D120" s="179">
        <f t="shared" si="8"/>
        <v>234.73557692307691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35</v>
      </c>
      <c r="B121" s="181">
        <f>'Données projet'!D119</f>
        <v>17.307692307692307</v>
      </c>
      <c r="C121" s="191">
        <v>13.5625</v>
      </c>
      <c r="D121" s="179">
        <f t="shared" si="8"/>
        <v>234.73557692307691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40</v>
      </c>
      <c r="B122" s="181">
        <f>'Données projet'!D120</f>
        <v>17.307692307692307</v>
      </c>
      <c r="C122" s="191">
        <v>13.5625</v>
      </c>
      <c r="D122" s="179">
        <f t="shared" si="8"/>
        <v>234.73557692307691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45</v>
      </c>
      <c r="B123" s="181">
        <f>'Données projet'!D121</f>
        <v>16.666666666666668</v>
      </c>
      <c r="C123" s="191">
        <v>13.5625</v>
      </c>
      <c r="D123" s="179">
        <f t="shared" si="8"/>
        <v>226.04166666666669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50</v>
      </c>
      <c r="B124" s="181">
        <f>'Données projet'!D122</f>
        <v>15.384615384615383</v>
      </c>
      <c r="C124" s="191">
        <v>32.787500000000001</v>
      </c>
      <c r="D124" s="179">
        <f t="shared" si="8"/>
        <v>504.42307692307691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55</v>
      </c>
      <c r="B125" s="181">
        <f>'Données projet'!D123</f>
        <v>14.743589743589743</v>
      </c>
      <c r="C125" s="191">
        <v>32.787500000000001</v>
      </c>
      <c r="D125" s="179">
        <f t="shared" si="8"/>
        <v>483.40544871794873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60</v>
      </c>
      <c r="B126" s="181">
        <f>'Données projet'!D124</f>
        <v>13.461538461538462</v>
      </c>
      <c r="C126" s="191">
        <v>32.787500000000001</v>
      </c>
      <c r="D126" s="179">
        <f t="shared" si="8"/>
        <v>441.37019230769232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65</v>
      </c>
      <c r="B127" s="181">
        <f>'Données projet'!D125</f>
        <v>12.820512820512819</v>
      </c>
      <c r="C127" s="191">
        <v>32.787500000000001</v>
      </c>
      <c r="D127" s="179">
        <f t="shared" si="8"/>
        <v>420.35256410256409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70</v>
      </c>
      <c r="B128" s="181">
        <f>'Données projet'!D126</f>
        <v>10.256410256410255</v>
      </c>
      <c r="C128" s="191">
        <v>32.787500000000001</v>
      </c>
      <c r="D128" s="179">
        <f t="shared" si="8"/>
        <v>336.28205128205127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75</v>
      </c>
      <c r="B129" s="181">
        <f>'Données projet'!D127</f>
        <v>9.615384615384615</v>
      </c>
      <c r="C129" s="191">
        <v>32.787500000000001</v>
      </c>
      <c r="D129" s="179">
        <f t="shared" si="8"/>
        <v>315.26442307692309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80</v>
      </c>
      <c r="B130" s="181">
        <f>'Données projet'!D128</f>
        <v>8.9743589743589745</v>
      </c>
      <c r="C130" s="191">
        <v>32.787500000000001</v>
      </c>
      <c r="D130" s="179">
        <f t="shared" si="8"/>
        <v>294.24679487179486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85</v>
      </c>
      <c r="B131" s="181">
        <f>'Données projet'!D129</f>
        <v>7.6923076923076916</v>
      </c>
      <c r="C131" s="191">
        <v>32.787500000000001</v>
      </c>
      <c r="D131" s="179">
        <f t="shared" si="8"/>
        <v>252.21153846153845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90</v>
      </c>
      <c r="B132" s="181">
        <f>'Données projet'!D130</f>
        <v>7.6923076923076916</v>
      </c>
      <c r="C132" s="191">
        <v>32.787500000000001</v>
      </c>
      <c r="D132" s="179">
        <f t="shared" si="8"/>
        <v>252.21153846153845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95</v>
      </c>
      <c r="B133" s="181">
        <f>'Données projet'!D131</f>
        <v>7.6923076923076916</v>
      </c>
      <c r="C133" s="191">
        <v>32.787500000000001</v>
      </c>
      <c r="D133" s="179">
        <f t="shared" si="8"/>
        <v>252.21153846153845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100</v>
      </c>
      <c r="B134" s="181">
        <f>'Données projet'!D132</f>
        <v>163.46153846153845</v>
      </c>
      <c r="C134" s="191">
        <v>43.025000000000006</v>
      </c>
      <c r="D134" s="179">
        <f t="shared" si="8"/>
        <v>7032.9326923076933</v>
      </c>
      <c r="E134" s="193">
        <v>60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E7CCF33C-A6FC-4968-B6CB-8F5FD72BA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Marion FRESNEAU</cp:lastModifiedBy>
  <dcterms:created xsi:type="dcterms:W3CDTF">2021-02-01T08:22:39Z</dcterms:created>
  <dcterms:modified xsi:type="dcterms:W3CDTF">2024-08-21T11:39:24Z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