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codeName="ThisWorkbook"/>
  <mc:AlternateContent xmlns:mc="http://schemas.openxmlformats.org/markup-compatibility/2006">
    <mc:Choice Requires="x15">
      <x15ac:absPath xmlns:x15ac="http://schemas.microsoft.com/office/spreadsheetml/2010/11/ac" url="P:\Bureau\PARTAGE\Label Bas Carbone\08_Le Mans\Plantation 2025 dossier 2024\Lorge (22)\"/>
    </mc:Choice>
  </mc:AlternateContent>
  <xr:revisionPtr revIDLastSave="0" documentId="13_ncr:1_{89F01D16-47B8-4B3E-9149-9CB9A3FFCC7B}" xr6:coauthVersionLast="47" xr6:coauthVersionMax="47" xr10:uidLastSave="{00000000-0000-0000-0000-000000000000}"/>
  <bookViews>
    <workbookView xWindow="3576" yWindow="1260" windowWidth="16740" windowHeight="8964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9" i="1" l="1"/>
  <c r="B69" i="1"/>
  <c r="D68" i="1"/>
  <c r="D67" i="1"/>
  <c r="D66" i="1"/>
  <c r="D65" i="1"/>
  <c r="D64" i="1"/>
  <c r="D63" i="1"/>
  <c r="I20" i="6" l="1"/>
  <c r="B46" i="1" l="1"/>
  <c r="D46" i="1" s="1"/>
  <c r="D45" i="1"/>
  <c r="B45" i="1"/>
  <c r="D44" i="1"/>
  <c r="B44" i="1"/>
  <c r="D43" i="1"/>
  <c r="B43" i="1"/>
  <c r="D42" i="1"/>
  <c r="B42" i="1"/>
  <c r="D41" i="1"/>
  <c r="B41" i="1"/>
  <c r="D40" i="1"/>
  <c r="B40" i="1"/>
  <c r="D39" i="1"/>
  <c r="B39" i="1"/>
  <c r="D38" i="1"/>
  <c r="B38" i="1"/>
  <c r="D37" i="1"/>
  <c r="B37" i="1"/>
  <c r="I21" i="6" l="1"/>
  <c r="I22" i="6"/>
  <c r="I23" i="6"/>
  <c r="I24" i="6"/>
  <c r="E110" i="6" l="1"/>
  <c r="E79" i="6"/>
  <c r="E48" i="6"/>
  <c r="E17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R4" i="2" l="1"/>
  <c r="BR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B10" i="2" l="1"/>
  <c r="HG10" i="2"/>
  <c r="EA10" i="2"/>
  <c r="HH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HG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V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B22" i="2"/>
  <c r="EW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EB28" i="2"/>
  <c r="HG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EW33" i="2"/>
  <c r="EB33" i="2"/>
  <c r="HG33" i="2"/>
  <c r="HH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HH35" i="2"/>
  <c r="EB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HH38" i="2"/>
  <c r="EX38" i="2"/>
  <c r="HI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A43" i="2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EW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EV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H64" i="2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EA75" i="2"/>
  <c r="EB75" i="2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B77" i="2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X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HH105" i="2"/>
  <c r="FS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HG107" i="2"/>
  <c r="EC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FQ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W113" i="2"/>
  <c r="EX113" i="2"/>
  <c r="FS113" i="2"/>
  <c r="HI113" i="2"/>
  <c r="EB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Q120" i="2"/>
  <c r="FR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FS122" i="2"/>
  <c r="HI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EX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W130" i="2"/>
  <c r="HG130" i="2"/>
  <c r="FS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H140" i="2" l="1"/>
  <c r="EX140" i="2"/>
  <c r="EB140" i="2"/>
  <c r="FR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EA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G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EA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I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AC154" i="2" l="1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DH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I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B161" i="2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I163" i="2" l="1"/>
  <c r="DH164" i="2"/>
  <c r="EA164" i="2"/>
  <c r="EX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HH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EV168" i="2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G174" i="2" l="1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B175" i="2" l="1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HH178" i="2"/>
  <c r="HG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V179" i="2"/>
  <c r="HI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A192" i="2" l="1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AA195" i="2"/>
  <c r="EA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FS201" i="2" l="1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P203" i="2" l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I7" i="2" l="1"/>
  <c r="BI47" i="2"/>
  <c r="BI77" i="2"/>
  <c r="BI159" i="2"/>
  <c r="BI154" i="2"/>
  <c r="BI99" i="2"/>
  <c r="BI94" i="2"/>
  <c r="BI39" i="2"/>
  <c r="BI108" i="2"/>
  <c r="BI53" i="2"/>
  <c r="BI185" i="2"/>
  <c r="BI139" i="2"/>
  <c r="BI29" i="2"/>
  <c r="BI59" i="2"/>
  <c r="BI180" i="2"/>
  <c r="BI134" i="2"/>
  <c r="BI176" i="2"/>
  <c r="BI87" i="2"/>
  <c r="BI138" i="2"/>
  <c r="BI182" i="2"/>
  <c r="BI190" i="2"/>
  <c r="BI188" i="2"/>
  <c r="BI51" i="2"/>
  <c r="BI33" i="2"/>
  <c r="BI132" i="2"/>
  <c r="BI197" i="2"/>
  <c r="BI64" i="2"/>
  <c r="BI162" i="2"/>
  <c r="BI119" i="2"/>
  <c r="BI203" i="2"/>
  <c r="BI136" i="2"/>
  <c r="BI21" i="2"/>
  <c r="BI155" i="2"/>
  <c r="BI85" i="2"/>
  <c r="BI100" i="2"/>
  <c r="BI177" i="2"/>
  <c r="BI18" i="2"/>
  <c r="BI14" i="2"/>
  <c r="BI198" i="2"/>
  <c r="BI43" i="2"/>
  <c r="BI113" i="2"/>
  <c r="BI8" i="2"/>
  <c r="BI10" i="2"/>
  <c r="BI109" i="2"/>
  <c r="BI116" i="2"/>
  <c r="BI74" i="2"/>
  <c r="BI89" i="2"/>
  <c r="BI34" i="2"/>
  <c r="BI178" i="2"/>
  <c r="BI44" i="2"/>
  <c r="BI131" i="2"/>
  <c r="BI123" i="2"/>
  <c r="BI179" i="2"/>
  <c r="BI23" i="2"/>
  <c r="BI172" i="2"/>
  <c r="BI193" i="2"/>
  <c r="BI17" i="2"/>
  <c r="BI4" i="2"/>
  <c r="BI96" i="2"/>
  <c r="BI146" i="2"/>
  <c r="BI19" i="2"/>
  <c r="BI150" i="2"/>
  <c r="BI91" i="2"/>
  <c r="BI3" i="2"/>
  <c r="C8" i="4" s="1"/>
  <c r="E8" i="4" s="1"/>
  <c r="F8" i="4" s="1"/>
  <c r="G8" i="4" s="1"/>
  <c r="L8" i="4" s="1"/>
  <c r="BI92" i="2"/>
  <c r="BI135" i="2"/>
  <c r="BI124" i="2"/>
  <c r="BI95" i="2"/>
  <c r="BI22" i="2"/>
  <c r="BI126" i="2"/>
  <c r="BI161" i="2"/>
  <c r="BI163" i="2"/>
  <c r="BI30" i="2"/>
  <c r="BI137" i="2"/>
  <c r="BI46" i="2"/>
  <c r="BI32" i="2"/>
  <c r="BI199" i="2"/>
  <c r="BI101" i="2"/>
  <c r="BI157" i="2"/>
  <c r="BI76" i="2"/>
  <c r="BI121" i="2"/>
  <c r="BI158" i="2"/>
  <c r="BI122" i="2"/>
  <c r="BI111" i="2"/>
  <c r="BI170" i="2"/>
  <c r="BI57" i="2"/>
  <c r="BI78" i="2"/>
  <c r="BI81" i="2"/>
  <c r="BI186" i="2"/>
  <c r="BI128" i="2"/>
  <c r="BI42" i="2"/>
  <c r="BI71" i="2"/>
  <c r="BI54" i="2"/>
  <c r="BI84" i="2"/>
  <c r="BI55" i="2"/>
  <c r="BI145" i="2"/>
  <c r="BI62" i="2"/>
  <c r="BI13" i="2"/>
  <c r="BI58" i="2"/>
  <c r="BI147" i="2"/>
  <c r="BI26" i="2"/>
  <c r="BI165" i="2"/>
  <c r="BI118" i="2"/>
  <c r="BI151" i="2"/>
  <c r="BI183" i="2"/>
  <c r="BI36" i="2"/>
  <c r="BI102" i="2"/>
  <c r="BI104" i="2"/>
  <c r="BI167" i="2"/>
  <c r="BI70" i="2"/>
  <c r="BI173" i="2"/>
  <c r="BI52" i="2"/>
  <c r="BI86" i="2"/>
  <c r="BI140" i="2"/>
  <c r="BI41" i="2"/>
  <c r="BI192" i="2"/>
  <c r="BI200" i="2"/>
  <c r="BI9" i="2"/>
  <c r="BI175" i="2"/>
  <c r="BI93" i="2"/>
  <c r="BI11" i="2"/>
  <c r="BI201" i="2"/>
  <c r="BI189" i="2"/>
  <c r="BI129" i="2"/>
  <c r="BI12" i="2"/>
  <c r="BI115" i="2"/>
  <c r="BI67" i="2"/>
  <c r="BI35" i="2"/>
  <c r="BI68" i="2"/>
  <c r="BI191" i="2"/>
  <c r="BI187" i="2"/>
  <c r="BI5" i="2"/>
  <c r="BI142" i="2"/>
  <c r="BI83" i="2"/>
  <c r="BI141" i="2"/>
  <c r="BI90" i="2"/>
  <c r="BI88" i="2"/>
  <c r="BI38" i="2"/>
  <c r="BI73" i="2"/>
  <c r="BI6" i="2"/>
  <c r="BI149" i="2"/>
  <c r="BI120" i="2"/>
  <c r="BI181" i="2"/>
  <c r="BI117" i="2"/>
  <c r="BI148" i="2"/>
  <c r="BI27" i="2"/>
  <c r="BI69" i="2"/>
  <c r="BI66" i="2"/>
  <c r="BI45" i="2"/>
  <c r="BI49" i="2"/>
  <c r="BI63" i="2"/>
  <c r="BI202" i="2"/>
  <c r="BI194" i="2"/>
  <c r="BI171" i="2"/>
  <c r="BI196" i="2"/>
  <c r="BI60" i="2"/>
  <c r="BI166" i="2"/>
  <c r="BI20" i="2"/>
  <c r="BI50" i="2"/>
  <c r="BI15" i="2"/>
  <c r="BI107" i="2"/>
  <c r="BI105" i="2"/>
  <c r="BI106" i="2"/>
  <c r="BI125" i="2"/>
  <c r="BI114" i="2"/>
  <c r="BI98" i="2"/>
  <c r="BI130" i="2"/>
  <c r="BI82" i="2"/>
  <c r="BI75" i="2"/>
  <c r="BI152" i="2"/>
  <c r="BI127" i="2"/>
  <c r="BI153" i="2"/>
  <c r="BI160" i="2"/>
  <c r="BI65" i="2"/>
  <c r="BI156" i="2"/>
  <c r="BI169" i="2"/>
  <c r="BI144" i="2"/>
  <c r="BI16" i="2"/>
  <c r="BI174" i="2"/>
  <c r="BI48" i="2"/>
  <c r="BI25" i="2"/>
  <c r="BI24" i="2"/>
  <c r="BI72" i="2"/>
  <c r="BI110" i="2"/>
  <c r="BI164" i="2"/>
  <c r="BI28" i="2"/>
  <c r="BI79" i="2"/>
  <c r="BI195" i="2"/>
  <c r="BI40" i="2"/>
  <c r="BI184" i="2"/>
  <c r="BI56" i="2"/>
  <c r="BI103" i="2"/>
  <c r="BI168" i="2"/>
  <c r="BI37" i="2"/>
  <c r="BI61" i="2"/>
  <c r="BI143" i="2"/>
  <c r="BI31" i="2"/>
  <c r="BI133" i="2"/>
  <c r="BI80" i="2"/>
  <c r="BI97" i="2"/>
  <c r="BI112" i="2"/>
  <c r="BF124" i="2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M16" i="4" s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<sst xmlns="http://schemas.openxmlformats.org/spreadsheetml/2006/main" count="1177" uniqueCount="328">
  <si>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</si>
  <si>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</si>
  <si>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</si>
  <si>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</si>
  <si>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</si>
  <si>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</si>
  <si>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</si>
  <si>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</si>
  <si>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</si>
  <si>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</si>
  <si>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</si>
  <si>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</si>
  <si>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</si>
  <si>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</si>
  <si>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</si>
  <si>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</si>
  <si>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</si>
  <si>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</si>
  <si>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</si>
  <si>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</si>
  <si>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</si>
  <si>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</si>
  <si>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</si>
  <si>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</si>
  <si>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</si>
  <si>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</si>
  <si>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</si>
  <si>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</si>
  <si>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</si>
  <si>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</si>
  <si>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</si>
  <si>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</si>
  <si>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</si>
  <si>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</si>
  <si>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</si>
  <si>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</si>
  <si>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</si>
  <si>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</si>
  <si>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</si>
  <si>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</si>
  <si>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</si>
  <si>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</si>
  <si>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</si>
  <si>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</si>
  <si>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</si>
  <si>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</si>
  <si>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</si>
  <si>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</si>
  <si>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</si>
  <si>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</si>
  <si>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</si>
  <si>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</si>
  <si>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</si>
  <si>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</si>
  <si>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</si>
  <si>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</si>
  <si>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</si>
  <si>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</si>
  <si>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</si>
  <si>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</si>
  <si>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</si>
  <si>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</si>
  <si>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</si>
  <si>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</si>
  <si>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</si>
  <si>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</si>
  <si>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</si>
  <si>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</si>
  <si>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</si>
  <si>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</si>
  <si>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</si>
  <si>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</si>
  <si>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</si>
  <si>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</si>
  <si>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</si>
  <si>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</si>
  <si>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</si>
  <si>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</si>
  <si>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</si>
  <si>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</si>
  <si>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</si>
  <si>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</si>
  <si>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</si>
  <si>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</si>
  <si>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</si>
  <si>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</si>
  <si>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</si>
  <si>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</si>
  <si>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</si>
  <si>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</si>
  <si>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</si>
  <si>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</si>
  <si>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</si>
  <si>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</si>
  <si>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</si>
  <si>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</si>
  <si>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</si>
  <si>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</si>
  <si>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</si>
  <si>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</si>
  <si>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</si>
  <si>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</si>
  <si>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</si>
  <si>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</si>
  <si>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</si>
  <si>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</si>
  <si>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</si>
  <si>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</si>
  <si>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</si>
  <si>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</si>
  <si>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</si>
  <si>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</si>
  <si>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</si>
  <si>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</si>
  <si>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</si>
  <si>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</si>
  <si>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</si>
  <si>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</si>
  <si>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</si>
  <si>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</si>
  <si>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</si>
  <si>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</si>
  <si>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</si>
  <si>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</si>
  <si>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</si>
  <si>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</si>
  <si>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</si>
  <si>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</si>
  <si>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</si>
  <si>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</si>
  <si>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</si>
  <si>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</si>
  <si>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</si>
  <si>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</si>
  <si>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</si>
  <si>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</si>
  <si>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</si>
  <si>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</si>
  <si>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</si>
  <si>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</si>
  <si>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</si>
  <si>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</si>
  <si>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</si>
  <si>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</si>
  <si>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</si>
  <si>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</si>
  <si>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</si>
  <si>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</si>
  <si>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</si>
  <si>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</si>
  <si>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</si>
  <si>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</si>
  <si>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</si>
  <si>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</si>
  <si>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</si>
  <si>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</si>
  <si>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</si>
  <si>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</si>
  <si>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</si>
  <si>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</si>
  <si>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</si>
  <si>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</si>
  <si>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</si>
  <si>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</si>
  <si>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</si>
  <si>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</si>
  <si>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</si>
  <si>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</si>
  <si>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</si>
  <si>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</si>
  <si>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</si>
  <si>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</si>
  <si>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</si>
  <si>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</si>
  <si>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</si>
  <si>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</si>
  <si>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</si>
  <si>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</si>
  <si>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</si>
  <si>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</si>
  <si>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</si>
  <si>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</si>
  <si>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</si>
  <si>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</si>
  <si>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</si>
  <si>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</si>
  <si>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</si>
  <si>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</si>
  <si>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</si>
  <si>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</si>
  <si>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</si>
  <si>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</si>
  <si>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</si>
  <si>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</si>
  <si>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</si>
  <si>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</si>
  <si>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</si>
  <si>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</si>
  <si>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</si>
  <si>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</si>
  <si>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</si>
  <si>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</si>
  <si>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</si>
  <si>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</si>
  <si>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</si>
  <si>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</si>
  <si>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</si>
  <si>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</si>
  <si>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</si>
  <si>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</si>
  <si>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</si>
  <si>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</si>
  <si>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</si>
  <si>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</si>
  <si>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</si>
  <si>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</si>
  <si>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</si>
  <si>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</si>
  <si>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</si>
  <si>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</si>
  <si>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</si>
  <si>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</si>
  <si>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</si>
  <si>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</si>
  <si>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</si>
  <si>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</si>
  <si>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</si>
  <si>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</si>
  <si>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</si>
  <si>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</si>
  <si>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</si>
  <si>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</si>
  <si>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</si>
  <si>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</si>
  <si>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</si>
  <si>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</si>
  <si>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</si>
  <si>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</si>
  <si>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</si>
  <si>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</si>
  <si>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</si>
  <si>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</si>
  <si>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</si>
  <si>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</si>
  <si>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</si>
  <si>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</si>
  <si>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</si>
  <si>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</si>
  <si>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</si>
  <si>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</si>
  <si>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</si>
  <si>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</si>
  <si>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</si>
  <si>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</si>
  <si>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</si>
  <si>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</si>
  <si>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</si>
  <si>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</si>
  <si>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</si>
  <si>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</si>
  <si>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</si>
  <si>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</si>
  <si>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</si>
  <si>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</si>
  <si>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</si>
  <si>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</si>
  <si>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</si>
  <si>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</si>
  <si>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</si>
  <si>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</si>
  <si>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</si>
  <si>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</si>
  <si>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</si>
  <si>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</si>
  <si>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</si>
  <si>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</si>
  <si>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</si>
  <si>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</si>
  <si>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</si>
  <si>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</si>
  <si>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</si>
  <si>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</si>
  <si>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</si>
  <si>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</si>
  <si>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</si>
  <si>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</si>
  <si>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</si>
  <si>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</si>
  <si>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</si>
  <si>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</si>
  <si>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</si>
  <si>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</si>
  <si>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</si>
  <si>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</si>
  <si>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</si>
  <si>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</si>
  <si>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</si>
  <si>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</si>
  <si>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</si>
  <si>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</si>
  <si>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</si>
  <si>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</si>
  <si>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</si>
  <si>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</si>
  <si>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</si>
  <si>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</si>
  <si>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</si>
  <si>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</si>
  <si>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</si>
  <si>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</si>
  <si>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</si>
  <si>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</si>
  <si>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</si>
  <si>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</si>
  <si>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</si>
  <si>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</si>
  <si>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</si>
  <si>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</si>
  <si>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</si>
  <si>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</si>
  <si>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</si>
  <si>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</si>
  <si>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</si>
  <si>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</si>
  <si>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broyage interligne + dégt manuel</t>
  </si>
  <si>
    <t>prépa sol + clôture</t>
  </si>
  <si>
    <t>Pommier sauvage non compris dans le calcul des REE</t>
  </si>
  <si>
    <t>Poirier sauvage non compris dans le calcul des REE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</si>
</sst>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98.711655844836244</c:v>
                </c:pt>
                <c:pt idx="22">
                  <c:v>111.22512582797835</c:v>
                </c:pt>
                <c:pt idx="23">
                  <c:v>123.70402111473783</c:v>
                </c:pt>
                <c:pt idx="24">
                  <c:v>136.15232577620694</c:v>
                </c:pt>
                <c:pt idx="25">
                  <c:v>148.57323391466869</c:v>
                </c:pt>
                <c:pt idx="26">
                  <c:v>160.96936079546251</c:v>
                </c:pt>
                <c:pt idx="27">
                  <c:v>173.342885263987</c:v>
                </c:pt>
                <c:pt idx="28">
                  <c:v>185.69564922944687</c:v>
                </c:pt>
                <c:pt idx="29">
                  <c:v>198.02922921541202</c:v>
                </c:pt>
                <c:pt idx="30">
                  <c:v>210.34498910896289</c:v>
                </c:pt>
                <c:pt idx="31">
                  <c:v>169.61345228889294</c:v>
                </c:pt>
                <c:pt idx="32">
                  <c:v>185.69564922944687</c:v>
                </c:pt>
                <c:pt idx="33">
                  <c:v>201.74532528316695</c:v>
                </c:pt>
                <c:pt idx="34">
                  <c:v>217.76543262779288</c:v>
                </c:pt>
                <c:pt idx="35">
                  <c:v>233.75845318467347</c:v>
                </c:pt>
                <c:pt idx="36">
                  <c:v>249.72650127853672</c:v>
                </c:pt>
                <c:pt idx="37">
                  <c:v>265.67139861401193</c:v>
                </c:pt>
                <c:pt idx="38">
                  <c:v>281.5947302821483</c:v>
                </c:pt>
                <c:pt idx="39">
                  <c:v>297.49788742006405</c:v>
                </c:pt>
                <c:pt idx="40">
                  <c:v>313.38210026249618</c:v>
                </c:pt>
                <c:pt idx="41">
                  <c:v>247.97507238738748</c:v>
                </c:pt>
                <c:pt idx="42">
                  <c:v>264.11677214797504</c:v>
                </c:pt>
                <c:pt idx="43">
                  <c:v>280.23622755830667</c:v>
                </c:pt>
                <c:pt idx="44">
                  <c:v>296.33489822464168</c:v>
                </c:pt>
                <c:pt idx="45">
                  <c:v>312.41407218540223</c:v>
                </c:pt>
                <c:pt idx="46">
                  <c:v>328.47489405645246</c:v>
                </c:pt>
                <c:pt idx="47">
                  <c:v>344.51838738035781</c:v>
                </c:pt>
                <c:pt idx="48">
                  <c:v>360.54547259299108</c:v>
                </c:pt>
                <c:pt idx="49">
                  <c:v>376.55698162745358</c:v>
                </c:pt>
                <c:pt idx="50">
                  <c:v>392.55366990377729</c:v>
                </c:pt>
                <c:pt idx="51">
                  <c:v>326.54079262774445</c:v>
                </c:pt>
                <c:pt idx="52">
                  <c:v>341.62020115511154</c:v>
                </c:pt>
                <c:pt idx="53">
                  <c:v>356.68497890922026</c:v>
                </c:pt>
                <c:pt idx="54">
                  <c:v>371.73583079258918</c:v>
                </c:pt>
                <c:pt idx="55">
                  <c:v>386.77339997206718</c:v>
                </c:pt>
                <c:pt idx="56">
                  <c:v>401.79827552592519</c:v>
                </c:pt>
                <c:pt idx="57">
                  <c:v>416.81099888731995</c:v>
                </c:pt>
                <c:pt idx="58">
                  <c:v>431.81206931097466</c:v>
                </c:pt>
                <c:pt idx="59">
                  <c:v>446.80194854062023</c:v>
                </c:pt>
                <c:pt idx="60">
                  <c:v>461.78106481747767</c:v>
                </c:pt>
                <c:pt idx="61">
                  <c:v>394.48001486506865</c:v>
                </c:pt>
                <c:pt idx="62">
                  <c:v>407.95878231757462</c:v>
                </c:pt>
                <c:pt idx="63">
                  <c:v>421.42793186976132</c:v>
                </c:pt>
                <c:pt idx="64">
                  <c:v>434.88781420496679</c:v>
                </c:pt>
                <c:pt idx="65">
                  <c:v>448.33875652973529</c:v>
                </c:pt>
                <c:pt idx="66">
                  <c:v>461.78106481747767</c:v>
                </c:pt>
                <c:pt idx="67">
                  <c:v>475.2150257772908</c:v>
                </c:pt>
                <c:pt idx="68">
                  <c:v>488.64090858857736</c:v>
                </c:pt>
                <c:pt idx="69">
                  <c:v>502.0589664351258</c:v>
                </c:pt>
                <c:pt idx="70">
                  <c:v>515.46943786668055</c:v>
                </c:pt>
                <c:pt idx="71">
                  <c:v>446.6098395921727</c:v>
                </c:pt>
                <c:pt idx="72">
                  <c:v>458.32527966923953</c:v>
                </c:pt>
                <c:pt idx="73">
                  <c:v>470.03432649602973</c:v>
                </c:pt>
                <c:pt idx="74">
                  <c:v>481.7371617829092</c:v>
                </c:pt>
                <c:pt idx="75">
                  <c:v>493.43395769164982</c:v>
                </c:pt>
                <c:pt idx="76">
                  <c:v>505.12487755644264</c:v>
                </c:pt>
                <c:pt idx="77">
                  <c:v>516.81007653469237</c:v>
                </c:pt>
                <c:pt idx="78">
                  <c:v>528.48970219589739</c:v>
                </c:pt>
                <c:pt idx="79">
                  <c:v>540.16389505577172</c:v>
                </c:pt>
                <c:pt idx="80">
                  <c:v>551.83278906179783</c:v>
                </c:pt>
                <c:pt idx="81">
                  <c:v>482.12075813367898</c:v>
                </c:pt>
                <c:pt idx="82">
                  <c:v>492.85884412246696</c:v>
                </c:pt>
                <c:pt idx="83">
                  <c:v>503.59197136026728</c:v>
                </c:pt>
                <c:pt idx="84">
                  <c:v>514.32026043494284</c:v>
                </c:pt>
                <c:pt idx="85">
                  <c:v>525.04382649327442</c:v>
                </c:pt>
                <c:pt idx="86">
                  <c:v>535.76277959494962</c:v>
                </c:pt>
                <c:pt idx="87">
                  <c:v>546.47722503675448</c:v>
                </c:pt>
                <c:pt idx="88">
                  <c:v>557.18726365001623</c:v>
                </c:pt>
                <c:pt idx="89">
                  <c:v>567.89299207399495</c:v>
                </c:pt>
                <c:pt idx="90">
                  <c:v>578.59450300758874</c:v>
                </c:pt>
                <c:pt idx="91">
                  <c:v>507.61564043595746</c:v>
                </c:pt>
                <c:pt idx="92">
                  <c:v>517.00159034875685</c:v>
                </c:pt>
                <c:pt idx="93">
                  <c:v>526.38394569812317</c:v>
                </c:pt>
                <c:pt idx="94">
                  <c:v>535.76277959494962</c:v>
                </c:pt>
                <c:pt idx="95">
                  <c:v>545.13816238142374</c:v>
                </c:pt>
                <c:pt idx="96">
                  <c:v>554.51016178271334</c:v>
                </c:pt>
                <c:pt idx="97">
                  <c:v>563.87884304786633</c:v>
                </c:pt>
                <c:pt idx="98">
                  <c:v>573.24426908085661</c:v>
                </c:pt>
                <c:pt idx="99">
                  <c:v>582.60650056262477</c:v>
                </c:pt>
                <c:pt idx="100">
                  <c:v>591.96559606486528</c:v>
                </c:pt>
                <c:pt idx="101">
                  <c:v>520.06560820994321</c:v>
                </c:pt>
                <c:pt idx="102">
                  <c:v>528.48970219589739</c:v>
                </c:pt>
                <c:pt idx="103">
                  <c:v>536.91096968482714</c:v>
                </c:pt>
                <c:pt idx="104">
                  <c:v>545.32946126917022</c:v>
                </c:pt>
                <c:pt idx="105">
                  <c:v>553.74522585166358</c:v>
                </c:pt>
                <c:pt idx="106">
                  <c:v>562.15831072715355</c:v>
                </c:pt>
                <c:pt idx="107">
                  <c:v>570.56876165925394</c:v>
                </c:pt>
                <c:pt idx="108">
                  <c:v>578.97662295224825</c:v>
                </c:pt>
                <c:pt idx="109">
                  <c:v>587.38193751859933</c:v>
                </c:pt>
                <c:pt idx="110">
                  <c:v>595.7847469423931</c:v>
                </c:pt>
                <c:pt idx="111">
                  <c:v>528.29827709857148</c:v>
                </c:pt>
                <c:pt idx="112">
                  <c:v>535.38003807305324</c:v>
                </c:pt>
                <c:pt idx="113">
                  <c:v>542.45982974284027</c:v>
                </c:pt>
                <c:pt idx="114">
                  <c:v>549.53768144295748</c:v>
                </c:pt>
                <c:pt idx="115">
                  <c:v>556.61362169091831</c:v>
                </c:pt>
                <c:pt idx="116">
                  <c:v>563.68767821983886</c:v>
                </c:pt>
                <c:pt idx="117">
                  <c:v>570.75987800979954</c:v>
                </c:pt>
                <c:pt idx="118">
                  <c:v>577.83024731757359</c:v>
                </c:pt>
                <c:pt idx="119">
                  <c:v>584.89881170482352</c:v>
                </c:pt>
                <c:pt idx="120">
                  <c:v>591.96559606486471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1.9392396590060368</c:v>
                </c:pt>
                <c:pt idx="2">
                  <c:v>2.5876561571360415</c:v>
                </c:pt>
                <c:pt idx="3">
                  <c:v>3.453787373905413</c:v>
                </c:pt>
                <c:pt idx="4">
                  <c:v>4.6110208315480676</c:v>
                </c:pt>
                <c:pt idx="5">
                  <c:v>6.1575720208369864</c:v>
                </c:pt>
                <c:pt idx="6">
                  <c:v>8.2249124240202445</c:v>
                </c:pt>
                <c:pt idx="7">
                  <c:v>10.989067370858649</c:v>
                </c:pt>
                <c:pt idx="8">
                  <c:v>14.685763706988537</c:v>
                </c:pt>
                <c:pt idx="9">
                  <c:v>19.630742754296975</c:v>
                </c:pt>
                <c:pt idx="10">
                  <c:v>26.247004670510957</c:v>
                </c:pt>
                <c:pt idx="11">
                  <c:v>48.316813736477961</c:v>
                </c:pt>
                <c:pt idx="12">
                  <c:v>70.109612999584456</c:v>
                </c:pt>
                <c:pt idx="13">
                  <c:v>91.726362477112062</c:v>
                </c:pt>
                <c:pt idx="14">
                  <c:v>113.21493371581612</c:v>
                </c:pt>
                <c:pt idx="15">
                  <c:v>134.603234565474</c:v>
                </c:pt>
                <c:pt idx="16">
                  <c:v>155.90949332871295</c:v>
                </c:pt>
                <c:pt idx="17">
                  <c:v>177.14651934596574</c:v>
                </c:pt>
                <c:pt idx="18">
                  <c:v>198.32378790230177</c:v>
                </c:pt>
                <c:pt idx="19">
                  <c:v>219.44858025326224</c:v>
                </c:pt>
                <c:pt idx="20">
                  <c:v>240.52665895672337</c:v>
                </c:pt>
                <c:pt idx="21">
                  <c:v>169.14459918159946</c:v>
                </c:pt>
                <c:pt idx="22">
                  <c:v>199.29058865200219</c:v>
                </c:pt>
                <c:pt idx="23">
                  <c:v>229.33067551677331</c:v>
                </c:pt>
                <c:pt idx="24">
                  <c:v>259.28069188344864</c:v>
                </c:pt>
                <c:pt idx="25">
                  <c:v>289.15250414515464</c:v>
                </c:pt>
                <c:pt idx="26">
                  <c:v>318.95532318922392</c:v>
                </c:pt>
                <c:pt idx="27">
                  <c:v>348.69649689936165</c:v>
                </c:pt>
                <c:pt idx="28">
                  <c:v>378.38201721562388</c:v>
                </c:pt>
                <c:pt idx="29">
                  <c:v>408.01685937470296</c:v>
                </c:pt>
                <c:pt idx="30">
                  <c:v>437.60521728369707</c:v>
                </c:pt>
                <c:pt idx="31">
                  <c:v>316.44430504331677</c:v>
                </c:pt>
                <c:pt idx="32">
                  <c:v>345.47433795622351</c:v>
                </c:pt>
                <c:pt idx="33">
                  <c:v>374.45080395713165</c:v>
                </c:pt>
                <c:pt idx="34">
                  <c:v>403.3784266253918</c:v>
                </c:pt>
                <c:pt idx="35">
                  <c:v>432.26119709872506</c:v>
                </c:pt>
                <c:pt idx="36">
                  <c:v>461.10253000694792</c:v>
                </c:pt>
                <c:pt idx="37">
                  <c:v>489.90537833329205</c:v>
                </c:pt>
                <c:pt idx="38">
                  <c:v>518.67231984823627</c:v>
                </c:pt>
                <c:pt idx="39">
                  <c:v>547.40562336884784</c:v>
                </c:pt>
                <c:pt idx="40">
                  <c:v>576.10730038492648</c:v>
                </c:pt>
                <c:pt idx="41">
                  <c:v>451.84914558797823</c:v>
                </c:pt>
                <c:pt idx="42">
                  <c:v>476.75312396624321</c:v>
                </c:pt>
                <c:pt idx="43">
                  <c:v>501.62944299248107</c:v>
                </c:pt>
                <c:pt idx="44">
                  <c:v>526.47966574618124</c:v>
                </c:pt>
                <c:pt idx="45">
                  <c:v>551.30519586187165</c:v>
                </c:pt>
                <c:pt idx="46">
                  <c:v>576.10730038492648</c:v>
                </c:pt>
                <c:pt idx="47">
                  <c:v>600.88712848882722</c:v>
                </c:pt>
                <c:pt idx="48">
                  <c:v>625.64572694630408</c:v>
                </c:pt>
                <c:pt idx="49">
                  <c:v>650.38405302597027</c:v>
                </c:pt>
                <c:pt idx="50">
                  <c:v>675.10298532637864</c:v>
                </c:pt>
                <c:pt idx="51">
                  <c:v>556.03117561453928</c:v>
                </c:pt>
                <c:pt idx="52">
                  <c:v>577.28778867118103</c:v>
                </c:pt>
                <c:pt idx="53">
                  <c:v>598.52807527315429</c:v>
                </c:pt>
                <c:pt idx="54">
                  <c:v>619.75269577860911</c:v>
                </c:pt>
                <c:pt idx="55">
                  <c:v>640.96226167232192</c:v>
                </c:pt>
                <c:pt idx="56">
                  <c:v>662.15734071289023</c:v>
                </c:pt>
                <c:pt idx="57">
                  <c:v>683.33846138718491</c:v>
                </c:pt>
                <c:pt idx="58">
                  <c:v>704.50611678429186</c:v>
                </c:pt>
                <c:pt idx="59">
                  <c:v>725.66076798010135</c:v>
                </c:pt>
                <c:pt idx="60">
                  <c:v>746.80284700710206</c:v>
                </c:pt>
                <c:pt idx="61">
                  <c:v>658.03718449254472</c:v>
                </c:pt>
                <c:pt idx="62">
                  <c:v>675.10298532637864</c:v>
                </c:pt>
                <c:pt idx="63">
                  <c:v>692.1599270547805</c:v>
                </c:pt>
                <c:pt idx="64">
                  <c:v>709.20825855698547</c:v>
                </c:pt>
                <c:pt idx="65">
                  <c:v>726.24821578179365</c:v>
                </c:pt>
                <c:pt idx="66">
                  <c:v>743.28002271317609</c:v>
                </c:pt>
                <c:pt idx="67">
                  <c:v>760.30389224285273</c:v>
                </c:pt>
                <c:pt idx="68">
                  <c:v>777.32002696073357</c:v>
                </c:pt>
                <c:pt idx="69">
                  <c:v>794.32861987261094</c:v>
                </c:pt>
                <c:pt idx="70">
                  <c:v>811.32985505325234</c:v>
                </c:pt>
                <c:pt idx="71">
                  <c:v>737.0555350333733</c:v>
                </c:pt>
                <c:pt idx="72">
                  <c:v>750.79497281366912</c:v>
                </c:pt>
                <c:pt idx="73">
                  <c:v>764.52930190023733</c:v>
                </c:pt>
                <c:pt idx="74">
                  <c:v>778.25862693195984</c:v>
                </c:pt>
                <c:pt idx="75">
                  <c:v>791.98304855764582</c:v>
                </c:pt>
                <c:pt idx="76">
                  <c:v>805.70266365612088</c:v>
                </c:pt>
                <c:pt idx="77">
                  <c:v>819.41756554055053</c:v>
                </c:pt>
                <c:pt idx="78">
                  <c:v>833.12784414839268</c:v>
                </c:pt>
                <c:pt idx="79">
                  <c:v>846.83358621820355</c:v>
                </c:pt>
                <c:pt idx="80">
                  <c:v>860.53487545441567</c:v>
                </c:pt>
                <c:pt idx="81">
                  <c:v>6.4094616558195571E-12</c:v>
                </c:pt>
                <c:pt idx="82">
                  <c:v>6.4094616558195571E-12</c:v>
                </c:pt>
                <c:pt idx="83">
                  <c:v>6.4094616558195571E-12</c:v>
                </c:pt>
                <c:pt idx="84">
                  <c:v>6.4094616558195571E-12</c:v>
                </c:pt>
                <c:pt idx="85">
                  <c:v>6.4094616558195571E-12</c:v>
                </c:pt>
                <c:pt idx="86">
                  <c:v>6.4094616558195571E-12</c:v>
                </c:pt>
                <c:pt idx="87">
                  <c:v>6.4094616558195571E-12</c:v>
                </c:pt>
                <c:pt idx="88">
                  <c:v>6.4094616558195571E-12</c:v>
                </c:pt>
                <c:pt idx="89">
                  <c:v>6.4094616558195571E-12</c:v>
                </c:pt>
                <c:pt idx="90">
                  <c:v>6.4094616558195571E-12</c:v>
                </c:pt>
                <c:pt idx="91">
                  <c:v>6.4094616558195571E-12</c:v>
                </c:pt>
                <c:pt idx="92">
                  <c:v>6.4094616558195571E-12</c:v>
                </c:pt>
                <c:pt idx="93">
                  <c:v>6.4094616558195571E-12</c:v>
                </c:pt>
                <c:pt idx="94">
                  <c:v>6.4094616558195571E-12</c:v>
                </c:pt>
                <c:pt idx="95">
                  <c:v>6.4094616558195571E-12</c:v>
                </c:pt>
                <c:pt idx="96">
                  <c:v>6.4094616558195571E-12</c:v>
                </c:pt>
                <c:pt idx="97">
                  <c:v>6.4094616558195571E-12</c:v>
                </c:pt>
                <c:pt idx="98">
                  <c:v>6.4094616558195571E-12</c:v>
                </c:pt>
                <c:pt idx="99">
                  <c:v>6.4094616558195571E-12</c:v>
                </c:pt>
                <c:pt idx="100">
                  <c:v>6.4094616558195571E-12</c:v>
                </c:pt>
                <c:pt idx="101">
                  <c:v>6.4094616558195571E-12</c:v>
                </c:pt>
                <c:pt idx="102">
                  <c:v>6.4094616558195571E-12</c:v>
                </c:pt>
                <c:pt idx="103">
                  <c:v>6.4094616558195571E-12</c:v>
                </c:pt>
                <c:pt idx="104">
                  <c:v>6.4094616558195571E-12</c:v>
                </c:pt>
                <c:pt idx="105">
                  <c:v>6.4094616558195571E-12</c:v>
                </c:pt>
                <c:pt idx="106">
                  <c:v>6.4094616558195571E-12</c:v>
                </c:pt>
                <c:pt idx="107">
                  <c:v>6.4094616558195571E-12</c:v>
                </c:pt>
                <c:pt idx="108">
                  <c:v>6.4094616558195571E-12</c:v>
                </c:pt>
                <c:pt idx="109">
                  <c:v>6.4094616558195571E-12</c:v>
                </c:pt>
                <c:pt idx="110">
                  <c:v>6.4094616558195571E-12</c:v>
                </c:pt>
                <c:pt idx="111">
                  <c:v>6.4094616558195571E-12</c:v>
                </c:pt>
                <c:pt idx="112">
                  <c:v>6.4094616558195571E-12</c:v>
                </c:pt>
                <c:pt idx="113">
                  <c:v>6.4094616558195571E-12</c:v>
                </c:pt>
                <c:pt idx="114">
                  <c:v>6.4094616558195571E-12</c:v>
                </c:pt>
                <c:pt idx="115">
                  <c:v>6.4094616558195571E-12</c:v>
                </c:pt>
                <c:pt idx="116">
                  <c:v>6.4094616558195571E-12</c:v>
                </c:pt>
                <c:pt idx="117">
                  <c:v>6.4094616558195571E-12</c:v>
                </c:pt>
                <c:pt idx="118">
                  <c:v>6.4094616558195571E-12</c:v>
                </c:pt>
                <c:pt idx="119">
                  <c:v>6.4094616558195571E-12</c:v>
                </c:pt>
                <c:pt idx="120">
                  <c:v>6.4094616558195571E-12</c:v>
                </c:pt>
                <c:pt idx="121">
                  <c:v>6.4094616558195571E-12</c:v>
                </c:pt>
                <c:pt idx="122">
                  <c:v>6.4094616558195571E-12</c:v>
                </c:pt>
                <c:pt idx="123">
                  <c:v>6.4094616558195571E-12</c:v>
                </c:pt>
                <c:pt idx="124">
                  <c:v>6.4094616558195571E-12</c:v>
                </c:pt>
                <c:pt idx="125">
                  <c:v>6.4094616558195571E-12</c:v>
                </c:pt>
                <c:pt idx="126">
                  <c:v>6.4094616558195571E-12</c:v>
                </c:pt>
                <c:pt idx="127">
                  <c:v>6.4094616558195571E-12</c:v>
                </c:pt>
                <c:pt idx="128">
                  <c:v>6.4094616558195571E-12</c:v>
                </c:pt>
                <c:pt idx="129">
                  <c:v>6.4094616558195571E-12</c:v>
                </c:pt>
                <c:pt idx="130">
                  <c:v>6.4094616558195571E-12</c:v>
                </c:pt>
                <c:pt idx="131">
                  <c:v>6.4094616558195571E-12</c:v>
                </c:pt>
                <c:pt idx="132">
                  <c:v>6.4094616558195571E-12</c:v>
                </c:pt>
                <c:pt idx="133">
                  <c:v>6.4094616558195571E-12</c:v>
                </c:pt>
                <c:pt idx="134">
                  <c:v>6.4094616558195571E-12</c:v>
                </c:pt>
                <c:pt idx="135">
                  <c:v>6.4094616558195571E-12</c:v>
                </c:pt>
                <c:pt idx="136">
                  <c:v>6.4094616558195571E-12</c:v>
                </c:pt>
                <c:pt idx="137">
                  <c:v>6.4094616558195571E-12</c:v>
                </c:pt>
                <c:pt idx="138">
                  <c:v>6.4094616558195571E-12</c:v>
                </c:pt>
                <c:pt idx="139">
                  <c:v>6.4094616558195571E-12</c:v>
                </c:pt>
                <c:pt idx="140">
                  <c:v>6.4094616558195571E-12</c:v>
                </c:pt>
                <c:pt idx="141">
                  <c:v>6.4094616558195571E-12</c:v>
                </c:pt>
                <c:pt idx="142">
                  <c:v>6.4094616558195571E-12</c:v>
                </c:pt>
                <c:pt idx="143">
                  <c:v>6.4094616558195571E-12</c:v>
                </c:pt>
                <c:pt idx="144">
                  <c:v>6.4094616558195571E-12</c:v>
                </c:pt>
                <c:pt idx="145">
                  <c:v>6.4094616558195571E-12</c:v>
                </c:pt>
                <c:pt idx="146">
                  <c:v>6.4094616558195571E-12</c:v>
                </c:pt>
                <c:pt idx="147">
                  <c:v>6.4094616558195571E-12</c:v>
                </c:pt>
                <c:pt idx="148">
                  <c:v>6.4094616558195571E-12</c:v>
                </c:pt>
                <c:pt idx="149">
                  <c:v>6.4094616558195571E-12</c:v>
                </c:pt>
                <c:pt idx="150">
                  <c:v>6.4094616558195571E-12</c:v>
                </c:pt>
                <c:pt idx="151">
                  <c:v>6.4094616558195571E-12</c:v>
                </c:pt>
                <c:pt idx="152">
                  <c:v>6.4094616558195571E-12</c:v>
                </c:pt>
                <c:pt idx="153">
                  <c:v>6.4094616558195571E-12</c:v>
                </c:pt>
                <c:pt idx="154">
                  <c:v>6.4094616558195571E-12</c:v>
                </c:pt>
                <c:pt idx="155">
                  <c:v>6.4094616558195571E-12</c:v>
                </c:pt>
                <c:pt idx="156">
                  <c:v>6.4094616558195571E-12</c:v>
                </c:pt>
                <c:pt idx="157">
                  <c:v>6.4094616558195571E-12</c:v>
                </c:pt>
                <c:pt idx="158">
                  <c:v>6.4094616558195571E-12</c:v>
                </c:pt>
                <c:pt idx="159">
                  <c:v>6.4094616558195571E-12</c:v>
                </c:pt>
                <c:pt idx="160">
                  <c:v>6.4094616558195571E-12</c:v>
                </c:pt>
                <c:pt idx="161">
                  <c:v>6.4094616558195571E-12</c:v>
                </c:pt>
                <c:pt idx="162">
                  <c:v>6.4094616558195571E-12</c:v>
                </c:pt>
                <c:pt idx="163">
                  <c:v>6.4094616558195571E-12</c:v>
                </c:pt>
                <c:pt idx="164">
                  <c:v>6.4094616558195571E-12</c:v>
                </c:pt>
                <c:pt idx="165">
                  <c:v>6.4094616558195571E-12</c:v>
                </c:pt>
                <c:pt idx="166">
                  <c:v>6.4094616558195571E-12</c:v>
                </c:pt>
                <c:pt idx="167">
                  <c:v>6.4094616558195571E-12</c:v>
                </c:pt>
                <c:pt idx="168">
                  <c:v>6.4094616558195571E-12</c:v>
                </c:pt>
                <c:pt idx="169">
                  <c:v>6.4094616558195571E-12</c:v>
                </c:pt>
                <c:pt idx="170">
                  <c:v>6.4094616558195571E-12</c:v>
                </c:pt>
                <c:pt idx="171">
                  <c:v>6.4094616558195571E-12</c:v>
                </c:pt>
                <c:pt idx="172">
                  <c:v>6.4094616558195571E-12</c:v>
                </c:pt>
                <c:pt idx="173">
                  <c:v>6.4094616558195571E-12</c:v>
                </c:pt>
                <c:pt idx="174">
                  <c:v>6.4094616558195571E-12</c:v>
                </c:pt>
                <c:pt idx="175">
                  <c:v>6.4094616558195571E-12</c:v>
                </c:pt>
                <c:pt idx="176">
                  <c:v>6.4094616558195571E-12</c:v>
                </c:pt>
                <c:pt idx="177">
                  <c:v>6.4094616558195571E-12</c:v>
                </c:pt>
                <c:pt idx="178">
                  <c:v>6.4094616558195571E-12</c:v>
                </c:pt>
                <c:pt idx="179">
                  <c:v>6.4094616558195571E-12</c:v>
                </c:pt>
                <c:pt idx="180">
                  <c:v>6.4094616558195571E-12</c:v>
                </c:pt>
                <c:pt idx="181">
                  <c:v>6.4094616558195571E-12</c:v>
                </c:pt>
                <c:pt idx="182">
                  <c:v>6.4094616558195571E-12</c:v>
                </c:pt>
                <c:pt idx="183">
                  <c:v>6.4094616558195571E-12</c:v>
                </c:pt>
                <c:pt idx="184">
                  <c:v>6.4094616558195571E-12</c:v>
                </c:pt>
                <c:pt idx="185">
                  <c:v>6.4094616558195571E-12</c:v>
                </c:pt>
                <c:pt idx="186">
                  <c:v>6.4094616558195571E-12</c:v>
                </c:pt>
                <c:pt idx="187">
                  <c:v>6.4094616558195571E-12</c:v>
                </c:pt>
                <c:pt idx="188">
                  <c:v>6.4094616558195571E-12</c:v>
                </c:pt>
                <c:pt idx="189">
                  <c:v>6.4094616558195571E-12</c:v>
                </c:pt>
                <c:pt idx="190">
                  <c:v>6.4094616558195571E-12</c:v>
                </c:pt>
                <c:pt idx="191">
                  <c:v>6.4094616558195571E-12</c:v>
                </c:pt>
                <c:pt idx="192">
                  <c:v>6.4094616558195571E-12</c:v>
                </c:pt>
                <c:pt idx="193">
                  <c:v>6.4094616558195571E-12</c:v>
                </c:pt>
                <c:pt idx="194">
                  <c:v>6.4094616558195571E-12</c:v>
                </c:pt>
                <c:pt idx="195">
                  <c:v>6.4094616558195571E-12</c:v>
                </c:pt>
                <c:pt idx="196">
                  <c:v>6.4094616558195571E-12</c:v>
                </c:pt>
                <c:pt idx="197">
                  <c:v>6.4094616558195571E-12</c:v>
                </c:pt>
                <c:pt idx="198">
                  <c:v>6.4094616558195571E-12</c:v>
                </c:pt>
                <c:pt idx="199">
                  <c:v>6.4094616558195571E-12</c:v>
                </c:pt>
                <c:pt idx="200">
                  <c:v>6.4094616558195571E-12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/>
  <cols>
    <col min="1" max="1" width="6.6640625" customWidth="1"/>
    <col min="2" max="13" width="15.88671875" customWidth="1"/>
  </cols>
  <sheetData>
    <row r="12" spans="2:13" ht="15" customHeight="1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4" zoomScale="80" zoomScaleNormal="80" workbookViewId="0">
      <selection activeCell="L61" sqref="L61"/>
    </sheetView>
  </sheetViews>
  <sheetFormatPr baseColWidth="10" defaultColWidth="11.44140625" defaultRowHeight="14.4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>
      <c r="A5" s="268" t="s">
        <v>231</v>
      </c>
      <c r="B5" s="268"/>
      <c r="C5" s="24">
        <v>6.17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>
      <c r="A9" s="30" t="s">
        <v>165</v>
      </c>
      <c r="B9" s="31" t="s">
        <v>14</v>
      </c>
      <c r="C9" s="32">
        <v>0.7</v>
      </c>
      <c r="D9" s="33">
        <f t="shared" ref="D9:D18" si="0">C9*$C$5</f>
        <v>4.319</v>
      </c>
      <c r="E9" s="34">
        <v>120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>
      <c r="A10" s="30" t="s">
        <v>166</v>
      </c>
      <c r="B10" s="31" t="s">
        <v>18</v>
      </c>
      <c r="C10" s="32">
        <v>0.1</v>
      </c>
      <c r="D10" s="33">
        <f t="shared" si="0"/>
        <v>0.61699999999999999</v>
      </c>
      <c r="E10" s="34">
        <v>80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>
      <c r="A11" s="30" t="s">
        <v>167</v>
      </c>
      <c r="B11" s="31"/>
      <c r="C11" s="32">
        <v>0.1</v>
      </c>
      <c r="D11" s="33">
        <f t="shared" si="0"/>
        <v>0.61699999999999999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G11" s="23" t="s">
        <v>326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>
      <c r="A12" s="30" t="s">
        <v>168</v>
      </c>
      <c r="B12" s="31"/>
      <c r="C12" s="32">
        <v>0.1</v>
      </c>
      <c r="D12" s="33">
        <f t="shared" si="0"/>
        <v>0.61699999999999999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G12" s="23" t="s">
        <v>327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>
      <c r="A19" s="78"/>
      <c r="B19" s="36" t="s">
        <v>175</v>
      </c>
      <c r="C19" s="37">
        <f>SUM(C9:C18)</f>
        <v>0.99999999999999989</v>
      </c>
      <c r="D19" s="38">
        <f>SUM(D9:D18)</f>
        <v>6.17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>
      <c r="A26" s="41" t="s">
        <v>222</v>
      </c>
      <c r="B26" s="42" t="s">
        <v>221</v>
      </c>
      <c r="C26" s="43">
        <v>0.1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>
      <c r="A32" s="46" t="s">
        <v>165</v>
      </c>
      <c r="B32" s="47" t="str">
        <f>IF(B9="","",B9)</f>
        <v>Chêne sessile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>
      <c r="A36" s="50">
        <v>20</v>
      </c>
      <c r="B36" s="60">
        <v>42</v>
      </c>
      <c r="C36" s="60"/>
      <c r="D36" s="60"/>
      <c r="E36" s="51"/>
      <c r="F36" s="51"/>
      <c r="G36" s="51"/>
      <c r="H36" s="51"/>
      <c r="I36" s="49">
        <f>IFERROR(B36/A36,"")</f>
        <v>2.1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>
      <c r="A37" s="50">
        <v>30</v>
      </c>
      <c r="B37" s="60">
        <f>76+8+21</f>
        <v>105</v>
      </c>
      <c r="C37" s="60">
        <v>1</v>
      </c>
      <c r="D37" s="60">
        <f>21+8</f>
        <v>29</v>
      </c>
      <c r="E37" s="51"/>
      <c r="F37" s="51">
        <v>0.25</v>
      </c>
      <c r="G37" s="51">
        <v>0.25</v>
      </c>
      <c r="H37" s="51">
        <v>0.5</v>
      </c>
      <c r="I37" s="53">
        <f t="shared" ref="I37:I55" si="1">IF(A37&lt;&gt;0,(B37-(B36-D36))/(A37-A36),"")</f>
        <v>6.3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>
      <c r="A38" s="50">
        <v>40</v>
      </c>
      <c r="B38" s="60">
        <f>116+21+21</f>
        <v>158</v>
      </c>
      <c r="C38" s="60">
        <v>2</v>
      </c>
      <c r="D38" s="60">
        <f>21+21</f>
        <v>42</v>
      </c>
      <c r="E38" s="51"/>
      <c r="F38" s="51"/>
      <c r="G38" s="51"/>
      <c r="H38" s="51"/>
      <c r="I38" s="53">
        <f t="shared" si="1"/>
        <v>8.1999999999999993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>
      <c r="A39" s="50">
        <v>50</v>
      </c>
      <c r="B39" s="60">
        <f>157+21+21</f>
        <v>199</v>
      </c>
      <c r="C39" s="60">
        <v>3</v>
      </c>
      <c r="D39" s="60">
        <f t="shared" ref="D39:D44" si="2">21+21</f>
        <v>42</v>
      </c>
      <c r="E39" s="51"/>
      <c r="F39" s="51"/>
      <c r="G39" s="51"/>
      <c r="H39" s="51"/>
      <c r="I39" s="49">
        <f t="shared" si="1"/>
        <v>8.3000000000000007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>
      <c r="A40" s="50">
        <v>60</v>
      </c>
      <c r="B40" s="60">
        <f>193+21+21</f>
        <v>235</v>
      </c>
      <c r="C40" s="60">
        <v>4</v>
      </c>
      <c r="D40" s="60">
        <f t="shared" si="2"/>
        <v>42</v>
      </c>
      <c r="E40" s="51"/>
      <c r="F40" s="51"/>
      <c r="G40" s="51"/>
      <c r="H40" s="51"/>
      <c r="I40" s="49">
        <f t="shared" si="1"/>
        <v>7.8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>
      <c r="A41" s="50">
        <v>70</v>
      </c>
      <c r="B41" s="60">
        <f>221+21+21</f>
        <v>263</v>
      </c>
      <c r="C41" s="60">
        <v>5</v>
      </c>
      <c r="D41" s="60">
        <f t="shared" si="2"/>
        <v>42</v>
      </c>
      <c r="E41" s="51"/>
      <c r="F41" s="51"/>
      <c r="G41" s="51"/>
      <c r="H41" s="51"/>
      <c r="I41" s="53">
        <f t="shared" si="1"/>
        <v>7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>
      <c r="A42" s="50">
        <v>80</v>
      </c>
      <c r="B42" s="60">
        <f>240+21+21</f>
        <v>282</v>
      </c>
      <c r="C42" s="60">
        <v>6</v>
      </c>
      <c r="D42" s="60">
        <f t="shared" si="2"/>
        <v>42</v>
      </c>
      <c r="E42" s="51"/>
      <c r="F42" s="51"/>
      <c r="G42" s="51"/>
      <c r="H42" s="51"/>
      <c r="I42" s="53">
        <f t="shared" si="1"/>
        <v>6.1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>
      <c r="A43" s="50">
        <v>90</v>
      </c>
      <c r="B43" s="60">
        <f>254+21+21</f>
        <v>296</v>
      </c>
      <c r="C43" s="60">
        <v>7</v>
      </c>
      <c r="D43" s="60">
        <f t="shared" si="2"/>
        <v>42</v>
      </c>
      <c r="E43" s="51"/>
      <c r="F43" s="51"/>
      <c r="G43" s="51"/>
      <c r="H43" s="51"/>
      <c r="I43" s="49">
        <f t="shared" si="1"/>
        <v>5.6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>
      <c r="A44" s="50">
        <v>100</v>
      </c>
      <c r="B44" s="60">
        <f>261+21+21</f>
        <v>303</v>
      </c>
      <c r="C44" s="60">
        <v>8</v>
      </c>
      <c r="D44" s="60">
        <f t="shared" si="2"/>
        <v>42</v>
      </c>
      <c r="E44" s="51"/>
      <c r="F44" s="51"/>
      <c r="G44" s="51"/>
      <c r="H44" s="51"/>
      <c r="I44" s="49">
        <f t="shared" si="1"/>
        <v>4.9000000000000004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>
      <c r="A45" s="50">
        <v>110</v>
      </c>
      <c r="B45" s="60">
        <f>266+20+19</f>
        <v>305</v>
      </c>
      <c r="C45" s="60">
        <v>9</v>
      </c>
      <c r="D45" s="60">
        <f>20+19</f>
        <v>39</v>
      </c>
      <c r="E45" s="51"/>
      <c r="F45" s="51"/>
      <c r="G45" s="51"/>
      <c r="H45" s="51"/>
      <c r="I45" s="49">
        <f t="shared" si="1"/>
        <v>4.4000000000000004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>
      <c r="A46" s="50">
        <v>120</v>
      </c>
      <c r="B46" s="60">
        <f>268+17+18</f>
        <v>303</v>
      </c>
      <c r="C46" s="60">
        <v>10</v>
      </c>
      <c r="D46" s="60">
        <f>B46</f>
        <v>303</v>
      </c>
      <c r="E46" s="51"/>
      <c r="F46" s="51"/>
      <c r="G46" s="51"/>
      <c r="H46" s="51"/>
      <c r="I46" s="49">
        <f t="shared" si="1"/>
        <v>3.7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>
      <c r="A58" s="46" t="s">
        <v>166</v>
      </c>
      <c r="B58" s="52" t="str">
        <f>IF(B10="","",B10)</f>
        <v>Douglas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>
      <c r="A62" s="50">
        <v>10</v>
      </c>
      <c r="B62" s="60">
        <v>20</v>
      </c>
      <c r="C62" s="60"/>
      <c r="D62" s="60">
        <v>0</v>
      </c>
      <c r="E62" s="51"/>
      <c r="F62" s="51"/>
      <c r="G62" s="51"/>
      <c r="H62" s="51"/>
      <c r="I62" s="53">
        <f>IFERROR(B62/A62,"")</f>
        <v>2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>
      <c r="A63" s="50">
        <v>20</v>
      </c>
      <c r="B63" s="60">
        <v>195</v>
      </c>
      <c r="C63" s="60">
        <v>1</v>
      </c>
      <c r="D63" s="60">
        <f>21+63</f>
        <v>84</v>
      </c>
      <c r="E63" s="51"/>
      <c r="F63" s="51">
        <v>0.5</v>
      </c>
      <c r="G63" s="51">
        <v>0.5</v>
      </c>
      <c r="H63" s="51"/>
      <c r="I63" s="49">
        <f>IF(A63&lt;&gt;0,(B63-(B62-D62))/(A63-A62),"")</f>
        <v>17.5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>
      <c r="A64" s="50">
        <v>30</v>
      </c>
      <c r="B64" s="60">
        <v>360</v>
      </c>
      <c r="C64" s="60">
        <v>2</v>
      </c>
      <c r="D64" s="60">
        <f>63+63</f>
        <v>126</v>
      </c>
      <c r="E64" s="51">
        <v>0.2</v>
      </c>
      <c r="F64" s="51">
        <v>0.4</v>
      </c>
      <c r="G64" s="51">
        <v>0.4</v>
      </c>
      <c r="H64" s="51"/>
      <c r="I64" s="49">
        <f>IF(A64&lt;&gt;0,(B64-(B63-D63))/(A64-A63),"")</f>
        <v>24.9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>
      <c r="A65" s="50">
        <v>40</v>
      </c>
      <c r="B65" s="60">
        <v>477</v>
      </c>
      <c r="C65" s="60">
        <v>3</v>
      </c>
      <c r="D65" s="60">
        <f>63+63</f>
        <v>126</v>
      </c>
      <c r="E65" s="51"/>
      <c r="F65" s="51"/>
      <c r="G65" s="51"/>
      <c r="H65" s="51"/>
      <c r="I65" s="49">
        <f>IF(A65&lt;&gt;0,(B65-(B64-D64))/(A65-A64),"")</f>
        <v>24.3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>
      <c r="A66" s="50">
        <v>50</v>
      </c>
      <c r="B66" s="60">
        <v>561</v>
      </c>
      <c r="C66" s="60">
        <v>4</v>
      </c>
      <c r="D66" s="60">
        <f>63+56</f>
        <v>119</v>
      </c>
      <c r="E66" s="51"/>
      <c r="F66" s="51"/>
      <c r="G66" s="51"/>
      <c r="H66" s="51"/>
      <c r="I66" s="49">
        <f t="shared" ref="I66:I81" si="3">IF(A66&lt;&gt;0,(B66-(B65-D65))/(A66-A65),"")</f>
        <v>21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>
      <c r="A67" s="50">
        <v>60</v>
      </c>
      <c r="B67" s="60">
        <v>622</v>
      </c>
      <c r="C67" s="60">
        <v>5</v>
      </c>
      <c r="D67" s="60">
        <f>48+42</f>
        <v>90</v>
      </c>
      <c r="E67" s="51"/>
      <c r="F67" s="51"/>
      <c r="G67" s="51"/>
      <c r="H67" s="51"/>
      <c r="I67" s="49">
        <f t="shared" si="3"/>
        <v>18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>
      <c r="A68" s="50">
        <v>70</v>
      </c>
      <c r="B68" s="60">
        <v>677</v>
      </c>
      <c r="C68" s="60">
        <v>6</v>
      </c>
      <c r="D68" s="60">
        <f>39+36</f>
        <v>75</v>
      </c>
      <c r="E68" s="51"/>
      <c r="F68" s="51"/>
      <c r="G68" s="51"/>
      <c r="H68" s="51"/>
      <c r="I68" s="49">
        <f t="shared" si="3"/>
        <v>14.5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>
      <c r="A69" s="50">
        <v>80</v>
      </c>
      <c r="B69" s="50">
        <f>654+65</f>
        <v>719</v>
      </c>
      <c r="C69" s="50">
        <v>7</v>
      </c>
      <c r="D69" s="50">
        <f>B69</f>
        <v>719</v>
      </c>
      <c r="E69" s="51"/>
      <c r="F69" s="51"/>
      <c r="G69" s="51"/>
      <c r="H69" s="51"/>
      <c r="I69" s="49">
        <f t="shared" si="3"/>
        <v>11.7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>
      <c r="A70" s="50"/>
      <c r="B70" s="50"/>
      <c r="C70" s="50"/>
      <c r="D70" s="50"/>
      <c r="E70" s="51"/>
      <c r="F70" s="51"/>
      <c r="G70" s="51"/>
      <c r="H70" s="51"/>
      <c r="I70" s="49" t="str">
        <f t="shared" si="3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>
      <c r="A71" s="50"/>
      <c r="B71" s="50"/>
      <c r="C71" s="50"/>
      <c r="D71" s="50"/>
      <c r="E71" s="51"/>
      <c r="F71" s="51"/>
      <c r="G71" s="51"/>
      <c r="H71" s="51"/>
      <c r="I71" s="49" t="str">
        <f t="shared" si="3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>
      <c r="A72" s="50"/>
      <c r="B72" s="50"/>
      <c r="C72" s="50"/>
      <c r="D72" s="50"/>
      <c r="E72" s="51"/>
      <c r="F72" s="51"/>
      <c r="G72" s="51"/>
      <c r="H72" s="51"/>
      <c r="I72" s="49" t="str">
        <f t="shared" si="3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>
      <c r="A73" s="50"/>
      <c r="B73" s="50"/>
      <c r="C73" s="50"/>
      <c r="D73" s="50"/>
      <c r="E73" s="51"/>
      <c r="F73" s="51"/>
      <c r="G73" s="51"/>
      <c r="H73" s="51"/>
      <c r="I73" s="49" t="str">
        <f t="shared" si="3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>
      <c r="A74" s="50"/>
      <c r="B74" s="50"/>
      <c r="C74" s="50"/>
      <c r="D74" s="50"/>
      <c r="E74" s="51"/>
      <c r="F74" s="51"/>
      <c r="G74" s="51"/>
      <c r="H74" s="51"/>
      <c r="I74" s="49" t="str">
        <f t="shared" si="3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>
      <c r="A75" s="50"/>
      <c r="B75" s="50"/>
      <c r="C75" s="50"/>
      <c r="D75" s="50"/>
      <c r="E75" s="51"/>
      <c r="F75" s="51"/>
      <c r="G75" s="51"/>
      <c r="H75" s="51"/>
      <c r="I75" s="49" t="str">
        <f t="shared" si="3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>
      <c r="A76" s="50"/>
      <c r="B76" s="50"/>
      <c r="C76" s="50"/>
      <c r="D76" s="50"/>
      <c r="E76" s="51"/>
      <c r="F76" s="51"/>
      <c r="G76" s="51"/>
      <c r="H76" s="51"/>
      <c r="I76" s="49" t="str">
        <f t="shared" si="3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>
      <c r="A77" s="50"/>
      <c r="B77" s="50"/>
      <c r="C77" s="50"/>
      <c r="D77" s="50"/>
      <c r="E77" s="51"/>
      <c r="F77" s="51"/>
      <c r="G77" s="51"/>
      <c r="H77" s="51"/>
      <c r="I77" s="49" t="str">
        <f t="shared" si="3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>
      <c r="A78" s="50"/>
      <c r="B78" s="50"/>
      <c r="C78" s="50"/>
      <c r="D78" s="50"/>
      <c r="E78" s="51"/>
      <c r="F78" s="51"/>
      <c r="G78" s="51"/>
      <c r="H78" s="51"/>
      <c r="I78" s="49" t="str">
        <f t="shared" si="3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>
      <c r="A79" s="50"/>
      <c r="B79" s="50"/>
      <c r="C79" s="50"/>
      <c r="D79" s="50"/>
      <c r="E79" s="51"/>
      <c r="F79" s="51"/>
      <c r="G79" s="51"/>
      <c r="H79" s="51"/>
      <c r="I79" s="49" t="str">
        <f t="shared" si="3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>
      <c r="A80" s="50"/>
      <c r="B80" s="50"/>
      <c r="C80" s="50"/>
      <c r="D80" s="50"/>
      <c r="E80" s="51"/>
      <c r="F80" s="51"/>
      <c r="G80" s="51"/>
      <c r="H80" s="51"/>
      <c r="I80" s="49" t="str">
        <f t="shared" si="3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>
      <c r="A81" s="50"/>
      <c r="B81" s="50"/>
      <c r="C81" s="50"/>
      <c r="D81" s="50"/>
      <c r="E81" s="51"/>
      <c r="F81" s="51"/>
      <c r="G81" s="51"/>
      <c r="H81" s="51"/>
      <c r="I81" s="49" t="str">
        <f t="shared" si="3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>
      <c r="A84" s="46" t="s">
        <v>167</v>
      </c>
      <c r="B84" s="52" t="str">
        <f>IF(B11="","",B11)</f>
        <v/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4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>
      <c r="A90" s="50"/>
      <c r="B90" s="60"/>
      <c r="C90" s="60"/>
      <c r="D90" s="60"/>
      <c r="E90" s="87"/>
      <c r="F90" s="87"/>
      <c r="G90" s="87"/>
      <c r="H90" s="87"/>
      <c r="I90" s="53" t="str">
        <f t="shared" si="4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>
      <c r="A91" s="50"/>
      <c r="B91" s="60"/>
      <c r="C91" s="60"/>
      <c r="D91" s="60"/>
      <c r="E91" s="87"/>
      <c r="F91" s="87"/>
      <c r="G91" s="87"/>
      <c r="H91" s="87"/>
      <c r="I91" s="53" t="str">
        <f t="shared" si="4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>
      <c r="A92" s="50"/>
      <c r="B92" s="60"/>
      <c r="C92" s="60"/>
      <c r="D92" s="60"/>
      <c r="E92" s="87"/>
      <c r="F92" s="87"/>
      <c r="G92" s="87"/>
      <c r="H92" s="87"/>
      <c r="I92" s="53" t="str">
        <f t="shared" si="4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>
      <c r="A93" s="50"/>
      <c r="B93" s="60"/>
      <c r="C93" s="60"/>
      <c r="D93" s="60"/>
      <c r="E93" s="87"/>
      <c r="F93" s="87"/>
      <c r="G93" s="87"/>
      <c r="H93" s="87"/>
      <c r="I93" s="53" t="str">
        <f t="shared" si="4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>
      <c r="A94" s="50"/>
      <c r="B94" s="60"/>
      <c r="C94" s="60"/>
      <c r="D94" s="60"/>
      <c r="E94" s="87"/>
      <c r="F94" s="87"/>
      <c r="G94" s="87"/>
      <c r="H94" s="87"/>
      <c r="I94" s="53" t="str">
        <f t="shared" si="4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>
      <c r="A95" s="60"/>
      <c r="B95" s="60"/>
      <c r="C95" s="60"/>
      <c r="D95" s="60"/>
      <c r="E95" s="87"/>
      <c r="F95" s="87"/>
      <c r="G95" s="87"/>
      <c r="H95" s="87"/>
      <c r="I95" s="53" t="str">
        <f t="shared" si="4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>
      <c r="A96" s="60"/>
      <c r="B96" s="60"/>
      <c r="C96" s="60"/>
      <c r="D96" s="60"/>
      <c r="E96" s="87"/>
      <c r="F96" s="87"/>
      <c r="G96" s="87"/>
      <c r="H96" s="87"/>
      <c r="I96" s="53" t="str">
        <f t="shared" si="4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>
      <c r="A97" s="60"/>
      <c r="B97" s="60"/>
      <c r="C97" s="60"/>
      <c r="D97" s="60"/>
      <c r="E97" s="87"/>
      <c r="F97" s="87"/>
      <c r="G97" s="87"/>
      <c r="H97" s="87"/>
      <c r="I97" s="53" t="str">
        <f t="shared" si="4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>
      <c r="A98" s="60"/>
      <c r="B98" s="60"/>
      <c r="C98" s="60"/>
      <c r="D98" s="60"/>
      <c r="E98" s="87"/>
      <c r="F98" s="87"/>
      <c r="G98" s="87"/>
      <c r="H98" s="87"/>
      <c r="I98" s="53" t="str">
        <f t="shared" si="4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>
      <c r="A99" s="60"/>
      <c r="B99" s="60"/>
      <c r="C99" s="60"/>
      <c r="D99" s="60"/>
      <c r="E99" s="87"/>
      <c r="F99" s="87"/>
      <c r="G99" s="87"/>
      <c r="H99" s="87"/>
      <c r="I99" s="53" t="str">
        <f t="shared" si="4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>
      <c r="A100" s="60"/>
      <c r="B100" s="60"/>
      <c r="C100" s="60"/>
      <c r="D100" s="60"/>
      <c r="E100" s="65"/>
      <c r="F100" s="65"/>
      <c r="G100" s="65"/>
      <c r="H100" s="65"/>
      <c r="I100" s="53" t="str">
        <f t="shared" si="4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>
      <c r="A101" s="60"/>
      <c r="B101" s="60"/>
      <c r="C101" s="60"/>
      <c r="D101" s="60"/>
      <c r="E101" s="65"/>
      <c r="F101" s="65"/>
      <c r="G101" s="65"/>
      <c r="H101" s="65"/>
      <c r="I101" s="53" t="str">
        <f t="shared" si="4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>
      <c r="A102" s="60"/>
      <c r="B102" s="50"/>
      <c r="C102" s="60"/>
      <c r="D102" s="50"/>
      <c r="E102" s="54"/>
      <c r="F102" s="54"/>
      <c r="G102" s="54"/>
      <c r="H102" s="54"/>
      <c r="I102" s="53" t="str">
        <f t="shared" si="4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>
      <c r="A103" s="60"/>
      <c r="B103" s="50"/>
      <c r="C103" s="60"/>
      <c r="D103" s="50"/>
      <c r="E103" s="54"/>
      <c r="F103" s="54"/>
      <c r="G103" s="54"/>
      <c r="H103" s="54"/>
      <c r="I103" s="53" t="str">
        <f t="shared" si="4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>
      <c r="A104" s="60"/>
      <c r="B104" s="50"/>
      <c r="C104" s="60"/>
      <c r="D104" s="50"/>
      <c r="E104" s="54"/>
      <c r="F104" s="54"/>
      <c r="G104" s="54"/>
      <c r="H104" s="54"/>
      <c r="I104" s="53" t="str">
        <f t="shared" si="4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>
      <c r="A105" s="50"/>
      <c r="B105" s="50"/>
      <c r="C105" s="50"/>
      <c r="D105" s="50"/>
      <c r="E105" s="54"/>
      <c r="F105" s="54"/>
      <c r="G105" s="54"/>
      <c r="H105" s="54"/>
      <c r="I105" s="53" t="str">
        <f t="shared" si="4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>
      <c r="A106" s="50"/>
      <c r="B106" s="50"/>
      <c r="C106" s="50"/>
      <c r="D106" s="50"/>
      <c r="E106" s="54"/>
      <c r="F106" s="54"/>
      <c r="G106" s="54"/>
      <c r="H106" s="54"/>
      <c r="I106" s="53" t="str">
        <f t="shared" si="4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>
      <c r="A107" s="50"/>
      <c r="B107" s="50"/>
      <c r="C107" s="50"/>
      <c r="D107" s="50"/>
      <c r="E107" s="54"/>
      <c r="F107" s="54"/>
      <c r="G107" s="54"/>
      <c r="H107" s="54"/>
      <c r="I107" s="53" t="str">
        <f t="shared" si="4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5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>
      <c r="A116" s="50"/>
      <c r="B116" s="60"/>
      <c r="C116" s="50"/>
      <c r="D116" s="60"/>
      <c r="E116" s="51"/>
      <c r="F116" s="51"/>
      <c r="G116" s="51"/>
      <c r="H116" s="51"/>
      <c r="I116" s="53" t="str">
        <f t="shared" si="5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>
      <c r="A117" s="50"/>
      <c r="B117" s="60"/>
      <c r="C117" s="50"/>
      <c r="D117" s="60"/>
      <c r="E117" s="51"/>
      <c r="F117" s="51"/>
      <c r="G117" s="51"/>
      <c r="H117" s="51"/>
      <c r="I117" s="53" t="str">
        <f t="shared" si="5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>
      <c r="A118" s="50"/>
      <c r="B118" s="60"/>
      <c r="C118" s="50"/>
      <c r="D118" s="60"/>
      <c r="E118" s="51"/>
      <c r="F118" s="51"/>
      <c r="G118" s="51"/>
      <c r="H118" s="51"/>
      <c r="I118" s="53" t="str">
        <f t="shared" si="5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>
      <c r="A119" s="50"/>
      <c r="B119" s="60"/>
      <c r="C119" s="50"/>
      <c r="D119" s="60"/>
      <c r="E119" s="51"/>
      <c r="F119" s="51"/>
      <c r="G119" s="51"/>
      <c r="H119" s="51"/>
      <c r="I119" s="53" t="str">
        <f t="shared" si="5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>
      <c r="A120" s="60"/>
      <c r="B120" s="60"/>
      <c r="C120" s="60"/>
      <c r="D120" s="60"/>
      <c r="E120" s="87"/>
      <c r="F120" s="87"/>
      <c r="G120" s="87"/>
      <c r="H120" s="87"/>
      <c r="I120" s="53" t="str">
        <f t="shared" si="5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>
      <c r="A121" s="60"/>
      <c r="B121" s="60"/>
      <c r="C121" s="60"/>
      <c r="D121" s="60"/>
      <c r="E121" s="87"/>
      <c r="F121" s="87"/>
      <c r="G121" s="87"/>
      <c r="H121" s="87"/>
      <c r="I121" s="53" t="str">
        <f t="shared" si="5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>
      <c r="A122" s="60"/>
      <c r="B122" s="60"/>
      <c r="C122" s="60"/>
      <c r="D122" s="60"/>
      <c r="E122" s="87"/>
      <c r="F122" s="87"/>
      <c r="G122" s="87"/>
      <c r="H122" s="87"/>
      <c r="I122" s="53" t="str">
        <f t="shared" si="5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>
      <c r="A123" s="60"/>
      <c r="B123" s="60"/>
      <c r="C123" s="60"/>
      <c r="D123" s="60"/>
      <c r="E123" s="87"/>
      <c r="F123" s="87"/>
      <c r="G123" s="87"/>
      <c r="H123" s="87"/>
      <c r="I123" s="53" t="str">
        <f t="shared" si="5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>
      <c r="A124" s="60"/>
      <c r="B124" s="60"/>
      <c r="C124" s="60"/>
      <c r="D124" s="60"/>
      <c r="E124" s="87"/>
      <c r="F124" s="87"/>
      <c r="G124" s="87"/>
      <c r="H124" s="87"/>
      <c r="I124" s="53" t="str">
        <f t="shared" si="5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>
      <c r="A125" s="60"/>
      <c r="B125" s="60"/>
      <c r="C125" s="60"/>
      <c r="D125" s="60"/>
      <c r="E125" s="87"/>
      <c r="F125" s="87"/>
      <c r="G125" s="87"/>
      <c r="H125" s="87"/>
      <c r="I125" s="53" t="str">
        <f t="shared" si="5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>
      <c r="A126" s="60"/>
      <c r="B126" s="60"/>
      <c r="C126" s="60"/>
      <c r="D126" s="60"/>
      <c r="E126" s="65"/>
      <c r="F126" s="65"/>
      <c r="G126" s="65"/>
      <c r="H126" s="65"/>
      <c r="I126" s="53" t="str">
        <f t="shared" si="5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>
      <c r="A127" s="60"/>
      <c r="B127" s="60"/>
      <c r="C127" s="60"/>
      <c r="D127" s="60"/>
      <c r="E127" s="65"/>
      <c r="F127" s="65"/>
      <c r="G127" s="65"/>
      <c r="H127" s="65"/>
      <c r="I127" s="53" t="str">
        <f t="shared" si="5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>
      <c r="A128" s="50"/>
      <c r="B128" s="50"/>
      <c r="C128" s="50"/>
      <c r="D128" s="50"/>
      <c r="E128" s="54"/>
      <c r="F128" s="54"/>
      <c r="G128" s="54"/>
      <c r="H128" s="54"/>
      <c r="I128" s="53" t="str">
        <f t="shared" si="5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>
      <c r="A129" s="50"/>
      <c r="B129" s="50"/>
      <c r="C129" s="50"/>
      <c r="D129" s="50"/>
      <c r="E129" s="54"/>
      <c r="F129" s="54"/>
      <c r="G129" s="54"/>
      <c r="H129" s="54"/>
      <c r="I129" s="53" t="str">
        <f t="shared" si="5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>
      <c r="A130" s="50"/>
      <c r="B130" s="50"/>
      <c r="C130" s="50"/>
      <c r="D130" s="50"/>
      <c r="E130" s="54"/>
      <c r="F130" s="54"/>
      <c r="G130" s="54"/>
      <c r="H130" s="54"/>
      <c r="I130" s="53" t="str">
        <f t="shared" si="5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>
      <c r="A131" s="50"/>
      <c r="B131" s="50"/>
      <c r="C131" s="50"/>
      <c r="D131" s="50"/>
      <c r="E131" s="54"/>
      <c r="F131" s="54"/>
      <c r="G131" s="54"/>
      <c r="H131" s="54"/>
      <c r="I131" s="53" t="str">
        <f t="shared" si="5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>
      <c r="A132" s="50"/>
      <c r="B132" s="50"/>
      <c r="C132" s="50"/>
      <c r="D132" s="50"/>
      <c r="E132" s="54"/>
      <c r="F132" s="54"/>
      <c r="G132" s="54"/>
      <c r="H132" s="54"/>
      <c r="I132" s="53" t="str">
        <f t="shared" si="5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>
      <c r="A133" s="50"/>
      <c r="B133" s="50"/>
      <c r="C133" s="50"/>
      <c r="D133" s="50"/>
      <c r="E133" s="54"/>
      <c r="F133" s="54"/>
      <c r="G133" s="54"/>
      <c r="H133" s="54"/>
      <c r="I133" s="53" t="str">
        <f t="shared" si="5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6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>
      <c r="A142" s="50"/>
      <c r="B142" s="60"/>
      <c r="C142" s="50"/>
      <c r="D142" s="60"/>
      <c r="E142" s="51"/>
      <c r="F142" s="51"/>
      <c r="G142" s="51"/>
      <c r="H142" s="51"/>
      <c r="I142" s="57" t="str">
        <f t="shared" si="6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>
      <c r="A143" s="50"/>
      <c r="B143" s="60"/>
      <c r="C143" s="50"/>
      <c r="D143" s="60"/>
      <c r="E143" s="51"/>
      <c r="F143" s="51"/>
      <c r="G143" s="51"/>
      <c r="H143" s="51"/>
      <c r="I143" s="57" t="str">
        <f t="shared" si="6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>
      <c r="A144" s="50"/>
      <c r="B144" s="60"/>
      <c r="C144" s="50"/>
      <c r="D144" s="60"/>
      <c r="E144" s="51"/>
      <c r="F144" s="51"/>
      <c r="G144" s="51"/>
      <c r="H144" s="51"/>
      <c r="I144" s="57" t="str">
        <f t="shared" si="6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>
      <c r="A145" s="50"/>
      <c r="B145" s="60"/>
      <c r="C145" s="50"/>
      <c r="D145" s="60"/>
      <c r="E145" s="51"/>
      <c r="F145" s="51"/>
      <c r="G145" s="51"/>
      <c r="H145" s="51"/>
      <c r="I145" s="57" t="str">
        <f t="shared" si="6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>
      <c r="A146" s="50"/>
      <c r="B146" s="60"/>
      <c r="C146" s="50"/>
      <c r="D146" s="60"/>
      <c r="E146" s="51"/>
      <c r="F146" s="51"/>
      <c r="G146" s="51"/>
      <c r="H146" s="51"/>
      <c r="I146" s="57" t="str">
        <f t="shared" si="6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>
      <c r="A148" s="50"/>
      <c r="B148" s="60"/>
      <c r="C148" s="50"/>
      <c r="D148" s="60"/>
      <c r="E148" s="51"/>
      <c r="F148" s="51"/>
      <c r="G148" s="51"/>
      <c r="H148" s="51"/>
      <c r="I148" s="57" t="str">
        <f t="shared" si="6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>
      <c r="A149" s="50"/>
      <c r="B149" s="60"/>
      <c r="C149" s="50"/>
      <c r="D149" s="60"/>
      <c r="E149" s="51"/>
      <c r="F149" s="51"/>
      <c r="G149" s="51"/>
      <c r="H149" s="51"/>
      <c r="I149" s="57" t="str">
        <f t="shared" si="6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>
      <c r="A150" s="50"/>
      <c r="B150" s="60"/>
      <c r="C150" s="50"/>
      <c r="D150" s="60"/>
      <c r="E150" s="51"/>
      <c r="F150" s="51"/>
      <c r="G150" s="51"/>
      <c r="H150" s="51"/>
      <c r="I150" s="57" t="str">
        <f t="shared" si="6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>
      <c r="A151" s="50"/>
      <c r="B151" s="60"/>
      <c r="C151" s="50"/>
      <c r="D151" s="60"/>
      <c r="E151" s="51"/>
      <c r="F151" s="51"/>
      <c r="G151" s="51"/>
      <c r="H151" s="51"/>
      <c r="I151" s="57" t="str">
        <f t="shared" si="6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>
      <c r="A152" s="50"/>
      <c r="B152" s="60"/>
      <c r="C152" s="50"/>
      <c r="D152" s="60"/>
      <c r="E152" s="54"/>
      <c r="F152" s="54"/>
      <c r="G152" s="54"/>
      <c r="H152" s="54"/>
      <c r="I152" s="57" t="str">
        <f t="shared" si="6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>
      <c r="A153" s="50"/>
      <c r="B153" s="60"/>
      <c r="C153" s="50"/>
      <c r="D153" s="60"/>
      <c r="E153" s="54"/>
      <c r="F153" s="54"/>
      <c r="G153" s="54"/>
      <c r="H153" s="54"/>
      <c r="I153" s="57" t="str">
        <f t="shared" si="6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>
      <c r="A154" s="55"/>
      <c r="B154" s="56"/>
      <c r="C154" s="50"/>
      <c r="D154" s="50"/>
      <c r="E154" s="54"/>
      <c r="F154" s="54"/>
      <c r="G154" s="54"/>
      <c r="H154" s="54"/>
      <c r="I154" s="57" t="str">
        <f t="shared" si="6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>
      <c r="A155" s="55"/>
      <c r="B155" s="56"/>
      <c r="C155" s="50"/>
      <c r="D155" s="50"/>
      <c r="E155" s="54"/>
      <c r="F155" s="54"/>
      <c r="G155" s="54"/>
      <c r="H155" s="54"/>
      <c r="I155" s="57" t="str">
        <f t="shared" si="6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>
      <c r="A156" s="55"/>
      <c r="B156" s="56"/>
      <c r="C156" s="50"/>
      <c r="D156" s="50"/>
      <c r="E156" s="54"/>
      <c r="F156" s="54"/>
      <c r="G156" s="54"/>
      <c r="H156" s="54"/>
      <c r="I156" s="57" t="str">
        <f t="shared" si="6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>
      <c r="A157" s="55"/>
      <c r="B157" s="56"/>
      <c r="C157" s="50"/>
      <c r="D157" s="50"/>
      <c r="E157" s="54"/>
      <c r="F157" s="54"/>
      <c r="G157" s="54"/>
      <c r="H157" s="54"/>
      <c r="I157" s="57" t="str">
        <f t="shared" si="6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>
      <c r="A158" s="55"/>
      <c r="B158" s="56"/>
      <c r="C158" s="50"/>
      <c r="D158" s="50"/>
      <c r="E158" s="54"/>
      <c r="F158" s="54"/>
      <c r="G158" s="54"/>
      <c r="H158" s="54"/>
      <c r="I158" s="57" t="str">
        <f t="shared" si="6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>
      <c r="A159" s="55"/>
      <c r="B159" s="56"/>
      <c r="C159" s="50"/>
      <c r="D159" s="58"/>
      <c r="E159" s="54"/>
      <c r="F159" s="54"/>
      <c r="G159" s="54"/>
      <c r="H159" s="54"/>
      <c r="I159" s="57" t="str">
        <f t="shared" si="6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7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>
      <c r="A168" s="50"/>
      <c r="B168" s="60"/>
      <c r="C168" s="60"/>
      <c r="D168" s="60"/>
      <c r="E168" s="51"/>
      <c r="F168" s="51"/>
      <c r="G168" s="51"/>
      <c r="H168" s="51"/>
      <c r="I168" s="49" t="str">
        <f t="shared" si="7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>
      <c r="A169" s="50"/>
      <c r="B169" s="60"/>
      <c r="C169" s="60"/>
      <c r="D169" s="60"/>
      <c r="E169" s="51"/>
      <c r="F169" s="51"/>
      <c r="G169" s="51"/>
      <c r="H169" s="51"/>
      <c r="I169" s="49" t="str">
        <f t="shared" si="7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>
      <c r="A170" s="50"/>
      <c r="B170" s="60"/>
      <c r="C170" s="60"/>
      <c r="D170" s="60"/>
      <c r="E170" s="51"/>
      <c r="F170" s="51"/>
      <c r="G170" s="51"/>
      <c r="H170" s="51"/>
      <c r="I170" s="49" t="str">
        <f t="shared" si="7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>
      <c r="A171" s="50"/>
      <c r="B171" s="60"/>
      <c r="C171" s="60"/>
      <c r="D171" s="60"/>
      <c r="E171" s="51"/>
      <c r="F171" s="51"/>
      <c r="G171" s="51"/>
      <c r="H171" s="51"/>
      <c r="I171" s="49" t="str">
        <f t="shared" si="7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>
      <c r="A172" s="50"/>
      <c r="B172" s="60"/>
      <c r="C172" s="60"/>
      <c r="D172" s="60"/>
      <c r="E172" s="51"/>
      <c r="F172" s="51"/>
      <c r="G172" s="51"/>
      <c r="H172" s="51"/>
      <c r="I172" s="49" t="str">
        <f t="shared" si="7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>
      <c r="A173" s="50"/>
      <c r="B173" s="50"/>
      <c r="C173" s="50"/>
      <c r="D173" s="50"/>
      <c r="E173" s="51"/>
      <c r="F173" s="51"/>
      <c r="G173" s="51"/>
      <c r="H173" s="51"/>
      <c r="I173" s="49" t="str">
        <f t="shared" si="7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>
      <c r="A174" s="50"/>
      <c r="B174" s="50"/>
      <c r="C174" s="50"/>
      <c r="D174" s="50"/>
      <c r="E174" s="51"/>
      <c r="F174" s="51"/>
      <c r="G174" s="51"/>
      <c r="H174" s="51"/>
      <c r="I174" s="49" t="str">
        <f t="shared" si="7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>
      <c r="A175" s="50"/>
      <c r="B175" s="50"/>
      <c r="C175" s="50"/>
      <c r="D175" s="50"/>
      <c r="E175" s="51"/>
      <c r="F175" s="51"/>
      <c r="G175" s="51"/>
      <c r="H175" s="51"/>
      <c r="I175" s="49" t="str">
        <f t="shared" si="7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>
      <c r="A176" s="50"/>
      <c r="B176" s="50"/>
      <c r="C176" s="50"/>
      <c r="D176" s="50"/>
      <c r="E176" s="51"/>
      <c r="F176" s="51"/>
      <c r="G176" s="51"/>
      <c r="H176" s="51"/>
      <c r="I176" s="49" t="str">
        <f t="shared" si="7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>
      <c r="A177" s="50"/>
      <c r="B177" s="50"/>
      <c r="C177" s="50"/>
      <c r="D177" s="50"/>
      <c r="E177" s="51"/>
      <c r="F177" s="51"/>
      <c r="G177" s="51"/>
      <c r="H177" s="51"/>
      <c r="I177" s="49" t="str">
        <f t="shared" si="7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>
      <c r="A178" s="50"/>
      <c r="B178" s="50"/>
      <c r="C178" s="50"/>
      <c r="D178" s="50"/>
      <c r="E178" s="51"/>
      <c r="F178" s="51"/>
      <c r="G178" s="51"/>
      <c r="H178" s="51"/>
      <c r="I178" s="49" t="str">
        <f t="shared" si="7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>
      <c r="A179" s="50"/>
      <c r="B179" s="50"/>
      <c r="C179" s="50"/>
      <c r="D179" s="50"/>
      <c r="E179" s="51"/>
      <c r="F179" s="51"/>
      <c r="G179" s="51"/>
      <c r="H179" s="51"/>
      <c r="I179" s="49" t="str">
        <f t="shared" si="7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>
      <c r="A180" s="50"/>
      <c r="B180" s="50"/>
      <c r="C180" s="50"/>
      <c r="D180" s="50"/>
      <c r="E180" s="51"/>
      <c r="F180" s="51"/>
      <c r="G180" s="51"/>
      <c r="H180" s="51"/>
      <c r="I180" s="49" t="str">
        <f t="shared" si="7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>
      <c r="A181" s="50"/>
      <c r="B181" s="50"/>
      <c r="C181" s="50"/>
      <c r="D181" s="50"/>
      <c r="E181" s="51"/>
      <c r="F181" s="51"/>
      <c r="G181" s="51"/>
      <c r="H181" s="51"/>
      <c r="I181" s="49" t="str">
        <f t="shared" si="7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>
      <c r="A182" s="50"/>
      <c r="B182" s="50"/>
      <c r="C182" s="50"/>
      <c r="D182" s="50"/>
      <c r="E182" s="51"/>
      <c r="F182" s="51"/>
      <c r="G182" s="51"/>
      <c r="H182" s="51"/>
      <c r="I182" s="49" t="str">
        <f t="shared" si="7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>
      <c r="A183" s="50"/>
      <c r="B183" s="50"/>
      <c r="C183" s="50"/>
      <c r="D183" s="50"/>
      <c r="E183" s="51"/>
      <c r="F183" s="51"/>
      <c r="G183" s="51"/>
      <c r="H183" s="51"/>
      <c r="I183" s="49" t="str">
        <f t="shared" si="7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>
      <c r="A184" s="50"/>
      <c r="B184" s="50"/>
      <c r="C184" s="50"/>
      <c r="D184" s="50"/>
      <c r="E184" s="51"/>
      <c r="F184" s="51"/>
      <c r="G184" s="51"/>
      <c r="H184" s="51"/>
      <c r="I184" s="49" t="str">
        <f t="shared" si="7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>
      <c r="A185" s="50"/>
      <c r="B185" s="50"/>
      <c r="C185" s="50"/>
      <c r="D185" s="50"/>
      <c r="E185" s="51"/>
      <c r="F185" s="51"/>
      <c r="G185" s="51"/>
      <c r="H185" s="51"/>
      <c r="I185" s="49" t="str">
        <f t="shared" si="7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8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>
      <c r="A194" s="50"/>
      <c r="B194" s="60"/>
      <c r="C194" s="60"/>
      <c r="D194" s="60"/>
      <c r="E194" s="51"/>
      <c r="F194" s="51"/>
      <c r="G194" s="51"/>
      <c r="H194" s="51"/>
      <c r="I194" s="49" t="str">
        <f t="shared" si="8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>
      <c r="A195" s="50"/>
      <c r="B195" s="60"/>
      <c r="C195" s="60"/>
      <c r="D195" s="60"/>
      <c r="E195" s="51"/>
      <c r="F195" s="51"/>
      <c r="G195" s="51"/>
      <c r="H195" s="51"/>
      <c r="I195" s="49" t="str">
        <f t="shared" si="8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>
      <c r="A196" s="50"/>
      <c r="B196" s="60"/>
      <c r="C196" s="60"/>
      <c r="D196" s="60"/>
      <c r="E196" s="51"/>
      <c r="F196" s="51"/>
      <c r="G196" s="51"/>
      <c r="H196" s="51"/>
      <c r="I196" s="49" t="str">
        <f t="shared" si="8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>
      <c r="A197" s="50"/>
      <c r="B197" s="60"/>
      <c r="C197" s="60"/>
      <c r="D197" s="60"/>
      <c r="E197" s="51"/>
      <c r="F197" s="51"/>
      <c r="G197" s="51"/>
      <c r="H197" s="51"/>
      <c r="I197" s="49" t="str">
        <f t="shared" si="8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>
      <c r="A198" s="50"/>
      <c r="B198" s="60"/>
      <c r="C198" s="60"/>
      <c r="D198" s="60"/>
      <c r="E198" s="51"/>
      <c r="F198" s="51"/>
      <c r="G198" s="51"/>
      <c r="H198" s="51"/>
      <c r="I198" s="49" t="str">
        <f t="shared" si="8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>
      <c r="A199" s="50"/>
      <c r="B199" s="50"/>
      <c r="C199" s="50"/>
      <c r="D199" s="50"/>
      <c r="E199" s="51"/>
      <c r="F199" s="51"/>
      <c r="G199" s="51"/>
      <c r="H199" s="51"/>
      <c r="I199" s="49" t="str">
        <f t="shared" si="8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>
      <c r="A200" s="50"/>
      <c r="B200" s="50"/>
      <c r="C200" s="50"/>
      <c r="D200" s="50"/>
      <c r="E200" s="51"/>
      <c r="F200" s="51"/>
      <c r="G200" s="51"/>
      <c r="H200" s="51"/>
      <c r="I200" s="49" t="str">
        <f t="shared" si="8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>
      <c r="A201" s="50"/>
      <c r="B201" s="50"/>
      <c r="C201" s="50"/>
      <c r="D201" s="50"/>
      <c r="E201" s="51"/>
      <c r="F201" s="51"/>
      <c r="G201" s="51"/>
      <c r="H201" s="51"/>
      <c r="I201" s="49" t="str">
        <f t="shared" si="8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>
      <c r="A202" s="50"/>
      <c r="B202" s="50"/>
      <c r="C202" s="50"/>
      <c r="D202" s="50"/>
      <c r="E202" s="51"/>
      <c r="F202" s="51"/>
      <c r="G202" s="51"/>
      <c r="H202" s="51"/>
      <c r="I202" s="49" t="str">
        <f t="shared" si="8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>
      <c r="A203" s="50"/>
      <c r="B203" s="50"/>
      <c r="C203" s="50"/>
      <c r="D203" s="50"/>
      <c r="E203" s="51"/>
      <c r="F203" s="51"/>
      <c r="G203" s="51"/>
      <c r="H203" s="51"/>
      <c r="I203" s="49" t="str">
        <f t="shared" si="8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>
      <c r="A204" s="50"/>
      <c r="B204" s="50"/>
      <c r="C204" s="50"/>
      <c r="D204" s="50"/>
      <c r="E204" s="51"/>
      <c r="F204" s="51"/>
      <c r="G204" s="51"/>
      <c r="H204" s="51"/>
      <c r="I204" s="49" t="str">
        <f t="shared" si="8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>
      <c r="A205" s="50"/>
      <c r="B205" s="50"/>
      <c r="C205" s="50"/>
      <c r="D205" s="50"/>
      <c r="E205" s="51"/>
      <c r="F205" s="51"/>
      <c r="G205" s="51"/>
      <c r="H205" s="51"/>
      <c r="I205" s="49" t="str">
        <f t="shared" si="8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>
      <c r="A206" s="50"/>
      <c r="B206" s="50"/>
      <c r="C206" s="50"/>
      <c r="D206" s="50"/>
      <c r="E206" s="51"/>
      <c r="F206" s="51"/>
      <c r="G206" s="51"/>
      <c r="H206" s="51"/>
      <c r="I206" s="49" t="str">
        <f t="shared" si="8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>
      <c r="A207" s="50"/>
      <c r="B207" s="50"/>
      <c r="C207" s="50"/>
      <c r="D207" s="50"/>
      <c r="E207" s="51"/>
      <c r="F207" s="51"/>
      <c r="G207" s="51"/>
      <c r="H207" s="51"/>
      <c r="I207" s="49" t="str">
        <f t="shared" si="8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>
      <c r="A208" s="50"/>
      <c r="B208" s="50"/>
      <c r="C208" s="50"/>
      <c r="D208" s="50"/>
      <c r="E208" s="51"/>
      <c r="F208" s="51"/>
      <c r="G208" s="51"/>
      <c r="H208" s="51"/>
      <c r="I208" s="49" t="str">
        <f t="shared" si="8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>
      <c r="A209" s="50"/>
      <c r="B209" s="50"/>
      <c r="C209" s="50"/>
      <c r="D209" s="50"/>
      <c r="E209" s="51"/>
      <c r="F209" s="51"/>
      <c r="G209" s="51"/>
      <c r="H209" s="51"/>
      <c r="I209" s="49" t="str">
        <f t="shared" si="8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>
      <c r="A210" s="50"/>
      <c r="B210" s="50"/>
      <c r="C210" s="50"/>
      <c r="D210" s="50"/>
      <c r="E210" s="51"/>
      <c r="F210" s="51"/>
      <c r="G210" s="51"/>
      <c r="H210" s="51"/>
      <c r="I210" s="49" t="str">
        <f t="shared" si="8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>
      <c r="A211" s="50"/>
      <c r="B211" s="50"/>
      <c r="C211" s="50"/>
      <c r="D211" s="50"/>
      <c r="E211" s="51"/>
      <c r="F211" s="51"/>
      <c r="G211" s="51"/>
      <c r="H211" s="51"/>
      <c r="I211" s="49" t="str">
        <f t="shared" si="8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9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>
      <c r="A220" s="50"/>
      <c r="B220" s="60"/>
      <c r="C220" s="50"/>
      <c r="D220" s="60"/>
      <c r="E220" s="63"/>
      <c r="F220" s="63"/>
      <c r="G220" s="63"/>
      <c r="H220" s="63"/>
      <c r="I220" s="53" t="str">
        <f t="shared" si="9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>
      <c r="A221" s="55"/>
      <c r="B221" s="55"/>
      <c r="C221" s="55"/>
      <c r="D221" s="55"/>
      <c r="E221" s="63"/>
      <c r="F221" s="63"/>
      <c r="G221" s="63"/>
      <c r="H221" s="63"/>
      <c r="I221" s="53" t="str">
        <f t="shared" si="9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>
      <c r="A222" s="55"/>
      <c r="B222" s="55"/>
      <c r="C222" s="55"/>
      <c r="D222" s="55"/>
      <c r="E222" s="63"/>
      <c r="F222" s="63"/>
      <c r="G222" s="63"/>
      <c r="H222" s="63"/>
      <c r="I222" s="53" t="str">
        <f t="shared" si="9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>
      <c r="A223" s="55"/>
      <c r="B223" s="55"/>
      <c r="C223" s="55"/>
      <c r="D223" s="55"/>
      <c r="E223" s="63"/>
      <c r="F223" s="63"/>
      <c r="G223" s="63"/>
      <c r="H223" s="63"/>
      <c r="I223" s="53" t="str">
        <f t="shared" si="9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>
      <c r="A224" s="55"/>
      <c r="B224" s="55"/>
      <c r="C224" s="55"/>
      <c r="D224" s="55"/>
      <c r="E224" s="63"/>
      <c r="F224" s="63"/>
      <c r="G224" s="63"/>
      <c r="H224" s="63"/>
      <c r="I224" s="53" t="str">
        <f t="shared" si="9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>
      <c r="A225" s="55"/>
      <c r="B225" s="55"/>
      <c r="C225" s="55"/>
      <c r="D225" s="55"/>
      <c r="E225" s="63"/>
      <c r="F225" s="63"/>
      <c r="G225" s="63"/>
      <c r="H225" s="63"/>
      <c r="I225" s="53" t="str">
        <f t="shared" si="9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>
      <c r="A226" s="55"/>
      <c r="B226" s="55"/>
      <c r="C226" s="55"/>
      <c r="D226" s="55"/>
      <c r="E226" s="63"/>
      <c r="F226" s="63"/>
      <c r="G226" s="63"/>
      <c r="H226" s="63"/>
      <c r="I226" s="53" t="str">
        <f t="shared" si="9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>
      <c r="A227" s="55"/>
      <c r="B227" s="55"/>
      <c r="C227" s="55"/>
      <c r="D227" s="55"/>
      <c r="E227" s="63"/>
      <c r="F227" s="63"/>
      <c r="G227" s="63"/>
      <c r="H227" s="63"/>
      <c r="I227" s="53" t="str">
        <f t="shared" si="9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>
      <c r="A228" s="55"/>
      <c r="B228" s="55"/>
      <c r="C228" s="55"/>
      <c r="D228" s="55"/>
      <c r="E228" s="63"/>
      <c r="F228" s="63"/>
      <c r="G228" s="63"/>
      <c r="H228" s="63"/>
      <c r="I228" s="53" t="str">
        <f t="shared" si="9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>
      <c r="A229" s="55"/>
      <c r="B229" s="55"/>
      <c r="C229" s="55"/>
      <c r="D229" s="55"/>
      <c r="E229" s="63"/>
      <c r="F229" s="63"/>
      <c r="G229" s="63"/>
      <c r="H229" s="63"/>
      <c r="I229" s="53" t="str">
        <f t="shared" si="9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>
      <c r="A230" s="55"/>
      <c r="B230" s="55"/>
      <c r="C230" s="55"/>
      <c r="D230" s="55"/>
      <c r="E230" s="64"/>
      <c r="F230" s="64"/>
      <c r="G230" s="64"/>
      <c r="H230" s="64"/>
      <c r="I230" s="53" t="str">
        <f t="shared" si="9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>
      <c r="A231" s="88"/>
      <c r="B231" s="60"/>
      <c r="C231" s="88"/>
      <c r="D231" s="60"/>
      <c r="E231" s="54"/>
      <c r="F231" s="54"/>
      <c r="G231" s="54"/>
      <c r="H231" s="54"/>
      <c r="I231" s="53" t="str">
        <f t="shared" si="9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>
      <c r="A232" s="50"/>
      <c r="B232" s="50"/>
      <c r="C232" s="50"/>
      <c r="D232" s="50"/>
      <c r="E232" s="54"/>
      <c r="F232" s="54"/>
      <c r="G232" s="54"/>
      <c r="H232" s="54"/>
      <c r="I232" s="53" t="str">
        <f t="shared" si="9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>
      <c r="A233" s="50"/>
      <c r="B233" s="50"/>
      <c r="C233" s="50"/>
      <c r="D233" s="50"/>
      <c r="E233" s="54"/>
      <c r="F233" s="54"/>
      <c r="G233" s="54"/>
      <c r="H233" s="54"/>
      <c r="I233" s="53" t="str">
        <f t="shared" si="9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>
      <c r="A234" s="50"/>
      <c r="B234" s="50"/>
      <c r="C234" s="50"/>
      <c r="D234" s="50"/>
      <c r="E234" s="54"/>
      <c r="F234" s="54"/>
      <c r="G234" s="54"/>
      <c r="H234" s="54"/>
      <c r="I234" s="53" t="str">
        <f t="shared" si="9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>
      <c r="A235" s="50"/>
      <c r="B235" s="50"/>
      <c r="C235" s="50"/>
      <c r="D235" s="50"/>
      <c r="E235" s="54"/>
      <c r="F235" s="54"/>
      <c r="G235" s="54"/>
      <c r="H235" s="54"/>
      <c r="I235" s="53" t="str">
        <f t="shared" si="9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>
      <c r="A236" s="50"/>
      <c r="B236" s="50"/>
      <c r="C236" s="50"/>
      <c r="D236" s="50"/>
      <c r="E236" s="54"/>
      <c r="F236" s="54"/>
      <c r="G236" s="54"/>
      <c r="H236" s="54"/>
      <c r="I236" s="53" t="str">
        <f t="shared" si="9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>
      <c r="A237" s="50"/>
      <c r="B237" s="50"/>
      <c r="C237" s="50"/>
      <c r="D237" s="50"/>
      <c r="E237" s="54"/>
      <c r="F237" s="54"/>
      <c r="G237" s="54"/>
      <c r="H237" s="54"/>
      <c r="I237" s="53" t="str">
        <f t="shared" si="9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10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>
      <c r="A248" s="50"/>
      <c r="B248" s="60"/>
      <c r="C248" s="60"/>
      <c r="D248" s="60"/>
      <c r="E248" s="63"/>
      <c r="F248" s="63"/>
      <c r="G248" s="63"/>
      <c r="H248" s="63"/>
      <c r="I248" s="53" t="str">
        <f t="shared" si="10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>
      <c r="A249" s="50"/>
      <c r="B249" s="60"/>
      <c r="C249" s="60"/>
      <c r="D249" s="60"/>
      <c r="E249" s="63"/>
      <c r="F249" s="63"/>
      <c r="G249" s="63"/>
      <c r="H249" s="63"/>
      <c r="I249" s="53" t="str">
        <f t="shared" si="10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>
      <c r="A250" s="50"/>
      <c r="B250" s="60"/>
      <c r="C250" s="60"/>
      <c r="D250" s="60"/>
      <c r="E250" s="63"/>
      <c r="F250" s="63"/>
      <c r="G250" s="63"/>
      <c r="H250" s="63"/>
      <c r="I250" s="53" t="str">
        <f t="shared" si="10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>
      <c r="A251" s="55"/>
      <c r="B251" s="55"/>
      <c r="C251" s="55"/>
      <c r="D251" s="55"/>
      <c r="E251" s="63"/>
      <c r="F251" s="63"/>
      <c r="G251" s="63"/>
      <c r="H251" s="63"/>
      <c r="I251" s="53" t="str">
        <f t="shared" si="10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>
      <c r="A252" s="55"/>
      <c r="B252" s="55"/>
      <c r="C252" s="55"/>
      <c r="D252" s="55"/>
      <c r="E252" s="63"/>
      <c r="F252" s="63"/>
      <c r="G252" s="63"/>
      <c r="H252" s="63"/>
      <c r="I252" s="53" t="str">
        <f t="shared" si="10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>
      <c r="A253" s="55"/>
      <c r="B253" s="55"/>
      <c r="C253" s="55"/>
      <c r="D253" s="55"/>
      <c r="E253" s="63"/>
      <c r="F253" s="63"/>
      <c r="G253" s="63"/>
      <c r="H253" s="63"/>
      <c r="I253" s="53" t="str">
        <f t="shared" si="10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>
      <c r="A254" s="55"/>
      <c r="B254" s="55"/>
      <c r="C254" s="55"/>
      <c r="D254" s="55"/>
      <c r="E254" s="63"/>
      <c r="F254" s="63"/>
      <c r="G254" s="63"/>
      <c r="H254" s="63"/>
      <c r="I254" s="53" t="str">
        <f t="shared" si="10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>
      <c r="A255" s="55"/>
      <c r="B255" s="55"/>
      <c r="C255" s="55"/>
      <c r="D255" s="55"/>
      <c r="E255" s="63"/>
      <c r="F255" s="63"/>
      <c r="G255" s="63"/>
      <c r="H255" s="63"/>
      <c r="I255" s="53" t="str">
        <f t="shared" si="10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>
      <c r="A256" s="55"/>
      <c r="B256" s="55"/>
      <c r="C256" s="55"/>
      <c r="D256" s="55"/>
      <c r="E256" s="64"/>
      <c r="F256" s="64"/>
      <c r="G256" s="64"/>
      <c r="H256" s="64"/>
      <c r="I256" s="53" t="str">
        <f t="shared" si="10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>
      <c r="A257" s="88"/>
      <c r="B257" s="60"/>
      <c r="C257" s="88"/>
      <c r="D257" s="60"/>
      <c r="E257" s="54"/>
      <c r="F257" s="54"/>
      <c r="G257" s="54"/>
      <c r="H257" s="54"/>
      <c r="I257" s="53" t="str">
        <f t="shared" si="10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>
      <c r="A258" s="50"/>
      <c r="B258" s="50"/>
      <c r="C258" s="50"/>
      <c r="D258" s="50"/>
      <c r="E258" s="54"/>
      <c r="F258" s="54"/>
      <c r="G258" s="54"/>
      <c r="H258" s="54"/>
      <c r="I258" s="53" t="str">
        <f t="shared" si="10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>
      <c r="A259" s="50"/>
      <c r="B259" s="50"/>
      <c r="C259" s="50"/>
      <c r="D259" s="50"/>
      <c r="E259" s="54"/>
      <c r="F259" s="54"/>
      <c r="G259" s="54"/>
      <c r="H259" s="54"/>
      <c r="I259" s="53" t="str">
        <f t="shared" si="10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>
      <c r="A260" s="50"/>
      <c r="B260" s="50"/>
      <c r="C260" s="50"/>
      <c r="D260" s="50"/>
      <c r="E260" s="54"/>
      <c r="F260" s="54"/>
      <c r="G260" s="54"/>
      <c r="H260" s="54"/>
      <c r="I260" s="53" t="str">
        <f t="shared" si="10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>
      <c r="A261" s="50"/>
      <c r="B261" s="50"/>
      <c r="C261" s="50"/>
      <c r="D261" s="50"/>
      <c r="E261" s="54"/>
      <c r="F261" s="54"/>
      <c r="G261" s="54"/>
      <c r="H261" s="54"/>
      <c r="I261" s="53" t="str">
        <f t="shared" si="10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>
      <c r="A262" s="50"/>
      <c r="B262" s="50"/>
      <c r="C262" s="50"/>
      <c r="D262" s="50"/>
      <c r="E262" s="54"/>
      <c r="F262" s="54"/>
      <c r="G262" s="54"/>
      <c r="H262" s="54"/>
      <c r="I262" s="53" t="str">
        <f t="shared" si="10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>
      <c r="A263" s="50"/>
      <c r="B263" s="50"/>
      <c r="C263" s="50"/>
      <c r="D263" s="50"/>
      <c r="E263" s="54"/>
      <c r="F263" s="54"/>
      <c r="G263" s="54"/>
      <c r="H263" s="54"/>
      <c r="I263" s="53" t="str">
        <f t="shared" si="10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1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1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1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1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1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1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1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1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1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1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1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1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1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1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1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1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1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1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5" sqref="G15"/>
    </sheetView>
  </sheetViews>
  <sheetFormatPr baseColWidth="10" defaultColWidth="11.44140625" defaultRowHeight="14.4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>
      <c r="A9" s="105">
        <v>2</v>
      </c>
      <c r="B9" s="61">
        <v>1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>
      <c r="C104" s="4"/>
      <c r="F104" s="4"/>
    </row>
    <row r="105" spans="3:35">
      <c r="C105" s="4"/>
      <c r="F105" s="4"/>
    </row>
    <row r="106" spans="3:35">
      <c r="C106" s="4"/>
      <c r="F106" s="4"/>
    </row>
    <row r="107" spans="3:35">
      <c r="C107" s="4"/>
      <c r="F107" s="4"/>
    </row>
    <row r="108" spans="3:35">
      <c r="C108" s="4"/>
      <c r="F108" s="4"/>
    </row>
    <row r="109" spans="3:35">
      <c r="C109" s="4"/>
      <c r="F109" s="4"/>
    </row>
    <row r="110" spans="3:35">
      <c r="C110" s="4"/>
      <c r="F110" s="4"/>
    </row>
    <row r="111" spans="3:35">
      <c r="C111" s="4"/>
      <c r="F111" s="4"/>
    </row>
    <row r="112" spans="3:35">
      <c r="C112" s="4"/>
      <c r="F112" s="4"/>
    </row>
    <row r="113" spans="3:6">
      <c r="C113" s="4"/>
      <c r="F113" s="4"/>
    </row>
    <row r="114" spans="3:6">
      <c r="C114" s="4"/>
      <c r="F114" s="4"/>
    </row>
    <row r="115" spans="3:6">
      <c r="C115" s="4"/>
      <c r="F115" s="4"/>
    </row>
    <row r="116" spans="3:6">
      <c r="C116" s="4"/>
      <c r="F116" s="4"/>
    </row>
    <row r="117" spans="3:6">
      <c r="C117" s="4"/>
      <c r="F117" s="4"/>
    </row>
    <row r="118" spans="3:6">
      <c r="C118" s="4"/>
      <c r="F118" s="4"/>
    </row>
    <row r="119" spans="3:6">
      <c r="C119" s="4"/>
      <c r="F119" s="4"/>
    </row>
    <row r="120" spans="3:6">
      <c r="C120" s="4"/>
      <c r="F120" s="4"/>
    </row>
    <row r="121" spans="3:6">
      <c r="C121" s="4"/>
      <c r="F121" s="4"/>
    </row>
    <row r="122" spans="3:6">
      <c r="C122" s="4"/>
      <c r="F122" s="4"/>
    </row>
    <row r="123" spans="3:6">
      <c r="C123" s="4"/>
      <c r="F123" s="4"/>
    </row>
    <row r="124" spans="3:6">
      <c r="C124" s="4"/>
      <c r="F124" s="4"/>
    </row>
    <row r="125" spans="3:6">
      <c r="C125" s="4"/>
      <c r="F125" s="4"/>
    </row>
    <row r="126" spans="3:6">
      <c r="C126" s="4"/>
      <c r="F126" s="4"/>
    </row>
    <row r="127" spans="3:6">
      <c r="C127" s="4"/>
      <c r="F127" s="4"/>
    </row>
    <row r="128" spans="3:6">
      <c r="C128" s="4"/>
      <c r="F128" s="4"/>
    </row>
    <row r="129" spans="3:6">
      <c r="C129" s="4"/>
      <c r="F129" s="4"/>
    </row>
    <row r="130" spans="3:6">
      <c r="C130" s="4"/>
      <c r="F130" s="4"/>
    </row>
    <row r="131" spans="3:6">
      <c r="C131" s="4"/>
      <c r="F131" s="4"/>
    </row>
    <row r="132" spans="3:6">
      <c r="F132" s="4"/>
    </row>
    <row r="133" spans="3:6">
      <c r="F133" s="4"/>
    </row>
    <row r="134" spans="3:6">
      <c r="F134" s="4"/>
    </row>
    <row r="135" spans="3:6">
      <c r="F135" s="4"/>
    </row>
    <row r="136" spans="3:6">
      <c r="F136" s="4"/>
    </row>
    <row r="137" spans="3:6">
      <c r="F137" s="4"/>
    </row>
    <row r="138" spans="3:6">
      <c r="F138" s="4"/>
    </row>
    <row r="139" spans="3:6">
      <c r="F139" s="4"/>
    </row>
    <row r="140" spans="3:6">
      <c r="F140" s="4"/>
    </row>
    <row r="141" spans="3:6">
      <c r="F141" s="4"/>
    </row>
    <row r="142" spans="3:6">
      <c r="F142" s="4"/>
    </row>
    <row r="143" spans="3:6">
      <c r="F143" s="4"/>
    </row>
    <row r="144" spans="3:6">
      <c r="F144" s="4"/>
    </row>
    <row r="145" spans="6:6">
      <c r="F145" s="4"/>
    </row>
    <row r="146" spans="6:6">
      <c r="F146" s="4"/>
    </row>
    <row r="147" spans="6:6">
      <c r="F147" s="4"/>
    </row>
    <row r="148" spans="6:6">
      <c r="F148" s="4"/>
    </row>
    <row r="149" spans="6:6">
      <c r="F149" s="4"/>
    </row>
    <row r="150" spans="6:6">
      <c r="F150" s="4"/>
    </row>
    <row r="151" spans="6:6">
      <c r="F151" s="4"/>
    </row>
    <row r="152" spans="6:6">
      <c r="F152" s="4"/>
    </row>
    <row r="153" spans="6:6">
      <c r="F153" s="4"/>
    </row>
    <row r="154" spans="6:6">
      <c r="F154" s="4"/>
    </row>
    <row r="155" spans="6:6">
      <c r="F155" s="4"/>
    </row>
    <row r="156" spans="6:6">
      <c r="F156" s="4"/>
    </row>
    <row r="157" spans="6:6">
      <c r="F157" s="4"/>
    </row>
    <row r="158" spans="6:6">
      <c r="F158" s="4"/>
    </row>
    <row r="159" spans="6:6">
      <c r="F159" s="4"/>
    </row>
    <row r="160" spans="6:6">
      <c r="F160" s="4"/>
    </row>
    <row r="161" spans="6:6">
      <c r="F161" s="4"/>
    </row>
    <row r="162" spans="6:6">
      <c r="F162" s="4"/>
    </row>
    <row r="163" spans="6:6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Chêne sessile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Douglas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/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2" thickBot="1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269.19146943657933</v>
      </c>
      <c r="T3" s="59">
        <f>IF('Données projet'!E9&gt;30,$R$33-$H$33,LOOKUP('Données projet'!$E$9,$A$3:$A$203,R3:R203)-LOOKUP('Données projet'!$E$9,$A$3:$A$203,$H$3:$H$203))</f>
        <v>185.94138814570965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400.34672861351783</v>
      </c>
      <c r="AO3" s="59">
        <f>IF('Données projet'!E10&gt;30,$AM$33-$H$33,LOOKUP('Données projet'!$E$10,$A$3:$A$203,AM3:AM203)-LOOKUP('Données projet'!$E$10,$A$3:$A$203,$H$3:$H$203))</f>
        <v>413.2016163204438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1">
        <f>IFERROR(EXP(-1.0587+0.8836*LN(C4)+0.284),0)</f>
        <v>0.41542055579923082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67">
        <f t="shared" ref="H4:H67" si="1">(B4+E4+F4)*44/12+(C4+D4)*0.475*44/12</f>
        <v>258.93888080135036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2.1</v>
      </c>
      <c r="N4" s="13">
        <f>IF('Données projet'!$A$36&gt;35,N3+M4-V3,IF(A4&lt;'Données projet'!$A$36,$K$205^A4,IF(A4='Données projet'!$A$36,'Données projet'!$B$36,N3+M4-V3)))</f>
        <v>1.2054868146447177</v>
      </c>
      <c r="O4" s="13">
        <f>N4*VLOOKUP('Données projet'!$B$9,Paramètres!$A$1:$I$89,3,0)*VLOOKUP('Données projet'!$B$9,Paramètres!$A$1:$I$89,5,0)</f>
        <v>1.0907244698905405</v>
      </c>
      <c r="P4" s="13">
        <f>EXP(-1.0587+0.8836*LN(O4)+0.284)</f>
        <v>0.49759623852608204</v>
      </c>
      <c r="Q4" s="20">
        <f t="shared" ref="Q4:Q34" si="2">(O4+P4)*0.475*44/12</f>
        <v>2.7663252338256172</v>
      </c>
      <c r="R4" s="59">
        <f t="shared" si="0"/>
        <v>260.65521412271448</v>
      </c>
      <c r="S4" s="59">
        <f ca="1">AVERAGE(OFFSET($R$3,0,0,'Données projet'!$E$9+1,1))-AVERAGE(OFFSET($H$3,0,0,'Données projet'!$E$9+1,1))</f>
        <v>269.19146943657933</v>
      </c>
      <c r="T4" s="59">
        <f>$T$3</f>
        <v>185.94138814570965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</v>
      </c>
      <c r="AI4" s="13">
        <f>IF('Données projet'!$A$62&gt;35,AI3+AH4-AQ3,IF(A4&lt;'Données projet'!$A$62,$AF$205^A4,IF(A4='Données projet'!$A$62,'Données projet'!$B$62,AI3+AH4-AQ3)))</f>
        <v>1.3492828476735632</v>
      </c>
      <c r="AJ4" s="13">
        <f>AI4*VLOOKUP('Données projet'!$B$10,Paramètres!$A$1:$I$89,3,0)*VLOOKUP('Données projet'!$B$10,Paramètres!$A$1:$I$89,5,0)</f>
        <v>0.75424911184952181</v>
      </c>
      <c r="AK4" s="13">
        <f>EXP(-1.0587+0.8836*LN(AJ4)+0.284)</f>
        <v>0.3591899268142314</v>
      </c>
      <c r="AL4" s="20">
        <f t="shared" ref="AL4:AL67" si="4">(AJ4+AK4)*0.475*44/12</f>
        <v>1.9392396590060368</v>
      </c>
      <c r="AM4" s="59">
        <f t="shared" ref="AM4:AM67" si="5">AL4+(AD4+AE4)*44/12</f>
        <v>259.82812854789489</v>
      </c>
      <c r="AN4" s="59">
        <f ca="1">AVERAGE(OFFSET($AM$3,0,0,'Données projet'!$E$10+1,1))-AVERAGE(OFFSET($H$3,0,0,'Données projet'!$E$10+1,1))</f>
        <v>400.34672861351783</v>
      </c>
      <c r="AO4" s="59">
        <f>$AO$3</f>
        <v>413.2016163204438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1">
        <f t="shared" ref="D5:D68" si="32">IFERROR(EXP(-1.0587+0.8836*LN(C5)+0.284),0)</f>
        <v>0.76643986660078545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67">
        <f t="shared" si="1"/>
        <v>261.0989294343297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2.1</v>
      </c>
      <c r="N5" s="13">
        <f>IF('Données projet'!$A$36&gt;35,N4+M5-V4,IF(A5&lt;'Données projet'!$A$36,$K$205^A5,IF(A5='Données projet'!$A$36,'Données projet'!$B$36,N4+M5-V4)))</f>
        <v>1.4531984602822681</v>
      </c>
      <c r="O5" s="13">
        <f>N5*VLOOKUP('Données projet'!$B$9,Paramètres!$A$1:$I$89,3,0)*VLOOKUP('Données projet'!$B$9,Paramètres!$A$1:$I$89,5,0)</f>
        <v>1.3148539668633961</v>
      </c>
      <c r="P5" s="13">
        <f t="shared" ref="P5:P68" si="33">EXP(-1.0587+0.8836*LN(O5)+0.284)</f>
        <v>0.58693801963664449</v>
      </c>
      <c r="Q5" s="20">
        <f t="shared" si="2"/>
        <v>3.3122877098209038</v>
      </c>
      <c r="R5" s="59">
        <f t="shared" si="0"/>
        <v>262.42339882093205</v>
      </c>
      <c r="S5" s="59">
        <f ca="1">AVERAGE(OFFSET($R$3,0,0,'Données projet'!$E$9+1,1))-AVERAGE(OFFSET($H$3,0,0,'Données projet'!$E$9+1,1))</f>
        <v>269.19146943657933</v>
      </c>
      <c r="T5" s="59">
        <f t="shared" ref="T5:T68" si="34">$T$3</f>
        <v>185.94138814570965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</v>
      </c>
      <c r="AI5" s="13">
        <f>IF('Données projet'!$A$62&gt;35,AI4+AH5-AQ4,IF(A5&lt;'Données projet'!$A$62,$AF$205^A5,IF(A5='Données projet'!$A$62,'Données projet'!$B$62,AI4+AH5-AQ4)))</f>
        <v>1.82056420302608</v>
      </c>
      <c r="AJ5" s="13">
        <f>AI5*VLOOKUP('Données projet'!$B$10,Paramètres!$A$1:$I$89,3,0)*VLOOKUP('Données projet'!$B$10,Paramètres!$A$1:$I$89,5,0)</f>
        <v>1.0176953894915788</v>
      </c>
      <c r="AK5" s="13">
        <f t="shared" ref="AK5:AK68" si="35">EXP(-1.0587+0.8836*LN(AJ5)+0.284)</f>
        <v>0.46804020312241645</v>
      </c>
      <c r="AL5" s="20">
        <f t="shared" si="4"/>
        <v>2.5876561571360415</v>
      </c>
      <c r="AM5" s="59">
        <f t="shared" si="5"/>
        <v>261.6987672682472</v>
      </c>
      <c r="AN5" s="59">
        <f ca="1">AVERAGE(OFFSET($AM$3,0,0,'Données projet'!$E$10+1,1))-AVERAGE(OFFSET($H$3,0,0,'Données projet'!$E$10+1,1))</f>
        <v>400.34672861351783</v>
      </c>
      <c r="AO5" s="59">
        <f t="shared" ref="AO5:AO68" si="36">$AO$3</f>
        <v>413.2016163204438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1">
        <f t="shared" si="32"/>
        <v>1.0966608080083624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67">
        <f t="shared" si="1"/>
        <v>263.22275424061456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2.1</v>
      </c>
      <c r="N6" s="13">
        <f>IF('Données projet'!$A$36&gt;35,N5+M6-V5,IF(A6&lt;'Données projet'!$A$36,$K$205^A6,IF(A6='Données projet'!$A$36,'Données projet'!$B$36,N5+M6-V5)))</f>
        <v>1.7518115829322798</v>
      </c>
      <c r="O6" s="13">
        <f>N6*VLOOKUP('Données projet'!$B$9,Paramètres!$A$1:$I$89,3,0)*VLOOKUP('Données projet'!$B$9,Paramètres!$A$1:$I$89,5,0)</f>
        <v>1.5850391202371266</v>
      </c>
      <c r="P6" s="13">
        <f t="shared" si="33"/>
        <v>0.69232082604846479</v>
      </c>
      <c r="Q6" s="20">
        <f t="shared" si="2"/>
        <v>3.966401906447405</v>
      </c>
      <c r="R6" s="59">
        <f t="shared" si="0"/>
        <v>264.29973523978072</v>
      </c>
      <c r="S6" s="59">
        <f ca="1">AVERAGE(OFFSET($R$3,0,0,'Données projet'!$E$9+1,1))-AVERAGE(OFFSET($H$3,0,0,'Données projet'!$E$9+1,1))</f>
        <v>269.19146943657933</v>
      </c>
      <c r="T6" s="59">
        <f t="shared" si="34"/>
        <v>185.94138814570965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</v>
      </c>
      <c r="AI6" s="13">
        <f>IF('Données projet'!$A$62&gt;35,AI5+AH6-AQ5,IF(A6&lt;'Données projet'!$A$62,$AF$205^A6,IF(A6='Données projet'!$A$62,'Données projet'!$B$62,AI5+AH6-AQ5)))</f>
        <v>2.4564560522315801</v>
      </c>
      <c r="AJ6" s="13">
        <f>AI6*VLOOKUP('Données projet'!$B$10,Paramètres!$A$1:$I$89,3,0)*VLOOKUP('Données projet'!$B$10,Paramètres!$A$1:$I$89,5,0)</f>
        <v>1.3731589331974534</v>
      </c>
      <c r="AK6" s="13">
        <f t="shared" si="35"/>
        <v>0.60987687957120462</v>
      </c>
      <c r="AL6" s="20">
        <f t="shared" si="4"/>
        <v>3.453787373905413</v>
      </c>
      <c r="AM6" s="59">
        <f t="shared" si="5"/>
        <v>263.78712070723873</v>
      </c>
      <c r="AN6" s="59">
        <f ca="1">AVERAGE(OFFSET($AM$3,0,0,'Données projet'!$E$10+1,1))-AVERAGE(OFFSET($H$3,0,0,'Données projet'!$E$10+1,1))</f>
        <v>400.34672861351783</v>
      </c>
      <c r="AO6" s="59">
        <f t="shared" si="36"/>
        <v>413.2016163204438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1">
        <f t="shared" si="32"/>
        <v>1.4140611505968179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67">
        <f t="shared" si="1"/>
        <v>265.32424983728947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2.1</v>
      </c>
      <c r="N7" s="13">
        <f>IF('Données projet'!$A$36&gt;35,N6+M7-V6,IF(A7&lt;'Données projet'!$A$36,$K$205^A7,IF(A7='Données projet'!$A$36,'Données projet'!$B$36,N6+M7-V6)))</f>
        <v>2.1117857649667546</v>
      </c>
      <c r="O7" s="13">
        <f>N7*VLOOKUP('Données projet'!$B$9,Paramètres!$A$1:$I$89,3,0)*VLOOKUP('Données projet'!$B$9,Paramètres!$A$1:$I$89,5,0)</f>
        <v>1.9107437601419195</v>
      </c>
      <c r="P7" s="13">
        <f t="shared" si="33"/>
        <v>0.81662477151702284</v>
      </c>
      <c r="Q7" s="20">
        <f t="shared" si="2"/>
        <v>4.7501668593059909</v>
      </c>
      <c r="R7" s="59">
        <f t="shared" si="0"/>
        <v>266.30572241486152</v>
      </c>
      <c r="S7" s="59">
        <f ca="1">AVERAGE(OFFSET($R$3,0,0,'Données projet'!$E$9+1,1))-AVERAGE(OFFSET($H$3,0,0,'Données projet'!$E$9+1,1))</f>
        <v>269.19146943657933</v>
      </c>
      <c r="T7" s="59">
        <f t="shared" si="34"/>
        <v>185.94138814570965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</v>
      </c>
      <c r="AI7" s="13">
        <f>IF('Données projet'!$A$62&gt;35,AI6+AH7-AQ6,IF(A7&lt;'Données projet'!$A$62,$AF$205^A7,IF(A7='Données projet'!$A$62,'Données projet'!$B$62,AI6+AH7-AQ6)))</f>
        <v>3.3144540173399859</v>
      </c>
      <c r="AJ7" s="13">
        <f>AI7*VLOOKUP('Données projet'!$B$10,Paramètres!$A$1:$I$89,3,0)*VLOOKUP('Données projet'!$B$10,Paramètres!$A$1:$I$89,5,0)</f>
        <v>1.8527797956930523</v>
      </c>
      <c r="AK7" s="13">
        <f t="shared" si="35"/>
        <v>0.79469627983693913</v>
      </c>
      <c r="AL7" s="20">
        <f t="shared" si="4"/>
        <v>4.6110208315480676</v>
      </c>
      <c r="AM7" s="59">
        <f t="shared" si="5"/>
        <v>266.16657638710359</v>
      </c>
      <c r="AN7" s="59">
        <f ca="1">AVERAGE(OFFSET($AM$3,0,0,'Données projet'!$E$10+1,1))-AVERAGE(OFFSET($H$3,0,0,'Données projet'!$E$10+1,1))</f>
        <v>400.34672861351783</v>
      </c>
      <c r="AO7" s="59">
        <f t="shared" si="36"/>
        <v>413.2016163204438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1">
        <f t="shared" si="32"/>
        <v>1.7222566815192897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67">
        <f t="shared" si="1"/>
        <v>267.40971372031277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2.1</v>
      </c>
      <c r="N8" s="13">
        <f>IF('Données projet'!$A$36&gt;35,N7+M8-V7,IF(A8&lt;'Données projet'!$A$36,$K$205^A8,IF(A8='Données projet'!$A$36,'Données projet'!$B$36,N7+M8-V7)))</f>
        <v>2.5457298950218314</v>
      </c>
      <c r="O8" s="13">
        <f>N8*VLOOKUP('Données projet'!$B$9,Paramètres!$A$1:$I$89,3,0)*VLOOKUP('Données projet'!$B$9,Paramètres!$A$1:$I$89,5,0)</f>
        <v>2.3033764090157529</v>
      </c>
      <c r="P8" s="13">
        <f t="shared" si="33"/>
        <v>0.96324708482559218</v>
      </c>
      <c r="Q8" s="20">
        <f t="shared" si="2"/>
        <v>5.6893692517736758</v>
      </c>
      <c r="R8" s="59">
        <f t="shared" si="0"/>
        <v>268.46714702955143</v>
      </c>
      <c r="S8" s="59">
        <f ca="1">AVERAGE(OFFSET($R$3,0,0,'Données projet'!$E$9+1,1))-AVERAGE(OFFSET($H$3,0,0,'Données projet'!$E$9+1,1))</f>
        <v>269.19146943657933</v>
      </c>
      <c r="T8" s="59">
        <f t="shared" si="34"/>
        <v>185.94138814570965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</v>
      </c>
      <c r="AI8" s="13">
        <f>IF('Données projet'!$A$62&gt;35,AI7+AH8-AQ7,IF(A8&lt;'Données projet'!$A$62,$AF$205^A8,IF(A8='Données projet'!$A$62,'Données projet'!$B$62,AI7+AH8-AQ7)))</f>
        <v>4.4721359549995778</v>
      </c>
      <c r="AJ8" s="13">
        <f>AI8*VLOOKUP('Données projet'!$B$10,Paramètres!$A$1:$I$89,3,0)*VLOOKUP('Données projet'!$B$10,Paramètres!$A$1:$I$89,5,0)</f>
        <v>2.4999239988447641</v>
      </c>
      <c r="AK8" s="13">
        <f t="shared" si="35"/>
        <v>1.035524051396568</v>
      </c>
      <c r="AL8" s="20">
        <f t="shared" si="4"/>
        <v>6.1575720208369864</v>
      </c>
      <c r="AM8" s="59">
        <f t="shared" si="5"/>
        <v>268.93534979861477</v>
      </c>
      <c r="AN8" s="59">
        <f ca="1">AVERAGE(OFFSET($AM$3,0,0,'Données projet'!$E$10+1,1))-AVERAGE(OFFSET($H$3,0,0,'Données projet'!$E$10+1,1))</f>
        <v>400.34672861351783</v>
      </c>
      <c r="AO8" s="59">
        <f t="shared" si="36"/>
        <v>413.2016163204438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1">
        <f t="shared" si="32"/>
        <v>2.0233099967312578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67">
        <f t="shared" si="1"/>
        <v>269.48273824430697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2.1</v>
      </c>
      <c r="N9" s="13">
        <f>IF('Données projet'!$A$36&gt;35,N8+M9-V8,IF(A9&lt;'Données projet'!$A$36,$K$205^A9,IF(A9='Données projet'!$A$36,'Données projet'!$B$36,N8+M9-V8)))</f>
        <v>3.0688438220956993</v>
      </c>
      <c r="O9" s="13">
        <f>N9*VLOOKUP('Données projet'!$B$9,Paramètres!$A$1:$I$89,3,0)*VLOOKUP('Données projet'!$B$9,Paramètres!$A$1:$I$89,5,0)</f>
        <v>2.7766898902321886</v>
      </c>
      <c r="P9" s="13">
        <f t="shared" si="33"/>
        <v>1.1361949561012803</v>
      </c>
      <c r="Q9" s="20">
        <f t="shared" si="2"/>
        <v>6.8149411073641248</v>
      </c>
      <c r="R9" s="59">
        <f t="shared" si="0"/>
        <v>270.81494110736412</v>
      </c>
      <c r="S9" s="59">
        <f ca="1">AVERAGE(OFFSET($R$3,0,0,'Données projet'!$E$9+1,1))-AVERAGE(OFFSET($H$3,0,0,'Données projet'!$E$9+1,1))</f>
        <v>269.19146943657933</v>
      </c>
      <c r="T9" s="59">
        <f t="shared" si="34"/>
        <v>185.94138814570965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</v>
      </c>
      <c r="AI9" s="13">
        <f>IF('Données projet'!$A$62&gt;35,AI8+AH9-AQ8,IF(A9&lt;'Données projet'!$A$62,$AF$205^A9,IF(A9='Données projet'!$A$62,'Données projet'!$B$62,AI8+AH9-AQ8)))</f>
        <v>6.0341763365451611</v>
      </c>
      <c r="AJ9" s="13">
        <f>AI9*VLOOKUP('Données projet'!$B$10,Paramètres!$A$1:$I$89,3,0)*VLOOKUP('Données projet'!$B$10,Paramètres!$A$1:$I$89,5,0)</f>
        <v>3.3731045721287449</v>
      </c>
      <c r="AK9" s="13">
        <f t="shared" si="35"/>
        <v>1.3493331832895774</v>
      </c>
      <c r="AL9" s="20">
        <f t="shared" si="4"/>
        <v>8.2249124240202445</v>
      </c>
      <c r="AM9" s="59">
        <f t="shared" si="5"/>
        <v>272.22491242402026</v>
      </c>
      <c r="AN9" s="59">
        <f ca="1">AVERAGE(OFFSET($AM$3,0,0,'Données projet'!$E$10+1,1))-AVERAGE(OFFSET($H$3,0,0,'Données projet'!$E$10+1,1))</f>
        <v>400.34672861351783</v>
      </c>
      <c r="AO9" s="59">
        <f t="shared" si="36"/>
        <v>413.2016163204438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1">
        <f t="shared" si="32"/>
        <v>2.3185507720937846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67">
        <f t="shared" si="1"/>
        <v>271.54563926139667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2.1</v>
      </c>
      <c r="N10" s="13">
        <f>IF('Données projet'!$A$36&gt;35,N9+M10-V9,IF(A10&lt;'Données projet'!$A$36,$K$205^A10,IF(A10='Données projet'!$A$36,'Données projet'!$B$36,N9+M10-V9)))</f>
        <v>3.6994507637402658</v>
      </c>
      <c r="O10" s="13">
        <f>N10*VLOOKUP('Données projet'!$B$9,Paramètres!$A$1:$I$89,3,0)*VLOOKUP('Données projet'!$B$9,Paramètres!$A$1:$I$89,5,0)</f>
        <v>3.3472630510321921</v>
      </c>
      <c r="P10" s="13">
        <f t="shared" si="33"/>
        <v>1.34019505338418</v>
      </c>
      <c r="Q10" s="20">
        <f t="shared" si="2"/>
        <v>8.1639895318585136</v>
      </c>
      <c r="R10" s="59">
        <f t="shared" si="0"/>
        <v>273.38621175408076</v>
      </c>
      <c r="S10" s="59">
        <f ca="1">AVERAGE(OFFSET($R$3,0,0,'Données projet'!$E$9+1,1))-AVERAGE(OFFSET($H$3,0,0,'Données projet'!$E$9+1,1))</f>
        <v>269.19146943657933</v>
      </c>
      <c r="T10" s="59">
        <f t="shared" si="34"/>
        <v>185.94138814570965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</v>
      </c>
      <c r="AI10" s="13">
        <f>IF('Données projet'!$A$62&gt;35,AI9+AH10-AQ9,IF(A10&lt;'Données projet'!$A$62,$AF$205^A10,IF(A10='Données projet'!$A$62,'Données projet'!$B$62,AI9+AH10-AQ9)))</f>
        <v>8.1418106307380835</v>
      </c>
      <c r="AJ10" s="13">
        <f>AI10*VLOOKUP('Données projet'!$B$10,Paramètres!$A$1:$I$89,3,0)*VLOOKUP('Données projet'!$B$10,Paramètres!$A$1:$I$89,5,0)</f>
        <v>4.5512721425825893</v>
      </c>
      <c r="AK10" s="13">
        <f t="shared" si="35"/>
        <v>1.7582402234606553</v>
      </c>
      <c r="AL10" s="20">
        <f t="shared" si="4"/>
        <v>10.989067370858649</v>
      </c>
      <c r="AM10" s="59">
        <f t="shared" si="5"/>
        <v>276.21128959308089</v>
      </c>
      <c r="AN10" s="59">
        <f ca="1">AVERAGE(OFFSET($AM$3,0,0,'Données projet'!$E$10+1,1))-AVERAGE(OFFSET($H$3,0,0,'Données projet'!$E$10+1,1))</f>
        <v>400.34672861351783</v>
      </c>
      <c r="AO10" s="59">
        <f t="shared" si="36"/>
        <v>413.2016163204438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1">
        <f t="shared" si="32"/>
        <v>2.6089051793396716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67">
        <f t="shared" si="1"/>
        <v>273.60002985401661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2.1</v>
      </c>
      <c r="N11" s="13">
        <f>IF('Données projet'!$A$36&gt;35,N10+M11-V10,IF(A11&lt;'Données projet'!$A$36,$K$205^A11,IF(A11='Données projet'!$A$36,'Données projet'!$B$36,N10+M11-V10)))</f>
        <v>4.4596391171162209</v>
      </c>
      <c r="O11" s="13">
        <f>N11*VLOOKUP('Données projet'!$B$9,Paramètres!$A$1:$I$89,3,0)*VLOOKUP('Données projet'!$B$9,Paramètres!$A$1:$I$89,5,0)</f>
        <v>4.0350814731667564</v>
      </c>
      <c r="P11" s="13">
        <f t="shared" si="33"/>
        <v>1.5808227025391921</v>
      </c>
      <c r="Q11" s="20">
        <f t="shared" si="2"/>
        <v>9.7810331060211926</v>
      </c>
      <c r="R11" s="59">
        <f t="shared" si="0"/>
        <v>276.22547755046565</v>
      </c>
      <c r="S11" s="59">
        <f ca="1">AVERAGE(OFFSET($R$3,0,0,'Données projet'!$E$9+1,1))-AVERAGE(OFFSET($H$3,0,0,'Données projet'!$E$9+1,1))</f>
        <v>269.19146943657933</v>
      </c>
      <c r="T11" s="59">
        <f t="shared" si="34"/>
        <v>185.94138814570965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</v>
      </c>
      <c r="AI11" s="13">
        <f>IF('Données projet'!$A$62&gt;35,AI10+AH11-AQ10,IF(A11&lt;'Données projet'!$A$62,$AF$205^A11,IF(A11='Données projet'!$A$62,'Données projet'!$B$62,AI10+AH11-AQ10)))</f>
        <v>10.985605433061172</v>
      </c>
      <c r="AJ11" s="13">
        <f>AI11*VLOOKUP('Données projet'!$B$10,Paramètres!$A$1:$I$89,3,0)*VLOOKUP('Données projet'!$B$10,Paramètres!$A$1:$I$89,5,0)</f>
        <v>6.1409534370811958</v>
      </c>
      <c r="AK11" s="13">
        <f t="shared" si="35"/>
        <v>2.29106400233806</v>
      </c>
      <c r="AL11" s="20">
        <f t="shared" si="4"/>
        <v>14.685763706988537</v>
      </c>
      <c r="AM11" s="59">
        <f t="shared" si="5"/>
        <v>281.13020815143301</v>
      </c>
      <c r="AN11" s="59">
        <f ca="1">AVERAGE(OFFSET($AM$3,0,0,'Données projet'!$E$10+1,1))-AVERAGE(OFFSET($H$3,0,0,'Données projet'!$E$10+1,1))</f>
        <v>400.34672861351783</v>
      </c>
      <c r="AO11" s="59">
        <f t="shared" si="36"/>
        <v>413.2016163204438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1">
        <f t="shared" si="32"/>
        <v>2.8950539664743791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67">
        <f t="shared" si="1"/>
        <v>275.64709565827621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2.1</v>
      </c>
      <c r="N12" s="13">
        <f>IF('Données projet'!$A$36&gt;35,N11+M12-V11,IF(A12&lt;'Données projet'!$A$36,$K$205^A12,IF(A12='Données projet'!$A$36,'Données projet'!$B$36,N11+M12-V11)))</f>
        <v>5.3760361537574148</v>
      </c>
      <c r="O12" s="13">
        <f>N12*VLOOKUP('Données projet'!$B$9,Paramètres!$A$1:$I$89,3,0)*VLOOKUP('Données projet'!$B$9,Paramètres!$A$1:$I$89,5,0)</f>
        <v>4.8642375119197085</v>
      </c>
      <c r="P12" s="13">
        <f t="shared" si="33"/>
        <v>1.8646542609995393</v>
      </c>
      <c r="Q12" s="20">
        <f t="shared" si="2"/>
        <v>11.719486504501022</v>
      </c>
      <c r="R12" s="59">
        <f t="shared" si="0"/>
        <v>279.38615317116773</v>
      </c>
      <c r="S12" s="59">
        <f ca="1">AVERAGE(OFFSET($R$3,0,0,'Données projet'!$E$9+1,1))-AVERAGE(OFFSET($H$3,0,0,'Données projet'!$E$9+1,1))</f>
        <v>269.19146943657933</v>
      </c>
      <c r="T12" s="59">
        <f t="shared" si="34"/>
        <v>185.94138814570965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</v>
      </c>
      <c r="AI12" s="13">
        <f>IF('Données projet'!$A$62&gt;35,AI11+AH12-AQ11,IF(A12&lt;'Données projet'!$A$62,$AF$205^A12,IF(A12='Données projet'!$A$62,'Données projet'!$B$62,AI11+AH12-AQ11)))</f>
        <v>14.822688982138946</v>
      </c>
      <c r="AJ12" s="13">
        <f>AI12*VLOOKUP('Données projet'!$B$10,Paramètres!$A$1:$I$89,3,0)*VLOOKUP('Données projet'!$B$10,Paramètres!$A$1:$I$89,5,0)</f>
        <v>8.2858831410156704</v>
      </c>
      <c r="AK12" s="13">
        <f t="shared" si="35"/>
        <v>2.9853567179108209</v>
      </c>
      <c r="AL12" s="20">
        <f t="shared" si="4"/>
        <v>19.630742754296975</v>
      </c>
      <c r="AM12" s="59">
        <f t="shared" si="5"/>
        <v>287.29740942096367</v>
      </c>
      <c r="AN12" s="59">
        <f ca="1">AVERAGE(OFFSET($AM$3,0,0,'Données projet'!$E$10+1,1))-AVERAGE(OFFSET($H$3,0,0,'Données projet'!$E$10+1,1))</f>
        <v>400.34672861351783</v>
      </c>
      <c r="AO12" s="59">
        <f t="shared" si="36"/>
        <v>413.2016163204438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1">
        <f t="shared" si="32"/>
        <v>3.177517729464268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67">
        <f t="shared" si="1"/>
        <v>277.68774337881695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2.1</v>
      </c>
      <c r="N13" s="13">
        <f>IF('Données projet'!$A$36&gt;35,N12+M13-V12,IF(A13&lt;'Données projet'!$A$36,$K$205^A13,IF(A13='Données projet'!$A$36,'Données projet'!$B$36,N12+M13-V12)))</f>
        <v>6.4807406984078657</v>
      </c>
      <c r="O13" s="13">
        <f>N13*VLOOKUP('Données projet'!$B$9,Paramètres!$A$1:$I$89,3,0)*VLOOKUP('Données projet'!$B$9,Paramètres!$A$1:$I$89,5,0)</f>
        <v>5.8637741839194364</v>
      </c>
      <c r="P13" s="13">
        <f t="shared" si="33"/>
        <v>2.1994468497187687</v>
      </c>
      <c r="Q13" s="20">
        <f t="shared" si="2"/>
        <v>14.043443300253207</v>
      </c>
      <c r="R13" s="59">
        <f t="shared" si="0"/>
        <v>282.93233218914207</v>
      </c>
      <c r="S13" s="59">
        <f ca="1">AVERAGE(OFFSET($R$3,0,0,'Données projet'!$E$9+1,1))-AVERAGE(OFFSET($H$3,0,0,'Données projet'!$E$9+1,1))</f>
        <v>269.19146943657933</v>
      </c>
      <c r="T13" s="59">
        <f t="shared" si="34"/>
        <v>185.94138814570965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>
        <f>VLOOKUP(A13,'Données projet'!$A$61:$I$81,2,0)</f>
        <v>20</v>
      </c>
      <c r="AG13" s="12">
        <f>VLOOKUP(A13,'Données projet'!$A$61:$I$81,9,0)</f>
        <v>2</v>
      </c>
      <c r="AH13" s="12">
        <f t="array" ref="AH13">INDEX(AG:AG,MIN(IF(ISNUMBER(AG13:AG209),ROW(AG13:AG209),"")))</f>
        <v>2</v>
      </c>
      <c r="AI13" s="13">
        <f>IF('Données projet'!$A$62&gt;35,AI12+AH13-AQ12,IF(A13&lt;'Données projet'!$A$62,$AF$205^A13,IF(A13='Données projet'!$A$62,'Données projet'!$B$62,AI12+AH13-AQ12)))</f>
        <v>20</v>
      </c>
      <c r="AJ13" s="13">
        <f>AI13*VLOOKUP('Données projet'!$B$10,Paramètres!$A$1:$I$89,3,0)*VLOOKUP('Données projet'!$B$10,Paramètres!$A$1:$I$89,5,0)</f>
        <v>11.18</v>
      </c>
      <c r="AK13" s="13">
        <f t="shared" si="35"/>
        <v>3.8900505285230369</v>
      </c>
      <c r="AL13" s="20">
        <f t="shared" si="4"/>
        <v>26.247004670510957</v>
      </c>
      <c r="AM13" s="59">
        <f t="shared" si="5"/>
        <v>295.13589355939979</v>
      </c>
      <c r="AN13" s="59">
        <f ca="1">AVERAGE(OFFSET($AM$3,0,0,'Données projet'!$E$10+1,1))-AVERAGE(OFFSET($H$3,0,0,'Données projet'!$E$10+1,1))</f>
        <v>400.34672861351783</v>
      </c>
      <c r="AO13" s="59">
        <f t="shared" si="36"/>
        <v>413.2016163204438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1">
        <f t="shared" si="32"/>
        <v>3.4567069199829903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67">
        <f t="shared" si="1"/>
        <v>279.72268788563707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2.1</v>
      </c>
      <c r="N14" s="13">
        <f>IF('Données projet'!$A$36&gt;35,N13+M14-V13,IF(A14&lt;'Données projet'!$A$36,$K$205^A14,IF(A14='Données projet'!$A$36,'Données projet'!$B$36,N13+M14-V13)))</f>
        <v>7.8124474610620815</v>
      </c>
      <c r="O14" s="13">
        <f>N14*VLOOKUP('Données projet'!$B$9,Paramètres!$A$1:$I$89,3,0)*VLOOKUP('Données projet'!$B$9,Paramètres!$A$1:$I$89,5,0)</f>
        <v>7.0687024627689707</v>
      </c>
      <c r="P14" s="13">
        <f t="shared" si="33"/>
        <v>2.5943503554083325</v>
      </c>
      <c r="Q14" s="20">
        <f t="shared" si="2"/>
        <v>16.829816991658799</v>
      </c>
      <c r="R14" s="59">
        <f t="shared" si="0"/>
        <v>286.94092810276993</v>
      </c>
      <c r="S14" s="59">
        <f ca="1">AVERAGE(OFFSET($R$3,0,0,'Données projet'!$E$9+1,1))-AVERAGE(OFFSET($H$3,0,0,'Données projet'!$E$9+1,1))</f>
        <v>269.19146943657933</v>
      </c>
      <c r="T14" s="59">
        <f t="shared" si="34"/>
        <v>185.94138814570965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17.5</v>
      </c>
      <c r="AI14" s="13">
        <f>IF('Données projet'!$A$62&gt;35,AI13+AH14-AQ13,IF(A14&lt;'Données projet'!$A$62,$AF$205^A14,IF(A14='Données projet'!$A$62,'Données projet'!$B$62,AI13+AH14-AQ13)))</f>
        <v>37.5</v>
      </c>
      <c r="AJ14" s="13">
        <f>AI14*VLOOKUP('Données projet'!$B$10,Paramètres!$A$1:$I$89,3,0)*VLOOKUP('Données projet'!$B$10,Paramètres!$A$1:$I$89,5,0)</f>
        <v>20.962500000000002</v>
      </c>
      <c r="AK14" s="13">
        <f t="shared" si="35"/>
        <v>6.7792112362552857</v>
      </c>
      <c r="AL14" s="20">
        <f t="shared" si="4"/>
        <v>48.316813736477961</v>
      </c>
      <c r="AM14" s="59">
        <f t="shared" si="5"/>
        <v>318.42792484758911</v>
      </c>
      <c r="AN14" s="59">
        <f ca="1">AVERAGE(OFFSET($AM$3,0,0,'Données projet'!$E$10+1,1))-AVERAGE(OFFSET($H$3,0,0,'Données projet'!$E$10+1,1))</f>
        <v>400.34672861351783</v>
      </c>
      <c r="AO14" s="59">
        <f t="shared" si="36"/>
        <v>413.2016163204438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1">
        <f t="shared" si="32"/>
        <v>3.7329530817348471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67">
        <f t="shared" si="1"/>
        <v>281.75250661735487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2.1</v>
      </c>
      <c r="N15" s="13">
        <f>IF('Données projet'!$A$36&gt;35,N14+M15-V14,IF(A15&lt;'Données projet'!$A$36,$K$205^A15,IF(A15='Données projet'!$A$36,'Données projet'!$B$36,N14+M15-V14)))</f>
        <v>9.4178024044149407</v>
      </c>
      <c r="O15" s="13">
        <f>N15*VLOOKUP('Données projet'!$B$9,Paramètres!$A$1:$I$89,3,0)*VLOOKUP('Données projet'!$B$9,Paramètres!$A$1:$I$89,5,0)</f>
        <v>8.521227615514638</v>
      </c>
      <c r="P15" s="13">
        <f t="shared" si="33"/>
        <v>3.0601574970852128</v>
      </c>
      <c r="Q15" s="20">
        <f t="shared" si="2"/>
        <v>20.170912404444739</v>
      </c>
      <c r="R15" s="59">
        <f t="shared" si="0"/>
        <v>291.50424573777804</v>
      </c>
      <c r="S15" s="59">
        <f ca="1">AVERAGE(OFFSET($R$3,0,0,'Données projet'!$E$9+1,1))-AVERAGE(OFFSET($H$3,0,0,'Données projet'!$E$9+1,1))</f>
        <v>269.19146943657933</v>
      </c>
      <c r="T15" s="59">
        <f t="shared" si="34"/>
        <v>185.94138814570965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17.5</v>
      </c>
      <c r="AI15" s="13">
        <f>IF('Données projet'!$A$62&gt;35,AI14+AH15-AQ14,IF(A15&lt;'Données projet'!$A$62,$AF$205^A15,IF(A15='Données projet'!$A$62,'Données projet'!$B$62,AI14+AH15-AQ14)))</f>
        <v>55</v>
      </c>
      <c r="AJ15" s="13">
        <f>AI15*VLOOKUP('Données projet'!$B$10,Paramètres!$A$1:$I$89,3,0)*VLOOKUP('Données projet'!$B$10,Paramètres!$A$1:$I$89,5,0)</f>
        <v>30.744999999999997</v>
      </c>
      <c r="AK15" s="13">
        <f t="shared" si="35"/>
        <v>9.5093232533499226</v>
      </c>
      <c r="AL15" s="20">
        <f t="shared" si="4"/>
        <v>70.109612999584456</v>
      </c>
      <c r="AM15" s="59">
        <f t="shared" si="5"/>
        <v>341.44294633291776</v>
      </c>
      <c r="AN15" s="59">
        <f ca="1">AVERAGE(OFFSET($AM$3,0,0,'Données projet'!$E$10+1,1))-AVERAGE(OFFSET($H$3,0,0,'Données projet'!$E$10+1,1))</f>
        <v>400.34672861351783</v>
      </c>
      <c r="AO15" s="59">
        <f t="shared" si="36"/>
        <v>413.2016163204438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1">
        <f t="shared" si="32"/>
        <v>4.0065293501366055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67">
        <f t="shared" si="1"/>
        <v>283.77767528482127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2.1</v>
      </c>
      <c r="N16" s="13">
        <f>IF('Données projet'!$A$36&gt;35,N15+M16-V15,IF(A16&lt;'Données projet'!$A$36,$K$205^A16,IF(A16='Données projet'!$A$36,'Données projet'!$B$36,N15+M16-V15)))</f>
        <v>11.35303662145153</v>
      </c>
      <c r="O16" s="13">
        <f>N16*VLOOKUP('Données projet'!$B$9,Paramètres!$A$1:$I$89,3,0)*VLOOKUP('Données projet'!$B$9,Paramètres!$A$1:$I$89,5,0)</f>
        <v>10.272227535089344</v>
      </c>
      <c r="P16" s="13">
        <f t="shared" si="33"/>
        <v>3.6095987912522753</v>
      </c>
      <c r="Q16" s="20">
        <f t="shared" si="2"/>
        <v>24.177514185044988</v>
      </c>
      <c r="R16" s="59">
        <f t="shared" si="0"/>
        <v>296.73306974060051</v>
      </c>
      <c r="S16" s="59">
        <f ca="1">AVERAGE(OFFSET($R$3,0,0,'Données projet'!$E$9+1,1))-AVERAGE(OFFSET($H$3,0,0,'Données projet'!$E$9+1,1))</f>
        <v>269.19146943657933</v>
      </c>
      <c r="T16" s="59">
        <f t="shared" si="34"/>
        <v>185.94138814570965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17.5</v>
      </c>
      <c r="AI16" s="13">
        <f>IF('Données projet'!$A$62&gt;35,AI15+AH16-AQ15,IF(A16&lt;'Données projet'!$A$62,$AF$205^A16,IF(A16='Données projet'!$A$62,'Données projet'!$B$62,AI15+AH16-AQ15)))</f>
        <v>72.5</v>
      </c>
      <c r="AJ16" s="13">
        <f>AI16*VLOOKUP('Données projet'!$B$10,Paramètres!$A$1:$I$89,3,0)*VLOOKUP('Données projet'!$B$10,Paramètres!$A$1:$I$89,5,0)</f>
        <v>40.527500000000003</v>
      </c>
      <c r="AK16" s="13">
        <f t="shared" si="35"/>
        <v>12.13835405384425</v>
      </c>
      <c r="AL16" s="20">
        <f t="shared" si="4"/>
        <v>91.726362477112062</v>
      </c>
      <c r="AM16" s="59">
        <f t="shared" si="5"/>
        <v>364.28191803266759</v>
      </c>
      <c r="AN16" s="59">
        <f ca="1">AVERAGE(OFFSET($AM$3,0,0,'Données projet'!$E$10+1,1))-AVERAGE(OFFSET($H$3,0,0,'Données projet'!$E$10+1,1))</f>
        <v>400.34672861351783</v>
      </c>
      <c r="AO16" s="59">
        <f t="shared" si="36"/>
        <v>413.2016163204438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1">
        <f t="shared" si="32"/>
        <v>4.2776644527179633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67">
        <f t="shared" si="1"/>
        <v>285.79859225515048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2.1</v>
      </c>
      <c r="N17" s="13">
        <f>IF('Données projet'!$A$36&gt;35,N16+M17-V16,IF(A17&lt;'Données projet'!$A$36,$K$205^A17,IF(A17='Données projet'!$A$36,'Données projet'!$B$36,N16+M17-V16)))</f>
        <v>13.685935953338433</v>
      </c>
      <c r="O17" s="13">
        <f>N17*VLOOKUP('Données projet'!$B$9,Paramètres!$A$1:$I$89,3,0)*VLOOKUP('Données projet'!$B$9,Paramètres!$A$1:$I$89,5,0)</f>
        <v>12.383034850580612</v>
      </c>
      <c r="P17" s="13">
        <f t="shared" si="33"/>
        <v>4.2576904771143838</v>
      </c>
      <c r="Q17" s="20">
        <f t="shared" si="2"/>
        <v>28.982596612402116</v>
      </c>
      <c r="R17" s="59">
        <f t="shared" si="0"/>
        <v>302.76037439017989</v>
      </c>
      <c r="S17" s="59">
        <f ca="1">AVERAGE(OFFSET($R$3,0,0,'Données projet'!$E$9+1,1))-AVERAGE(OFFSET($H$3,0,0,'Données projet'!$E$9+1,1))</f>
        <v>269.19146943657933</v>
      </c>
      <c r="T17" s="59">
        <f t="shared" si="34"/>
        <v>185.94138814570965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17.5</v>
      </c>
      <c r="AI17" s="13">
        <f>IF('Données projet'!$A$62&gt;35,AI16+AH17-AQ16,IF(A17&lt;'Données projet'!$A$62,$AF$205^A17,IF(A17='Données projet'!$A$62,'Données projet'!$B$62,AI16+AH17-AQ16)))</f>
        <v>90</v>
      </c>
      <c r="AJ17" s="13">
        <f>AI17*VLOOKUP('Données projet'!$B$10,Paramètres!$A$1:$I$89,3,0)*VLOOKUP('Données projet'!$B$10,Paramètres!$A$1:$I$89,5,0)</f>
        <v>50.31</v>
      </c>
      <c r="AK17" s="13">
        <f t="shared" si="35"/>
        <v>14.693789693291551</v>
      </c>
      <c r="AL17" s="20">
        <f t="shared" si="4"/>
        <v>113.21493371581612</v>
      </c>
      <c r="AM17" s="59">
        <f t="shared" si="5"/>
        <v>386.9927114935939</v>
      </c>
      <c r="AN17" s="59">
        <f ca="1">AVERAGE(OFFSET($AM$3,0,0,'Données projet'!$E$10+1,1))-AVERAGE(OFFSET($H$3,0,0,'Données projet'!$E$10+1,1))</f>
        <v>400.34672861351783</v>
      </c>
      <c r="AO17" s="59">
        <f t="shared" si="36"/>
        <v>413.2016163204438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1">
        <f t="shared" si="32"/>
        <v>4.5465525901071517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67">
        <f t="shared" si="1"/>
        <v>287.81559576110328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2.1</v>
      </c>
      <c r="N18" s="13">
        <f>IF('Données projet'!$A$36&gt;35,N17+M18-V17,IF(A18&lt;'Données projet'!$A$36,$K$205^A18,IF(A18='Données projet'!$A$36,'Données projet'!$B$36,N17+M18-V17)))</f>
        <v>16.498215337821566</v>
      </c>
      <c r="O18" s="13">
        <f>N18*VLOOKUP('Données projet'!$B$9,Paramètres!$A$1:$I$89,3,0)*VLOOKUP('Données projet'!$B$9,Paramètres!$A$1:$I$89,5,0)</f>
        <v>14.927585237660953</v>
      </c>
      <c r="P18" s="13">
        <f t="shared" si="33"/>
        <v>5.0221449106318534</v>
      </c>
      <c r="Q18" s="20">
        <f t="shared" si="2"/>
        <v>34.745780008276633</v>
      </c>
      <c r="R18" s="59">
        <f t="shared" si="0"/>
        <v>309.74578000827665</v>
      </c>
      <c r="S18" s="59">
        <f ca="1">AVERAGE(OFFSET($R$3,0,0,'Données projet'!$E$9+1,1))-AVERAGE(OFFSET($H$3,0,0,'Données projet'!$E$9+1,1))</f>
        <v>269.19146943657933</v>
      </c>
      <c r="T18" s="59">
        <f t="shared" si="34"/>
        <v>185.94138814570965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17.5</v>
      </c>
      <c r="AI18" s="13">
        <f>IF('Données projet'!$A$62&gt;35,AI17+AH18-AQ17,IF(A18&lt;'Données projet'!$A$62,$AF$205^A18,IF(A18='Données projet'!$A$62,'Données projet'!$B$62,AI17+AH18-AQ17)))</f>
        <v>107.5</v>
      </c>
      <c r="AJ18" s="13">
        <f>AI18*VLOOKUP('Données projet'!$B$10,Paramètres!$A$1:$I$89,3,0)*VLOOKUP('Données projet'!$B$10,Paramètres!$A$1:$I$89,5,0)</f>
        <v>60.092500000000001</v>
      </c>
      <c r="AK18" s="13">
        <f t="shared" si="35"/>
        <v>17.191653817497027</v>
      </c>
      <c r="AL18" s="20">
        <f t="shared" si="4"/>
        <v>134.603234565474</v>
      </c>
      <c r="AM18" s="59">
        <f t="shared" si="5"/>
        <v>409.603234565474</v>
      </c>
      <c r="AN18" s="59">
        <f ca="1">AVERAGE(OFFSET($AM$3,0,0,'Données projet'!$E$10+1,1))-AVERAGE(OFFSET($H$3,0,0,'Données projet'!$E$10+1,1))</f>
        <v>400.34672861351783</v>
      </c>
      <c r="AO18" s="59">
        <f t="shared" si="36"/>
        <v>413.2016163204438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1">
        <f t="shared" si="32"/>
        <v>4.81336060460516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67">
        <f t="shared" si="1"/>
        <v>289.82897638635399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2.1</v>
      </c>
      <c r="N19" s="13">
        <f>IF('Données projet'!$A$36&gt;35,N18+M19-V18,IF(A19&lt;'Données projet'!$A$36,$K$205^A19,IF(A19='Données projet'!$A$36,'Données projet'!$B$36,N18+M19-V18)))</f>
        <v>19.888381054913147</v>
      </c>
      <c r="O19" s="13">
        <f>N19*VLOOKUP('Données projet'!$B$9,Paramètres!$A$1:$I$89,3,0)*VLOOKUP('Données projet'!$B$9,Paramètres!$A$1:$I$89,5,0)</f>
        <v>17.995007178485412</v>
      </c>
      <c r="P19" s="13">
        <f t="shared" si="33"/>
        <v>5.9238546434872337</v>
      </c>
      <c r="Q19" s="20">
        <f t="shared" si="2"/>
        <v>41.658684339935689</v>
      </c>
      <c r="R19" s="59">
        <f t="shared" si="0"/>
        <v>317.88090656215792</v>
      </c>
      <c r="S19" s="59">
        <f ca="1">AVERAGE(OFFSET($R$3,0,0,'Données projet'!$E$9+1,1))-AVERAGE(OFFSET($H$3,0,0,'Données projet'!$E$9+1,1))</f>
        <v>269.19146943657933</v>
      </c>
      <c r="T19" s="59">
        <f t="shared" si="34"/>
        <v>185.94138814570965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17.5</v>
      </c>
      <c r="AI19" s="13">
        <f>IF('Données projet'!$A$62&gt;35,AI18+AH19-AQ18,IF(A19&lt;'Données projet'!$A$62,$AF$205^A19,IF(A19='Données projet'!$A$62,'Données projet'!$B$62,AI18+AH19-AQ18)))</f>
        <v>125</v>
      </c>
      <c r="AJ19" s="13">
        <f>AI19*VLOOKUP('Données projet'!$B$10,Paramètres!$A$1:$I$89,3,0)*VLOOKUP('Données projet'!$B$10,Paramètres!$A$1:$I$89,5,0)</f>
        <v>69.875</v>
      </c>
      <c r="AK19" s="13">
        <f t="shared" si="35"/>
        <v>19.64241243753855</v>
      </c>
      <c r="AL19" s="20">
        <f t="shared" si="4"/>
        <v>155.90949332871295</v>
      </c>
      <c r="AM19" s="59">
        <f t="shared" si="5"/>
        <v>432.13171555093516</v>
      </c>
      <c r="AN19" s="59">
        <f ca="1">AVERAGE(OFFSET($AM$3,0,0,'Données projet'!$E$10+1,1))-AVERAGE(OFFSET($H$3,0,0,'Données projet'!$E$10+1,1))</f>
        <v>400.34672861351783</v>
      </c>
      <c r="AO19" s="59">
        <f t="shared" si="36"/>
        <v>413.2016163204438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1">
        <f t="shared" si="32"/>
        <v>5.0782333044806931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67">
        <f t="shared" si="1"/>
        <v>291.83898633863726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2.1</v>
      </c>
      <c r="N20" s="13">
        <f>IF('Données projet'!$A$36&gt;35,N19+M20-V19,IF(A20&lt;'Données projet'!$A$36,$K$205^A20,IF(A20='Données projet'!$A$36,'Données projet'!$B$36,N19+M20-V19)))</f>
        <v>23.975181126327602</v>
      </c>
      <c r="O20" s="13">
        <f>N20*VLOOKUP('Données projet'!$B$9,Paramètres!$A$1:$I$89,3,0)*VLOOKUP('Données projet'!$B$9,Paramètres!$A$1:$I$89,5,0)</f>
        <v>21.692743883101215</v>
      </c>
      <c r="P20" s="13">
        <f t="shared" si="33"/>
        <v>6.98746341685115</v>
      </c>
      <c r="Q20" s="20">
        <f t="shared" si="2"/>
        <v>49.951361047417038</v>
      </c>
      <c r="R20" s="59">
        <f t="shared" si="0"/>
        <v>327.39580549186149</v>
      </c>
      <c r="S20" s="59">
        <f ca="1">AVERAGE(OFFSET($R$3,0,0,'Données projet'!$E$9+1,1))-AVERAGE(OFFSET($H$3,0,0,'Données projet'!$E$9+1,1))</f>
        <v>269.19146943657933</v>
      </c>
      <c r="T20" s="59">
        <f t="shared" si="34"/>
        <v>185.94138814570965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17.5</v>
      </c>
      <c r="AI20" s="13">
        <f>IF('Données projet'!$A$62&gt;35,AI19+AH20-AQ19,IF(A20&lt;'Données projet'!$A$62,$AF$205^A20,IF(A20='Données projet'!$A$62,'Données projet'!$B$62,AI19+AH20-AQ19)))</f>
        <v>142.5</v>
      </c>
      <c r="AJ20" s="13">
        <f>AI20*VLOOKUP('Données projet'!$B$10,Paramètres!$A$1:$I$89,3,0)*VLOOKUP('Données projet'!$B$10,Paramètres!$A$1:$I$89,5,0)</f>
        <v>79.657499999999999</v>
      </c>
      <c r="AK20" s="13">
        <f t="shared" si="35"/>
        <v>22.05342019864063</v>
      </c>
      <c r="AL20" s="20">
        <f t="shared" si="4"/>
        <v>177.14651934596574</v>
      </c>
      <c r="AM20" s="59">
        <f t="shared" si="5"/>
        <v>454.59096379041023</v>
      </c>
      <c r="AN20" s="59">
        <f ca="1">AVERAGE(OFFSET($AM$3,0,0,'Données projet'!$E$10+1,1))-AVERAGE(OFFSET($H$3,0,0,'Données projet'!$E$10+1,1))</f>
        <v>400.34672861351783</v>
      </c>
      <c r="AO20" s="59">
        <f t="shared" si="36"/>
        <v>413.2016163204438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1">
        <f t="shared" si="32"/>
        <v>5.3412974993444182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67">
        <f t="shared" si="1"/>
        <v>293.8458464780249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2.1</v>
      </c>
      <c r="N21" s="13">
        <f>IF('Données projet'!$A$36&gt;35,N20+M21-V20,IF(A21&lt;'Données projet'!$A$36,$K$205^A21,IF(A21='Données projet'!$A$36,'Données projet'!$B$36,N20+M21-V20)))</f>
        <v>28.901764726506816</v>
      </c>
      <c r="O21" s="13">
        <f>N21*VLOOKUP('Données projet'!$B$9,Paramètres!$A$1:$I$89,3,0)*VLOOKUP('Données projet'!$B$9,Paramètres!$A$1:$I$89,5,0)</f>
        <v>26.150316724543362</v>
      </c>
      <c r="P21" s="13">
        <f t="shared" si="33"/>
        <v>8.2420396752158016</v>
      </c>
      <c r="Q21" s="20">
        <f t="shared" si="2"/>
        <v>59.900020729580547</v>
      </c>
      <c r="R21" s="59">
        <f t="shared" si="0"/>
        <v>338.56668739624723</v>
      </c>
      <c r="S21" s="59">
        <f ca="1">AVERAGE(OFFSET($R$3,0,0,'Données projet'!$E$9+1,1))-AVERAGE(OFFSET($H$3,0,0,'Données projet'!$E$9+1,1))</f>
        <v>269.19146943657933</v>
      </c>
      <c r="T21" s="59">
        <f t="shared" si="34"/>
        <v>185.94138814570965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17.5</v>
      </c>
      <c r="AI21" s="13">
        <f>IF('Données projet'!$A$62&gt;35,AI20+AH21-AQ20,IF(A21&lt;'Données projet'!$A$62,$AF$205^A21,IF(A21='Données projet'!$A$62,'Données projet'!$B$62,AI20+AH21-AQ20)))</f>
        <v>160</v>
      </c>
      <c r="AJ21" s="13">
        <f>AI21*VLOOKUP('Données projet'!$B$10,Paramètres!$A$1:$I$89,3,0)*VLOOKUP('Données projet'!$B$10,Paramètres!$A$1:$I$89,5,0)</f>
        <v>89.44</v>
      </c>
      <c r="AK21" s="13">
        <f t="shared" si="35"/>
        <v>24.430117455867048</v>
      </c>
      <c r="AL21" s="20">
        <f t="shared" si="4"/>
        <v>198.32378790230177</v>
      </c>
      <c r="AM21" s="59">
        <f t="shared" si="5"/>
        <v>476.99045456896846</v>
      </c>
      <c r="AN21" s="59">
        <f ca="1">AVERAGE(OFFSET($AM$3,0,0,'Données projet'!$E$10+1,1))-AVERAGE(OFFSET($H$3,0,0,'Données projet'!$E$10+1,1))</f>
        <v>400.34672861351783</v>
      </c>
      <c r="AO21" s="59">
        <f t="shared" si="36"/>
        <v>413.2016163204438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1">
        <f t="shared" si="32"/>
        <v>5.6026651130643481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67">
        <f t="shared" si="1"/>
        <v>295.84975173858709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2.1</v>
      </c>
      <c r="N22" s="13">
        <f>IF('Données projet'!$A$36&gt;35,N21+M22-V21,IF(A22&lt;'Données projet'!$A$36,$K$205^A22,IF(A22='Données projet'!$A$36,'Données projet'!$B$36,N21+M22-V21)))</f>
        <v>34.840696297767764</v>
      </c>
      <c r="O22" s="13">
        <f>N22*VLOOKUP('Données projet'!$B$9,Paramètres!$A$1:$I$89,3,0)*VLOOKUP('Données projet'!$B$9,Paramètres!$A$1:$I$89,5,0)</f>
        <v>31.52386201022027</v>
      </c>
      <c r="P22" s="13">
        <f t="shared" si="33"/>
        <v>9.7218710074397983</v>
      </c>
      <c r="Q22" s="20">
        <f t="shared" si="2"/>
        <v>71.836318339091292</v>
      </c>
      <c r="R22" s="59">
        <f t="shared" si="0"/>
        <v>351.72520722798015</v>
      </c>
      <c r="S22" s="59">
        <f ca="1">AVERAGE(OFFSET($R$3,0,0,'Données projet'!$E$9+1,1))-AVERAGE(OFFSET($H$3,0,0,'Données projet'!$E$9+1,1))</f>
        <v>269.19146943657933</v>
      </c>
      <c r="T22" s="59">
        <f t="shared" si="34"/>
        <v>185.94138814570965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17.5</v>
      </c>
      <c r="AI22" s="13">
        <f>IF('Données projet'!$A$62&gt;35,AI21+AH22-AQ21,IF(A22&lt;'Données projet'!$A$62,$AF$205^A22,IF(A22='Données projet'!$A$62,'Données projet'!$B$62,AI21+AH22-AQ21)))</f>
        <v>177.5</v>
      </c>
      <c r="AJ22" s="13">
        <f>AI22*VLOOKUP('Données projet'!$B$10,Paramètres!$A$1:$I$89,3,0)*VLOOKUP('Données projet'!$B$10,Paramètres!$A$1:$I$89,5,0)</f>
        <v>99.222500000000011</v>
      </c>
      <c r="AK22" s="13">
        <f t="shared" si="35"/>
        <v>26.776684834408954</v>
      </c>
      <c r="AL22" s="20">
        <f t="shared" si="4"/>
        <v>219.44858025326224</v>
      </c>
      <c r="AM22" s="59">
        <f t="shared" si="5"/>
        <v>499.33746914215112</v>
      </c>
      <c r="AN22" s="59">
        <f ca="1">AVERAGE(OFFSET($AM$3,0,0,'Données projet'!$E$10+1,1))-AVERAGE(OFFSET($H$3,0,0,'Données projet'!$E$10+1,1))</f>
        <v>400.34672861351783</v>
      </c>
      <c r="AO22" s="59">
        <f t="shared" si="36"/>
        <v>413.2016163204438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1">
        <f t="shared" si="32"/>
        <v>5.862435622634961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67">
        <f t="shared" si="1"/>
        <v>297.85087537608922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42</v>
      </c>
      <c r="L23" s="12">
        <f>VLOOKUP(A23,'Données projet'!$A$35:$I$55,9,0)</f>
        <v>2.1</v>
      </c>
      <c r="M23" s="12">
        <f t="array" ref="M23">INDEX(L:L,MIN(IF(ISNUMBER(L23:L219),ROW(L23:L219),"")))</f>
        <v>2.1</v>
      </c>
      <c r="N23" s="13">
        <f>IF('Données projet'!$A$36&gt;35,N22+M23-V22,IF(A23&lt;'Données projet'!$A$36,$K$205^A23,IF(A23='Données projet'!$A$36,'Données projet'!$B$36,N22+M23-V22)))</f>
        <v>42</v>
      </c>
      <c r="O23" s="13">
        <f>N23*VLOOKUP('Données projet'!$B$9,Paramètres!$A$1:$I$89,3,0)*VLOOKUP('Données projet'!$B$9,Paramètres!$A$1:$I$89,5,0)</f>
        <v>38.001600000000003</v>
      </c>
      <c r="P23" s="13">
        <f t="shared" si="33"/>
        <v>11.467401227090512</v>
      </c>
      <c r="Q23" s="20">
        <f t="shared" si="2"/>
        <v>86.158510470515978</v>
      </c>
      <c r="R23" s="59">
        <f t="shared" si="0"/>
        <v>367.26962158162712</v>
      </c>
      <c r="S23" s="59">
        <f ca="1">AVERAGE(OFFSET($R$3,0,0,'Données projet'!$E$9+1,1))-AVERAGE(OFFSET($H$3,0,0,'Données projet'!$E$9+1,1))</f>
        <v>269.19146943657933</v>
      </c>
      <c r="T23" s="59">
        <f t="shared" si="34"/>
        <v>185.94138814570965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195</v>
      </c>
      <c r="AG23" s="12">
        <f>VLOOKUP(A23,'Données projet'!$A$61:$I$81,9,0)</f>
        <v>17.5</v>
      </c>
      <c r="AH23" s="12">
        <f t="array" ref="AH23">INDEX(AG:AG,MIN(IF(ISNUMBER(AG23:AG219),ROW(AG23:AG219),"")))</f>
        <v>17.5</v>
      </c>
      <c r="AI23" s="13">
        <f>IF('Données projet'!$A$62&gt;35,AI22+AH23-AQ22,IF(A23&lt;'Données projet'!$A$62,$AF$205^A23,IF(A23='Données projet'!$A$62,'Données projet'!$B$62,AI22+AH23-AQ22)))</f>
        <v>195</v>
      </c>
      <c r="AJ23" s="13">
        <f>AI23*VLOOKUP('Données projet'!$B$10,Paramètres!$A$1:$I$89,3,0)*VLOOKUP('Données projet'!$B$10,Paramètres!$A$1:$I$89,5,0)</f>
        <v>109.005</v>
      </c>
      <c r="AK23" s="13">
        <f t="shared" si="35"/>
        <v>29.09643097993688</v>
      </c>
      <c r="AL23" s="20">
        <f t="shared" si="4"/>
        <v>240.52665895672337</v>
      </c>
      <c r="AM23" s="59">
        <f t="shared" si="5"/>
        <v>521.63777006783448</v>
      </c>
      <c r="AN23" s="59">
        <f ca="1">AVERAGE(OFFSET($AM$3,0,0,'Données projet'!$E$10+1,1))-AVERAGE(OFFSET($H$3,0,0,'Données projet'!$E$10+1,1))</f>
        <v>400.34672861351783</v>
      </c>
      <c r="AO23" s="59">
        <f t="shared" si="36"/>
        <v>413.2016163204438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84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0.27500000000000002</v>
      </c>
      <c r="AT23" s="16">
        <f>IF(ISNA(VLOOKUP(A23,'Données projet'!$A$61:$I$81,7,0)),0%,VLOOKUP(A23,'Données projet'!$A$61:$I$81,7,0))</f>
        <v>0.5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17.062347630087249</v>
      </c>
      <c r="AW23" s="21">
        <f>EXP(-LN(2)/2)*AW22+(1-EXP(-LN(2)/2))/(LN(2)/2)*AQ23*AT23*VLOOKUP('Données projet'!$B$10,Paramètres!$A$1:$I$89,3,0)*0.475*44/12</f>
        <v>26.582549881326369</v>
      </c>
      <c r="AX23" s="21">
        <f t="shared" si="6"/>
        <v>43.644897511413618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1">
        <f t="shared" si="32"/>
        <v>6.1206979954107776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67">
        <f t="shared" si="1"/>
        <v>299.84937234200714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6.3</v>
      </c>
      <c r="N24" s="13">
        <f>IF('Données projet'!$A$36&gt;35,N23+M24-V23,IF(A24&lt;'Données projet'!$A$36,$K$205^A24,IF(A24='Données projet'!$A$36,'Données projet'!$B$36,N23+M24-V23)))</f>
        <v>48.3</v>
      </c>
      <c r="O24" s="13">
        <f>N24*VLOOKUP('Données projet'!$B$9,Paramètres!$A$1:$I$89,3,0)*VLOOKUP('Données projet'!$B$9,Paramètres!$A$1:$I$89,5,0)</f>
        <v>43.701839999999997</v>
      </c>
      <c r="P24" s="13">
        <f t="shared" si="33"/>
        <v>12.974708810432297</v>
      </c>
      <c r="Q24" s="20">
        <f t="shared" si="2"/>
        <v>98.711655844836244</v>
      </c>
      <c r="R24" s="59">
        <f t="shared" si="0"/>
        <v>381.04498917816954</v>
      </c>
      <c r="S24" s="59">
        <f ca="1">AVERAGE(OFFSET($R$3,0,0,'Données projet'!$E$9+1,1))-AVERAGE(OFFSET($H$3,0,0,'Données projet'!$E$9+1,1))</f>
        <v>269.19146943657933</v>
      </c>
      <c r="T24" s="59">
        <f t="shared" si="34"/>
        <v>185.94138814570965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24.9</v>
      </c>
      <c r="AI24" s="13">
        <f>IF('Données projet'!$A$62&gt;35,AI23+AH24-AQ23,IF(A24&lt;'Données projet'!$A$62,$AF$205^A24,IF(A24='Données projet'!$A$62,'Données projet'!$B$62,AI23+AH24-AQ23)))</f>
        <v>135.9</v>
      </c>
      <c r="AJ24" s="13">
        <f>AI24*VLOOKUP('Données projet'!$B$10,Paramètres!$A$1:$I$89,3,0)*VLOOKUP('Données projet'!$B$10,Paramètres!$A$1:$I$89,5,0)</f>
        <v>75.968100000000007</v>
      </c>
      <c r="AK24" s="13">
        <f t="shared" si="35"/>
        <v>21.148416276516436</v>
      </c>
      <c r="AL24" s="20">
        <f t="shared" si="4"/>
        <v>169.14459918159946</v>
      </c>
      <c r="AM24" s="59">
        <f t="shared" si="5"/>
        <v>451.47793251493277</v>
      </c>
      <c r="AN24" s="59">
        <f ca="1">AVERAGE(OFFSET($AM$3,0,0,'Données projet'!$E$10+1,1))-AVERAGE(OFFSET($H$3,0,0,'Données projet'!$E$10+1,1))</f>
        <v>400.34672861351783</v>
      </c>
      <c r="AO24" s="59">
        <f t="shared" si="36"/>
        <v>413.2016163204438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16.595776836872648</v>
      </c>
      <c r="AW24" s="21">
        <f>EXP(-LN(2)/2)*AW23+(1-EXP(-LN(2)/2))/(LN(2)/2)*AQ24*AT24*VLOOKUP('Données projet'!$B$10,Paramètres!$A$1:$I$89,3,0)*0.475*44/12</f>
        <v>18.796701282315532</v>
      </c>
      <c r="AX24" s="21">
        <f t="shared" si="6"/>
        <v>35.392478119188183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1">
        <f t="shared" si="32"/>
        <v>6.3775322468881095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67">
        <f t="shared" si="1"/>
        <v>301.84538199666349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6.3</v>
      </c>
      <c r="N25" s="13">
        <f>IF('Données projet'!$A$36&gt;35,N24+M25-V24,IF(A25&lt;'Données projet'!$A$36,$K$205^A25,IF(A25='Données projet'!$A$36,'Données projet'!$B$36,N24+M25-V24)))</f>
        <v>54.599999999999994</v>
      </c>
      <c r="O25" s="13">
        <f>N25*VLOOKUP('Données projet'!$B$9,Paramètres!$A$1:$I$89,3,0)*VLOOKUP('Données projet'!$B$9,Paramètres!$A$1:$I$89,5,0)</f>
        <v>49.402079999999998</v>
      </c>
      <c r="P25" s="13">
        <f t="shared" si="33"/>
        <v>14.459236264867963</v>
      </c>
      <c r="Q25" s="20">
        <f t="shared" si="2"/>
        <v>111.22512582797835</v>
      </c>
      <c r="R25" s="59">
        <f t="shared" si="0"/>
        <v>394.78068138353387</v>
      </c>
      <c r="S25" s="59">
        <f ca="1">AVERAGE(OFFSET($R$3,0,0,'Données projet'!$E$9+1,1))-AVERAGE(OFFSET($H$3,0,0,'Données projet'!$E$9+1,1))</f>
        <v>269.19146943657933</v>
      </c>
      <c r="T25" s="59">
        <f t="shared" si="34"/>
        <v>185.94138814570965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24.9</v>
      </c>
      <c r="AI25" s="13">
        <f>IF('Données projet'!$A$62&gt;35,AI24+AH25-AQ24,IF(A25&lt;'Données projet'!$A$62,$AF$205^A25,IF(A25='Données projet'!$A$62,'Données projet'!$B$62,AI24+AH25-AQ24)))</f>
        <v>160.80000000000001</v>
      </c>
      <c r="AJ25" s="13">
        <f>AI25*VLOOKUP('Données projet'!$B$10,Paramètres!$A$1:$I$89,3,0)*VLOOKUP('Données projet'!$B$10,Paramètres!$A$1:$I$89,5,0)</f>
        <v>89.887200000000007</v>
      </c>
      <c r="AK25" s="13">
        <f t="shared" si="35"/>
        <v>24.538018364785955</v>
      </c>
      <c r="AL25" s="20">
        <f t="shared" si="4"/>
        <v>199.29058865200219</v>
      </c>
      <c r="AM25" s="59">
        <f t="shared" si="5"/>
        <v>482.8461442075577</v>
      </c>
      <c r="AN25" s="59">
        <f ca="1">AVERAGE(OFFSET($AM$3,0,0,'Données projet'!$E$10+1,1))-AVERAGE(OFFSET($H$3,0,0,'Données projet'!$E$10+1,1))</f>
        <v>400.34672861351783</v>
      </c>
      <c r="AO25" s="59">
        <f t="shared" si="36"/>
        <v>413.2016163204438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16.141964446534391</v>
      </c>
      <c r="AW25" s="21">
        <f>EXP(-LN(2)/2)*AW24+(1-EXP(-LN(2)/2))/(LN(2)/2)*AQ25*AT25*VLOOKUP('Données projet'!$B$10,Paramètres!$A$1:$I$89,3,0)*0.475*44/12</f>
        <v>13.291274940663186</v>
      </c>
      <c r="AX25" s="21">
        <f t="shared" si="6"/>
        <v>29.433239387197577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1">
        <f t="shared" si="32"/>
        <v>6.6330107072474558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67">
        <f t="shared" si="1"/>
        <v>303.83903031512267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6.3</v>
      </c>
      <c r="N26" s="13">
        <f>IF('Données projet'!$A$36&gt;35,N25+M26-V25,IF(A26&lt;'Données projet'!$A$36,$K$205^A26,IF(A26='Données projet'!$A$36,'Données projet'!$B$36,N25+M26-V25)))</f>
        <v>60.899999999999991</v>
      </c>
      <c r="O26" s="13">
        <f>N26*VLOOKUP('Données projet'!$B$9,Paramètres!$A$1:$I$89,3,0)*VLOOKUP('Données projet'!$B$9,Paramètres!$A$1:$I$89,5,0)</f>
        <v>55.102319999999992</v>
      </c>
      <c r="P26" s="13">
        <f t="shared" si="33"/>
        <v>15.923912218988239</v>
      </c>
      <c r="Q26" s="20">
        <f t="shared" si="2"/>
        <v>123.70402111473783</v>
      </c>
      <c r="R26" s="59">
        <f t="shared" si="0"/>
        <v>408.4817988925156</v>
      </c>
      <c r="S26" s="59">
        <f ca="1">AVERAGE(OFFSET($R$3,0,0,'Données projet'!$E$9+1,1))-AVERAGE(OFFSET($H$3,0,0,'Données projet'!$E$9+1,1))</f>
        <v>269.19146943657933</v>
      </c>
      <c r="T26" s="59">
        <f t="shared" si="34"/>
        <v>185.94138814570965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24.9</v>
      </c>
      <c r="AI26" s="13">
        <f>IF('Données projet'!$A$62&gt;35,AI25+AH26-AQ25,IF(A26&lt;'Données projet'!$A$62,$AF$205^A26,IF(A26='Données projet'!$A$62,'Données projet'!$B$62,AI25+AH26-AQ25)))</f>
        <v>185.70000000000002</v>
      </c>
      <c r="AJ26" s="13">
        <f>AI26*VLOOKUP('Données projet'!$B$10,Paramètres!$A$1:$I$89,3,0)*VLOOKUP('Données projet'!$B$10,Paramètres!$A$1:$I$89,5,0)</f>
        <v>103.80630000000001</v>
      </c>
      <c r="AK26" s="13">
        <f t="shared" si="35"/>
        <v>27.86681512924784</v>
      </c>
      <c r="AL26" s="20">
        <f t="shared" si="4"/>
        <v>229.33067551677331</v>
      </c>
      <c r="AM26" s="59">
        <f t="shared" si="5"/>
        <v>514.10845329455105</v>
      </c>
      <c r="AN26" s="59">
        <f ca="1">AVERAGE(OFFSET($AM$3,0,0,'Données projet'!$E$10+1,1))-AVERAGE(OFFSET($H$3,0,0,'Données projet'!$E$10+1,1))</f>
        <v>400.34672861351783</v>
      </c>
      <c r="AO26" s="59">
        <f t="shared" si="36"/>
        <v>413.2016163204438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15.700561579874892</v>
      </c>
      <c r="AW26" s="21">
        <f>EXP(-LN(2)/2)*AW25+(1-EXP(-LN(2)/2))/(LN(2)/2)*AQ26*AT26*VLOOKUP('Données projet'!$B$10,Paramètres!$A$1:$I$89,3,0)*0.475*44/12</f>
        <v>9.3983506411577658</v>
      </c>
      <c r="AX26" s="21">
        <f t="shared" si="6"/>
        <v>25.098912221032656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1">
        <f t="shared" si="32"/>
        <v>6.8871990614123195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67">
        <f t="shared" si="1"/>
        <v>305.83043169862646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6.3</v>
      </c>
      <c r="N27" s="13">
        <f>IF('Données projet'!$A$36&gt;35,N26+M27-V26,IF(A27&lt;'Données projet'!$A$36,$K$205^A27,IF(A27='Données projet'!$A$36,'Données projet'!$B$36,N26+M27-V26)))</f>
        <v>67.199999999999989</v>
      </c>
      <c r="O27" s="13">
        <f>N27*VLOOKUP('Données projet'!$B$9,Paramètres!$A$1:$I$89,3,0)*VLOOKUP('Données projet'!$B$9,Paramètres!$A$1:$I$89,5,0)</f>
        <v>60.802559999999993</v>
      </c>
      <c r="P27" s="13">
        <f t="shared" si="33"/>
        <v>17.371024177726472</v>
      </c>
      <c r="Q27" s="20">
        <f t="shared" si="2"/>
        <v>136.15232577620694</v>
      </c>
      <c r="R27" s="59">
        <f t="shared" si="0"/>
        <v>422.15232577620691</v>
      </c>
      <c r="S27" s="59">
        <f ca="1">AVERAGE(OFFSET($R$3,0,0,'Données projet'!$E$9+1,1))-AVERAGE(OFFSET($H$3,0,0,'Données projet'!$E$9+1,1))</f>
        <v>269.19146943657933</v>
      </c>
      <c r="T27" s="59">
        <f t="shared" si="34"/>
        <v>185.94138814570965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24.9</v>
      </c>
      <c r="AI27" s="13">
        <f>IF('Données projet'!$A$62&gt;35,AI26+AH27-AQ26,IF(A27&lt;'Données projet'!$A$62,$AF$205^A27,IF(A27='Données projet'!$A$62,'Données projet'!$B$62,AI26+AH27-AQ26)))</f>
        <v>210.60000000000002</v>
      </c>
      <c r="AJ27" s="13">
        <f>AI27*VLOOKUP('Données projet'!$B$10,Paramètres!$A$1:$I$89,3,0)*VLOOKUP('Données projet'!$B$10,Paramètres!$A$1:$I$89,5,0)</f>
        <v>117.72540000000001</v>
      </c>
      <c r="AK27" s="13">
        <f t="shared" si="35"/>
        <v>31.143896775185823</v>
      </c>
      <c r="AL27" s="20">
        <f t="shared" si="4"/>
        <v>259.28069188344864</v>
      </c>
      <c r="AM27" s="59">
        <f t="shared" si="5"/>
        <v>545.28069188344864</v>
      </c>
      <c r="AN27" s="59">
        <f ca="1">AVERAGE(OFFSET($AM$3,0,0,'Données projet'!$E$10+1,1))-AVERAGE(OFFSET($H$3,0,0,'Données projet'!$E$10+1,1))</f>
        <v>400.34672861351783</v>
      </c>
      <c r="AO27" s="59">
        <f t="shared" si="36"/>
        <v>413.2016163204438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15.271228897816563</v>
      </c>
      <c r="AW27" s="21">
        <f>EXP(-LN(2)/2)*AW26+(1-EXP(-LN(2)/2))/(LN(2)/2)*AQ27*AT27*VLOOKUP('Données projet'!$B$10,Paramètres!$A$1:$I$89,3,0)*0.475*44/12</f>
        <v>6.645637470331593</v>
      </c>
      <c r="AX27" s="21">
        <f t="shared" si="6"/>
        <v>21.916866368148156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1">
        <f t="shared" si="32"/>
        <v>7.140157210880437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67">
        <f t="shared" si="1"/>
        <v>307.81969047561677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6.3</v>
      </c>
      <c r="N28" s="13">
        <f>IF('Données projet'!$A$36&gt;35,N27+M28-V27,IF(A28&lt;'Données projet'!$A$36,$K$205^A28,IF(A28='Données projet'!$A$36,'Données projet'!$B$36,N27+M28-V27)))</f>
        <v>73.499999999999986</v>
      </c>
      <c r="O28" s="13">
        <f>N28*VLOOKUP('Données projet'!$B$9,Paramètres!$A$1:$I$89,3,0)*VLOOKUP('Données projet'!$B$9,Paramètres!$A$1:$I$89,5,0)</f>
        <v>66.502799999999979</v>
      </c>
      <c r="P28" s="13">
        <f t="shared" si="33"/>
        <v>18.802406075407909</v>
      </c>
      <c r="Q28" s="20">
        <f t="shared" si="2"/>
        <v>148.57323391466869</v>
      </c>
      <c r="R28" s="59">
        <f t="shared" si="0"/>
        <v>435.79545613689095</v>
      </c>
      <c r="S28" s="59">
        <f ca="1">AVERAGE(OFFSET($R$3,0,0,'Données projet'!$E$9+1,1))-AVERAGE(OFFSET($H$3,0,0,'Données projet'!$E$9+1,1))</f>
        <v>269.19146943657933</v>
      </c>
      <c r="T28" s="59">
        <f t="shared" si="34"/>
        <v>185.94138814570965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24.9</v>
      </c>
      <c r="AI28" s="13">
        <f>IF('Données projet'!$A$62&gt;35,AI27+AH28-AQ27,IF(A28&lt;'Données projet'!$A$62,$AF$205^A28,IF(A28='Données projet'!$A$62,'Données projet'!$B$62,AI27+AH28-AQ27)))</f>
        <v>235.50000000000003</v>
      </c>
      <c r="AJ28" s="13">
        <f>AI28*VLOOKUP('Données projet'!$B$10,Paramètres!$A$1:$I$89,3,0)*VLOOKUP('Données projet'!$B$10,Paramètres!$A$1:$I$89,5,0)</f>
        <v>131.64450000000002</v>
      </c>
      <c r="AK28" s="13">
        <f t="shared" si="35"/>
        <v>34.376076542672536</v>
      </c>
      <c r="AL28" s="20">
        <f t="shared" si="4"/>
        <v>289.15250414515464</v>
      </c>
      <c r="AM28" s="59">
        <f t="shared" si="5"/>
        <v>576.37472636737687</v>
      </c>
      <c r="AN28" s="59">
        <f ca="1">AVERAGE(OFFSET($AM$3,0,0,'Données projet'!$E$10+1,1))-AVERAGE(OFFSET($H$3,0,0,'Données projet'!$E$10+1,1))</f>
        <v>400.34672861351783</v>
      </c>
      <c r="AO28" s="59">
        <f t="shared" si="36"/>
        <v>413.2016163204438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14.853636340526744</v>
      </c>
      <c r="AW28" s="21">
        <f>EXP(-LN(2)/2)*AW27+(1-EXP(-LN(2)/2))/(LN(2)/2)*AQ28*AT28*VLOOKUP('Données projet'!$B$10,Paramètres!$A$1:$I$89,3,0)*0.475*44/12</f>
        <v>4.6991753205788829</v>
      </c>
      <c r="AX28" s="21">
        <f t="shared" si="6"/>
        <v>19.552811661105629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1">
        <f t="shared" si="32"/>
        <v>7.3919399937804329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67">
        <f t="shared" si="1"/>
        <v>309.80690215583428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6.3</v>
      </c>
      <c r="N29" s="13">
        <f>IF('Données projet'!$A$36&gt;35,N28+M29-V28,IF(A29&lt;'Données projet'!$A$36,$K$205^A29,IF(A29='Données projet'!$A$36,'Données projet'!$B$36,N28+M29-V28)))</f>
        <v>79.799999999999983</v>
      </c>
      <c r="O29" s="13">
        <f>N29*VLOOKUP('Données projet'!$B$9,Paramètres!$A$1:$I$89,3,0)*VLOOKUP('Données projet'!$B$9,Paramètres!$A$1:$I$89,5,0)</f>
        <v>72.203039999999973</v>
      </c>
      <c r="P29" s="13">
        <f t="shared" si="33"/>
        <v>20.219559499787128</v>
      </c>
      <c r="Q29" s="20">
        <f t="shared" si="2"/>
        <v>160.96936079546251</v>
      </c>
      <c r="R29" s="59">
        <f t="shared" si="0"/>
        <v>449.41380523990699</v>
      </c>
      <c r="S29" s="59">
        <f ca="1">AVERAGE(OFFSET($R$3,0,0,'Données projet'!$E$9+1,1))-AVERAGE(OFFSET($H$3,0,0,'Données projet'!$E$9+1,1))</f>
        <v>269.19146943657933</v>
      </c>
      <c r="T29" s="59">
        <f t="shared" si="34"/>
        <v>185.94138814570965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24.9</v>
      </c>
      <c r="AI29" s="13">
        <f>IF('Données projet'!$A$62&gt;35,AI28+AH29-AQ28,IF(A29&lt;'Données projet'!$A$62,$AF$205^A29,IF(A29='Données projet'!$A$62,'Données projet'!$B$62,AI28+AH29-AQ28)))</f>
        <v>260.40000000000003</v>
      </c>
      <c r="AJ29" s="13">
        <f>AI29*VLOOKUP('Données projet'!$B$10,Paramètres!$A$1:$I$89,3,0)*VLOOKUP('Données projet'!$B$10,Paramètres!$A$1:$I$89,5,0)</f>
        <v>145.56360000000001</v>
      </c>
      <c r="AK29" s="13">
        <f t="shared" si="35"/>
        <v>37.568642979458723</v>
      </c>
      <c r="AL29" s="20">
        <f t="shared" si="4"/>
        <v>318.95532318922392</v>
      </c>
      <c r="AM29" s="59">
        <f t="shared" si="5"/>
        <v>607.39976763366838</v>
      </c>
      <c r="AN29" s="59">
        <f ca="1">AVERAGE(OFFSET($AM$3,0,0,'Données projet'!$E$10+1,1))-AVERAGE(OFFSET($H$3,0,0,'Données projet'!$E$10+1,1))</f>
        <v>400.34672861351783</v>
      </c>
      <c r="AO29" s="59">
        <f t="shared" si="36"/>
        <v>413.2016163204438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14.447462873676255</v>
      </c>
      <c r="AW29" s="21">
        <f>EXP(-LN(2)/2)*AW28+(1-EXP(-LN(2)/2))/(LN(2)/2)*AQ29*AT29*VLOOKUP('Données projet'!$B$10,Paramètres!$A$1:$I$89,3,0)*0.475*44/12</f>
        <v>3.3228187351657965</v>
      </c>
      <c r="AX29" s="21">
        <f t="shared" si="6"/>
        <v>17.770281608842051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1">
        <f t="shared" si="32"/>
        <v>7.6425977910346958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67">
        <f t="shared" si="1"/>
        <v>311.79215448605208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6.3</v>
      </c>
      <c r="N30" s="13">
        <f>IF('Données projet'!$A$36&gt;35,N29+M30-V29,IF(A30&lt;'Données projet'!$A$36,$K$205^A30,IF(A30='Données projet'!$A$36,'Données projet'!$B$36,N29+M30-V29)))</f>
        <v>86.09999999999998</v>
      </c>
      <c r="O30" s="13">
        <f>N30*VLOOKUP('Données projet'!$B$9,Paramètres!$A$1:$I$89,3,0)*VLOOKUP('Données projet'!$B$9,Paramètres!$A$1:$I$89,5,0)</f>
        <v>77.903279999999981</v>
      </c>
      <c r="P30" s="13">
        <f t="shared" si="33"/>
        <v>21.623735462576285</v>
      </c>
      <c r="Q30" s="20">
        <f t="shared" si="2"/>
        <v>173.342885263987</v>
      </c>
      <c r="R30" s="59">
        <f t="shared" si="0"/>
        <v>463.00955193065369</v>
      </c>
      <c r="S30" s="59">
        <f ca="1">AVERAGE(OFFSET($R$3,0,0,'Données projet'!$E$9+1,1))-AVERAGE(OFFSET($H$3,0,0,'Données projet'!$E$9+1,1))</f>
        <v>269.19146943657933</v>
      </c>
      <c r="T30" s="59">
        <f t="shared" si="34"/>
        <v>185.94138814570965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24.9</v>
      </c>
      <c r="AI30" s="13">
        <f>IF('Données projet'!$A$62&gt;35,AI29+AH30-AQ29,IF(A30&lt;'Données projet'!$A$62,$AF$205^A30,IF(A30='Données projet'!$A$62,'Données projet'!$B$62,AI29+AH30-AQ29)))</f>
        <v>285.3</v>
      </c>
      <c r="AJ30" s="13">
        <f>AI30*VLOOKUP('Données projet'!$B$10,Paramètres!$A$1:$I$89,3,0)*VLOOKUP('Données projet'!$B$10,Paramètres!$A$1:$I$89,5,0)</f>
        <v>159.48269999999999</v>
      </c>
      <c r="AK30" s="13">
        <f t="shared" si="35"/>
        <v>40.725814966140675</v>
      </c>
      <c r="AL30" s="20">
        <f t="shared" si="4"/>
        <v>348.69649689936165</v>
      </c>
      <c r="AM30" s="59">
        <f t="shared" si="5"/>
        <v>638.36316356602833</v>
      </c>
      <c r="AN30" s="59">
        <f ca="1">AVERAGE(OFFSET($AM$3,0,0,'Données projet'!$E$10+1,1))-AVERAGE(OFFSET($H$3,0,0,'Données projet'!$E$10+1,1))</f>
        <v>400.34672861351783</v>
      </c>
      <c r="AO30" s="59">
        <f t="shared" si="36"/>
        <v>413.2016163204438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14.052396241636526</v>
      </c>
      <c r="AW30" s="21">
        <f>EXP(-LN(2)/2)*AW29+(1-EXP(-LN(2)/2))/(LN(2)/2)*AQ30*AT30*VLOOKUP('Données projet'!$B$10,Paramètres!$A$1:$I$89,3,0)*0.475*44/12</f>
        <v>2.3495876602894414</v>
      </c>
      <c r="AX30" s="21">
        <f t="shared" si="6"/>
        <v>16.401983901925966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1">
        <f t="shared" si="32"/>
        <v>7.8921770401958202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67">
        <f t="shared" si="1"/>
        <v>313.77552834500773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6.3</v>
      </c>
      <c r="N31" s="13">
        <f>IF('Données projet'!$A$36&gt;35,N30+M31-V30,IF(A31&lt;'Données projet'!$A$36,$K$205^A31,IF(A31='Données projet'!$A$36,'Données projet'!$B$36,N30+M31-V30)))</f>
        <v>92.399999999999977</v>
      </c>
      <c r="O31" s="13">
        <f>N31*VLOOKUP('Données projet'!$B$9,Paramètres!$A$1:$I$89,3,0)*VLOOKUP('Données projet'!$B$9,Paramètres!$A$1:$I$89,5,0)</f>
        <v>83.603519999999975</v>
      </c>
      <c r="P31" s="13">
        <f t="shared" si="33"/>
        <v>23.015991519299678</v>
      </c>
      <c r="Q31" s="20">
        <f t="shared" si="2"/>
        <v>185.69564922944687</v>
      </c>
      <c r="R31" s="59">
        <f t="shared" si="0"/>
        <v>476.58453811833573</v>
      </c>
      <c r="S31" s="59">
        <f ca="1">AVERAGE(OFFSET($R$3,0,0,'Données projet'!$E$9+1,1))-AVERAGE(OFFSET($H$3,0,0,'Données projet'!$E$9+1,1))</f>
        <v>269.19146943657933</v>
      </c>
      <c r="T31" s="59">
        <f t="shared" si="34"/>
        <v>185.94138814570965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24.9</v>
      </c>
      <c r="AI31" s="13">
        <f>IF('Données projet'!$A$62&gt;35,AI30+AH31-AQ30,IF(A31&lt;'Données projet'!$A$62,$AF$205^A31,IF(A31='Données projet'!$A$62,'Données projet'!$B$62,AI30+AH31-AQ30)))</f>
        <v>310.2</v>
      </c>
      <c r="AJ31" s="13">
        <f>AI31*VLOOKUP('Données projet'!$B$10,Paramètres!$A$1:$I$89,3,0)*VLOOKUP('Données projet'!$B$10,Paramètres!$A$1:$I$89,5,0)</f>
        <v>173.40180000000001</v>
      </c>
      <c r="AK31" s="13">
        <f t="shared" si="35"/>
        <v>43.851032851075928</v>
      </c>
      <c r="AL31" s="20">
        <f t="shared" si="4"/>
        <v>378.38201721562388</v>
      </c>
      <c r="AM31" s="59">
        <f t="shared" si="5"/>
        <v>669.27090610451273</v>
      </c>
      <c r="AN31" s="59">
        <f ca="1">AVERAGE(OFFSET($AM$3,0,0,'Données projet'!$E$10+1,1))-AVERAGE(OFFSET($H$3,0,0,'Données projet'!$E$10+1,1))</f>
        <v>400.34672861351783</v>
      </c>
      <c r="AO31" s="59">
        <f t="shared" si="36"/>
        <v>413.2016163204438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13.668132727425574</v>
      </c>
      <c r="AW31" s="21">
        <f>EXP(-LN(2)/2)*AW30+(1-EXP(-LN(2)/2))/(LN(2)/2)*AQ31*AT31*VLOOKUP('Données projet'!$B$10,Paramètres!$A$1:$I$89,3,0)*0.475*44/12</f>
        <v>1.6614093675828983</v>
      </c>
      <c r="AX31" s="21">
        <f t="shared" si="6"/>
        <v>15.329542095008472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1">
        <f t="shared" si="32"/>
        <v>8.1407206738151334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67">
        <f t="shared" si="1"/>
        <v>315.75709850689469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6.3</v>
      </c>
      <c r="N32" s="13">
        <f>IF('Données projet'!$A$36&gt;35,N31+M32-V31,IF(A32&lt;'Données projet'!$A$36,$K$205^A32,IF(A32='Données projet'!$A$36,'Données projet'!$B$36,N31+M32-V31)))</f>
        <v>98.699999999999974</v>
      </c>
      <c r="O32" s="13">
        <f>N32*VLOOKUP('Données projet'!$B$9,Paramètres!$A$1:$I$89,3,0)*VLOOKUP('Données projet'!$B$9,Paramètres!$A$1:$I$89,5,0)</f>
        <v>89.303759999999968</v>
      </c>
      <c r="P32" s="13">
        <f t="shared" si="33"/>
        <v>24.397232850954325</v>
      </c>
      <c r="Q32" s="20">
        <f t="shared" si="2"/>
        <v>198.02922921541202</v>
      </c>
      <c r="R32" s="59">
        <f t="shared" si="0"/>
        <v>490.14034032652319</v>
      </c>
      <c r="S32" s="59">
        <f ca="1">AVERAGE(OFFSET($R$3,0,0,'Données projet'!$E$9+1,1))-AVERAGE(OFFSET($H$3,0,0,'Données projet'!$E$9+1,1))</f>
        <v>269.19146943657933</v>
      </c>
      <c r="T32" s="59">
        <f t="shared" si="34"/>
        <v>185.94138814570965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24.9</v>
      </c>
      <c r="AI32" s="13">
        <f>IF('Données projet'!$A$62&gt;35,AI31+AH32-AQ31,IF(A32&lt;'Données projet'!$A$62,$AF$205^A32,IF(A32='Données projet'!$A$62,'Données projet'!$B$62,AI31+AH32-AQ31)))</f>
        <v>335.09999999999997</v>
      </c>
      <c r="AJ32" s="13">
        <f>AI32*VLOOKUP('Données projet'!$B$10,Paramètres!$A$1:$I$89,3,0)*VLOOKUP('Données projet'!$B$10,Paramètres!$A$1:$I$89,5,0)</f>
        <v>187.32089999999999</v>
      </c>
      <c r="AK32" s="13">
        <f t="shared" si="35"/>
        <v>46.947153229494532</v>
      </c>
      <c r="AL32" s="20">
        <f t="shared" si="4"/>
        <v>408.01685937470296</v>
      </c>
      <c r="AM32" s="59">
        <f t="shared" si="5"/>
        <v>700.1279704858141</v>
      </c>
      <c r="AN32" s="59">
        <f ca="1">AVERAGE(OFFSET($AM$3,0,0,'Données projet'!$E$10+1,1))-AVERAGE(OFFSET($H$3,0,0,'Données projet'!$E$10+1,1))</f>
        <v>400.34672861351783</v>
      </c>
      <c r="AO32" s="59">
        <f t="shared" si="36"/>
        <v>413.2016163204438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13.29437691921826</v>
      </c>
      <c r="AW32" s="21">
        <f>EXP(-LN(2)/2)*AW31+(1-EXP(-LN(2)/2))/(LN(2)/2)*AQ32*AT32*VLOOKUP('Données projet'!$B$10,Paramètres!$A$1:$I$89,3,0)*0.475*44/12</f>
        <v>1.1747938301447207</v>
      </c>
      <c r="AX32" s="21">
        <f t="shared" si="6"/>
        <v>14.469170749362981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1">
        <f t="shared" si="32"/>
        <v>8.388268495647786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67">
        <f t="shared" si="1"/>
        <v>317.73693429658658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105</v>
      </c>
      <c r="L33" s="12">
        <f>VLOOKUP(A33,'Données projet'!$A$35:$I$55,9,0)</f>
        <v>6.3</v>
      </c>
      <c r="M33" s="12">
        <f t="array" ref="M33">INDEX(L:L,MIN(IF(ISNUMBER(L33:L229),ROW(L33:L229),"")))</f>
        <v>6.3</v>
      </c>
      <c r="N33" s="13">
        <f>IF('Données projet'!$A$36&gt;35,N32+M33-V32,IF(A33&lt;'Données projet'!$A$36,$K$205^A33,IF(A33='Données projet'!$A$36,'Données projet'!$B$36,N32+M33-V32)))</f>
        <v>104.99999999999997</v>
      </c>
      <c r="O33" s="13">
        <f>N33*VLOOKUP('Données projet'!$B$9,Paramètres!$A$1:$I$89,3,0)*VLOOKUP('Données projet'!$B$9,Paramètres!$A$1:$I$89,5,0)</f>
        <v>95.003999999999962</v>
      </c>
      <c r="P33" s="13">
        <f t="shared" si="33"/>
        <v>25.768242550600764</v>
      </c>
      <c r="Q33" s="20">
        <f t="shared" si="2"/>
        <v>210.34498910896289</v>
      </c>
      <c r="R33" s="59">
        <f t="shared" si="0"/>
        <v>503.67832244229623</v>
      </c>
      <c r="S33" s="59">
        <f ca="1">AVERAGE(OFFSET($R$3,0,0,'Données projet'!$E$9+1,1))-AVERAGE(OFFSET($H$3,0,0,'Données projet'!$E$9+1,1))</f>
        <v>269.19146943657933</v>
      </c>
      <c r="T33" s="59">
        <f t="shared" si="34"/>
        <v>185.94138814570965</v>
      </c>
      <c r="U33" s="15">
        <f>IF(ISNA(VLOOKUP(A33,'Données projet'!$A$35:$I$55,3,0)),0,VLOOKUP(A33,'Données projet'!$A$35:$I$55,3,0))</f>
        <v>1</v>
      </c>
      <c r="V33" s="15">
        <f>IF(ISNA(VLOOKUP(A33,'Données projet'!$A$35:$I$55,4,0)),0,VLOOKUP(A33,'Données projet'!$A$35:$I$55,4,0))</f>
        <v>29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0.1075</v>
      </c>
      <c r="Y33" s="16">
        <f>IF(ISNA(VLOOKUP(A33,'Données projet'!$A$35:$I$55,7,0)),0%,VLOOKUP(A33,'Données projet'!$A$35:$I$55,7,0))</f>
        <v>0.25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3.1059381724899082</v>
      </c>
      <c r="AB33" s="21">
        <f>EXP(-LN(2)/2)*AB32+(1-EXP(-LN(2)/2))/(LN(2)/2)*V33*Y33*VLOOKUP('Données projet'!$B$9,Paramètres!$A$1:$I$89,3,0)*0.475*44/12</f>
        <v>6.1893478544284255</v>
      </c>
      <c r="AC33" s="22">
        <f t="shared" si="3"/>
        <v>9.2952860269183333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360</v>
      </c>
      <c r="AG33" s="12">
        <f>VLOOKUP(A33,'Données projet'!$A$61:$I$81,9,0)</f>
        <v>24.9</v>
      </c>
      <c r="AH33" s="12">
        <f t="array" ref="AH33">INDEX(AG:AG,MIN(IF(ISNUMBER(AG33:AG229),ROW(AG33:AG229),"")))</f>
        <v>24.9</v>
      </c>
      <c r="AI33" s="13">
        <f>IF('Données projet'!$A$62&gt;35,AI32+AH33-AQ32,IF(A33&lt;'Données projet'!$A$62,$AF$205^A33,IF(A33='Données projet'!$A$62,'Données projet'!$B$62,AI32+AH33-AQ32)))</f>
        <v>359.99999999999994</v>
      </c>
      <c r="AJ33" s="13">
        <f>AI33*VLOOKUP('Données projet'!$B$10,Paramètres!$A$1:$I$89,3,0)*VLOOKUP('Données projet'!$B$10,Paramètres!$A$1:$I$89,5,0)</f>
        <v>201.23999999999998</v>
      </c>
      <c r="AK33" s="13">
        <f t="shared" si="35"/>
        <v>50.016584086333268</v>
      </c>
      <c r="AL33" s="20">
        <f t="shared" si="4"/>
        <v>437.60521728369707</v>
      </c>
      <c r="AM33" s="59">
        <f t="shared" si="5"/>
        <v>730.93855061703039</v>
      </c>
      <c r="AN33" s="59">
        <f ca="1">AVERAGE(OFFSET($AM$3,0,0,'Données projet'!$E$10+1,1))-AVERAGE(OFFSET($H$3,0,0,'Données projet'!$E$10+1,1))</f>
        <v>400.34672861351783</v>
      </c>
      <c r="AO33" s="59">
        <f t="shared" si="36"/>
        <v>413.2016163204438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126</v>
      </c>
      <c r="AR33" s="16">
        <f>IF(ISNA(VLOOKUP(A33,'Données projet'!$A$61:$I$81,5,0)),0%,VLOOKUP(A33,'Données projet'!$A$61:$I$81,5,0)*VLOOKUP('Données projet'!$B$10,Paramètres!$A$1:$I$89,7,0))</f>
        <v>0.11000000000000001</v>
      </c>
      <c r="AS33" s="16">
        <f>IF(ISNA(VLOOKUP(A33,'Données projet'!$A$61:$I$81,6,0)),0%,VLOOKUP(A33,'Données projet'!$A$61:$I$81,6,0)*VLOOKUP('Données projet'!$B$10,Paramètres!$A$1:$I$89,7,0))</f>
        <v>0.22000000000000003</v>
      </c>
      <c r="AT33" s="16">
        <f>IF(ISNA(VLOOKUP(A33,'Données projet'!$A$61:$I$81,7,0)),0%,VLOOKUP(A33,'Données projet'!$A$61:$I$81,7,0))</f>
        <v>0.4</v>
      </c>
      <c r="AU33" s="21">
        <f>EXP(-LN(2)/35)*AU32+(1-EXP(-LN(2)/35))/(LN(2)/35)*AQ33*AR33*VLOOKUP('Données projet'!$B$10,Paramètres!$A$1:$I$89,3,0)*0.475*44/12</f>
        <v>10.277876493987145</v>
      </c>
      <c r="AV33" s="21">
        <f>EXP(-LN(2)/25)*AV32+(1-EXP(-LN(2)/25))/(LN(2)/25)*Calculateur!AQ33*Calculateur!AS33*VLOOKUP('Données projet'!$B$10,Paramètres!$A$1:$I$89,3,0)*0.475*44/12</f>
        <v>33.405658639346044</v>
      </c>
      <c r="AW33" s="21">
        <f>EXP(-LN(2)/2)*AW32+(1-EXP(-LN(2)/2))/(LN(2)/2)*AQ33*AT33*VLOOKUP('Données projet'!$B$10,Paramètres!$A$1:$I$89,3,0)*0.475*44/12</f>
        <v>32.729764541383091</v>
      </c>
      <c r="AX33" s="21">
        <f t="shared" si="6"/>
        <v>76.413299674716285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1">
        <f t="shared" si="32"/>
        <v>8.6348575052881742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67">
        <f t="shared" si="1"/>
        <v>319.71510015504356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8.1999999999999993</v>
      </c>
      <c r="N34" s="13">
        <f>IF('Données projet'!$A$36&gt;35,N33+M34-V33,IF(A34&lt;'Données projet'!$A$36,$K$205^A34,IF(A34='Données projet'!$A$36,'Données projet'!$B$36,N33+M34-V33)))</f>
        <v>84.199999999999974</v>
      </c>
      <c r="O34" s="13">
        <f>N34*VLOOKUP('Données projet'!$B$9,Paramètres!$A$1:$I$89,3,0)*VLOOKUP('Données projet'!$B$9,Paramètres!$A$1:$I$89,5,0)</f>
        <v>76.184159999999977</v>
      </c>
      <c r="P34" s="13">
        <f t="shared" si="33"/>
        <v>21.201554232857205</v>
      </c>
      <c r="Q34" s="20">
        <f t="shared" si="2"/>
        <v>169.61345228889294</v>
      </c>
      <c r="R34" s="59">
        <f t="shared" si="0"/>
        <v>462.94678562222623</v>
      </c>
      <c r="S34" s="59">
        <f ca="1">AVERAGE(OFFSET($R$3,0,0,'Données projet'!$E$9+1,1))-AVERAGE(OFFSET($H$3,0,0,'Données projet'!$E$9+1,1))</f>
        <v>269.19146943657933</v>
      </c>
      <c r="T34" s="59">
        <f t="shared" si="34"/>
        <v>185.94138814570965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3.0210061298289821</v>
      </c>
      <c r="AB34" s="21">
        <f>EXP(-LN(2)/2)*AB33+(1-EXP(-LN(2)/2))/(LN(2)/2)*V34*Y34*VLOOKUP('Données projet'!$B$9,Paramètres!$A$1:$I$89,3,0)*0.475*44/12</f>
        <v>4.3765298389887484</v>
      </c>
      <c r="AC34" s="22">
        <f t="shared" si="3"/>
        <v>7.3975359688177305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24.3</v>
      </c>
      <c r="AI34" s="13">
        <f>IF('Données projet'!$A$62&gt;35,AI33+AH34-AQ33,IF(A34&lt;'Données projet'!$A$62,$AF$205^A34,IF(A34='Données projet'!$A$62,'Données projet'!$B$62,AI33+AH34-AQ33)))</f>
        <v>258.29999999999995</v>
      </c>
      <c r="AJ34" s="13">
        <f>AI34*VLOOKUP('Données projet'!$B$10,Paramètres!$A$1:$I$89,3,0)*VLOOKUP('Données projet'!$B$10,Paramètres!$A$1:$I$89,5,0)</f>
        <v>144.38969999999998</v>
      </c>
      <c r="AK34" s="13">
        <f t="shared" si="35"/>
        <v>37.30081007271778</v>
      </c>
      <c r="AL34" s="20">
        <f t="shared" si="4"/>
        <v>316.44430504331677</v>
      </c>
      <c r="AM34" s="59">
        <f t="shared" si="5"/>
        <v>609.77763837665009</v>
      </c>
      <c r="AN34" s="59">
        <f ca="1">AVERAGE(OFFSET($AM$3,0,0,'Données projet'!$E$10+1,1))-AVERAGE(OFFSET($H$3,0,0,'Données projet'!$E$10+1,1))</f>
        <v>400.34672861351783</v>
      </c>
      <c r="AO34" s="59">
        <f t="shared" si="36"/>
        <v>413.2016163204438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10.076333604825718</v>
      </c>
      <c r="AV34" s="21">
        <f>EXP(-LN(2)/25)*AV33+(1-EXP(-LN(2)/25))/(LN(2)/25)*Calculateur!AQ34*Calculateur!AS34*VLOOKUP('Données projet'!$B$10,Paramètres!$A$1:$I$89,3,0)*0.475*44/12</f>
        <v>32.492179147125889</v>
      </c>
      <c r="AW34" s="21">
        <f>EXP(-LN(2)/2)*AW33+(1-EXP(-LN(2)/2))/(LN(2)/2)*AQ34*AT34*VLOOKUP('Données projet'!$B$10,Paramètres!$A$1:$I$89,3,0)*0.475*44/12</f>
        <v>23.143438453850997</v>
      </c>
      <c r="AX34" s="21">
        <f t="shared" si="6"/>
        <v>65.711951205802606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1">
        <f t="shared" si="32"/>
        <v>8.8805221797401579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67">
        <f t="shared" si="1"/>
        <v>321.69165612971409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8.1999999999999993</v>
      </c>
      <c r="N35" s="13">
        <f>IF('Données projet'!$A$36&gt;35,N34+M35-V34,IF(A35&lt;'Données projet'!$A$36,$K$205^A35,IF(A35='Données projet'!$A$36,'Données projet'!$B$36,N34+M35-V34)))</f>
        <v>92.399999999999977</v>
      </c>
      <c r="O35" s="13">
        <f>N35*VLOOKUP('Données projet'!$B$9,Paramètres!$A$1:$I$89,3,0)*VLOOKUP('Données projet'!$B$9,Paramètres!$A$1:$I$89,5,0)</f>
        <v>83.603519999999975</v>
      </c>
      <c r="P35" s="13">
        <f t="shared" si="33"/>
        <v>23.015991519299678</v>
      </c>
      <c r="Q35" s="20">
        <f t="shared" ref="Q35:Q66" si="53">(O35+P35)*0.475*44/12</f>
        <v>185.69564922944687</v>
      </c>
      <c r="R35" s="59">
        <f t="shared" si="0"/>
        <v>479.02898256278019</v>
      </c>
      <c r="S35" s="59">
        <f ca="1">AVERAGE(OFFSET($R$3,0,0,'Données projet'!$E$9+1,1))-AVERAGE(OFFSET($H$3,0,0,'Données projet'!$E$9+1,1))</f>
        <v>269.19146943657933</v>
      </c>
      <c r="T35" s="59">
        <f t="shared" si="34"/>
        <v>185.94138814570965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2.938396558341001</v>
      </c>
      <c r="AB35" s="21">
        <f>EXP(-LN(2)/2)*AB34+(1-EXP(-LN(2)/2))/(LN(2)/2)*V35*Y35*VLOOKUP('Données projet'!$B$9,Paramètres!$A$1:$I$89,3,0)*0.475*44/12</f>
        <v>3.0946739272142132</v>
      </c>
      <c r="AC35" s="22">
        <f t="shared" si="3"/>
        <v>6.0330704855552142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24.3</v>
      </c>
      <c r="AI35" s="13">
        <f>IF('Données projet'!$A$62&gt;35,AI34+AH35-AQ34,IF(A35&lt;'Données projet'!$A$62,$AF$205^A35,IF(A35='Données projet'!$A$62,'Données projet'!$B$62,AI34+AH35-AQ34)))</f>
        <v>282.59999999999997</v>
      </c>
      <c r="AJ35" s="13">
        <f>AI35*VLOOKUP('Données projet'!$B$10,Paramètres!$A$1:$I$89,3,0)*VLOOKUP('Données projet'!$B$10,Paramètres!$A$1:$I$89,5,0)</f>
        <v>157.9734</v>
      </c>
      <c r="AK35" s="13">
        <f t="shared" si="35"/>
        <v>40.38507155381253</v>
      </c>
      <c r="AL35" s="20">
        <f t="shared" si="4"/>
        <v>345.47433795622351</v>
      </c>
      <c r="AM35" s="59">
        <f t="shared" si="5"/>
        <v>638.80767128955677</v>
      </c>
      <c r="AN35" s="59">
        <f ca="1">AVERAGE(OFFSET($AM$3,0,0,'Données projet'!$E$10+1,1))-AVERAGE(OFFSET($H$3,0,0,'Données projet'!$E$10+1,1))</f>
        <v>400.34672861351783</v>
      </c>
      <c r="AO35" s="59">
        <f t="shared" si="36"/>
        <v>413.2016163204438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9.8787428487917222</v>
      </c>
      <c r="AV35" s="21">
        <f>EXP(-LN(2)/25)*AV34+(1-EXP(-LN(2)/25))/(LN(2)/25)*Calculateur!AQ35*Calculateur!AS35*VLOOKUP('Données projet'!$B$10,Paramètres!$A$1:$I$89,3,0)*0.475*44/12</f>
        <v>31.60367879965829</v>
      </c>
      <c r="AW35" s="21">
        <f>EXP(-LN(2)/2)*AW34+(1-EXP(-LN(2)/2))/(LN(2)/2)*AQ35*AT35*VLOOKUP('Données projet'!$B$10,Paramètres!$A$1:$I$89,3,0)*0.475*44/12</f>
        <v>16.364882270691549</v>
      </c>
      <c r="AX35" s="21">
        <f t="shared" si="6"/>
        <v>57.847303919141567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1">
        <f t="shared" si="32"/>
        <v>9.1252947188023139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67">
        <f t="shared" si="1"/>
        <v>323.66665830191403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8.1999999999999993</v>
      </c>
      <c r="N36" s="13">
        <f>IF('Données projet'!$A$36&gt;35,N35+M36-V35,IF(A36&lt;'Données projet'!$A$36,$K$205^A36,IF(A36='Données projet'!$A$36,'Données projet'!$B$36,N35+M36-V35)))</f>
        <v>100.59999999999998</v>
      </c>
      <c r="O36" s="13">
        <f>N36*VLOOKUP('Données projet'!$B$9,Paramètres!$A$1:$I$89,3,0)*VLOOKUP('Données projet'!$B$9,Paramètres!$A$1:$I$89,5,0)</f>
        <v>91.022879999999972</v>
      </c>
      <c r="P36" s="13">
        <f t="shared" si="33"/>
        <v>24.811756526220293</v>
      </c>
      <c r="Q36" s="20">
        <f t="shared" si="53"/>
        <v>201.74532528316695</v>
      </c>
      <c r="R36" s="59">
        <f t="shared" si="0"/>
        <v>495.07865861650026</v>
      </c>
      <c r="S36" s="59">
        <f ca="1">AVERAGE(OFFSET($R$3,0,0,'Données projet'!$E$9+1,1))-AVERAGE(OFFSET($H$3,0,0,'Données projet'!$E$9+1,1))</f>
        <v>269.19146943657933</v>
      </c>
      <c r="T36" s="59">
        <f t="shared" si="34"/>
        <v>185.94138814570965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2.8580459499296071</v>
      </c>
      <c r="AB36" s="21">
        <f>EXP(-LN(2)/2)*AB35+(1-EXP(-LN(2)/2))/(LN(2)/2)*V36*Y36*VLOOKUP('Données projet'!$B$9,Paramètres!$A$1:$I$89,3,0)*0.475*44/12</f>
        <v>2.1882649194943746</v>
      </c>
      <c r="AC36" s="22">
        <f t="shared" si="3"/>
        <v>5.0463108694239818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24.3</v>
      </c>
      <c r="AI36" s="13">
        <f>IF('Données projet'!$A$62&gt;35,AI35+AH36-AQ35,IF(A36&lt;'Données projet'!$A$62,$AF$205^A36,IF(A36='Données projet'!$A$62,'Données projet'!$B$62,AI35+AH36-AQ35)))</f>
        <v>306.89999999999998</v>
      </c>
      <c r="AJ36" s="13">
        <f>AI36*VLOOKUP('Données projet'!$B$10,Paramètres!$A$1:$I$89,3,0)*VLOOKUP('Données projet'!$B$10,Paramètres!$A$1:$I$89,5,0)</f>
        <v>171.55709999999999</v>
      </c>
      <c r="AK36" s="13">
        <f t="shared" si="35"/>
        <v>43.43857691318567</v>
      </c>
      <c r="AL36" s="20">
        <f t="shared" si="4"/>
        <v>374.45080395713165</v>
      </c>
      <c r="AM36" s="59">
        <f t="shared" si="5"/>
        <v>667.78413729046497</v>
      </c>
      <c r="AN36" s="59">
        <f ca="1">AVERAGE(OFFSET($AM$3,0,0,'Données projet'!$E$10+1,1))-AVERAGE(OFFSET($H$3,0,0,'Données projet'!$E$10+1,1))</f>
        <v>400.34672861351783</v>
      </c>
      <c r="AO36" s="59">
        <f t="shared" si="36"/>
        <v>413.2016163204438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9.6850267269650914</v>
      </c>
      <c r="AV36" s="21">
        <f>EXP(-LN(2)/25)*AV35+(1-EXP(-LN(2)/25))/(LN(2)/25)*Calculateur!AQ36*Calculateur!AS36*VLOOKUP('Données projet'!$B$10,Paramètres!$A$1:$I$89,3,0)*0.475*44/12</f>
        <v>30.739474540916397</v>
      </c>
      <c r="AW36" s="21">
        <f>EXP(-LN(2)/2)*AW35+(1-EXP(-LN(2)/2))/(LN(2)/2)*AQ36*AT36*VLOOKUP('Données projet'!$B$10,Paramètres!$A$1:$I$89,3,0)*0.475*44/12</f>
        <v>11.5717192269255</v>
      </c>
      <c r="AX36" s="21">
        <f t="shared" si="6"/>
        <v>51.996220494806991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1">
        <f t="shared" si="32"/>
        <v>9.3692052598737909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67">
        <f t="shared" si="1"/>
        <v>325.64015916094684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8.1999999999999993</v>
      </c>
      <c r="N37" s="13">
        <f>IF('Données projet'!$A$36&gt;35,N36+M37-V36,IF(A37&lt;'Données projet'!$A$36,$K$205^A37,IF(A37='Données projet'!$A$36,'Données projet'!$B$36,N36+M37-V36)))</f>
        <v>108.79999999999998</v>
      </c>
      <c r="O37" s="13">
        <f>N37*VLOOKUP('Données projet'!$B$9,Paramètres!$A$1:$I$89,3,0)*VLOOKUP('Données projet'!$B$9,Paramètres!$A$1:$I$89,5,0)</f>
        <v>98.442239999999984</v>
      </c>
      <c r="P37" s="13">
        <f t="shared" si="33"/>
        <v>26.590544283900247</v>
      </c>
      <c r="Q37" s="20">
        <f t="shared" si="53"/>
        <v>217.76543262779288</v>
      </c>
      <c r="R37" s="59">
        <f t="shared" si="0"/>
        <v>511.09876596112622</v>
      </c>
      <c r="S37" s="59">
        <f ca="1">AVERAGE(OFFSET($R$3,0,0,'Données projet'!$E$9+1,1))-AVERAGE(OFFSET($H$3,0,0,'Données projet'!$E$9+1,1))</f>
        <v>269.19146943657933</v>
      </c>
      <c r="T37" s="59">
        <f t="shared" si="34"/>
        <v>185.94138814570965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2.7798925331306776</v>
      </c>
      <c r="AB37" s="21">
        <f>EXP(-LN(2)/2)*AB36+(1-EXP(-LN(2)/2))/(LN(2)/2)*V37*Y37*VLOOKUP('Données projet'!$B$9,Paramètres!$A$1:$I$89,3,0)*0.475*44/12</f>
        <v>1.5473369636071068</v>
      </c>
      <c r="AC37" s="22">
        <f t="shared" si="3"/>
        <v>4.3272294967377842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24.3</v>
      </c>
      <c r="AI37" s="13">
        <f>IF('Données projet'!$A$62&gt;35,AI36+AH37-AQ36,IF(A37&lt;'Données projet'!$A$62,$AF$205^A37,IF(A37='Données projet'!$A$62,'Données projet'!$B$62,AI36+AH37-AQ36)))</f>
        <v>331.2</v>
      </c>
      <c r="AJ37" s="13">
        <f>AI37*VLOOKUP('Données projet'!$B$10,Paramètres!$A$1:$I$89,3,0)*VLOOKUP('Données projet'!$B$10,Paramètres!$A$1:$I$89,5,0)</f>
        <v>185.14080000000001</v>
      </c>
      <c r="AK37" s="13">
        <f t="shared" si="35"/>
        <v>46.464038253813506</v>
      </c>
      <c r="AL37" s="20">
        <f t="shared" si="4"/>
        <v>403.3784266253918</v>
      </c>
      <c r="AM37" s="59">
        <f t="shared" si="5"/>
        <v>696.71175995872511</v>
      </c>
      <c r="AN37" s="59">
        <f ca="1">AVERAGE(OFFSET($AM$3,0,0,'Données projet'!$E$10+1,1))-AVERAGE(OFFSET($H$3,0,0,'Données projet'!$E$10+1,1))</f>
        <v>400.34672861351783</v>
      </c>
      <c r="AO37" s="59">
        <f t="shared" si="36"/>
        <v>413.2016163204438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9.4951092601323133</v>
      </c>
      <c r="AV37" s="21">
        <f>EXP(-LN(2)/25)*AV36+(1-EXP(-LN(2)/25))/(LN(2)/25)*Calculateur!AQ37*Calculateur!AS37*VLOOKUP('Données projet'!$B$10,Paramètres!$A$1:$I$89,3,0)*0.475*44/12</f>
        <v>29.898901993076329</v>
      </c>
      <c r="AW37" s="21">
        <f>EXP(-LN(2)/2)*AW36+(1-EXP(-LN(2)/2))/(LN(2)/2)*AQ37*AT37*VLOOKUP('Données projet'!$B$10,Paramètres!$A$1:$I$89,3,0)*0.475*44/12</f>
        <v>8.1824411353457744</v>
      </c>
      <c r="AX37" s="21">
        <f t="shared" si="6"/>
        <v>47.576452388554422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1">
        <f t="shared" si="32"/>
        <v>9.612282066778798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67">
        <f t="shared" si="1"/>
        <v>327.61220793297304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8.1999999999999993</v>
      </c>
      <c r="N38" s="13">
        <f>IF('Données projet'!$A$36&gt;35,N37+M38-V37,IF(A38&lt;'Données projet'!$A$36,$K$205^A38,IF(A38='Données projet'!$A$36,'Données projet'!$B$36,N37+M38-V37)))</f>
        <v>116.99999999999999</v>
      </c>
      <c r="O38" s="13">
        <f>N38*VLOOKUP('Données projet'!$B$9,Paramètres!$A$1:$I$89,3,0)*VLOOKUP('Données projet'!$B$9,Paramètres!$A$1:$I$89,5,0)</f>
        <v>105.86159999999998</v>
      </c>
      <c r="P38" s="13">
        <f t="shared" si="33"/>
        <v>28.353779818951288</v>
      </c>
      <c r="Q38" s="20">
        <f t="shared" si="53"/>
        <v>233.75845318467347</v>
      </c>
      <c r="R38" s="59">
        <f t="shared" si="0"/>
        <v>527.09178651800676</v>
      </c>
      <c r="S38" s="59">
        <f ca="1">AVERAGE(OFFSET($R$3,0,0,'Données projet'!$E$9+1,1))-AVERAGE(OFFSET($H$3,0,0,'Données projet'!$E$9+1,1))</f>
        <v>269.19146943657933</v>
      </c>
      <c r="T38" s="59">
        <f t="shared" si="34"/>
        <v>185.94138814570965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2.7038762256240245</v>
      </c>
      <c r="AB38" s="21">
        <f>EXP(-LN(2)/2)*AB37+(1-EXP(-LN(2)/2))/(LN(2)/2)*V38*Y38*VLOOKUP('Données projet'!$B$9,Paramètres!$A$1:$I$89,3,0)*0.475*44/12</f>
        <v>1.0941324597471873</v>
      </c>
      <c r="AC38" s="22">
        <f t="shared" si="3"/>
        <v>3.7980086853712116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24.3</v>
      </c>
      <c r="AI38" s="13">
        <f>IF('Données projet'!$A$62&gt;35,AI37+AH38-AQ37,IF(A38&lt;'Données projet'!$A$62,$AF$205^A38,IF(A38='Données projet'!$A$62,'Données projet'!$B$62,AI37+AH38-AQ37)))</f>
        <v>355.5</v>
      </c>
      <c r="AJ38" s="13">
        <f>AI38*VLOOKUP('Données projet'!$B$10,Paramètres!$A$1:$I$89,3,0)*VLOOKUP('Données projet'!$B$10,Paramètres!$A$1:$I$89,5,0)</f>
        <v>198.72450000000001</v>
      </c>
      <c r="AK38" s="13">
        <f t="shared" si="35"/>
        <v>49.463747138023976</v>
      </c>
      <c r="AL38" s="20">
        <f t="shared" si="4"/>
        <v>432.26119709872506</v>
      </c>
      <c r="AM38" s="59">
        <f t="shared" si="5"/>
        <v>725.59453043205838</v>
      </c>
      <c r="AN38" s="59">
        <f ca="1">AVERAGE(OFFSET($AM$3,0,0,'Données projet'!$E$10+1,1))-AVERAGE(OFFSET($H$3,0,0,'Données projet'!$E$10+1,1))</f>
        <v>400.34672861351783</v>
      </c>
      <c r="AO38" s="59">
        <f t="shared" si="36"/>
        <v>413.2016163204438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9.3089159589859101</v>
      </c>
      <c r="AV38" s="21">
        <f>EXP(-LN(2)/25)*AV37+(1-EXP(-LN(2)/25))/(LN(2)/25)*Calculateur!AQ38*Calculateur!AS38*VLOOKUP('Données projet'!$B$10,Paramètres!$A$1:$I$89,3,0)*0.475*44/12</f>
        <v>29.081314945760735</v>
      </c>
      <c r="AW38" s="21">
        <f>EXP(-LN(2)/2)*AW37+(1-EXP(-LN(2)/2))/(LN(2)/2)*AQ38*AT38*VLOOKUP('Données projet'!$B$10,Paramètres!$A$1:$I$89,3,0)*0.475*44/12</f>
        <v>5.7858596134627502</v>
      </c>
      <c r="AX38" s="21">
        <f t="shared" si="6"/>
        <v>44.176090518209392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1">
        <f t="shared" si="32"/>
        <v>9.8545516964045738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67">
        <f t="shared" si="1"/>
        <v>329.58285087123795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8.1999999999999993</v>
      </c>
      <c r="N39" s="13">
        <f>IF('Données projet'!$A$36&gt;35,N38+M39-V38,IF(A39&lt;'Données projet'!$A$36,$K$205^A39,IF(A39='Données projet'!$A$36,'Données projet'!$B$36,N38+M39-V38)))</f>
        <v>125.19999999999999</v>
      </c>
      <c r="O39" s="13">
        <f>N39*VLOOKUP('Données projet'!$B$9,Paramètres!$A$1:$I$89,3,0)*VLOOKUP('Données projet'!$B$9,Paramètres!$A$1:$I$89,5,0)</f>
        <v>113.28095999999998</v>
      </c>
      <c r="P39" s="13">
        <f t="shared" si="33"/>
        <v>30.102677097724456</v>
      </c>
      <c r="Q39" s="20">
        <f t="shared" si="53"/>
        <v>249.72650127853672</v>
      </c>
      <c r="R39" s="59">
        <f t="shared" si="0"/>
        <v>543.05983461186997</v>
      </c>
      <c r="S39" s="59">
        <f ca="1">AVERAGE(OFFSET($R$3,0,0,'Données projet'!$E$9+1,1))-AVERAGE(OFFSET($H$3,0,0,'Données projet'!$E$9+1,1))</f>
        <v>269.19146943657933</v>
      </c>
      <c r="T39" s="59">
        <f t="shared" si="34"/>
        <v>185.94138814570965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2.6299385880436645</v>
      </c>
      <c r="AB39" s="21">
        <f>EXP(-LN(2)/2)*AB38+(1-EXP(-LN(2)/2))/(LN(2)/2)*V39*Y39*VLOOKUP('Données projet'!$B$9,Paramètres!$A$1:$I$89,3,0)*0.475*44/12</f>
        <v>0.77366848180355341</v>
      </c>
      <c r="AC39" s="22">
        <f t="shared" si="3"/>
        <v>3.4036070698472178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24.3</v>
      </c>
      <c r="AI39" s="13">
        <f>IF('Données projet'!$A$62&gt;35,AI38+AH39-AQ38,IF(A39&lt;'Données projet'!$A$62,$AF$205^A39,IF(A39='Données projet'!$A$62,'Données projet'!$B$62,AI38+AH39-AQ38)))</f>
        <v>379.8</v>
      </c>
      <c r="AJ39" s="13">
        <f>AI39*VLOOKUP('Données projet'!$B$10,Paramètres!$A$1:$I$89,3,0)*VLOOKUP('Données projet'!$B$10,Paramètres!$A$1:$I$89,5,0)</f>
        <v>212.3082</v>
      </c>
      <c r="AK39" s="13">
        <f t="shared" si="35"/>
        <v>52.439664118821788</v>
      </c>
      <c r="AL39" s="20">
        <f t="shared" si="4"/>
        <v>461.10253000694792</v>
      </c>
      <c r="AM39" s="59">
        <f t="shared" si="5"/>
        <v>754.43586334028123</v>
      </c>
      <c r="AN39" s="59">
        <f ca="1">AVERAGE(OFFSET($AM$3,0,0,'Données projet'!$E$10+1,1))-AVERAGE(OFFSET($H$3,0,0,'Données projet'!$E$10+1,1))</f>
        <v>400.34672861351783</v>
      </c>
      <c r="AO39" s="59">
        <f t="shared" si="36"/>
        <v>413.2016163204438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9.1263737949082877</v>
      </c>
      <c r="AV39" s="21">
        <f>EXP(-LN(2)/25)*AV38+(1-EXP(-LN(2)/25))/(LN(2)/25)*Calculateur!AQ39*Calculateur!AS39*VLOOKUP('Données projet'!$B$10,Paramètres!$A$1:$I$89,3,0)*0.475*44/12</f>
        <v>28.286084859249019</v>
      </c>
      <c r="AW39" s="21">
        <f>EXP(-LN(2)/2)*AW38+(1-EXP(-LN(2)/2))/(LN(2)/2)*AQ39*AT39*VLOOKUP('Données projet'!$B$10,Paramètres!$A$1:$I$89,3,0)*0.475*44/12</f>
        <v>4.0912205676728872</v>
      </c>
      <c r="AX39" s="21">
        <f t="shared" si="6"/>
        <v>41.50367922183019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1">
        <f t="shared" si="32"/>
        <v>10.096039146303498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67">
        <f t="shared" si="1"/>
        <v>331.55213151314524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8.1999999999999993</v>
      </c>
      <c r="N40" s="13">
        <f>IF('Données projet'!$A$36&gt;35,N39+M40-V39,IF(A40&lt;'Données projet'!$A$36,$K$205^A40,IF(A40='Données projet'!$A$36,'Données projet'!$B$36,N39+M40-V39)))</f>
        <v>133.39999999999998</v>
      </c>
      <c r="O40" s="13">
        <f>N40*VLOOKUP('Données projet'!$B$9,Paramètres!$A$1:$I$89,3,0)*VLOOKUP('Données projet'!$B$9,Paramètres!$A$1:$I$89,5,0)</f>
        <v>120.70031999999998</v>
      </c>
      <c r="P40" s="13">
        <f t="shared" si="33"/>
        <v>31.838282075030818</v>
      </c>
      <c r="Q40" s="20">
        <f t="shared" si="53"/>
        <v>265.67139861401193</v>
      </c>
      <c r="R40" s="59">
        <f t="shared" si="0"/>
        <v>559.00473194734525</v>
      </c>
      <c r="S40" s="59">
        <f ca="1">AVERAGE(OFFSET($R$3,0,0,'Données projet'!$E$9+1,1))-AVERAGE(OFFSET($H$3,0,0,'Données projet'!$E$9+1,1))</f>
        <v>269.19146943657933</v>
      </c>
      <c r="T40" s="59">
        <f t="shared" si="34"/>
        <v>185.94138814570965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2.5580227790511509</v>
      </c>
      <c r="AB40" s="21">
        <f>EXP(-LN(2)/2)*AB39+(1-EXP(-LN(2)/2))/(LN(2)/2)*V40*Y40*VLOOKUP('Données projet'!$B$9,Paramètres!$A$1:$I$89,3,0)*0.475*44/12</f>
        <v>0.54706622987359366</v>
      </c>
      <c r="AC40" s="22">
        <f t="shared" si="3"/>
        <v>3.1050890089247445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24.3</v>
      </c>
      <c r="AI40" s="13">
        <f>IF('Données projet'!$A$62&gt;35,AI39+AH40-AQ39,IF(A40&lt;'Données projet'!$A$62,$AF$205^A40,IF(A40='Données projet'!$A$62,'Données projet'!$B$62,AI39+AH40-AQ39)))</f>
        <v>404.1</v>
      </c>
      <c r="AJ40" s="13">
        <f>AI40*VLOOKUP('Données projet'!$B$10,Paramètres!$A$1:$I$89,3,0)*VLOOKUP('Données projet'!$B$10,Paramètres!$A$1:$I$89,5,0)</f>
        <v>225.89190000000002</v>
      </c>
      <c r="AK40" s="13">
        <f t="shared" si="35"/>
        <v>55.393484688971533</v>
      </c>
      <c r="AL40" s="20">
        <f t="shared" si="4"/>
        <v>489.90537833329205</v>
      </c>
      <c r="AM40" s="59">
        <f t="shared" si="5"/>
        <v>783.23871166662536</v>
      </c>
      <c r="AN40" s="59">
        <f ca="1">AVERAGE(OFFSET($AM$3,0,0,'Données projet'!$E$10+1,1))-AVERAGE(OFFSET($H$3,0,0,'Données projet'!$E$10+1,1))</f>
        <v>400.34672861351783</v>
      </c>
      <c r="AO40" s="59">
        <f t="shared" si="36"/>
        <v>413.2016163204438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8.9474111713285005</v>
      </c>
      <c r="AV40" s="21">
        <f>EXP(-LN(2)/25)*AV39+(1-EXP(-LN(2)/25))/(LN(2)/25)*Calculateur!AQ40*Calculateur!AS40*VLOOKUP('Données projet'!$B$10,Paramètres!$A$1:$I$89,3,0)*0.475*44/12</f>
        <v>27.5126003812723</v>
      </c>
      <c r="AW40" s="21">
        <f>EXP(-LN(2)/2)*AW39+(1-EXP(-LN(2)/2))/(LN(2)/2)*AQ40*AT40*VLOOKUP('Données projet'!$B$10,Paramètres!$A$1:$I$89,3,0)*0.475*44/12</f>
        <v>2.8929298067313751</v>
      </c>
      <c r="AX40" s="21">
        <f t="shared" si="6"/>
        <v>39.352941359332178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1">
        <f t="shared" si="32"/>
        <v>10.336767985889495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67">
        <f t="shared" si="1"/>
        <v>333.52009090875754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8.1999999999999993</v>
      </c>
      <c r="N41" s="13">
        <f>IF('Données projet'!$A$36&gt;35,N40+M41-V40,IF(A41&lt;'Données projet'!$A$36,$K$205^A41,IF(A41='Données projet'!$A$36,'Données projet'!$B$36,N40+M41-V40)))</f>
        <v>141.59999999999997</v>
      </c>
      <c r="O41" s="13">
        <f>N41*VLOOKUP('Données projet'!$B$9,Paramètres!$A$1:$I$89,3,0)*VLOOKUP('Données projet'!$B$9,Paramètres!$A$1:$I$89,5,0)</f>
        <v>128.11967999999996</v>
      </c>
      <c r="P41" s="13">
        <f t="shared" si="33"/>
        <v>33.561504850994297</v>
      </c>
      <c r="Q41" s="20">
        <f t="shared" si="53"/>
        <v>281.5947302821483</v>
      </c>
      <c r="R41" s="59">
        <f t="shared" si="0"/>
        <v>574.92806361548162</v>
      </c>
      <c r="S41" s="59">
        <f ca="1">AVERAGE(OFFSET($R$3,0,0,'Données projet'!$E$9+1,1))-AVERAGE(OFFSET($H$3,0,0,'Données projet'!$E$9+1,1))</f>
        <v>269.19146943657933</v>
      </c>
      <c r="T41" s="59">
        <f t="shared" si="34"/>
        <v>185.94138814570965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2.4880735116374257</v>
      </c>
      <c r="AB41" s="21">
        <f>EXP(-LN(2)/2)*AB40+(1-EXP(-LN(2)/2))/(LN(2)/2)*V41*Y41*VLOOKUP('Données projet'!$B$9,Paramètres!$A$1:$I$89,3,0)*0.475*44/12</f>
        <v>0.3868342409017767</v>
      </c>
      <c r="AC41" s="22">
        <f t="shared" si="3"/>
        <v>2.8749077525392024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24.3</v>
      </c>
      <c r="AI41" s="13">
        <f>IF('Données projet'!$A$62&gt;35,AI40+AH41-AQ40,IF(A41&lt;'Données projet'!$A$62,$AF$205^A41,IF(A41='Données projet'!$A$62,'Données projet'!$B$62,AI40+AH41-AQ40)))</f>
        <v>428.40000000000003</v>
      </c>
      <c r="AJ41" s="13">
        <f>AI41*VLOOKUP('Données projet'!$B$10,Paramètres!$A$1:$I$89,3,0)*VLOOKUP('Données projet'!$B$10,Paramètres!$A$1:$I$89,5,0)</f>
        <v>239.47560000000004</v>
      </c>
      <c r="AK41" s="13">
        <f t="shared" si="35"/>
        <v>58.326688908078204</v>
      </c>
      <c r="AL41" s="20">
        <f t="shared" si="4"/>
        <v>518.67231984823627</v>
      </c>
      <c r="AM41" s="59">
        <f t="shared" si="5"/>
        <v>812.00565318156964</v>
      </c>
      <c r="AN41" s="59">
        <f ca="1">AVERAGE(OFFSET($AM$3,0,0,'Données projet'!$E$10+1,1))-AVERAGE(OFFSET($H$3,0,0,'Données projet'!$E$10+1,1))</f>
        <v>400.34672861351783</v>
      </c>
      <c r="AO41" s="59">
        <f t="shared" si="36"/>
        <v>413.2016163204438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8.7719578956406909</v>
      </c>
      <c r="AV41" s="21">
        <f>EXP(-LN(2)/25)*AV40+(1-EXP(-LN(2)/25))/(LN(2)/25)*Calculateur!AQ41*Calculateur!AS41*VLOOKUP('Données projet'!$B$10,Paramètres!$A$1:$I$89,3,0)*0.475*44/12</f>
        <v>26.760266877021635</v>
      </c>
      <c r="AW41" s="21">
        <f>EXP(-LN(2)/2)*AW40+(1-EXP(-LN(2)/2))/(LN(2)/2)*AQ41*AT41*VLOOKUP('Données projet'!$B$10,Paramètres!$A$1:$I$89,3,0)*0.475*44/12</f>
        <v>2.0456102838364436</v>
      </c>
      <c r="AX41" s="21">
        <f t="shared" si="6"/>
        <v>37.57783505649877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1">
        <f t="shared" si="32"/>
        <v>10.576760473435781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67">
        <f t="shared" si="1"/>
        <v>335.48676782456732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8.1999999999999993</v>
      </c>
      <c r="N42" s="13">
        <f>IF('Données projet'!$A$36&gt;35,N41+M42-V41,IF(A42&lt;'Données projet'!$A$36,$K$205^A42,IF(A42='Données projet'!$A$36,'Données projet'!$B$36,N41+M42-V41)))</f>
        <v>149.79999999999995</v>
      </c>
      <c r="O42" s="13">
        <f>N42*VLOOKUP('Données projet'!$B$9,Paramètres!$A$1:$I$89,3,0)*VLOOKUP('Données projet'!$B$9,Paramètres!$A$1:$I$89,5,0)</f>
        <v>135.53903999999997</v>
      </c>
      <c r="P42" s="13">
        <f t="shared" si="33"/>
        <v>35.273144164630104</v>
      </c>
      <c r="Q42" s="20">
        <f t="shared" si="53"/>
        <v>297.49788742006405</v>
      </c>
      <c r="R42" s="59">
        <f t="shared" si="0"/>
        <v>590.83122075339736</v>
      </c>
      <c r="S42" s="59">
        <f ca="1">AVERAGE(OFFSET($R$3,0,0,'Données projet'!$E$9+1,1))-AVERAGE(OFFSET($H$3,0,0,'Données projet'!$E$9+1,1))</f>
        <v>269.19146943657933</v>
      </c>
      <c r="T42" s="59">
        <f t="shared" si="34"/>
        <v>185.94138814570965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2.420037010619601</v>
      </c>
      <c r="AB42" s="21">
        <f>EXP(-LN(2)/2)*AB41+(1-EXP(-LN(2)/2))/(LN(2)/2)*V42*Y42*VLOOKUP('Données projet'!$B$9,Paramètres!$A$1:$I$89,3,0)*0.475*44/12</f>
        <v>0.27353311493679683</v>
      </c>
      <c r="AC42" s="22">
        <f t="shared" si="3"/>
        <v>2.693570125556398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24.3</v>
      </c>
      <c r="AI42" s="13">
        <f>IF('Données projet'!$A$62&gt;35,AI41+AH42-AQ41,IF(A42&lt;'Données projet'!$A$62,$AF$205^A42,IF(A42='Données projet'!$A$62,'Données projet'!$B$62,AI41+AH42-AQ41)))</f>
        <v>452.70000000000005</v>
      </c>
      <c r="AJ42" s="13">
        <f>AI42*VLOOKUP('Données projet'!$B$10,Paramètres!$A$1:$I$89,3,0)*VLOOKUP('Données projet'!$B$10,Paramètres!$A$1:$I$89,5,0)</f>
        <v>253.05930000000004</v>
      </c>
      <c r="AK42" s="13">
        <f t="shared" si="35"/>
        <v>61.240579446228374</v>
      </c>
      <c r="AL42" s="20">
        <f t="shared" si="4"/>
        <v>547.40562336884784</v>
      </c>
      <c r="AM42" s="59">
        <f t="shared" si="5"/>
        <v>840.73895670218121</v>
      </c>
      <c r="AN42" s="59">
        <f ca="1">AVERAGE(OFFSET($AM$3,0,0,'Données projet'!$E$10+1,1))-AVERAGE(OFFSET($H$3,0,0,'Données projet'!$E$10+1,1))</f>
        <v>400.34672861351783</v>
      </c>
      <c r="AO42" s="59">
        <f t="shared" si="36"/>
        <v>413.2016163204438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8.5999451516731877</v>
      </c>
      <c r="AV42" s="21">
        <f>EXP(-LN(2)/25)*AV41+(1-EXP(-LN(2)/25))/(LN(2)/25)*Calculateur!AQ42*Calculateur!AS42*VLOOKUP('Données projet'!$B$10,Paramètres!$A$1:$I$89,3,0)*0.475*44/12</f>
        <v>26.028505972008205</v>
      </c>
      <c r="AW42" s="21">
        <f>EXP(-LN(2)/2)*AW41+(1-EXP(-LN(2)/2))/(LN(2)/2)*AQ42*AT42*VLOOKUP('Données projet'!$B$10,Paramètres!$A$1:$I$89,3,0)*0.475*44/12</f>
        <v>1.4464649033656876</v>
      </c>
      <c r="AX42" s="21">
        <f t="shared" si="6"/>
        <v>36.074916027047081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1">
        <f t="shared" si="32"/>
        <v>10.816037660735208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67">
        <f t="shared" si="1"/>
        <v>337.45219892578052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158</v>
      </c>
      <c r="L43" s="12">
        <f>VLOOKUP(A43,'Données projet'!$A$35:$I$55,9,0)</f>
        <v>8.1999999999999993</v>
      </c>
      <c r="M43" s="12">
        <f t="array" ref="M43">INDEX(L:L,MIN(IF(ISNUMBER(L43:L239),ROW(L43:L239),"")))</f>
        <v>8.1999999999999993</v>
      </c>
      <c r="N43" s="13">
        <f>IF('Données projet'!$A$36&gt;35,N42+M43-V42,IF(A43&lt;'Données projet'!$A$36,$K$205^A43,IF(A43='Données projet'!$A$36,'Données projet'!$B$36,N42+M43-V42)))</f>
        <v>157.99999999999994</v>
      </c>
      <c r="O43" s="13">
        <f>N43*VLOOKUP('Données projet'!$B$9,Paramètres!$A$1:$I$89,3,0)*VLOOKUP('Données projet'!$B$9,Paramètres!$A$1:$I$89,5,0)</f>
        <v>142.95839999999993</v>
      </c>
      <c r="P43" s="13">
        <f t="shared" si="33"/>
        <v>36.973906370811264</v>
      </c>
      <c r="Q43" s="20">
        <f t="shared" si="53"/>
        <v>313.38210026249618</v>
      </c>
      <c r="R43" s="59">
        <f t="shared" si="0"/>
        <v>606.7154335958295</v>
      </c>
      <c r="S43" s="59">
        <f ca="1">AVERAGE(OFFSET($R$3,0,0,'Données projet'!$E$9+1,1))-AVERAGE(OFFSET($H$3,0,0,'Données projet'!$E$9+1,1))</f>
        <v>269.19146943657933</v>
      </c>
      <c r="T43" s="59">
        <f t="shared" si="34"/>
        <v>185.94138814570965</v>
      </c>
      <c r="U43" s="15">
        <f>IF(ISNA(VLOOKUP(A43,'Données projet'!$A$35:$I$55,3,0)),0,VLOOKUP(A43,'Données projet'!$A$35:$I$55,3,0))</f>
        <v>2</v>
      </c>
      <c r="V43" s="15">
        <f>IF(ISNA(VLOOKUP(A43,'Données projet'!$A$35:$I$55,4,0)),0,VLOOKUP(A43,'Données projet'!$A$35:$I$55,4,0))</f>
        <v>42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2.3538609712999925</v>
      </c>
      <c r="AB43" s="21">
        <f>EXP(-LN(2)/2)*AB42+(1-EXP(-LN(2)/2))/(LN(2)/2)*V43*Y43*VLOOKUP('Données projet'!$B$9,Paramètres!$A$1:$I$89,3,0)*0.475*44/12</f>
        <v>0.19341712045088835</v>
      </c>
      <c r="AC43" s="22">
        <f t="shared" si="3"/>
        <v>2.547278091750881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477</v>
      </c>
      <c r="AG43" s="12">
        <f>VLOOKUP(A43,'Données projet'!$A$61:$I$81,9,0)</f>
        <v>24.3</v>
      </c>
      <c r="AH43" s="12">
        <f t="array" ref="AH43">INDEX(AG:AG,MIN(IF(ISNUMBER(AG43:AG239),ROW(AG43:AG239),"")))</f>
        <v>24.3</v>
      </c>
      <c r="AI43" s="13">
        <f>IF('Données projet'!$A$62&gt;35,AI42+AH43-AQ42,IF(A43&lt;'Données projet'!$A$62,$AF$205^A43,IF(A43='Données projet'!$A$62,'Données projet'!$B$62,AI42+AH43-AQ42)))</f>
        <v>477.00000000000006</v>
      </c>
      <c r="AJ43" s="13">
        <f>AI43*VLOOKUP('Données projet'!$B$10,Paramètres!$A$1:$I$89,3,0)*VLOOKUP('Données projet'!$B$10,Paramètres!$A$1:$I$89,5,0)</f>
        <v>266.64300000000003</v>
      </c>
      <c r="AK43" s="13">
        <f t="shared" si="35"/>
        <v>64.136311225795083</v>
      </c>
      <c r="AL43" s="20">
        <f t="shared" si="4"/>
        <v>576.10730038492648</v>
      </c>
      <c r="AM43" s="59">
        <f t="shared" si="5"/>
        <v>869.44063371825973</v>
      </c>
      <c r="AN43" s="59">
        <f ca="1">AVERAGE(OFFSET($AM$3,0,0,'Données projet'!$E$10+1,1))-AVERAGE(OFFSET($H$3,0,0,'Données projet'!$E$10+1,1))</f>
        <v>400.34672861351783</v>
      </c>
      <c r="AO43" s="59">
        <f t="shared" si="36"/>
        <v>413.2016163204438</v>
      </c>
      <c r="AP43" s="15">
        <f>IF(ISNA(VLOOKUP(A43,'Données projet'!$A$61:$I$81,3,0)),0,VLOOKUP(A43,'Données projet'!$A$61:$I$81,3,0))</f>
        <v>3</v>
      </c>
      <c r="AQ43" s="15">
        <f>IF(ISNA(VLOOKUP(A43,'Données projet'!$A$61:$I$81,4,0)),0,VLOOKUP(A43,'Données projet'!$A$61:$I$81,4,0))</f>
        <v>126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8.4313054726974741</v>
      </c>
      <c r="AV43" s="21">
        <f>EXP(-LN(2)/25)*AV42+(1-EXP(-LN(2)/25))/(LN(2)/25)*Calculateur!AQ43*Calculateur!AS43*VLOOKUP('Données projet'!$B$10,Paramètres!$A$1:$I$89,3,0)*0.475*44/12</f>
        <v>25.316755107424001</v>
      </c>
      <c r="AW43" s="21">
        <f>EXP(-LN(2)/2)*AW42+(1-EXP(-LN(2)/2))/(LN(2)/2)*AQ43*AT43*VLOOKUP('Données projet'!$B$10,Paramètres!$A$1:$I$89,3,0)*0.475*44/12</f>
        <v>1.0228051419182218</v>
      </c>
      <c r="AX43" s="21">
        <f t="shared" si="6"/>
        <v>34.770865722039694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1">
        <f t="shared" si="32"/>
        <v>11.054619486999963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67">
        <f t="shared" si="1"/>
        <v>339.41641893985832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8.3000000000000007</v>
      </c>
      <c r="N44" s="13">
        <f>IF('Données projet'!$A$36&gt;35,N43+M44-V43,IF(A44&lt;'Données projet'!$A$36,$K$205^A44,IF(A44='Données projet'!$A$36,'Données projet'!$B$36,N43+M44-V43)))</f>
        <v>124.29999999999995</v>
      </c>
      <c r="O44" s="13">
        <f>N44*VLOOKUP('Données projet'!$B$9,Paramètres!$A$1:$I$89,3,0)*VLOOKUP('Données projet'!$B$9,Paramètres!$A$1:$I$89,5,0)</f>
        <v>112.46663999999996</v>
      </c>
      <c r="P44" s="13">
        <f t="shared" si="33"/>
        <v>29.911391992758421</v>
      </c>
      <c r="Q44" s="20">
        <f t="shared" si="53"/>
        <v>247.97507238738748</v>
      </c>
      <c r="R44" s="59">
        <f t="shared" si="0"/>
        <v>541.30840572072077</v>
      </c>
      <c r="S44" s="59">
        <f ca="1">AVERAGE(OFFSET($R$3,0,0,'Données projet'!$E$9+1,1))-AVERAGE(OFFSET($H$3,0,0,'Données projet'!$E$9+1,1))</f>
        <v>269.19146943657933</v>
      </c>
      <c r="T44" s="59">
        <f t="shared" si="34"/>
        <v>185.94138814570965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2.2894945192556255</v>
      </c>
      <c r="AB44" s="21">
        <f>EXP(-LN(2)/2)*AB43+(1-EXP(-LN(2)/2))/(LN(2)/2)*V44*Y44*VLOOKUP('Données projet'!$B$9,Paramètres!$A$1:$I$89,3,0)*0.475*44/12</f>
        <v>0.13676655746839841</v>
      </c>
      <c r="AC44" s="22">
        <f t="shared" si="3"/>
        <v>2.4262610767240238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21</v>
      </c>
      <c r="AI44" s="13">
        <f>IF('Données projet'!$A$62&gt;35,AI43+AH44-AQ43,IF(A44&lt;'Données projet'!$A$62,$AF$205^A44,IF(A44='Données projet'!$A$62,'Données projet'!$B$62,AI43+AH44-AQ43)))</f>
        <v>372.00000000000006</v>
      </c>
      <c r="AJ44" s="13">
        <f>AI44*VLOOKUP('Données projet'!$B$10,Paramètres!$A$1:$I$89,3,0)*VLOOKUP('Données projet'!$B$10,Paramètres!$A$1:$I$89,5,0)</f>
        <v>207.94800000000001</v>
      </c>
      <c r="AK44" s="13">
        <f t="shared" si="35"/>
        <v>51.486916127068838</v>
      </c>
      <c r="AL44" s="20">
        <f t="shared" si="4"/>
        <v>451.84914558797823</v>
      </c>
      <c r="AM44" s="59">
        <f t="shared" si="5"/>
        <v>745.18247892131149</v>
      </c>
      <c r="AN44" s="59">
        <f ca="1">AVERAGE(OFFSET($AM$3,0,0,'Données projet'!$E$10+1,1))-AVERAGE(OFFSET($H$3,0,0,'Données projet'!$E$10+1,1))</f>
        <v>400.34672861351783</v>
      </c>
      <c r="AO44" s="59">
        <f t="shared" si="36"/>
        <v>413.2016163204438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8.265972714966427</v>
      </c>
      <c r="AV44" s="21">
        <f>EXP(-LN(2)/25)*AV43+(1-EXP(-LN(2)/25))/(LN(2)/25)*Calculateur!AQ44*Calculateur!AS44*VLOOKUP('Données projet'!$B$10,Paramètres!$A$1:$I$89,3,0)*0.475*44/12</f>
        <v>24.624467107661204</v>
      </c>
      <c r="AW44" s="21">
        <f>EXP(-LN(2)/2)*AW43+(1-EXP(-LN(2)/2))/(LN(2)/2)*AQ44*AT44*VLOOKUP('Données projet'!$B$10,Paramètres!$A$1:$I$89,3,0)*0.475*44/12</f>
        <v>0.72323245168284378</v>
      </c>
      <c r="AX44" s="21">
        <f t="shared" si="6"/>
        <v>33.613672274310474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1">
        <f t="shared" si="32"/>
        <v>11.292524863342397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67">
        <f t="shared" si="1"/>
        <v>341.37946080365469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8.3000000000000007</v>
      </c>
      <c r="N45" s="13">
        <f>IF('Données projet'!$A$36&gt;35,N44+M45-V44,IF(A45&lt;'Données projet'!$A$36,$K$205^A45,IF(A45='Données projet'!$A$36,'Données projet'!$B$36,N44+M45-V44)))</f>
        <v>132.59999999999997</v>
      </c>
      <c r="O45" s="13">
        <f>N45*VLOOKUP('Données projet'!$B$9,Paramètres!$A$1:$I$89,3,0)*VLOOKUP('Données projet'!$B$9,Paramètres!$A$1:$I$89,5,0)</f>
        <v>119.97647999999997</v>
      </c>
      <c r="P45" s="13">
        <f t="shared" si="33"/>
        <v>31.669513577784763</v>
      </c>
      <c r="Q45" s="20">
        <f t="shared" si="53"/>
        <v>264.11677214797504</v>
      </c>
      <c r="R45" s="59">
        <f t="shared" si="0"/>
        <v>557.45010548130836</v>
      </c>
      <c r="S45" s="59">
        <f ca="1">AVERAGE(OFFSET($R$3,0,0,'Données projet'!$E$9+1,1))-AVERAGE(OFFSET($H$3,0,0,'Données projet'!$E$9+1,1))</f>
        <v>269.19146943657933</v>
      </c>
      <c r="T45" s="59">
        <f t="shared" si="34"/>
        <v>185.94138814570965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2.2268881712272965</v>
      </c>
      <c r="AB45" s="21">
        <f>EXP(-LN(2)/2)*AB44+(1-EXP(-LN(2)/2))/(LN(2)/2)*V45*Y45*VLOOKUP('Données projet'!$B$9,Paramètres!$A$1:$I$89,3,0)*0.475*44/12</f>
        <v>9.6708560225444176E-2</v>
      </c>
      <c r="AC45" s="22">
        <f t="shared" si="3"/>
        <v>2.3235967314527408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21</v>
      </c>
      <c r="AI45" s="13">
        <f>IF('Données projet'!$A$62&gt;35,AI44+AH45-AQ44,IF(A45&lt;'Données projet'!$A$62,$AF$205^A45,IF(A45='Données projet'!$A$62,'Données projet'!$B$62,AI44+AH45-AQ44)))</f>
        <v>393.00000000000006</v>
      </c>
      <c r="AJ45" s="13">
        <f>AI45*VLOOKUP('Données projet'!$B$10,Paramètres!$A$1:$I$89,3,0)*VLOOKUP('Données projet'!$B$10,Paramètres!$A$1:$I$89,5,0)</f>
        <v>219.68700000000001</v>
      </c>
      <c r="AK45" s="13">
        <f t="shared" si="35"/>
        <v>54.046851081096591</v>
      </c>
      <c r="AL45" s="20">
        <f t="shared" si="4"/>
        <v>476.75312396624321</v>
      </c>
      <c r="AM45" s="59">
        <f t="shared" si="5"/>
        <v>770.08645729957652</v>
      </c>
      <c r="AN45" s="59">
        <f ca="1">AVERAGE(OFFSET($AM$3,0,0,'Données projet'!$E$10+1,1))-AVERAGE(OFFSET($H$3,0,0,'Données projet'!$E$10+1,1))</f>
        <v>400.34672861351783</v>
      </c>
      <c r="AO45" s="59">
        <f t="shared" si="36"/>
        <v>413.2016163204438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8.1038820317714606</v>
      </c>
      <c r="AV45" s="21">
        <f>EXP(-LN(2)/25)*AV44+(1-EXP(-LN(2)/25))/(LN(2)/25)*Calculateur!AQ45*Calculateur!AS45*VLOOKUP('Données projet'!$B$10,Paramètres!$A$1:$I$89,3,0)*0.475*44/12</f>
        <v>23.951109759657761</v>
      </c>
      <c r="AW45" s="21">
        <f>EXP(-LN(2)/2)*AW44+(1-EXP(-LN(2)/2))/(LN(2)/2)*AQ45*AT45*VLOOKUP('Données projet'!$B$10,Paramètres!$A$1:$I$89,3,0)*0.475*44/12</f>
        <v>0.5114025709591109</v>
      </c>
      <c r="AX45" s="21">
        <f t="shared" si="6"/>
        <v>32.566394362388337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1">
        <f t="shared" si="32"/>
        <v>11.529771748983352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67">
        <f t="shared" si="1"/>
        <v>343.34135579614605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8.3000000000000007</v>
      </c>
      <c r="N46" s="13">
        <f>IF('Données projet'!$A$36&gt;35,N45+M46-V45,IF(A46&lt;'Données projet'!$A$36,$K$205^A46,IF(A46='Données projet'!$A$36,'Données projet'!$B$36,N45+M46-V45)))</f>
        <v>140.89999999999998</v>
      </c>
      <c r="O46" s="13">
        <f>N46*VLOOKUP('Données projet'!$B$9,Paramètres!$A$1:$I$89,3,0)*VLOOKUP('Données projet'!$B$9,Paramètres!$A$1:$I$89,5,0)</f>
        <v>127.48631999999998</v>
      </c>
      <c r="P46" s="13">
        <f t="shared" si="33"/>
        <v>33.414863287066048</v>
      </c>
      <c r="Q46" s="20">
        <f t="shared" si="53"/>
        <v>280.23622755830667</v>
      </c>
      <c r="R46" s="59">
        <f t="shared" si="0"/>
        <v>573.56956089163998</v>
      </c>
      <c r="S46" s="59">
        <f ca="1">AVERAGE(OFFSET($R$3,0,0,'Données projet'!$E$9+1,1))-AVERAGE(OFFSET($H$3,0,0,'Données projet'!$E$9+1,1))</f>
        <v>269.19146943657933</v>
      </c>
      <c r="T46" s="59">
        <f t="shared" si="34"/>
        <v>185.94138814570965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2.1659937970781269</v>
      </c>
      <c r="AB46" s="21">
        <f>EXP(-LN(2)/2)*AB45+(1-EXP(-LN(2)/2))/(LN(2)/2)*V46*Y46*VLOOKUP('Données projet'!$B$9,Paramètres!$A$1:$I$89,3,0)*0.475*44/12</f>
        <v>6.8383278734199207E-2</v>
      </c>
      <c r="AC46" s="22">
        <f t="shared" si="3"/>
        <v>2.234377075812326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21</v>
      </c>
      <c r="AI46" s="13">
        <f>IF('Données projet'!$A$62&gt;35,AI45+AH46-AQ45,IF(A46&lt;'Données projet'!$A$62,$AF$205^A46,IF(A46='Données projet'!$A$62,'Données projet'!$B$62,AI45+AH46-AQ45)))</f>
        <v>414.00000000000006</v>
      </c>
      <c r="AJ46" s="13">
        <f>AI46*VLOOKUP('Données projet'!$B$10,Paramètres!$A$1:$I$89,3,0)*VLOOKUP('Données projet'!$B$10,Paramètres!$A$1:$I$89,5,0)</f>
        <v>231.42600000000002</v>
      </c>
      <c r="AK46" s="13">
        <f t="shared" si="35"/>
        <v>56.590905067453221</v>
      </c>
      <c r="AL46" s="20">
        <f t="shared" si="4"/>
        <v>501.62944299248107</v>
      </c>
      <c r="AM46" s="59">
        <f t="shared" si="5"/>
        <v>794.96277632581439</v>
      </c>
      <c r="AN46" s="59">
        <f ca="1">AVERAGE(OFFSET($AM$3,0,0,'Données projet'!$E$10+1,1))-AVERAGE(OFFSET($H$3,0,0,'Données projet'!$E$10+1,1))</f>
        <v>400.34672861351783</v>
      </c>
      <c r="AO46" s="59">
        <f t="shared" si="36"/>
        <v>413.2016163204438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7.9449698480083928</v>
      </c>
      <c r="AV46" s="21">
        <f>EXP(-LN(2)/25)*AV45+(1-EXP(-LN(2)/25))/(LN(2)/25)*Calculateur!AQ46*Calculateur!AS46*VLOOKUP('Données projet'!$B$10,Paramètres!$A$1:$I$89,3,0)*0.475*44/12</f>
        <v>23.2961654037458</v>
      </c>
      <c r="AW46" s="21">
        <f>EXP(-LN(2)/2)*AW45+(1-EXP(-LN(2)/2))/(LN(2)/2)*AQ46*AT46*VLOOKUP('Données projet'!$B$10,Paramètres!$A$1:$I$89,3,0)*0.475*44/12</f>
        <v>0.36161622584142189</v>
      </c>
      <c r="AX46" s="21">
        <f t="shared" si="6"/>
        <v>31.602751477595618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1">
        <f t="shared" si="32"/>
        <v>11.766377220171686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67">
        <f t="shared" si="1"/>
        <v>345.30213365846572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8.3000000000000007</v>
      </c>
      <c r="N47" s="13">
        <f>IF('Données projet'!$A$36&gt;35,N46+M47-V46,IF(A47&lt;'Données projet'!$A$36,$K$205^A47,IF(A47='Données projet'!$A$36,'Données projet'!$B$36,N46+M47-V46)))</f>
        <v>149.19999999999999</v>
      </c>
      <c r="O47" s="13">
        <f>N47*VLOOKUP('Données projet'!$B$9,Paramètres!$A$1:$I$89,3,0)*VLOOKUP('Données projet'!$B$9,Paramètres!$A$1:$I$89,5,0)</f>
        <v>134.99615999999997</v>
      </c>
      <c r="P47" s="13">
        <f t="shared" si="33"/>
        <v>35.148279172043118</v>
      </c>
      <c r="Q47" s="20">
        <f t="shared" si="53"/>
        <v>296.33489822464168</v>
      </c>
      <c r="R47" s="59">
        <f t="shared" si="0"/>
        <v>589.66823155797499</v>
      </c>
      <c r="S47" s="59">
        <f ca="1">AVERAGE(OFFSET($R$3,0,0,'Données projet'!$E$9+1,1))-AVERAGE(OFFSET($H$3,0,0,'Données projet'!$E$9+1,1))</f>
        <v>269.19146943657933</v>
      </c>
      <c r="T47" s="59">
        <f t="shared" si="34"/>
        <v>185.94138814570965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2.106764582792362</v>
      </c>
      <c r="AB47" s="21">
        <f>EXP(-LN(2)/2)*AB46+(1-EXP(-LN(2)/2))/(LN(2)/2)*V47*Y47*VLOOKUP('Données projet'!$B$9,Paramètres!$A$1:$I$89,3,0)*0.475*44/12</f>
        <v>4.8354280112722088E-2</v>
      </c>
      <c r="AC47" s="22">
        <f t="shared" si="3"/>
        <v>2.1551188629050841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21</v>
      </c>
      <c r="AI47" s="13">
        <f>IF('Données projet'!$A$62&gt;35,AI46+AH47-AQ46,IF(A47&lt;'Données projet'!$A$62,$AF$205^A47,IF(A47='Données projet'!$A$62,'Données projet'!$B$62,AI46+AH47-AQ46)))</f>
        <v>435.00000000000006</v>
      </c>
      <c r="AJ47" s="13">
        <f>AI47*VLOOKUP('Données projet'!$B$10,Paramètres!$A$1:$I$89,3,0)*VLOOKUP('Données projet'!$B$10,Paramètres!$A$1:$I$89,5,0)</f>
        <v>243.16500000000002</v>
      </c>
      <c r="AK47" s="13">
        <f t="shared" si="35"/>
        <v>59.119975548046618</v>
      </c>
      <c r="AL47" s="20">
        <f t="shared" si="4"/>
        <v>526.47966574618124</v>
      </c>
      <c r="AM47" s="59">
        <f t="shared" si="5"/>
        <v>819.81299907951461</v>
      </c>
      <c r="AN47" s="59">
        <f ca="1">AVERAGE(OFFSET($AM$3,0,0,'Données projet'!$E$10+1,1))-AVERAGE(OFFSET($H$3,0,0,'Données projet'!$E$10+1,1))</f>
        <v>400.34672861351783</v>
      </c>
      <c r="AO47" s="59">
        <f t="shared" si="36"/>
        <v>413.2016163204438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7.7891738352420576</v>
      </c>
      <c r="AV47" s="21">
        <f>EXP(-LN(2)/25)*AV46+(1-EXP(-LN(2)/25))/(LN(2)/25)*Calculateur!AQ47*Calculateur!AS47*VLOOKUP('Données projet'!$B$10,Paramètres!$A$1:$I$89,3,0)*0.475*44/12</f>
        <v>22.659130535688277</v>
      </c>
      <c r="AW47" s="21">
        <f>EXP(-LN(2)/2)*AW46+(1-EXP(-LN(2)/2))/(LN(2)/2)*AQ47*AT47*VLOOKUP('Données projet'!$B$10,Paramètres!$A$1:$I$89,3,0)*0.475*44/12</f>
        <v>0.25570128547955545</v>
      </c>
      <c r="AX47" s="21">
        <f t="shared" si="6"/>
        <v>30.70400565640989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1">
        <f t="shared" si="32"/>
        <v>12.002357532661732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67">
        <f t="shared" si="1"/>
        <v>347.2618227027192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8.3000000000000007</v>
      </c>
      <c r="N48" s="13">
        <f>IF('Données projet'!$A$36&gt;35,N47+M48-V47,IF(A48&lt;'Données projet'!$A$36,$K$205^A48,IF(A48='Données projet'!$A$36,'Données projet'!$B$36,N47+M48-V47)))</f>
        <v>157.5</v>
      </c>
      <c r="O48" s="13">
        <f>N48*VLOOKUP('Données projet'!$B$9,Paramètres!$A$1:$I$89,3,0)*VLOOKUP('Données projet'!$B$9,Paramètres!$A$1:$I$89,5,0)</f>
        <v>142.506</v>
      </c>
      <c r="P48" s="13">
        <f t="shared" si="33"/>
        <v>36.870500776307537</v>
      </c>
      <c r="Q48" s="20">
        <f t="shared" si="53"/>
        <v>312.41407218540223</v>
      </c>
      <c r="R48" s="59">
        <f t="shared" si="0"/>
        <v>605.7474055187356</v>
      </c>
      <c r="S48" s="59">
        <f ca="1">AVERAGE(OFFSET($R$3,0,0,'Données projet'!$E$9+1,1))-AVERAGE(OFFSET($H$3,0,0,'Données projet'!$E$9+1,1))</f>
        <v>269.19146943657933</v>
      </c>
      <c r="T48" s="59">
        <f t="shared" si="34"/>
        <v>185.94138814570965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2.0491549944859706</v>
      </c>
      <c r="AB48" s="21">
        <f>EXP(-LN(2)/2)*AB47+(1-EXP(-LN(2)/2))/(LN(2)/2)*V48*Y48*VLOOKUP('Données projet'!$B$9,Paramètres!$A$1:$I$89,3,0)*0.475*44/12</f>
        <v>3.4191639367099604E-2</v>
      </c>
      <c r="AC48" s="22">
        <f t="shared" si="3"/>
        <v>2.0833466338530702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21</v>
      </c>
      <c r="AI48" s="13">
        <f>IF('Données projet'!$A$62&gt;35,AI47+AH48-AQ47,IF(A48&lt;'Données projet'!$A$62,$AF$205^A48,IF(A48='Données projet'!$A$62,'Données projet'!$B$62,AI47+AH48-AQ47)))</f>
        <v>456.00000000000006</v>
      </c>
      <c r="AJ48" s="13">
        <f>AI48*VLOOKUP('Données projet'!$B$10,Paramètres!$A$1:$I$89,3,0)*VLOOKUP('Données projet'!$B$10,Paramètres!$A$1:$I$89,5,0)</f>
        <v>254.90400000000002</v>
      </c>
      <c r="AK48" s="13">
        <f t="shared" si="35"/>
        <v>61.634868437438257</v>
      </c>
      <c r="AL48" s="20">
        <f t="shared" si="4"/>
        <v>551.30519586187165</v>
      </c>
      <c r="AM48" s="59">
        <f t="shared" si="5"/>
        <v>844.63852919520491</v>
      </c>
      <c r="AN48" s="59">
        <f ca="1">AVERAGE(OFFSET($AM$3,0,0,'Données projet'!$E$10+1,1))-AVERAGE(OFFSET($H$3,0,0,'Données projet'!$E$10+1,1))</f>
        <v>400.34672861351783</v>
      </c>
      <c r="AO48" s="59">
        <f t="shared" si="36"/>
        <v>413.2016163204438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7.6364328872598852</v>
      </c>
      <c r="AV48" s="21">
        <f>EXP(-LN(2)/25)*AV47+(1-EXP(-LN(2)/25))/(LN(2)/25)*Calculateur!AQ48*Calculateur!AS48*VLOOKUP('Données projet'!$B$10,Paramètres!$A$1:$I$89,3,0)*0.475*44/12</f>
        <v>22.039515419597993</v>
      </c>
      <c r="AW48" s="21">
        <f>EXP(-LN(2)/2)*AW47+(1-EXP(-LN(2)/2))/(LN(2)/2)*AQ48*AT48*VLOOKUP('Données projet'!$B$10,Paramètres!$A$1:$I$89,3,0)*0.475*44/12</f>
        <v>0.18080811292071094</v>
      </c>
      <c r="AX48" s="21">
        <f t="shared" si="6"/>
        <v>29.856756419778591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1">
        <f t="shared" si="32"/>
        <v>12.237728178480605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67">
        <f t="shared" si="1"/>
        <v>349.22044991085374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8.3000000000000007</v>
      </c>
      <c r="N49" s="13">
        <f>IF('Données projet'!$A$36&gt;35,N48+M49-V48,IF(A49&lt;'Données projet'!$A$36,$K$205^A49,IF(A49='Données projet'!$A$36,'Données projet'!$B$36,N48+M49-V48)))</f>
        <v>165.8</v>
      </c>
      <c r="O49" s="13">
        <f>N49*VLOOKUP('Données projet'!$B$9,Paramètres!$A$1:$I$89,3,0)*VLOOKUP('Données projet'!$B$9,Paramètres!$A$1:$I$89,5,0)</f>
        <v>150.01584</v>
      </c>
      <c r="P49" s="13">
        <f t="shared" si="33"/>
        <v>38.582185295570788</v>
      </c>
      <c r="Q49" s="20">
        <f t="shared" si="53"/>
        <v>328.47489405645246</v>
      </c>
      <c r="R49" s="59">
        <f t="shared" si="0"/>
        <v>621.80822738978577</v>
      </c>
      <c r="S49" s="59">
        <f ca="1">AVERAGE(OFFSET($R$3,0,0,'Données projet'!$E$9+1,1))-AVERAGE(OFFSET($H$3,0,0,'Données projet'!$E$9+1,1))</f>
        <v>269.19146943657933</v>
      </c>
      <c r="T49" s="59">
        <f t="shared" si="34"/>
        <v>185.94138814570965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1.993120743401374</v>
      </c>
      <c r="AB49" s="21">
        <f>EXP(-LN(2)/2)*AB48+(1-EXP(-LN(2)/2))/(LN(2)/2)*V49*Y49*VLOOKUP('Données projet'!$B$9,Paramètres!$A$1:$I$89,3,0)*0.475*44/12</f>
        <v>2.4177140056361044E-2</v>
      </c>
      <c r="AC49" s="22">
        <f t="shared" si="3"/>
        <v>2.0172978834577351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21</v>
      </c>
      <c r="AI49" s="13">
        <f>IF('Données projet'!$A$62&gt;35,AI48+AH49-AQ48,IF(A49&lt;'Données projet'!$A$62,$AF$205^A49,IF(A49='Données projet'!$A$62,'Données projet'!$B$62,AI48+AH49-AQ48)))</f>
        <v>477.00000000000006</v>
      </c>
      <c r="AJ49" s="13">
        <f>AI49*VLOOKUP('Données projet'!$B$10,Paramètres!$A$1:$I$89,3,0)*VLOOKUP('Données projet'!$B$10,Paramètres!$A$1:$I$89,5,0)</f>
        <v>266.64300000000003</v>
      </c>
      <c r="AK49" s="13">
        <f t="shared" si="35"/>
        <v>64.136311225795083</v>
      </c>
      <c r="AL49" s="20">
        <f t="shared" si="4"/>
        <v>576.10730038492648</v>
      </c>
      <c r="AM49" s="59">
        <f t="shared" si="5"/>
        <v>869.44063371825973</v>
      </c>
      <c r="AN49" s="59">
        <f ca="1">AVERAGE(OFFSET($AM$3,0,0,'Données projet'!$E$10+1,1))-AVERAGE(OFFSET($H$3,0,0,'Données projet'!$E$10+1,1))</f>
        <v>400.34672861351783</v>
      </c>
      <c r="AO49" s="59">
        <f t="shared" si="36"/>
        <v>413.2016163204438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7.4866870961048644</v>
      </c>
      <c r="AV49" s="21">
        <f>EXP(-LN(2)/25)*AV48+(1-EXP(-LN(2)/25))/(LN(2)/25)*Calculateur!AQ49*Calculateur!AS49*VLOOKUP('Données projet'!$B$10,Paramètres!$A$1:$I$89,3,0)*0.475*44/12</f>
        <v>21.436843711441341</v>
      </c>
      <c r="AW49" s="21">
        <f>EXP(-LN(2)/2)*AW48+(1-EXP(-LN(2)/2))/(LN(2)/2)*AQ49*AT49*VLOOKUP('Données projet'!$B$10,Paramètres!$A$1:$I$89,3,0)*0.475*44/12</f>
        <v>0.12785064273977773</v>
      </c>
      <c r="AX49" s="21">
        <f t="shared" si="6"/>
        <v>29.051381450285984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1">
        <f t="shared" si="32"/>
        <v>12.472503937619972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67">
        <f t="shared" si="1"/>
        <v>351.17804102468818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8.3000000000000007</v>
      </c>
      <c r="N50" s="13">
        <f>IF('Données projet'!$A$36&gt;35,N49+M50-V49,IF(A50&lt;'Données projet'!$A$36,$K$205^A50,IF(A50='Données projet'!$A$36,'Données projet'!$B$36,N49+M50-V49)))</f>
        <v>174.10000000000002</v>
      </c>
      <c r="O50" s="13">
        <f>N50*VLOOKUP('Données projet'!$B$9,Paramètres!$A$1:$I$89,3,0)*VLOOKUP('Données projet'!$B$9,Paramètres!$A$1:$I$89,5,0)</f>
        <v>157.52568000000002</v>
      </c>
      <c r="P50" s="13">
        <f t="shared" si="33"/>
        <v>40.283920409774808</v>
      </c>
      <c r="Q50" s="20">
        <f t="shared" si="53"/>
        <v>344.51838738035781</v>
      </c>
      <c r="R50" s="59">
        <f t="shared" si="0"/>
        <v>637.85172071369107</v>
      </c>
      <c r="S50" s="59">
        <f ca="1">AVERAGE(OFFSET($R$3,0,0,'Données projet'!$E$9+1,1))-AVERAGE(OFFSET($H$3,0,0,'Données projet'!$E$9+1,1))</f>
        <v>269.19146943657933</v>
      </c>
      <c r="T50" s="59">
        <f t="shared" si="34"/>
        <v>185.94138814570965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1.9386187518593989</v>
      </c>
      <c r="AB50" s="21">
        <f>EXP(-LN(2)/2)*AB49+(1-EXP(-LN(2)/2))/(LN(2)/2)*V50*Y50*VLOOKUP('Données projet'!$B$9,Paramètres!$A$1:$I$89,3,0)*0.475*44/12</f>
        <v>1.7095819683549802E-2</v>
      </c>
      <c r="AC50" s="22">
        <f t="shared" si="3"/>
        <v>1.9557145715429487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21</v>
      </c>
      <c r="AI50" s="13">
        <f>IF('Données projet'!$A$62&gt;35,AI49+AH50-AQ49,IF(A50&lt;'Données projet'!$A$62,$AF$205^A50,IF(A50='Données projet'!$A$62,'Données projet'!$B$62,AI49+AH50-AQ49)))</f>
        <v>498.00000000000006</v>
      </c>
      <c r="AJ50" s="13">
        <f>AI50*VLOOKUP('Données projet'!$B$10,Paramètres!$A$1:$I$89,3,0)*VLOOKUP('Données projet'!$B$10,Paramètres!$A$1:$I$89,5,0)</f>
        <v>278.38200000000001</v>
      </c>
      <c r="AK50" s="13">
        <f t="shared" si="35"/>
        <v>66.624963725642488</v>
      </c>
      <c r="AL50" s="20">
        <f t="shared" si="4"/>
        <v>600.88712848882722</v>
      </c>
      <c r="AM50" s="59">
        <f t="shared" si="5"/>
        <v>894.22046182216059</v>
      </c>
      <c r="AN50" s="59">
        <f ca="1">AVERAGE(OFFSET($AM$3,0,0,'Données projet'!$E$10+1,1))-AVERAGE(OFFSET($H$3,0,0,'Données projet'!$E$10+1,1))</f>
        <v>400.34672861351783</v>
      </c>
      <c r="AO50" s="59">
        <f t="shared" si="36"/>
        <v>413.2016163204438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7.3398777285784789</v>
      </c>
      <c r="AV50" s="21">
        <f>EXP(-LN(2)/25)*AV49+(1-EXP(-LN(2)/25))/(LN(2)/25)*Calculateur!AQ50*Calculateur!AS50*VLOOKUP('Données projet'!$B$10,Paramètres!$A$1:$I$89,3,0)*0.475*44/12</f>
        <v>20.850652092837361</v>
      </c>
      <c r="AW50" s="21">
        <f>EXP(-LN(2)/2)*AW49+(1-EXP(-LN(2)/2))/(LN(2)/2)*AQ50*AT50*VLOOKUP('Données projet'!$B$10,Paramètres!$A$1:$I$89,3,0)*0.475*44/12</f>
        <v>9.0404056460355472E-2</v>
      </c>
      <c r="AX50" s="21">
        <f t="shared" si="6"/>
        <v>28.280933877876194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1">
        <f t="shared" si="32"/>
        <v>12.706698925204435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67">
        <f t="shared" si="1"/>
        <v>353.13462062806445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8.3000000000000007</v>
      </c>
      <c r="N51" s="13">
        <f>IF('Données projet'!$A$36&gt;35,N50+M51-V50,IF(A51&lt;'Données projet'!$A$36,$K$205^A51,IF(A51='Données projet'!$A$36,'Données projet'!$B$36,N50+M51-V50)))</f>
        <v>182.40000000000003</v>
      </c>
      <c r="O51" s="13">
        <f>N51*VLOOKUP('Données projet'!$B$9,Paramètres!$A$1:$I$89,3,0)*VLOOKUP('Données projet'!$B$9,Paramètres!$A$1:$I$89,5,0)</f>
        <v>165.03552000000002</v>
      </c>
      <c r="P51" s="13">
        <f t="shared" si="33"/>
        <v>41.976234598846517</v>
      </c>
      <c r="Q51" s="20">
        <f t="shared" si="53"/>
        <v>360.54547259299108</v>
      </c>
      <c r="R51" s="59">
        <f t="shared" si="0"/>
        <v>653.87880592632439</v>
      </c>
      <c r="S51" s="59">
        <f ca="1">AVERAGE(OFFSET($R$3,0,0,'Données projet'!$E$9+1,1))-AVERAGE(OFFSET($H$3,0,0,'Données projet'!$E$9+1,1))</f>
        <v>269.19146943657933</v>
      </c>
      <c r="T51" s="59">
        <f t="shared" si="34"/>
        <v>185.94138814570965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1.8856071201422742</v>
      </c>
      <c r="AB51" s="21">
        <f>EXP(-LN(2)/2)*AB50+(1-EXP(-LN(2)/2))/(LN(2)/2)*V51*Y51*VLOOKUP('Données projet'!$B$9,Paramètres!$A$1:$I$89,3,0)*0.475*44/12</f>
        <v>1.2088570028180522E-2</v>
      </c>
      <c r="AC51" s="22">
        <f t="shared" si="3"/>
        <v>1.8976956901704547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21</v>
      </c>
      <c r="AI51" s="13">
        <f>IF('Données projet'!$A$62&gt;35,AI50+AH51-AQ50,IF(A51&lt;'Données projet'!$A$62,$AF$205^A51,IF(A51='Données projet'!$A$62,'Données projet'!$B$62,AI50+AH51-AQ50)))</f>
        <v>519</v>
      </c>
      <c r="AJ51" s="13">
        <f>AI51*VLOOKUP('Données projet'!$B$10,Paramètres!$A$1:$I$89,3,0)*VLOOKUP('Données projet'!$B$10,Paramètres!$A$1:$I$89,5,0)</f>
        <v>290.12099999999998</v>
      </c>
      <c r="AK51" s="13">
        <f t="shared" si="35"/>
        <v>69.101426954815722</v>
      </c>
      <c r="AL51" s="20">
        <f t="shared" si="4"/>
        <v>625.64572694630408</v>
      </c>
      <c r="AM51" s="59">
        <f t="shared" si="5"/>
        <v>918.97906027963745</v>
      </c>
      <c r="AN51" s="59">
        <f ca="1">AVERAGE(OFFSET($AM$3,0,0,'Données projet'!$E$10+1,1))-AVERAGE(OFFSET($H$3,0,0,'Données projet'!$E$10+1,1))</f>
        <v>400.34672861351783</v>
      </c>
      <c r="AO51" s="59">
        <f t="shared" si="36"/>
        <v>413.2016163204438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7.1959472032044136</v>
      </c>
      <c r="AV51" s="21">
        <f>EXP(-LN(2)/25)*AV50+(1-EXP(-LN(2)/25))/(LN(2)/25)*Calculateur!AQ51*Calculateur!AS51*VLOOKUP('Données projet'!$B$10,Paramètres!$A$1:$I$89,3,0)*0.475*44/12</f>
        <v>20.280489914870586</v>
      </c>
      <c r="AW51" s="21">
        <f>EXP(-LN(2)/2)*AW50+(1-EXP(-LN(2)/2))/(LN(2)/2)*AQ51*AT51*VLOOKUP('Données projet'!$B$10,Paramètres!$A$1:$I$89,3,0)*0.475*44/12</f>
        <v>6.3925321369888863E-2</v>
      </c>
      <c r="AX51" s="21">
        <f t="shared" si="6"/>
        <v>27.540362439444888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1">
        <f t="shared" si="32"/>
        <v>12.940326634618209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67">
        <f t="shared" si="1"/>
        <v>355.09021222196009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8.3000000000000007</v>
      </c>
      <c r="N52" s="13">
        <f>IF('Données projet'!$A$36&gt;35,N51+M52-V51,IF(A52&lt;'Données projet'!$A$36,$K$205^A52,IF(A52='Données projet'!$A$36,'Données projet'!$B$36,N51+M52-V51)))</f>
        <v>190.70000000000005</v>
      </c>
      <c r="O52" s="13">
        <f>N52*VLOOKUP('Données projet'!$B$9,Paramètres!$A$1:$I$89,3,0)*VLOOKUP('Données projet'!$B$9,Paramètres!$A$1:$I$89,5,0)</f>
        <v>172.54536000000004</v>
      </c>
      <c r="P52" s="13">
        <f t="shared" si="33"/>
        <v>43.65960552772448</v>
      </c>
      <c r="Q52" s="20">
        <f t="shared" si="53"/>
        <v>376.55698162745358</v>
      </c>
      <c r="R52" s="59">
        <f t="shared" si="0"/>
        <v>669.8903149607869</v>
      </c>
      <c r="S52" s="59">
        <f ca="1">AVERAGE(OFFSET($R$3,0,0,'Données projet'!$E$9+1,1))-AVERAGE(OFFSET($H$3,0,0,'Données projet'!$E$9+1,1))</f>
        <v>269.19146943657933</v>
      </c>
      <c r="T52" s="59">
        <f t="shared" si="34"/>
        <v>185.94138814570965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1.8340450942822148</v>
      </c>
      <c r="AB52" s="21">
        <f>EXP(-LN(2)/2)*AB51+(1-EXP(-LN(2)/2))/(LN(2)/2)*V52*Y52*VLOOKUP('Données projet'!$B$9,Paramètres!$A$1:$I$89,3,0)*0.475*44/12</f>
        <v>8.5479098417749009E-3</v>
      </c>
      <c r="AC52" s="22">
        <f t="shared" si="3"/>
        <v>1.8425930041239897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21</v>
      </c>
      <c r="AI52" s="13">
        <f>IF('Données projet'!$A$62&gt;35,AI51+AH52-AQ51,IF(A52&lt;'Données projet'!$A$62,$AF$205^A52,IF(A52='Données projet'!$A$62,'Données projet'!$B$62,AI51+AH52-AQ51)))</f>
        <v>540</v>
      </c>
      <c r="AJ52" s="13">
        <f>AI52*VLOOKUP('Données projet'!$B$10,Paramètres!$A$1:$I$89,3,0)*VLOOKUP('Données projet'!$B$10,Paramètres!$A$1:$I$89,5,0)</f>
        <v>301.86</v>
      </c>
      <c r="AK52" s="13">
        <f t="shared" si="35"/>
        <v>71.566250541226992</v>
      </c>
      <c r="AL52" s="20">
        <f t="shared" si="4"/>
        <v>650.38405302597027</v>
      </c>
      <c r="AM52" s="59">
        <f t="shared" si="5"/>
        <v>943.71738635930365</v>
      </c>
      <c r="AN52" s="59">
        <f ca="1">AVERAGE(OFFSET($AM$3,0,0,'Données projet'!$E$10+1,1))-AVERAGE(OFFSET($H$3,0,0,'Données projet'!$E$10+1,1))</f>
        <v>400.34672861351783</v>
      </c>
      <c r="AO52" s="59">
        <f t="shared" si="36"/>
        <v>413.2016163204438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7.0548390676439823</v>
      </c>
      <c r="AV52" s="21">
        <f>EXP(-LN(2)/25)*AV51+(1-EXP(-LN(2)/25))/(LN(2)/25)*Calculateur!AQ52*Calculateur!AS52*VLOOKUP('Données projet'!$B$10,Paramètres!$A$1:$I$89,3,0)*0.475*44/12</f>
        <v>19.725918851643836</v>
      </c>
      <c r="AW52" s="21">
        <f>EXP(-LN(2)/2)*AW51+(1-EXP(-LN(2)/2))/(LN(2)/2)*AQ52*AT52*VLOOKUP('Données projet'!$B$10,Paramètres!$A$1:$I$89,3,0)*0.475*44/12</f>
        <v>4.5202028230177736E-2</v>
      </c>
      <c r="AX52" s="21">
        <f t="shared" si="6"/>
        <v>26.825959947517998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1">
        <f t="shared" si="32"/>
        <v>13.17339997701186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67">
        <f t="shared" si="1"/>
        <v>357.0448382932957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199</v>
      </c>
      <c r="L53" s="12">
        <f>VLOOKUP(A53,'Données projet'!$A$35:$I$55,9,0)</f>
        <v>8.3000000000000007</v>
      </c>
      <c r="M53" s="12">
        <f t="array" ref="M53">INDEX(L:L,MIN(IF(ISNUMBER(L53:L249),ROW(L53:L249),"")))</f>
        <v>8.3000000000000007</v>
      </c>
      <c r="N53" s="13">
        <f>IF('Données projet'!$A$36&gt;35,N52+M53-V52,IF(A53&lt;'Données projet'!$A$36,$K$205^A53,IF(A53='Données projet'!$A$36,'Données projet'!$B$36,N52+M53-V52)))</f>
        <v>199.00000000000006</v>
      </c>
      <c r="O53" s="13">
        <f>N53*VLOOKUP('Données projet'!$B$9,Paramètres!$A$1:$I$89,3,0)*VLOOKUP('Données projet'!$B$9,Paramètres!$A$1:$I$89,5,0)</f>
        <v>180.05520000000004</v>
      </c>
      <c r="P53" s="13">
        <f t="shared" si="33"/>
        <v>45.334466930398399</v>
      </c>
      <c r="Q53" s="20">
        <f t="shared" si="53"/>
        <v>392.55366990377729</v>
      </c>
      <c r="R53" s="59">
        <f t="shared" si="0"/>
        <v>685.88700323711055</v>
      </c>
      <c r="S53" s="59">
        <f ca="1">AVERAGE(OFFSET($R$3,0,0,'Données projet'!$E$9+1,1))-AVERAGE(OFFSET($H$3,0,0,'Données projet'!$E$9+1,1))</f>
        <v>269.19146943657933</v>
      </c>
      <c r="T53" s="59">
        <f t="shared" si="34"/>
        <v>185.94138814570965</v>
      </c>
      <c r="U53" s="15">
        <f>IF(ISNA(VLOOKUP(A53,'Données projet'!$A$35:$I$55,3,0)),0,VLOOKUP(A53,'Données projet'!$A$35:$I$55,3,0))</f>
        <v>3</v>
      </c>
      <c r="V53" s="15">
        <f>IF(ISNA(VLOOKUP(A53,'Données projet'!$A$35:$I$55,4,0)),0,VLOOKUP(A53,'Données projet'!$A$35:$I$55,4,0))</f>
        <v>42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0</v>
      </c>
      <c r="AA53" s="21">
        <f>EXP(-LN(2)/25)*AA52+(1-EXP(-LN(2)/25))/(LN(2)/25)*Calculateur!V53*Calculateur!X53*VLOOKUP('Données projet'!$B$9,Paramètres!$A$1:$I$89,3,0)*0.475*44/12</f>
        <v>1.7838930347308279</v>
      </c>
      <c r="AB53" s="21">
        <f>EXP(-LN(2)/2)*AB52+(1-EXP(-LN(2)/2))/(LN(2)/2)*V53*Y53*VLOOKUP('Données projet'!$B$9,Paramètres!$A$1:$I$89,3,0)*0.475*44/12</f>
        <v>6.044285014090261E-3</v>
      </c>
      <c r="AC53" s="22">
        <f t="shared" si="3"/>
        <v>1.7899373197449182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561</v>
      </c>
      <c r="AG53" s="12">
        <f>VLOOKUP(A53,'Données projet'!$A$61:$I$81,9,0)</f>
        <v>21</v>
      </c>
      <c r="AH53" s="12">
        <f t="array" ref="AH53">INDEX(AG:AG,MIN(IF(ISNUMBER(AG53:AG249),ROW(AG53:AG249),"")))</f>
        <v>21</v>
      </c>
      <c r="AI53" s="13">
        <f>IF('Données projet'!$A$62&gt;35,AI52+AH53-AQ52,IF(A53&lt;'Données projet'!$A$62,$AF$205^A53,IF(A53='Données projet'!$A$62,'Données projet'!$B$62,AI52+AH53-AQ52)))</f>
        <v>561</v>
      </c>
      <c r="AJ53" s="13">
        <f>AI53*VLOOKUP('Données projet'!$B$10,Paramètres!$A$1:$I$89,3,0)*VLOOKUP('Données projet'!$B$10,Paramètres!$A$1:$I$89,5,0)</f>
        <v>313.59899999999999</v>
      </c>
      <c r="AK53" s="13">
        <f t="shared" si="35"/>
        <v>74.019938943375337</v>
      </c>
      <c r="AL53" s="20">
        <f t="shared" si="4"/>
        <v>675.10298532637864</v>
      </c>
      <c r="AM53" s="59">
        <f t="shared" si="5"/>
        <v>968.43631865971201</v>
      </c>
      <c r="AN53" s="59">
        <f ca="1">AVERAGE(OFFSET($AM$3,0,0,'Données projet'!$E$10+1,1))-AVERAGE(OFFSET($H$3,0,0,'Données projet'!$E$10+1,1))</f>
        <v>400.34672861351783</v>
      </c>
      <c r="AO53" s="59">
        <f t="shared" si="36"/>
        <v>413.2016163204438</v>
      </c>
      <c r="AP53" s="15">
        <f>IF(ISNA(VLOOKUP(A53,'Données projet'!$A$61:$I$81,3,0)),0,VLOOKUP(A53,'Données projet'!$A$61:$I$81,3,0))</f>
        <v>4</v>
      </c>
      <c r="AQ53" s="15">
        <f>IF(ISNA(VLOOKUP(A53,'Données projet'!$A$61:$I$81,4,0)),0,VLOOKUP(A53,'Données projet'!$A$61:$I$81,4,0))</f>
        <v>119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6.9164979765544263</v>
      </c>
      <c r="AV53" s="21">
        <f>EXP(-LN(2)/25)*AV52+(1-EXP(-LN(2)/25))/(LN(2)/25)*Calculateur!AQ53*Calculateur!AS53*VLOOKUP('Données projet'!$B$10,Paramètres!$A$1:$I$89,3,0)*0.475*44/12</f>
        <v>19.186512563304646</v>
      </c>
      <c r="AW53" s="21">
        <f>EXP(-LN(2)/2)*AW52+(1-EXP(-LN(2)/2))/(LN(2)/2)*AQ53*AT53*VLOOKUP('Données projet'!$B$10,Paramètres!$A$1:$I$89,3,0)*0.475*44/12</f>
        <v>3.1962660684944431E-2</v>
      </c>
      <c r="AX53" s="21">
        <f t="shared" si="6"/>
        <v>26.134973200544014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1">
        <f t="shared" si="32"/>
        <v>13.405931317559242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67">
        <f t="shared" si="1"/>
        <v>358.99852037808239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7.8</v>
      </c>
      <c r="N54" s="13">
        <f>IF('Données projet'!$A$36&gt;35,N53+M54-V53,IF(A54&lt;'Données projet'!$A$36,$K$205^A54,IF(A54='Données projet'!$A$36,'Données projet'!$B$36,N53+M54-V53)))</f>
        <v>164.80000000000007</v>
      </c>
      <c r="O54" s="13">
        <f>N54*VLOOKUP('Données projet'!$B$9,Paramètres!$A$1:$I$89,3,0)*VLOOKUP('Données projet'!$B$9,Paramètres!$A$1:$I$89,5,0)</f>
        <v>149.11104000000006</v>
      </c>
      <c r="P54" s="13">
        <f t="shared" si="33"/>
        <v>38.376496436982386</v>
      </c>
      <c r="Q54" s="20">
        <f t="shared" si="53"/>
        <v>326.54079262774445</v>
      </c>
      <c r="R54" s="59">
        <f t="shared" si="0"/>
        <v>619.87412596107777</v>
      </c>
      <c r="S54" s="59">
        <f ca="1">AVERAGE(OFFSET($R$3,0,0,'Données projet'!$E$9+1,1))-AVERAGE(OFFSET($H$3,0,0,'Données projet'!$E$9+1,1))</f>
        <v>269.19146943657933</v>
      </c>
      <c r="T54" s="59">
        <f t="shared" si="34"/>
        <v>185.94138814570965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0</v>
      </c>
      <c r="AA54" s="21">
        <f>EXP(-LN(2)/25)*AA53+(1-EXP(-LN(2)/25))/(LN(2)/25)*Calculateur!V54*Calculateur!X54*VLOOKUP('Données projet'!$B$9,Paramètres!$A$1:$I$89,3,0)*0.475*44/12</f>
        <v>1.735112385885256</v>
      </c>
      <c r="AB54" s="21">
        <f>EXP(-LN(2)/2)*AB53+(1-EXP(-LN(2)/2))/(LN(2)/2)*V54*Y54*VLOOKUP('Données projet'!$B$9,Paramètres!$A$1:$I$89,3,0)*0.475*44/12</f>
        <v>4.2739549208874504E-3</v>
      </c>
      <c r="AC54" s="22">
        <f t="shared" si="3"/>
        <v>1.7393863408061434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18</v>
      </c>
      <c r="AI54" s="13">
        <f>IF('Données projet'!$A$62&gt;35,AI53+AH54-AQ53,IF(A54&lt;'Données projet'!$A$62,$AF$205^A54,IF(A54='Données projet'!$A$62,'Données projet'!$B$62,AI53+AH54-AQ53)))</f>
        <v>460</v>
      </c>
      <c r="AJ54" s="13">
        <f>AI54*VLOOKUP('Données projet'!$B$10,Paramètres!$A$1:$I$89,3,0)*VLOOKUP('Données projet'!$B$10,Paramètres!$A$1:$I$89,5,0)</f>
        <v>257.14</v>
      </c>
      <c r="AK54" s="13">
        <f t="shared" si="35"/>
        <v>62.112349635142181</v>
      </c>
      <c r="AL54" s="20">
        <f t="shared" si="4"/>
        <v>556.03117561453928</v>
      </c>
      <c r="AM54" s="59">
        <f t="shared" si="5"/>
        <v>849.36450894787254</v>
      </c>
      <c r="AN54" s="59">
        <f ca="1">AVERAGE(OFFSET($AM$3,0,0,'Données projet'!$E$10+1,1))-AVERAGE(OFFSET($H$3,0,0,'Données projet'!$E$10+1,1))</f>
        <v>400.34672861351783</v>
      </c>
      <c r="AO54" s="59">
        <f t="shared" si="36"/>
        <v>413.2016163204438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6.7808696698814028</v>
      </c>
      <c r="AV54" s="21">
        <f>EXP(-LN(2)/25)*AV53+(1-EXP(-LN(2)/25))/(LN(2)/25)*Calculateur!AQ54*Calculateur!AS54*VLOOKUP('Données projet'!$B$10,Paramètres!$A$1:$I$89,3,0)*0.475*44/12</f>
        <v>18.661856368286237</v>
      </c>
      <c r="AW54" s="21">
        <f>EXP(-LN(2)/2)*AW53+(1-EXP(-LN(2)/2))/(LN(2)/2)*AQ54*AT54*VLOOKUP('Données projet'!$B$10,Paramètres!$A$1:$I$89,3,0)*0.475*44/12</f>
        <v>2.2601014115088868E-2</v>
      </c>
      <c r="AX54" s="21">
        <f t="shared" si="6"/>
        <v>25.465327052282731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1">
        <f t="shared" si="32"/>
        <v>13.637932508790366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67">
        <f t="shared" si="1"/>
        <v>360.95127911947662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7.8</v>
      </c>
      <c r="N55" s="13">
        <f>IF('Données projet'!$A$36&gt;35,N54+M55-V54,IF(A55&lt;'Données projet'!$A$36,$K$205^A55,IF(A55='Données projet'!$A$36,'Données projet'!$B$36,N54+M55-V54)))</f>
        <v>172.60000000000008</v>
      </c>
      <c r="O55" s="13">
        <f>N55*VLOOKUP('Données projet'!$B$9,Paramètres!$A$1:$I$89,3,0)*VLOOKUP('Données projet'!$B$9,Paramètres!$A$1:$I$89,5,0)</f>
        <v>156.16848000000005</v>
      </c>
      <c r="P55" s="13">
        <f t="shared" si="33"/>
        <v>39.977090041212335</v>
      </c>
      <c r="Q55" s="20">
        <f t="shared" si="53"/>
        <v>341.62020115511154</v>
      </c>
      <c r="R55" s="59">
        <f t="shared" si="0"/>
        <v>634.9535344884448</v>
      </c>
      <c r="S55" s="59">
        <f ca="1">AVERAGE(OFFSET($R$3,0,0,'Données projet'!$E$9+1,1))-AVERAGE(OFFSET($H$3,0,0,'Données projet'!$E$9+1,1))</f>
        <v>269.19146943657933</v>
      </c>
      <c r="T55" s="59">
        <f t="shared" si="34"/>
        <v>185.94138814570965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0</v>
      </c>
      <c r="AA55" s="21">
        <f>EXP(-LN(2)/25)*AA54+(1-EXP(-LN(2)/25))/(LN(2)/25)*Calculateur!V55*Calculateur!X55*VLOOKUP('Données projet'!$B$9,Paramètres!$A$1:$I$89,3,0)*0.475*44/12</f>
        <v>1.687665646447629</v>
      </c>
      <c r="AB55" s="21">
        <f>EXP(-LN(2)/2)*AB54+(1-EXP(-LN(2)/2))/(LN(2)/2)*V55*Y55*VLOOKUP('Données projet'!$B$9,Paramètres!$A$1:$I$89,3,0)*0.475*44/12</f>
        <v>3.0221425070451305E-3</v>
      </c>
      <c r="AC55" s="22">
        <f t="shared" si="3"/>
        <v>1.6906877889546741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18</v>
      </c>
      <c r="AI55" s="13">
        <f>IF('Données projet'!$A$62&gt;35,AI54+AH55-AQ54,IF(A55&lt;'Données projet'!$A$62,$AF$205^A55,IF(A55='Données projet'!$A$62,'Données projet'!$B$62,AI54+AH55-AQ54)))</f>
        <v>478</v>
      </c>
      <c r="AJ55" s="13">
        <f>AI55*VLOOKUP('Données projet'!$B$10,Paramètres!$A$1:$I$89,3,0)*VLOOKUP('Données projet'!$B$10,Paramètres!$A$1:$I$89,5,0)</f>
        <v>267.202</v>
      </c>
      <c r="AK55" s="13">
        <f t="shared" si="35"/>
        <v>64.255103543261868</v>
      </c>
      <c r="AL55" s="20">
        <f t="shared" si="4"/>
        <v>577.28778867118103</v>
      </c>
      <c r="AM55" s="59">
        <f t="shared" si="5"/>
        <v>870.62112200451429</v>
      </c>
      <c r="AN55" s="59">
        <f ca="1">AVERAGE(OFFSET($AM$3,0,0,'Données projet'!$E$10+1,1))-AVERAGE(OFFSET($H$3,0,0,'Données projet'!$E$10+1,1))</f>
        <v>400.34672861351783</v>
      </c>
      <c r="AO55" s="59">
        <f t="shared" si="36"/>
        <v>413.2016163204438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6.6479009515771388</v>
      </c>
      <c r="AV55" s="21">
        <f>EXP(-LN(2)/25)*AV54+(1-EXP(-LN(2)/25))/(LN(2)/25)*Calculateur!AQ55*Calculateur!AS55*VLOOKUP('Données projet'!$B$10,Paramètres!$A$1:$I$89,3,0)*0.475*44/12</f>
        <v>18.151546924511077</v>
      </c>
      <c r="AW55" s="21">
        <f>EXP(-LN(2)/2)*AW54+(1-EXP(-LN(2)/2))/(LN(2)/2)*AQ55*AT55*VLOOKUP('Données projet'!$B$10,Paramètres!$A$1:$I$89,3,0)*0.475*44/12</f>
        <v>1.5981330342472216E-2</v>
      </c>
      <c r="AX55" s="21">
        <f t="shared" si="6"/>
        <v>24.815429206430689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1">
        <f t="shared" si="32"/>
        <v>13.869414921287754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67">
        <f t="shared" si="1"/>
        <v>362.90313432124293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7.8</v>
      </c>
      <c r="N56" s="13">
        <f>IF('Données projet'!$A$36&gt;35,N55+M56-V55,IF(A56&lt;'Données projet'!$A$36,$K$205^A56,IF(A56='Données projet'!$A$36,'Données projet'!$B$36,N55+M56-V55)))</f>
        <v>180.40000000000009</v>
      </c>
      <c r="O56" s="13">
        <f>N56*VLOOKUP('Données projet'!$B$9,Paramètres!$A$1:$I$89,3,0)*VLOOKUP('Données projet'!$B$9,Paramètres!$A$1:$I$89,5,0)</f>
        <v>163.22592000000009</v>
      </c>
      <c r="P56" s="13">
        <f t="shared" si="33"/>
        <v>41.569283201466128</v>
      </c>
      <c r="Q56" s="20">
        <f t="shared" si="53"/>
        <v>356.68497890922026</v>
      </c>
      <c r="R56" s="59">
        <f t="shared" si="0"/>
        <v>650.01831224255352</v>
      </c>
      <c r="S56" s="59">
        <f ca="1">AVERAGE(OFFSET($R$3,0,0,'Données projet'!$E$9+1,1))-AVERAGE(OFFSET($H$3,0,0,'Données projet'!$E$9+1,1))</f>
        <v>269.19146943657933</v>
      </c>
      <c r="T56" s="59">
        <f t="shared" si="34"/>
        <v>185.94138814570965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0</v>
      </c>
      <c r="AA56" s="21">
        <f>EXP(-LN(2)/25)*AA55+(1-EXP(-LN(2)/25))/(LN(2)/25)*Calculateur!V56*Calculateur!X56*VLOOKUP('Données projet'!$B$9,Paramètres!$A$1:$I$89,3,0)*0.475*44/12</f>
        <v>1.6415163405950395</v>
      </c>
      <c r="AB56" s="21">
        <f>EXP(-LN(2)/2)*AB55+(1-EXP(-LN(2)/2))/(LN(2)/2)*V56*Y56*VLOOKUP('Données projet'!$B$9,Paramètres!$A$1:$I$89,3,0)*0.475*44/12</f>
        <v>2.1369774604437252E-3</v>
      </c>
      <c r="AC56" s="22">
        <f t="shared" si="3"/>
        <v>1.6436533180554833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18</v>
      </c>
      <c r="AI56" s="13">
        <f>IF('Données projet'!$A$62&gt;35,AI55+AH56-AQ55,IF(A56&lt;'Données projet'!$A$62,$AF$205^A56,IF(A56='Données projet'!$A$62,'Données projet'!$B$62,AI55+AH56-AQ55)))</f>
        <v>496</v>
      </c>
      <c r="AJ56" s="13">
        <f>AI56*VLOOKUP('Données projet'!$B$10,Paramètres!$A$1:$I$89,3,0)*VLOOKUP('Données projet'!$B$10,Paramètres!$A$1:$I$89,5,0)</f>
        <v>277.26400000000001</v>
      </c>
      <c r="AK56" s="13">
        <f t="shared" si="35"/>
        <v>66.388483410423504</v>
      </c>
      <c r="AL56" s="20">
        <f t="shared" si="4"/>
        <v>598.52807527315429</v>
      </c>
      <c r="AM56" s="59">
        <f t="shared" si="5"/>
        <v>891.86140860648766</v>
      </c>
      <c r="AN56" s="59">
        <f ca="1">AVERAGE(OFFSET($AM$3,0,0,'Données projet'!$E$10+1,1))-AVERAGE(OFFSET($H$3,0,0,'Données projet'!$E$10+1,1))</f>
        <v>400.34672861351783</v>
      </c>
      <c r="AO56" s="59">
        <f t="shared" si="36"/>
        <v>413.2016163204438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6.5175396687359113</v>
      </c>
      <c r="AV56" s="21">
        <f>EXP(-LN(2)/25)*AV55+(1-EXP(-LN(2)/25))/(LN(2)/25)*Calculateur!AQ56*Calculateur!AS56*VLOOKUP('Données projet'!$B$10,Paramètres!$A$1:$I$89,3,0)*0.475*44/12</f>
        <v>17.655191919311957</v>
      </c>
      <c r="AW56" s="21">
        <f>EXP(-LN(2)/2)*AW55+(1-EXP(-LN(2)/2))/(LN(2)/2)*AQ56*AT56*VLOOKUP('Données projet'!$B$10,Paramètres!$A$1:$I$89,3,0)*0.475*44/12</f>
        <v>1.1300507057544434E-2</v>
      </c>
      <c r="AX56" s="21">
        <f t="shared" si="6"/>
        <v>24.184032095105412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1">
        <f t="shared" si="32"/>
        <v>14.100389472000563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67">
        <f t="shared" si="1"/>
        <v>364.85410499706774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7.8</v>
      </c>
      <c r="N57" s="13">
        <f>IF('Données projet'!$A$36&gt;35,N56+M57-V56,IF(A57&lt;'Données projet'!$A$36,$K$205^A57,IF(A57='Données projet'!$A$36,'Données projet'!$B$36,N56+M57-V56)))</f>
        <v>188.2000000000001</v>
      </c>
      <c r="O57" s="13">
        <f>N57*VLOOKUP('Données projet'!$B$9,Paramètres!$A$1:$I$89,3,0)*VLOOKUP('Données projet'!$B$9,Paramètres!$A$1:$I$89,5,0)</f>
        <v>170.28336000000007</v>
      </c>
      <c r="P57" s="13">
        <f t="shared" si="33"/>
        <v>43.153480646462619</v>
      </c>
      <c r="Q57" s="20">
        <f t="shared" si="53"/>
        <v>371.73583079258918</v>
      </c>
      <c r="R57" s="59">
        <f t="shared" si="0"/>
        <v>665.0691641259225</v>
      </c>
      <c r="S57" s="59">
        <f ca="1">AVERAGE(OFFSET($R$3,0,0,'Données projet'!$E$9+1,1))-AVERAGE(OFFSET($H$3,0,0,'Données projet'!$E$9+1,1))</f>
        <v>269.19146943657933</v>
      </c>
      <c r="T57" s="59">
        <f t="shared" si="34"/>
        <v>185.94138814570965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0</v>
      </c>
      <c r="AA57" s="21">
        <f>EXP(-LN(2)/25)*AA56+(1-EXP(-LN(2)/25))/(LN(2)/25)*Calculateur!V57*Calculateur!X57*VLOOKUP('Données projet'!$B$9,Paramètres!$A$1:$I$89,3,0)*0.475*44/12</f>
        <v>1.5966289899378756</v>
      </c>
      <c r="AB57" s="21">
        <f>EXP(-LN(2)/2)*AB56+(1-EXP(-LN(2)/2))/(LN(2)/2)*V57*Y57*VLOOKUP('Données projet'!$B$9,Paramètres!$A$1:$I$89,3,0)*0.475*44/12</f>
        <v>1.5110712535225653E-3</v>
      </c>
      <c r="AC57" s="22">
        <f t="shared" si="3"/>
        <v>1.5981400611913981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18</v>
      </c>
      <c r="AI57" s="13">
        <f>IF('Données projet'!$A$62&gt;35,AI56+AH57-AQ56,IF(A57&lt;'Données projet'!$A$62,$AF$205^A57,IF(A57='Données projet'!$A$62,'Données projet'!$B$62,AI56+AH57-AQ56)))</f>
        <v>514</v>
      </c>
      <c r="AJ57" s="13">
        <f>AI57*VLOOKUP('Données projet'!$B$10,Paramètres!$A$1:$I$89,3,0)*VLOOKUP('Données projet'!$B$10,Paramètres!$A$1:$I$89,5,0)</f>
        <v>287.32600000000002</v>
      </c>
      <c r="AK57" s="13">
        <f t="shared" si="35"/>
        <v>68.512868389632061</v>
      </c>
      <c r="AL57" s="20">
        <f t="shared" si="4"/>
        <v>619.75269577860911</v>
      </c>
      <c r="AM57" s="59">
        <f t="shared" si="5"/>
        <v>913.08602911194248</v>
      </c>
      <c r="AN57" s="59">
        <f ca="1">AVERAGE(OFFSET($AM$3,0,0,'Données projet'!$E$10+1,1))-AVERAGE(OFFSET($H$3,0,0,'Données projet'!$E$10+1,1))</f>
        <v>400.34672861351783</v>
      </c>
      <c r="AO57" s="59">
        <f t="shared" si="36"/>
        <v>413.2016163204438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6.3897346911386688</v>
      </c>
      <c r="AV57" s="21">
        <f>EXP(-LN(2)/25)*AV56+(1-EXP(-LN(2)/25))/(LN(2)/25)*Calculateur!AQ57*Calculateur!AS57*VLOOKUP('Données projet'!$B$10,Paramètres!$A$1:$I$89,3,0)*0.475*44/12</f>
        <v>17.172409767832178</v>
      </c>
      <c r="AW57" s="21">
        <f>EXP(-LN(2)/2)*AW56+(1-EXP(-LN(2)/2))/(LN(2)/2)*AQ57*AT57*VLOOKUP('Données projet'!$B$10,Paramètres!$A$1:$I$89,3,0)*0.475*44/12</f>
        <v>7.9906651712361079E-3</v>
      </c>
      <c r="AX57" s="21">
        <f t="shared" si="6"/>
        <v>23.570135124142084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1">
        <f t="shared" si="32"/>
        <v>14.330866650402033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67">
        <f t="shared" si="1"/>
        <v>366.80420941611692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7.8</v>
      </c>
      <c r="N58" s="13">
        <f>IF('Données projet'!$A$36&gt;35,N57+M58-V57,IF(A58&lt;'Données projet'!$A$36,$K$205^A58,IF(A58='Données projet'!$A$36,'Données projet'!$B$36,N57+M58-V57)))</f>
        <v>196.00000000000011</v>
      </c>
      <c r="O58" s="13">
        <f>N58*VLOOKUP('Données projet'!$B$9,Paramètres!$A$1:$I$89,3,0)*VLOOKUP('Données projet'!$B$9,Paramètres!$A$1:$I$89,5,0)</f>
        <v>177.34080000000012</v>
      </c>
      <c r="P58" s="13">
        <f t="shared" si="33"/>
        <v>44.730051658603102</v>
      </c>
      <c r="Q58" s="20">
        <f t="shared" si="53"/>
        <v>386.77339997206718</v>
      </c>
      <c r="R58" s="59">
        <f t="shared" si="0"/>
        <v>680.10673330540044</v>
      </c>
      <c r="S58" s="59">
        <f ca="1">AVERAGE(OFFSET($R$3,0,0,'Données projet'!$E$9+1,1))-AVERAGE(OFFSET($H$3,0,0,'Données projet'!$E$9+1,1))</f>
        <v>269.19146943657933</v>
      </c>
      <c r="T58" s="59">
        <f t="shared" si="34"/>
        <v>185.94138814570965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0</v>
      </c>
      <c r="AA58" s="21">
        <f>EXP(-LN(2)/25)*AA57+(1-EXP(-LN(2)/25))/(LN(2)/25)*Calculateur!V58*Calculateur!X58*VLOOKUP('Données projet'!$B$9,Paramètres!$A$1:$I$89,3,0)*0.475*44/12</f>
        <v>1.552969086244955</v>
      </c>
      <c r="AB58" s="21">
        <f>EXP(-LN(2)/2)*AB57+(1-EXP(-LN(2)/2))/(LN(2)/2)*V58*Y58*VLOOKUP('Données projet'!$B$9,Paramètres!$A$1:$I$89,3,0)*0.475*44/12</f>
        <v>1.0684887302218626E-3</v>
      </c>
      <c r="AC58" s="22">
        <f t="shared" si="3"/>
        <v>1.5540375749751769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18</v>
      </c>
      <c r="AI58" s="13">
        <f>IF('Données projet'!$A$62&gt;35,AI57+AH58-AQ57,IF(A58&lt;'Données projet'!$A$62,$AF$205^A58,IF(A58='Données projet'!$A$62,'Données projet'!$B$62,AI57+AH58-AQ57)))</f>
        <v>532</v>
      </c>
      <c r="AJ58" s="13">
        <f>AI58*VLOOKUP('Données projet'!$B$10,Paramètres!$A$1:$I$89,3,0)*VLOOKUP('Données projet'!$B$10,Paramètres!$A$1:$I$89,5,0)</f>
        <v>297.38799999999998</v>
      </c>
      <c r="AK58" s="13">
        <f t="shared" si="35"/>
        <v>70.628609572625066</v>
      </c>
      <c r="AL58" s="20">
        <f t="shared" si="4"/>
        <v>640.96226167232192</v>
      </c>
      <c r="AM58" s="59">
        <f t="shared" si="5"/>
        <v>934.29559500565529</v>
      </c>
      <c r="AN58" s="59">
        <f ca="1">AVERAGE(OFFSET($AM$3,0,0,'Données projet'!$E$10+1,1))-AVERAGE(OFFSET($H$3,0,0,'Données projet'!$E$10+1,1))</f>
        <v>400.34672861351783</v>
      </c>
      <c r="AO58" s="59">
        <f t="shared" si="36"/>
        <v>413.2016163204438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6.2644358911987696</v>
      </c>
      <c r="AV58" s="21">
        <f>EXP(-LN(2)/25)*AV57+(1-EXP(-LN(2)/25))/(LN(2)/25)*Calculateur!AQ58*Calculateur!AS58*VLOOKUP('Données projet'!$B$10,Paramètres!$A$1:$I$89,3,0)*0.475*44/12</f>
        <v>16.702829319673025</v>
      </c>
      <c r="AW58" s="21">
        <f>EXP(-LN(2)/2)*AW57+(1-EXP(-LN(2)/2))/(LN(2)/2)*AQ58*AT58*VLOOKUP('Données projet'!$B$10,Paramètres!$A$1:$I$89,3,0)*0.475*44/12</f>
        <v>5.650253528772217E-3</v>
      </c>
      <c r="AX58" s="21">
        <f t="shared" si="6"/>
        <v>22.972915464400565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1">
        <f t="shared" si="32"/>
        <v>14.560856542690786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67">
        <f t="shared" si="1"/>
        <v>368.75346514518651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7.8</v>
      </c>
      <c r="N59" s="13">
        <f>IF('Données projet'!$A$36&gt;35,N58+M59-V58,IF(A59&lt;'Données projet'!$A$36,$K$205^A59,IF(A59='Données projet'!$A$36,'Données projet'!$B$36,N58+M59-V58)))</f>
        <v>203.80000000000013</v>
      </c>
      <c r="O59" s="13">
        <f>N59*VLOOKUP('Données projet'!$B$9,Paramètres!$A$1:$I$89,3,0)*VLOOKUP('Données projet'!$B$9,Paramètres!$A$1:$I$89,5,0)</f>
        <v>184.3982400000001</v>
      </c>
      <c r="P59" s="13">
        <f t="shared" si="33"/>
        <v>46.299334464645959</v>
      </c>
      <c r="Q59" s="20">
        <f t="shared" si="53"/>
        <v>401.79827552592519</v>
      </c>
      <c r="R59" s="59">
        <f t="shared" si="0"/>
        <v>695.13160885925845</v>
      </c>
      <c r="S59" s="59">
        <f ca="1">AVERAGE(OFFSET($R$3,0,0,'Données projet'!$E$9+1,1))-AVERAGE(OFFSET($H$3,0,0,'Données projet'!$E$9+1,1))</f>
        <v>269.19146943657933</v>
      </c>
      <c r="T59" s="59">
        <f t="shared" si="34"/>
        <v>185.94138814570965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0</v>
      </c>
      <c r="AA59" s="21">
        <f>EXP(-LN(2)/25)*AA58+(1-EXP(-LN(2)/25))/(LN(2)/25)*Calculateur!V59*Calculateur!X59*VLOOKUP('Données projet'!$B$9,Paramètres!$A$1:$I$89,3,0)*0.475*44/12</f>
        <v>1.5105030649144917</v>
      </c>
      <c r="AB59" s="21">
        <f>EXP(-LN(2)/2)*AB58+(1-EXP(-LN(2)/2))/(LN(2)/2)*V59*Y59*VLOOKUP('Données projet'!$B$9,Paramètres!$A$1:$I$89,3,0)*0.475*44/12</f>
        <v>7.5553562676128263E-4</v>
      </c>
      <c r="AC59" s="22">
        <f t="shared" si="3"/>
        <v>1.5112586005412529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18</v>
      </c>
      <c r="AI59" s="13">
        <f>IF('Données projet'!$A$62&gt;35,AI58+AH59-AQ58,IF(A59&lt;'Données projet'!$A$62,$AF$205^A59,IF(A59='Données projet'!$A$62,'Données projet'!$B$62,AI58+AH59-AQ58)))</f>
        <v>550</v>
      </c>
      <c r="AJ59" s="13">
        <f>AI59*VLOOKUP('Données projet'!$B$10,Paramètres!$A$1:$I$89,3,0)*VLOOKUP('Données projet'!$B$10,Paramètres!$A$1:$I$89,5,0)</f>
        <v>307.45</v>
      </c>
      <c r="AK59" s="13">
        <f t="shared" si="35"/>
        <v>72.736032945200179</v>
      </c>
      <c r="AL59" s="20">
        <f t="shared" si="4"/>
        <v>662.15734071289023</v>
      </c>
      <c r="AM59" s="59">
        <f t="shared" si="5"/>
        <v>955.4906740462236</v>
      </c>
      <c r="AN59" s="59">
        <f ca="1">AVERAGE(OFFSET($AM$3,0,0,'Données projet'!$E$10+1,1))-AVERAGE(OFFSET($H$3,0,0,'Données projet'!$E$10+1,1))</f>
        <v>400.34672861351783</v>
      </c>
      <c r="AO59" s="59">
        <f t="shared" si="36"/>
        <v>413.2016163204438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6.14159412430097</v>
      </c>
      <c r="AV59" s="21">
        <f>EXP(-LN(2)/25)*AV58+(1-EXP(-LN(2)/25))/(LN(2)/25)*Calculateur!AQ59*Calculateur!AS59*VLOOKUP('Données projet'!$B$10,Paramètres!$A$1:$I$89,3,0)*0.475*44/12</f>
        <v>16.246089573562948</v>
      </c>
      <c r="AW59" s="21">
        <f>EXP(-LN(2)/2)*AW58+(1-EXP(-LN(2)/2))/(LN(2)/2)*AQ59*AT59*VLOOKUP('Données projet'!$B$10,Paramètres!$A$1:$I$89,3,0)*0.475*44/12</f>
        <v>3.9953325856180539E-3</v>
      </c>
      <c r="AX59" s="21">
        <f t="shared" si="6"/>
        <v>22.391679030449534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1">
        <f t="shared" si="32"/>
        <v>14.790368854214481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67">
        <f t="shared" si="1"/>
        <v>370.70188908775697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7.8</v>
      </c>
      <c r="N60" s="13">
        <f>IF('Données projet'!$A$36&gt;35,N59+M60-V59,IF(A60&lt;'Données projet'!$A$36,$K$205^A60,IF(A60='Données projet'!$A$36,'Données projet'!$B$36,N59+M60-V59)))</f>
        <v>211.60000000000014</v>
      </c>
      <c r="O60" s="13">
        <f>N60*VLOOKUP('Données projet'!$B$9,Paramètres!$A$1:$I$89,3,0)*VLOOKUP('Données projet'!$B$9,Paramètres!$A$1:$I$89,5,0)</f>
        <v>191.45568000000011</v>
      </c>
      <c r="P60" s="13">
        <f t="shared" si="33"/>
        <v>47.861639935303188</v>
      </c>
      <c r="Q60" s="20">
        <f t="shared" si="53"/>
        <v>416.81099888731995</v>
      </c>
      <c r="R60" s="59">
        <f t="shared" si="0"/>
        <v>710.14433222065327</v>
      </c>
      <c r="S60" s="59">
        <f ca="1">AVERAGE(OFFSET($R$3,0,0,'Données projet'!$E$9+1,1))-AVERAGE(OFFSET($H$3,0,0,'Données projet'!$E$9+1,1))</f>
        <v>269.19146943657933</v>
      </c>
      <c r="T60" s="59">
        <f t="shared" si="34"/>
        <v>185.94138814570965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0</v>
      </c>
      <c r="AA60" s="21">
        <f>EXP(-LN(2)/25)*AA59+(1-EXP(-LN(2)/25))/(LN(2)/25)*Calculateur!V60*Calculateur!X60*VLOOKUP('Données projet'!$B$9,Paramètres!$A$1:$I$89,3,0)*0.475*44/12</f>
        <v>1.4691982791705009</v>
      </c>
      <c r="AB60" s="21">
        <f>EXP(-LN(2)/2)*AB59+(1-EXP(-LN(2)/2))/(LN(2)/2)*V60*Y60*VLOOKUP('Données projet'!$B$9,Paramètres!$A$1:$I$89,3,0)*0.475*44/12</f>
        <v>5.3424436511093131E-4</v>
      </c>
      <c r="AC60" s="22">
        <f t="shared" si="3"/>
        <v>1.4697325235356118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18</v>
      </c>
      <c r="AI60" s="13">
        <f>IF('Données projet'!$A$62&gt;35,AI59+AH60-AQ59,IF(A60&lt;'Données projet'!$A$62,$AF$205^A60,IF(A60='Données projet'!$A$62,'Données projet'!$B$62,AI59+AH60-AQ59)))</f>
        <v>568</v>
      </c>
      <c r="AJ60" s="13">
        <f>AI60*VLOOKUP('Données projet'!$B$10,Paramètres!$A$1:$I$89,3,0)*VLOOKUP('Données projet'!$B$10,Paramètres!$A$1:$I$89,5,0)</f>
        <v>317.512</v>
      </c>
      <c r="AK60" s="13">
        <f t="shared" si="35"/>
        <v>74.835441944795136</v>
      </c>
      <c r="AL60" s="20">
        <f t="shared" si="4"/>
        <v>683.33846138718491</v>
      </c>
      <c r="AM60" s="59">
        <f t="shared" si="5"/>
        <v>976.67179472051816</v>
      </c>
      <c r="AN60" s="59">
        <f ca="1">AVERAGE(OFFSET($AM$3,0,0,'Données projet'!$E$10+1,1))-AVERAGE(OFFSET($H$3,0,0,'Données projet'!$E$10+1,1))</f>
        <v>400.34672861351783</v>
      </c>
      <c r="AO60" s="59">
        <f t="shared" si="36"/>
        <v>413.2016163204438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6.0211612095259568</v>
      </c>
      <c r="AV60" s="21">
        <f>EXP(-LN(2)/25)*AV59+(1-EXP(-LN(2)/25))/(LN(2)/25)*Calculateur!AQ60*Calculateur!AS60*VLOOKUP('Données projet'!$B$10,Paramètres!$A$1:$I$89,3,0)*0.475*44/12</f>
        <v>15.801839399829149</v>
      </c>
      <c r="AW60" s="21">
        <f>EXP(-LN(2)/2)*AW59+(1-EXP(-LN(2)/2))/(LN(2)/2)*AQ60*AT60*VLOOKUP('Données projet'!$B$10,Paramètres!$A$1:$I$89,3,0)*0.475*44/12</f>
        <v>2.8251267643861085E-3</v>
      </c>
      <c r="AX60" s="21">
        <f t="shared" si="6"/>
        <v>21.825825736119491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1">
        <f t="shared" si="32"/>
        <v>15.01941293027533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67">
        <f t="shared" si="1"/>
        <v>372.6494975202296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7.8</v>
      </c>
      <c r="N61" s="13">
        <f>IF('Données projet'!$A$36&gt;35,N60+M61-V60,IF(A61&lt;'Données projet'!$A$36,$K$205^A61,IF(A61='Données projet'!$A$36,'Données projet'!$B$36,N60+M61-V60)))</f>
        <v>219.40000000000015</v>
      </c>
      <c r="O61" s="13">
        <f>N61*VLOOKUP('Données projet'!$B$9,Paramètres!$A$1:$I$89,3,0)*VLOOKUP('Données projet'!$B$9,Paramètres!$A$1:$I$89,5,0)</f>
        <v>198.51312000000013</v>
      </c>
      <c r="P61" s="13">
        <f t="shared" si="33"/>
        <v>49.417254724004458</v>
      </c>
      <c r="Q61" s="20">
        <f t="shared" si="53"/>
        <v>431.81206931097466</v>
      </c>
      <c r="R61" s="59">
        <f t="shared" si="0"/>
        <v>725.14540264430798</v>
      </c>
      <c r="S61" s="59">
        <f ca="1">AVERAGE(OFFSET($R$3,0,0,'Données projet'!$E$9+1,1))-AVERAGE(OFFSET($H$3,0,0,'Données projet'!$E$9+1,1))</f>
        <v>269.19146943657933</v>
      </c>
      <c r="T61" s="59">
        <f t="shared" si="34"/>
        <v>185.94138814570965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0</v>
      </c>
      <c r="AA61" s="21">
        <f>EXP(-LN(2)/25)*AA60+(1-EXP(-LN(2)/25))/(LN(2)/25)*Calculateur!V61*Calculateur!X61*VLOOKUP('Données projet'!$B$9,Paramètres!$A$1:$I$89,3,0)*0.475*44/12</f>
        <v>1.429022974964804</v>
      </c>
      <c r="AB61" s="21">
        <f>EXP(-LN(2)/2)*AB60+(1-EXP(-LN(2)/2))/(LN(2)/2)*V61*Y61*VLOOKUP('Données projet'!$B$9,Paramètres!$A$1:$I$89,3,0)*0.475*44/12</f>
        <v>3.7776781338064131E-4</v>
      </c>
      <c r="AC61" s="22">
        <f t="shared" si="3"/>
        <v>1.4294007427781847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18</v>
      </c>
      <c r="AI61" s="13">
        <f>IF('Données projet'!$A$62&gt;35,AI60+AH61-AQ60,IF(A61&lt;'Données projet'!$A$62,$AF$205^A61,IF(A61='Données projet'!$A$62,'Données projet'!$B$62,AI60+AH61-AQ60)))</f>
        <v>586</v>
      </c>
      <c r="AJ61" s="13">
        <f>AI61*VLOOKUP('Données projet'!$B$10,Paramètres!$A$1:$I$89,3,0)*VLOOKUP('Données projet'!$B$10,Paramètres!$A$1:$I$89,5,0)</f>
        <v>327.57400000000001</v>
      </c>
      <c r="AK61" s="13">
        <f t="shared" si="35"/>
        <v>76.927119684760811</v>
      </c>
      <c r="AL61" s="20">
        <f t="shared" si="4"/>
        <v>704.50611678429186</v>
      </c>
      <c r="AM61" s="59">
        <f t="shared" si="5"/>
        <v>997.83945011762512</v>
      </c>
      <c r="AN61" s="59">
        <f ca="1">AVERAGE(OFFSET($AM$3,0,0,'Données projet'!$E$10+1,1))-AVERAGE(OFFSET($H$3,0,0,'Données projet'!$E$10+1,1))</f>
        <v>400.34672861351783</v>
      </c>
      <c r="AO61" s="59">
        <f t="shared" si="36"/>
        <v>413.2016163204438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5.9030899107528567</v>
      </c>
      <c r="AV61" s="21">
        <f>EXP(-LN(2)/25)*AV60+(1-EXP(-LN(2)/25))/(LN(2)/25)*Calculateur!AQ61*Calculateur!AS61*VLOOKUP('Données projet'!$B$10,Paramètres!$A$1:$I$89,3,0)*0.475*44/12</f>
        <v>15.369737270458202</v>
      </c>
      <c r="AW61" s="21">
        <f>EXP(-LN(2)/2)*AW60+(1-EXP(-LN(2)/2))/(LN(2)/2)*AQ61*AT61*VLOOKUP('Données projet'!$B$10,Paramètres!$A$1:$I$89,3,0)*0.475*44/12</f>
        <v>1.997666292809027E-3</v>
      </c>
      <c r="AX61" s="21">
        <f t="shared" si="6"/>
        <v>21.274824847503869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1">
        <f t="shared" si="32"/>
        <v>15.247997775460181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67">
        <f t="shared" si="1"/>
        <v>374.59630612559323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7.8</v>
      </c>
      <c r="N62" s="13">
        <f>IF('Données projet'!$A$36&gt;35,N61+M62-V61,IF(A62&lt;'Données projet'!$A$36,$K$205^A62,IF(A62='Données projet'!$A$36,'Données projet'!$B$36,N61+M62-V61)))</f>
        <v>227.20000000000016</v>
      </c>
      <c r="O62" s="13">
        <f>N62*VLOOKUP('Données projet'!$B$9,Paramètres!$A$1:$I$89,3,0)*VLOOKUP('Données projet'!$B$9,Paramètres!$A$1:$I$89,5,0)</f>
        <v>205.57056000000014</v>
      </c>
      <c r="P62" s="13">
        <f t="shared" si="33"/>
        <v>50.966443946767434</v>
      </c>
      <c r="Q62" s="20">
        <f t="shared" si="53"/>
        <v>446.80194854062023</v>
      </c>
      <c r="R62" s="59">
        <f t="shared" si="0"/>
        <v>740.13528187395355</v>
      </c>
      <c r="S62" s="59">
        <f ca="1">AVERAGE(OFFSET($R$3,0,0,'Données projet'!$E$9+1,1))-AVERAGE(OFFSET($H$3,0,0,'Données projet'!$E$9+1,1))</f>
        <v>269.19146943657933</v>
      </c>
      <c r="T62" s="59">
        <f t="shared" si="34"/>
        <v>185.94138814570965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0</v>
      </c>
      <c r="AA62" s="21">
        <f>EXP(-LN(2)/25)*AA61+(1-EXP(-LN(2)/25))/(LN(2)/25)*Calculateur!V62*Calculateur!X62*VLOOKUP('Données projet'!$B$9,Paramètres!$A$1:$I$89,3,0)*0.475*44/12</f>
        <v>1.3899462665653393</v>
      </c>
      <c r="AB62" s="21">
        <f>EXP(-LN(2)/2)*AB61+(1-EXP(-LN(2)/2))/(LN(2)/2)*V62*Y62*VLOOKUP('Données projet'!$B$9,Paramètres!$A$1:$I$89,3,0)*0.475*44/12</f>
        <v>2.6712218255546565E-4</v>
      </c>
      <c r="AC62" s="22">
        <f t="shared" si="3"/>
        <v>1.3902133887478947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18</v>
      </c>
      <c r="AI62" s="13">
        <f>IF('Données projet'!$A$62&gt;35,AI61+AH62-AQ61,IF(A62&lt;'Données projet'!$A$62,$AF$205^A62,IF(A62='Données projet'!$A$62,'Données projet'!$B$62,AI61+AH62-AQ61)))</f>
        <v>604</v>
      </c>
      <c r="AJ62" s="13">
        <f>AI62*VLOOKUP('Données projet'!$B$10,Paramètres!$A$1:$I$89,3,0)*VLOOKUP('Données projet'!$B$10,Paramètres!$A$1:$I$89,5,0)</f>
        <v>337.63599999999997</v>
      </c>
      <c r="AK62" s="13">
        <f t="shared" si="35"/>
        <v>79.0113308976659</v>
      </c>
      <c r="AL62" s="20">
        <f t="shared" si="4"/>
        <v>725.66076798010135</v>
      </c>
      <c r="AM62" s="59">
        <f t="shared" si="5"/>
        <v>1018.9941013134346</v>
      </c>
      <c r="AN62" s="59">
        <f ca="1">AVERAGE(OFFSET($AM$3,0,0,'Données projet'!$E$10+1,1))-AVERAGE(OFFSET($H$3,0,0,'Données projet'!$E$10+1,1))</f>
        <v>400.34672861351783</v>
      </c>
      <c r="AO62" s="59">
        <f t="shared" si="36"/>
        <v>413.2016163204438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5.7873339181323162</v>
      </c>
      <c r="AV62" s="21">
        <f>EXP(-LN(2)/25)*AV61+(1-EXP(-LN(2)/25))/(LN(2)/25)*Calculateur!AQ62*Calculateur!AS62*VLOOKUP('Données projet'!$B$10,Paramètres!$A$1:$I$89,3,0)*0.475*44/12</f>
        <v>14.949450996538168</v>
      </c>
      <c r="AW62" s="21">
        <f>EXP(-LN(2)/2)*AW61+(1-EXP(-LN(2)/2))/(LN(2)/2)*AQ62*AT62*VLOOKUP('Données projet'!$B$10,Paramètres!$A$1:$I$89,3,0)*0.475*44/12</f>
        <v>1.4125633821930543E-3</v>
      </c>
      <c r="AX62" s="21">
        <f t="shared" si="6"/>
        <v>20.738197478052676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1">
        <f t="shared" si="32"/>
        <v>15.476132071622855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67">
        <f t="shared" si="1"/>
        <v>376.54233002474325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235</v>
      </c>
      <c r="L63" s="12">
        <f>VLOOKUP(A63,'Données projet'!$A$35:$I$55,9,0)</f>
        <v>7.8</v>
      </c>
      <c r="M63" s="12">
        <f t="array" ref="M63">INDEX(L:L,MIN(IF(ISNUMBER(L63:L259),ROW(L63:L259),"")))</f>
        <v>7.8</v>
      </c>
      <c r="N63" s="13">
        <f>IF('Données projet'!$A$36&gt;35,N62+M63-V62,IF(A63&lt;'Données projet'!$A$36,$K$205^A63,IF(A63='Données projet'!$A$36,'Données projet'!$B$36,N62+M63-V62)))</f>
        <v>235.00000000000017</v>
      </c>
      <c r="O63" s="13">
        <f>N63*VLOOKUP('Données projet'!$B$9,Paramètres!$A$1:$I$89,3,0)*VLOOKUP('Données projet'!$B$9,Paramètres!$A$1:$I$89,5,0)</f>
        <v>212.62800000000016</v>
      </c>
      <c r="P63" s="13">
        <f t="shared" si="33"/>
        <v>52.509453483719085</v>
      </c>
      <c r="Q63" s="20">
        <f t="shared" si="53"/>
        <v>461.78106481747767</v>
      </c>
      <c r="R63" s="59">
        <f t="shared" si="0"/>
        <v>755.11439815081098</v>
      </c>
      <c r="S63" s="59">
        <f ca="1">AVERAGE(OFFSET($R$3,0,0,'Données projet'!$E$9+1,1))-AVERAGE(OFFSET($H$3,0,0,'Données projet'!$E$9+1,1))</f>
        <v>269.19146943657933</v>
      </c>
      <c r="T63" s="59">
        <f t="shared" si="34"/>
        <v>185.94138814570965</v>
      </c>
      <c r="U63" s="15">
        <f>IF(ISNA(VLOOKUP(A63,'Données projet'!$A$35:$I$55,3,0)),0,VLOOKUP(A63,'Données projet'!$A$35:$I$55,3,0))</f>
        <v>4</v>
      </c>
      <c r="V63" s="15">
        <f>IF(ISNA(VLOOKUP(A63,'Données projet'!$A$35:$I$55,4,0)),0,VLOOKUP(A63,'Données projet'!$A$35:$I$55,4,0))</f>
        <v>42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0</v>
      </c>
      <c r="AA63" s="21">
        <f>EXP(-LN(2)/25)*AA62+(1-EXP(-LN(2)/25))/(LN(2)/25)*Calculateur!V63*Calculateur!X63*VLOOKUP('Données projet'!$B$9,Paramètres!$A$1:$I$89,3,0)*0.475*44/12</f>
        <v>1.3519381128120127</v>
      </c>
      <c r="AB63" s="21">
        <f>EXP(-LN(2)/2)*AB62+(1-EXP(-LN(2)/2))/(LN(2)/2)*V63*Y63*VLOOKUP('Données projet'!$B$9,Paramètres!$A$1:$I$89,3,0)*0.475*44/12</f>
        <v>1.8888390669032066E-4</v>
      </c>
      <c r="AC63" s="22">
        <f t="shared" si="3"/>
        <v>1.3521269967187031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622</v>
      </c>
      <c r="AG63" s="12">
        <f>VLOOKUP(A63,'Données projet'!$A$61:$I$81,9,0)</f>
        <v>18</v>
      </c>
      <c r="AH63" s="12">
        <f t="array" ref="AH63">INDEX(AG:AG,MIN(IF(ISNUMBER(AG63:AG259),ROW(AG63:AG259),"")))</f>
        <v>18</v>
      </c>
      <c r="AI63" s="13">
        <f>IF('Données projet'!$A$62&gt;35,AI62+AH63-AQ62,IF(A63&lt;'Données projet'!$A$62,$AF$205^A63,IF(A63='Données projet'!$A$62,'Données projet'!$B$62,AI62+AH63-AQ62)))</f>
        <v>622</v>
      </c>
      <c r="AJ63" s="13">
        <f>AI63*VLOOKUP('Données projet'!$B$10,Paramètres!$A$1:$I$89,3,0)*VLOOKUP('Données projet'!$B$10,Paramètres!$A$1:$I$89,5,0)</f>
        <v>347.69799999999998</v>
      </c>
      <c r="AK63" s="13">
        <f t="shared" si="35"/>
        <v>81.088323640441374</v>
      </c>
      <c r="AL63" s="20">
        <f t="shared" si="4"/>
        <v>746.80284700710206</v>
      </c>
      <c r="AM63" s="59">
        <f t="shared" si="5"/>
        <v>1040.1361803404354</v>
      </c>
      <c r="AN63" s="59">
        <f ca="1">AVERAGE(OFFSET($AM$3,0,0,'Données projet'!$E$10+1,1))-AVERAGE(OFFSET($H$3,0,0,'Données projet'!$E$10+1,1))</f>
        <v>400.34672861351783</v>
      </c>
      <c r="AO63" s="59">
        <f t="shared" si="36"/>
        <v>413.2016163204438</v>
      </c>
      <c r="AP63" s="15">
        <f>IF(ISNA(VLOOKUP(A63,'Données projet'!$A$61:$I$81,3,0)),0,VLOOKUP(A63,'Données projet'!$A$61:$I$81,3,0))</f>
        <v>5</v>
      </c>
      <c r="AQ63" s="15">
        <f>IF(ISNA(VLOOKUP(A63,'Données projet'!$A$61:$I$81,4,0)),0,VLOOKUP(A63,'Données projet'!$A$61:$I$81,4,0))</f>
        <v>90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5.6738478299228801</v>
      </c>
      <c r="AV63" s="21">
        <f>EXP(-LN(2)/25)*AV62+(1-EXP(-LN(2)/25))/(LN(2)/25)*Calculateur!AQ63*Calculateur!AS63*VLOOKUP('Données projet'!$B$10,Paramètres!$A$1:$I$89,3,0)*0.475*44/12</f>
        <v>14.540657472880371</v>
      </c>
      <c r="AW63" s="21">
        <f>EXP(-LN(2)/2)*AW62+(1-EXP(-LN(2)/2))/(LN(2)/2)*AQ63*AT63*VLOOKUP('Données projet'!$B$10,Paramètres!$A$1:$I$89,3,0)*0.475*44/12</f>
        <v>9.9883314640451348E-4</v>
      </c>
      <c r="AX63" s="21">
        <f t="shared" si="6"/>
        <v>20.215504135949654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1">
        <f t="shared" si="32"/>
        <v>15.703824194633762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67">
        <f t="shared" si="1"/>
        <v>378.48758380565391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7</v>
      </c>
      <c r="N64" s="13">
        <f>IF('Données projet'!$A$36&gt;35,N63+M64-V63,IF(A64&lt;'Données projet'!$A$36,$K$205^A64,IF(A64='Données projet'!$A$36,'Données projet'!$B$36,N63+M64-V63)))</f>
        <v>200.00000000000017</v>
      </c>
      <c r="O64" s="13">
        <f>N64*VLOOKUP('Données projet'!$B$9,Paramètres!$A$1:$I$89,3,0)*VLOOKUP('Données projet'!$B$9,Paramètres!$A$1:$I$89,5,0)</f>
        <v>180.96000000000015</v>
      </c>
      <c r="P64" s="13">
        <f t="shared" si="33"/>
        <v>45.535702314871806</v>
      </c>
      <c r="Q64" s="20">
        <f t="shared" si="53"/>
        <v>394.48001486506865</v>
      </c>
      <c r="R64" s="59">
        <f t="shared" si="0"/>
        <v>687.81334819840197</v>
      </c>
      <c r="S64" s="59">
        <f ca="1">AVERAGE(OFFSET($R$3,0,0,'Données projet'!$E$9+1,1))-AVERAGE(OFFSET($H$3,0,0,'Données projet'!$E$9+1,1))</f>
        <v>269.19146943657933</v>
      </c>
      <c r="T64" s="59">
        <f t="shared" si="34"/>
        <v>185.94138814570965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0</v>
      </c>
      <c r="AA64" s="21">
        <f>EXP(-LN(2)/25)*AA63+(1-EXP(-LN(2)/25))/(LN(2)/25)*Calculateur!V64*Calculateur!X64*VLOOKUP('Données projet'!$B$9,Paramètres!$A$1:$I$89,3,0)*0.475*44/12</f>
        <v>1.3149692940218327</v>
      </c>
      <c r="AB64" s="21">
        <f>EXP(-LN(2)/2)*AB63+(1-EXP(-LN(2)/2))/(LN(2)/2)*V64*Y64*VLOOKUP('Données projet'!$B$9,Paramètres!$A$1:$I$89,3,0)*0.475*44/12</f>
        <v>1.3356109127773283E-4</v>
      </c>
      <c r="AC64" s="22">
        <f t="shared" si="3"/>
        <v>1.3151028551131105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14.5</v>
      </c>
      <c r="AI64" s="13">
        <f>IF('Données projet'!$A$62&gt;35,AI63+AH64-AQ63,IF(A64&lt;'Données projet'!$A$62,$AF$205^A64,IF(A64='Données projet'!$A$62,'Données projet'!$B$62,AI63+AH64-AQ63)))</f>
        <v>546.5</v>
      </c>
      <c r="AJ64" s="13">
        <f>AI64*VLOOKUP('Données projet'!$B$10,Paramètres!$A$1:$I$89,3,0)*VLOOKUP('Données projet'!$B$10,Paramètres!$A$1:$I$89,5,0)</f>
        <v>305.49350000000004</v>
      </c>
      <c r="AK64" s="13">
        <f t="shared" si="35"/>
        <v>72.326893010073533</v>
      </c>
      <c r="AL64" s="20">
        <f t="shared" si="4"/>
        <v>658.03718449254472</v>
      </c>
      <c r="AM64" s="59">
        <f t="shared" si="5"/>
        <v>951.3705178258781</v>
      </c>
      <c r="AN64" s="59">
        <f ca="1">AVERAGE(OFFSET($AM$3,0,0,'Données projet'!$E$10+1,1))-AVERAGE(OFFSET($H$3,0,0,'Données projet'!$E$10+1,1))</f>
        <v>400.34672861351783</v>
      </c>
      <c r="AO64" s="59">
        <f t="shared" si="36"/>
        <v>413.2016163204438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5.562587134683552</v>
      </c>
      <c r="AV64" s="21">
        <f>EXP(-LN(2)/25)*AV63+(1-EXP(-LN(2)/25))/(LN(2)/25)*Calculateur!AQ64*Calculateur!AS64*VLOOKUP('Données projet'!$B$10,Paramètres!$A$1:$I$89,3,0)*0.475*44/12</f>
        <v>14.143042429624513</v>
      </c>
      <c r="AW64" s="21">
        <f>EXP(-LN(2)/2)*AW63+(1-EXP(-LN(2)/2))/(LN(2)/2)*AQ64*AT64*VLOOKUP('Données projet'!$B$10,Paramètres!$A$1:$I$89,3,0)*0.475*44/12</f>
        <v>7.0628169109652713E-4</v>
      </c>
      <c r="AX64" s="21">
        <f t="shared" si="6"/>
        <v>19.706335845999163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1">
        <f t="shared" si="32"/>
        <v>15.931082230000042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67">
        <f t="shared" si="1"/>
        <v>380.43208155058352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7</v>
      </c>
      <c r="N65" s="13">
        <f>IF('Données projet'!$A$36&gt;35,N64+M65-V64,IF(A65&lt;'Données projet'!$A$36,$K$205^A65,IF(A65='Données projet'!$A$36,'Données projet'!$B$36,N64+M65-V64)))</f>
        <v>207.00000000000017</v>
      </c>
      <c r="O65" s="13">
        <f>N65*VLOOKUP('Données projet'!$B$9,Paramètres!$A$1:$I$89,3,0)*VLOOKUP('Données projet'!$B$9,Paramètres!$A$1:$I$89,5,0)</f>
        <v>187.29360000000014</v>
      </c>
      <c r="P65" s="13">
        <f t="shared" si="33"/>
        <v>46.941107550760456</v>
      </c>
      <c r="Q65" s="20">
        <f t="shared" si="53"/>
        <v>407.95878231757462</v>
      </c>
      <c r="R65" s="59">
        <f t="shared" si="0"/>
        <v>701.29211565090793</v>
      </c>
      <c r="S65" s="59">
        <f ca="1">AVERAGE(OFFSET($R$3,0,0,'Données projet'!$E$9+1,1))-AVERAGE(OFFSET($H$3,0,0,'Données projet'!$E$9+1,1))</f>
        <v>269.19146943657933</v>
      </c>
      <c r="T65" s="59">
        <f t="shared" si="34"/>
        <v>185.94138814570965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0</v>
      </c>
      <c r="AA65" s="21">
        <f>EXP(-LN(2)/25)*AA64+(1-EXP(-LN(2)/25))/(LN(2)/25)*Calculateur!V65*Calculateur!X65*VLOOKUP('Données projet'!$B$9,Paramètres!$A$1:$I$89,3,0)*0.475*44/12</f>
        <v>1.2790113895255759</v>
      </c>
      <c r="AB65" s="21">
        <f>EXP(-LN(2)/2)*AB64+(1-EXP(-LN(2)/2))/(LN(2)/2)*V65*Y65*VLOOKUP('Données projet'!$B$9,Paramètres!$A$1:$I$89,3,0)*0.475*44/12</f>
        <v>9.4441953345160328E-5</v>
      </c>
      <c r="AC65" s="22">
        <f t="shared" si="3"/>
        <v>1.279105831478921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14.5</v>
      </c>
      <c r="AI65" s="13">
        <f>IF('Données projet'!$A$62&gt;35,AI64+AH65-AQ64,IF(A65&lt;'Données projet'!$A$62,$AF$205^A65,IF(A65='Données projet'!$A$62,'Données projet'!$B$62,AI64+AH65-AQ64)))</f>
        <v>561</v>
      </c>
      <c r="AJ65" s="13">
        <f>AI65*VLOOKUP('Données projet'!$B$10,Paramètres!$A$1:$I$89,3,0)*VLOOKUP('Données projet'!$B$10,Paramètres!$A$1:$I$89,5,0)</f>
        <v>313.59899999999999</v>
      </c>
      <c r="AK65" s="13">
        <f t="shared" si="35"/>
        <v>74.019938943375337</v>
      </c>
      <c r="AL65" s="20">
        <f t="shared" si="4"/>
        <v>675.10298532637864</v>
      </c>
      <c r="AM65" s="59">
        <f t="shared" si="5"/>
        <v>968.43631865971201</v>
      </c>
      <c r="AN65" s="59">
        <f ca="1">AVERAGE(OFFSET($AM$3,0,0,'Données projet'!$E$10+1,1))-AVERAGE(OFFSET($H$3,0,0,'Données projet'!$E$10+1,1))</f>
        <v>400.34672861351783</v>
      </c>
      <c r="AO65" s="59">
        <f t="shared" si="36"/>
        <v>413.2016163204438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5.4535081938155443</v>
      </c>
      <c r="AV65" s="21">
        <f>EXP(-LN(2)/25)*AV64+(1-EXP(-LN(2)/25))/(LN(2)/25)*Calculateur!AQ65*Calculateur!AS65*VLOOKUP('Données projet'!$B$10,Paramètres!$A$1:$I$89,3,0)*0.475*44/12</f>
        <v>13.756300190636154</v>
      </c>
      <c r="AW65" s="21">
        <f>EXP(-LN(2)/2)*AW64+(1-EXP(-LN(2)/2))/(LN(2)/2)*AQ65*AT65*VLOOKUP('Données projet'!$B$10,Paramètres!$A$1:$I$89,3,0)*0.475*44/12</f>
        <v>4.9941657320225674E-4</v>
      </c>
      <c r="AX65" s="21">
        <f t="shared" si="6"/>
        <v>19.2103078010249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1">
        <f t="shared" si="32"/>
        <v>16.157913987449295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67">
        <f t="shared" si="1"/>
        <v>382.37583686147428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7</v>
      </c>
      <c r="N66" s="13">
        <f>IF('Données projet'!$A$36&gt;35,N65+M66-V65,IF(A66&lt;'Données projet'!$A$36,$K$205^A66,IF(A66='Données projet'!$A$36,'Données projet'!$B$36,N65+M66-V65)))</f>
        <v>214.00000000000017</v>
      </c>
      <c r="O66" s="13">
        <f>N66*VLOOKUP('Données projet'!$B$9,Paramètres!$A$1:$I$89,3,0)*VLOOKUP('Données projet'!$B$9,Paramètres!$A$1:$I$89,5,0)</f>
        <v>193.62720000000016</v>
      </c>
      <c r="P66" s="13">
        <f t="shared" si="33"/>
        <v>48.340990547231236</v>
      </c>
      <c r="Q66" s="20">
        <f t="shared" si="53"/>
        <v>421.42793186976132</v>
      </c>
      <c r="R66" s="59">
        <f t="shared" si="0"/>
        <v>714.76126520309458</v>
      </c>
      <c r="S66" s="59">
        <f ca="1">AVERAGE(OFFSET($R$3,0,0,'Données projet'!$E$9+1,1))-AVERAGE(OFFSET($H$3,0,0,'Données projet'!$E$9+1,1))</f>
        <v>269.19146943657933</v>
      </c>
      <c r="T66" s="59">
        <f t="shared" si="34"/>
        <v>185.94138814570965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0</v>
      </c>
      <c r="AA66" s="21">
        <f>EXP(-LN(2)/25)*AA65+(1-EXP(-LN(2)/25))/(LN(2)/25)*Calculateur!V66*Calculateur!X66*VLOOKUP('Données projet'!$B$9,Paramètres!$A$1:$I$89,3,0)*0.475*44/12</f>
        <v>1.2440367558187133</v>
      </c>
      <c r="AB66" s="21">
        <f>EXP(-LN(2)/2)*AB65+(1-EXP(-LN(2)/2))/(LN(2)/2)*V66*Y66*VLOOKUP('Données projet'!$B$9,Paramètres!$A$1:$I$89,3,0)*0.475*44/12</f>
        <v>6.6780545638866413E-5</v>
      </c>
      <c r="AC66" s="22">
        <f t="shared" si="3"/>
        <v>1.2441035363643522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14.5</v>
      </c>
      <c r="AI66" s="13">
        <f>IF('Données projet'!$A$62&gt;35,AI65+AH66-AQ65,IF(A66&lt;'Données projet'!$A$62,$AF$205^A66,IF(A66='Données projet'!$A$62,'Données projet'!$B$62,AI65+AH66-AQ65)))</f>
        <v>575.5</v>
      </c>
      <c r="AJ66" s="13">
        <f>AI66*VLOOKUP('Données projet'!$B$10,Paramètres!$A$1:$I$89,3,0)*VLOOKUP('Données projet'!$B$10,Paramètres!$A$1:$I$89,5,0)</f>
        <v>321.7045</v>
      </c>
      <c r="AK66" s="13">
        <f t="shared" si="35"/>
        <v>75.707898308964985</v>
      </c>
      <c r="AL66" s="20">
        <f t="shared" si="4"/>
        <v>692.1599270547805</v>
      </c>
      <c r="AM66" s="59">
        <f t="shared" si="5"/>
        <v>985.49326038811387</v>
      </c>
      <c r="AN66" s="59">
        <f ca="1">AVERAGE(OFFSET($AM$3,0,0,'Données projet'!$E$10+1,1))-AVERAGE(OFFSET($H$3,0,0,'Données projet'!$E$10+1,1))</f>
        <v>400.34672861351783</v>
      </c>
      <c r="AO66" s="59">
        <f t="shared" si="36"/>
        <v>413.2016163204438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5.3465682244463739</v>
      </c>
      <c r="AV66" s="21">
        <f>EXP(-LN(2)/25)*AV65+(1-EXP(-LN(2)/25))/(LN(2)/25)*Calculateur!AQ66*Calculateur!AS66*VLOOKUP('Données projet'!$B$10,Paramètres!$A$1:$I$89,3,0)*0.475*44/12</f>
        <v>13.380133438510821</v>
      </c>
      <c r="AW66" s="21">
        <f>EXP(-LN(2)/2)*AW65+(1-EXP(-LN(2)/2))/(LN(2)/2)*AQ66*AT66*VLOOKUP('Données projet'!$B$10,Paramètres!$A$1:$I$89,3,0)*0.475*44/12</f>
        <v>3.5314084554826356E-4</v>
      </c>
      <c r="AX66" s="21">
        <f t="shared" si="6"/>
        <v>18.727054803802744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1">
        <f t="shared" si="32"/>
        <v>16.384327014561212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67">
        <f t="shared" si="1"/>
        <v>384.31886288369424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7</v>
      </c>
      <c r="N67" s="13">
        <f>IF('Données projet'!$A$36&gt;35,N66+M67-V66,IF(A67&lt;'Données projet'!$A$36,$K$205^A67,IF(A67='Données projet'!$A$36,'Données projet'!$B$36,N66+M67-V66)))</f>
        <v>221.00000000000017</v>
      </c>
      <c r="O67" s="13">
        <f>N67*VLOOKUP('Données projet'!$B$9,Paramètres!$A$1:$I$89,3,0)*VLOOKUP('Données projet'!$B$9,Paramètres!$A$1:$I$89,5,0)</f>
        <v>199.96080000000015</v>
      </c>
      <c r="P67" s="13">
        <f t="shared" si="33"/>
        <v>49.735552653569265</v>
      </c>
      <c r="Q67" s="20">
        <f t="shared" ref="Q67:Q98" si="54">(O67+P67)*0.475*44/12</f>
        <v>434.88781420496679</v>
      </c>
      <c r="R67" s="59">
        <f t="shared" ref="R67:R130" si="55">Q67+(I67+J67)*44/12</f>
        <v>728.2211475383001</v>
      </c>
      <c r="S67" s="59">
        <f ca="1">AVERAGE(OFFSET($R$3,0,0,'Données projet'!$E$9+1,1))-AVERAGE(OFFSET($H$3,0,0,'Données projet'!$E$9+1,1))</f>
        <v>269.19146943657933</v>
      </c>
      <c r="T67" s="59">
        <f t="shared" si="34"/>
        <v>185.94138814570965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0</v>
      </c>
      <c r="AA67" s="21">
        <f>EXP(-LN(2)/25)*AA66+(1-EXP(-LN(2)/25))/(LN(2)/25)*Calculateur!V67*Calculateur!X67*VLOOKUP('Données projet'!$B$9,Paramètres!$A$1:$I$89,3,0)*0.475*44/12</f>
        <v>1.2100185053098009</v>
      </c>
      <c r="AB67" s="21">
        <f>EXP(-LN(2)/2)*AB66+(1-EXP(-LN(2)/2))/(LN(2)/2)*V67*Y67*VLOOKUP('Données projet'!$B$9,Paramètres!$A$1:$I$89,3,0)*0.475*44/12</f>
        <v>4.7220976672580164E-5</v>
      </c>
      <c r="AC67" s="22">
        <f t="shared" si="3"/>
        <v>1.2100657262864736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14.5</v>
      </c>
      <c r="AI67" s="13">
        <f>IF('Données projet'!$A$62&gt;35,AI66+AH67-AQ66,IF(A67&lt;'Données projet'!$A$62,$AF$205^A67,IF(A67='Données projet'!$A$62,'Données projet'!$B$62,AI66+AH67-AQ66)))</f>
        <v>590</v>
      </c>
      <c r="AJ67" s="13">
        <f>AI67*VLOOKUP('Données projet'!$B$10,Paramètres!$A$1:$I$89,3,0)*VLOOKUP('Données projet'!$B$10,Paramètres!$A$1:$I$89,5,0)</f>
        <v>329.81</v>
      </c>
      <c r="AK67" s="13">
        <f t="shared" si="35"/>
        <v>77.390914004010796</v>
      </c>
      <c r="AL67" s="20">
        <f t="shared" si="4"/>
        <v>709.20825855698547</v>
      </c>
      <c r="AM67" s="59">
        <f t="shared" si="5"/>
        <v>1002.5415918903188</v>
      </c>
      <c r="AN67" s="59">
        <f ca="1">AVERAGE(OFFSET($AM$3,0,0,'Données projet'!$E$10+1,1))-AVERAGE(OFFSET($H$3,0,0,'Données projet'!$E$10+1,1))</f>
        <v>400.34672861351783</v>
      </c>
      <c r="AO67" s="59">
        <f t="shared" si="36"/>
        <v>413.2016163204438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5.2417252826495924</v>
      </c>
      <c r="AV67" s="21">
        <f>EXP(-LN(2)/25)*AV66+(1-EXP(-LN(2)/25))/(LN(2)/25)*Calculateur!AQ67*Calculateur!AS67*VLOOKUP('Données projet'!$B$10,Paramètres!$A$1:$I$89,3,0)*0.475*44/12</f>
        <v>13.014252986004106</v>
      </c>
      <c r="AW67" s="21">
        <f>EXP(-LN(2)/2)*AW66+(1-EXP(-LN(2)/2))/(LN(2)/2)*AQ67*AT67*VLOOKUP('Données projet'!$B$10,Paramètres!$A$1:$I$89,3,0)*0.475*44/12</f>
        <v>2.4970828660112837E-4</v>
      </c>
      <c r="AX67" s="21">
        <f t="shared" si="6"/>
        <v>18.256227976940302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1">
        <f t="shared" si="32"/>
        <v>16.610328609523005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67">
        <f t="shared" ref="H68:H131" si="56">(B68+E68+F68)*44/12+(C68+D68)*0.475*44/12</f>
        <v>386.26117232825266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7</v>
      </c>
      <c r="N68" s="13">
        <f>IF('Données projet'!$A$36&gt;35,N67+M68-V67,IF(A68&lt;'Données projet'!$A$36,$K$205^A68,IF(A68='Données projet'!$A$36,'Données projet'!$B$36,N67+M68-V67)))</f>
        <v>228.00000000000017</v>
      </c>
      <c r="O68" s="13">
        <f>N68*VLOOKUP('Données projet'!$B$9,Paramètres!$A$1:$I$89,3,0)*VLOOKUP('Données projet'!$B$9,Paramètres!$A$1:$I$89,5,0)</f>
        <v>206.29440000000017</v>
      </c>
      <c r="P68" s="13">
        <f t="shared" si="33"/>
        <v>51.124981739560774</v>
      </c>
      <c r="Q68" s="20">
        <f t="shared" si="54"/>
        <v>448.33875652973529</v>
      </c>
      <c r="R68" s="59">
        <f t="shared" si="55"/>
        <v>741.67208986306855</v>
      </c>
      <c r="S68" s="59">
        <f ca="1">AVERAGE(OFFSET($R$3,0,0,'Données projet'!$E$9+1,1))-AVERAGE(OFFSET($H$3,0,0,'Données projet'!$E$9+1,1))</f>
        <v>269.19146943657933</v>
      </c>
      <c r="T68" s="59">
        <f t="shared" si="34"/>
        <v>185.94138814570965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0</v>
      </c>
      <c r="AA68" s="21">
        <f>EXP(-LN(2)/25)*AA67+(1-EXP(-LN(2)/25))/(LN(2)/25)*Calculateur!V68*Calculateur!X68*VLOOKUP('Données projet'!$B$9,Paramètres!$A$1:$I$89,3,0)*0.475*44/12</f>
        <v>1.1769304856499967</v>
      </c>
      <c r="AB68" s="21">
        <f>EXP(-LN(2)/2)*AB67+(1-EXP(-LN(2)/2))/(LN(2)/2)*V68*Y68*VLOOKUP('Données projet'!$B$9,Paramètres!$A$1:$I$89,3,0)*0.475*44/12</f>
        <v>3.3390272819433207E-5</v>
      </c>
      <c r="AC68" s="22">
        <f t="shared" ref="AC68:AC131" si="57">SUM(Z68:AB68)</f>
        <v>1.176963875922816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14.5</v>
      </c>
      <c r="AI68" s="13">
        <f>IF('Données projet'!$A$62&gt;35,AI67+AH68-AQ67,IF(A68&lt;'Données projet'!$A$62,$AF$205^A68,IF(A68='Données projet'!$A$62,'Données projet'!$B$62,AI67+AH68-AQ67)))</f>
        <v>604.5</v>
      </c>
      <c r="AJ68" s="13">
        <f>AI68*VLOOKUP('Données projet'!$B$10,Paramètres!$A$1:$I$89,3,0)*VLOOKUP('Données projet'!$B$10,Paramètres!$A$1:$I$89,5,0)</f>
        <v>337.91550000000001</v>
      </c>
      <c r="AK68" s="13">
        <f t="shared" si="35"/>
        <v>79.069121501508363</v>
      </c>
      <c r="AL68" s="20">
        <f t="shared" ref="AL68:AL131" si="58">(AJ68+AK68)*0.475*44/12</f>
        <v>726.24821578179365</v>
      </c>
      <c r="AM68" s="59">
        <f t="shared" ref="AM68:AM131" si="59">AL68+(AD68+AE68)*44/12</f>
        <v>1019.581549115127</v>
      </c>
      <c r="AN68" s="59">
        <f ca="1">AVERAGE(OFFSET($AM$3,0,0,'Données projet'!$E$10+1,1))-AVERAGE(OFFSET($H$3,0,0,'Données projet'!$E$10+1,1))</f>
        <v>400.34672861351783</v>
      </c>
      <c r="AO68" s="59">
        <f t="shared" si="36"/>
        <v>413.2016163204438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5.1389382469935656</v>
      </c>
      <c r="AV68" s="21">
        <f>EXP(-LN(2)/25)*AV67+(1-EXP(-LN(2)/25))/(LN(2)/25)*Calculateur!AQ68*Calculateur!AS68*VLOOKUP('Données projet'!$B$10,Paramètres!$A$1:$I$89,3,0)*0.475*44/12</f>
        <v>12.658377553712004</v>
      </c>
      <c r="AW68" s="21">
        <f>EXP(-LN(2)/2)*AW67+(1-EXP(-LN(2)/2))/(LN(2)/2)*AQ68*AT68*VLOOKUP('Données projet'!$B$10,Paramètres!$A$1:$I$89,3,0)*0.475*44/12</f>
        <v>1.7657042277413178E-4</v>
      </c>
      <c r="AX68" s="21">
        <f t="shared" ref="AX68:AX131" si="60">SUM(AU68:AW68)</f>
        <v>17.797492371128342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1">
        <f t="shared" ref="D69:D132" si="86">IFERROR(EXP(-1.0587+0.8836*LN(C69)+0.284),0)</f>
        <v>16.835925833077553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67">
        <f t="shared" si="56"/>
        <v>388.20277749261015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7</v>
      </c>
      <c r="N69" s="13">
        <f>IF('Données projet'!$A$36&gt;35,N68+M69-V68,IF(A69&lt;'Données projet'!$A$36,$K$205^A69,IF(A69='Données projet'!$A$36,'Données projet'!$B$36,N68+M69-V68)))</f>
        <v>235.00000000000017</v>
      </c>
      <c r="O69" s="13">
        <f>N69*VLOOKUP('Données projet'!$B$9,Paramètres!$A$1:$I$89,3,0)*VLOOKUP('Données projet'!$B$9,Paramètres!$A$1:$I$89,5,0)</f>
        <v>212.62800000000016</v>
      </c>
      <c r="P69" s="13">
        <f t="shared" ref="P69:P132" si="87">EXP(-1.0587+0.8836*LN(O69)+0.284)</f>
        <v>52.509453483719085</v>
      </c>
      <c r="Q69" s="20">
        <f t="shared" si="54"/>
        <v>461.78106481747767</v>
      </c>
      <c r="R69" s="59">
        <f t="shared" si="55"/>
        <v>755.11439815081098</v>
      </c>
      <c r="S69" s="59">
        <f ca="1">AVERAGE(OFFSET($R$3,0,0,'Données projet'!$E$9+1,1))-AVERAGE(OFFSET($H$3,0,0,'Données projet'!$E$9+1,1))</f>
        <v>269.19146943657933</v>
      </c>
      <c r="T69" s="59">
        <f t="shared" ref="T69:T132" si="88">$T$3</f>
        <v>185.94138814570965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0</v>
      </c>
      <c r="AA69" s="21">
        <f>EXP(-LN(2)/25)*AA68+(1-EXP(-LN(2)/25))/(LN(2)/25)*Calculateur!V69*Calculateur!X69*VLOOKUP('Données projet'!$B$9,Paramètres!$A$1:$I$89,3,0)*0.475*44/12</f>
        <v>1.1447472596278132</v>
      </c>
      <c r="AB69" s="21">
        <f>EXP(-LN(2)/2)*AB68+(1-EXP(-LN(2)/2))/(LN(2)/2)*V69*Y69*VLOOKUP('Données projet'!$B$9,Paramètres!$A$1:$I$89,3,0)*0.475*44/12</f>
        <v>2.3610488336290082E-5</v>
      </c>
      <c r="AC69" s="22">
        <f t="shared" si="57"/>
        <v>1.1447708701161494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14.5</v>
      </c>
      <c r="AI69" s="13">
        <f>IF('Données projet'!$A$62&gt;35,AI68+AH69-AQ68,IF(A69&lt;'Données projet'!$A$62,$AF$205^A69,IF(A69='Données projet'!$A$62,'Données projet'!$B$62,AI68+AH69-AQ68)))</f>
        <v>619</v>
      </c>
      <c r="AJ69" s="13">
        <f>AI69*VLOOKUP('Données projet'!$B$10,Paramètres!$A$1:$I$89,3,0)*VLOOKUP('Données projet'!$B$10,Paramètres!$A$1:$I$89,5,0)</f>
        <v>346.02100000000002</v>
      </c>
      <c r="AK69" s="13">
        <f t="shared" ref="AK69:AK132" si="89">EXP(-1.0587+0.8836*LN(AJ69)+0.284)</f>
        <v>80.742649404694433</v>
      </c>
      <c r="AL69" s="20">
        <f t="shared" si="58"/>
        <v>743.28002271317609</v>
      </c>
      <c r="AM69" s="59">
        <f t="shared" si="59"/>
        <v>1036.6133560465094</v>
      </c>
      <c r="AN69" s="59">
        <f ca="1">AVERAGE(OFFSET($AM$3,0,0,'Données projet'!$E$10+1,1))-AVERAGE(OFFSET($H$3,0,0,'Données projet'!$E$10+1,1))</f>
        <v>400.34672861351783</v>
      </c>
      <c r="AO69" s="59">
        <f t="shared" ref="AO69:AO132" si="90">$AO$3</f>
        <v>413.2016163204438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5.0381668024128521</v>
      </c>
      <c r="AV69" s="21">
        <f>EXP(-LN(2)/25)*AV68+(1-EXP(-LN(2)/25))/(LN(2)/25)*Calculateur!AQ69*Calculateur!AS69*VLOOKUP('Données projet'!$B$10,Paramètres!$A$1:$I$89,3,0)*0.475*44/12</f>
        <v>12.312233553830605</v>
      </c>
      <c r="AW69" s="21">
        <f>EXP(-LN(2)/2)*AW68+(1-EXP(-LN(2)/2))/(LN(2)/2)*AQ69*AT69*VLOOKUP('Données projet'!$B$10,Paramètres!$A$1:$I$89,3,0)*0.475*44/12</f>
        <v>1.2485414330056419E-4</v>
      </c>
      <c r="AX69" s="21">
        <f t="shared" si="60"/>
        <v>17.35052521038676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1">
        <f t="shared" si="86"/>
        <v>17.061125519726964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67">
        <f t="shared" si="56"/>
        <v>390.14369028019127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7</v>
      </c>
      <c r="N70" s="13">
        <f>IF('Données projet'!$A$36&gt;35,N69+M70-V69,IF(A70&lt;'Données projet'!$A$36,$K$205^A70,IF(A70='Données projet'!$A$36,'Données projet'!$B$36,N69+M70-V69)))</f>
        <v>242.00000000000017</v>
      </c>
      <c r="O70" s="13">
        <f>N70*VLOOKUP('Données projet'!$B$9,Paramètres!$A$1:$I$89,3,0)*VLOOKUP('Données projet'!$B$9,Paramètres!$A$1:$I$89,5,0)</f>
        <v>218.96160000000017</v>
      </c>
      <c r="P70" s="13">
        <f t="shared" si="87"/>
        <v>53.889132503707479</v>
      </c>
      <c r="Q70" s="20">
        <f t="shared" si="54"/>
        <v>475.2150257772908</v>
      </c>
      <c r="R70" s="59">
        <f t="shared" si="55"/>
        <v>768.54835911062412</v>
      </c>
      <c r="S70" s="59">
        <f ca="1">AVERAGE(OFFSET($R$3,0,0,'Données projet'!$E$9+1,1))-AVERAGE(OFFSET($H$3,0,0,'Données projet'!$E$9+1,1))</f>
        <v>269.19146943657933</v>
      </c>
      <c r="T70" s="59">
        <f t="shared" si="88"/>
        <v>185.94138814570965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0</v>
      </c>
      <c r="AA70" s="21">
        <f>EXP(-LN(2)/25)*AA69+(1-EXP(-LN(2)/25))/(LN(2)/25)*Calculateur!V70*Calculateur!X70*VLOOKUP('Données projet'!$B$9,Paramètres!$A$1:$I$89,3,0)*0.475*44/12</f>
        <v>1.1134440856136487</v>
      </c>
      <c r="AB70" s="21">
        <f>EXP(-LN(2)/2)*AB69+(1-EXP(-LN(2)/2))/(LN(2)/2)*V70*Y70*VLOOKUP('Données projet'!$B$9,Paramètres!$A$1:$I$89,3,0)*0.475*44/12</f>
        <v>1.6695136409716603E-5</v>
      </c>
      <c r="AC70" s="22">
        <f t="shared" si="57"/>
        <v>1.1134607807500585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14.5</v>
      </c>
      <c r="AI70" s="13">
        <f>IF('Données projet'!$A$62&gt;35,AI69+AH70-AQ69,IF(A70&lt;'Données projet'!$A$62,$AF$205^A70,IF(A70='Données projet'!$A$62,'Données projet'!$B$62,AI69+AH70-AQ69)))</f>
        <v>633.5</v>
      </c>
      <c r="AJ70" s="13">
        <f>AI70*VLOOKUP('Données projet'!$B$10,Paramètres!$A$1:$I$89,3,0)*VLOOKUP('Données projet'!$B$10,Paramètres!$A$1:$I$89,5,0)</f>
        <v>354.12649999999996</v>
      </c>
      <c r="AK70" s="13">
        <f t="shared" si="89"/>
        <v>82.411619948049463</v>
      </c>
      <c r="AL70" s="20">
        <f t="shared" si="58"/>
        <v>760.30389224285273</v>
      </c>
      <c r="AM70" s="59">
        <f t="shared" si="59"/>
        <v>1053.637225576186</v>
      </c>
      <c r="AN70" s="59">
        <f ca="1">AVERAGE(OFFSET($AM$3,0,0,'Données projet'!$E$10+1,1))-AVERAGE(OFFSET($H$3,0,0,'Données projet'!$E$10+1,1))</f>
        <v>400.34672861351783</v>
      </c>
      <c r="AO70" s="59">
        <f t="shared" si="90"/>
        <v>413.2016163204438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4.939371424395854</v>
      </c>
      <c r="AV70" s="21">
        <f>EXP(-LN(2)/25)*AV69+(1-EXP(-LN(2)/25))/(LN(2)/25)*Calculateur!AQ70*Calculateur!AS70*VLOOKUP('Données projet'!$B$10,Paramètres!$A$1:$I$89,3,0)*0.475*44/12</f>
        <v>11.975554879828884</v>
      </c>
      <c r="AW70" s="21">
        <f>EXP(-LN(2)/2)*AW69+(1-EXP(-LN(2)/2))/(LN(2)/2)*AQ70*AT70*VLOOKUP('Données projet'!$B$10,Paramètres!$A$1:$I$89,3,0)*0.475*44/12</f>
        <v>8.8285211387065891E-5</v>
      </c>
      <c r="AX70" s="21">
        <f t="shared" si="60"/>
        <v>16.915014589436126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1">
        <f t="shared" si="86"/>
        <v>17.285934288248221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67">
        <f t="shared" si="56"/>
        <v>392.08392221869906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7</v>
      </c>
      <c r="N71" s="13">
        <f>IF('Données projet'!$A$36&gt;35,N70+M71-V70,IF(A71&lt;'Données projet'!$A$36,$K$205^A71,IF(A71='Données projet'!$A$36,'Données projet'!$B$36,N70+M71-V70)))</f>
        <v>249.00000000000017</v>
      </c>
      <c r="O71" s="13">
        <f>N71*VLOOKUP('Données projet'!$B$9,Paramètres!$A$1:$I$89,3,0)*VLOOKUP('Données projet'!$B$9,Paramètres!$A$1:$I$89,5,0)</f>
        <v>225.29520000000016</v>
      </c>
      <c r="P71" s="13">
        <f t="shared" si="87"/>
        <v>55.264173352293128</v>
      </c>
      <c r="Q71" s="20">
        <f t="shared" si="54"/>
        <v>488.64090858857736</v>
      </c>
      <c r="R71" s="59">
        <f t="shared" si="55"/>
        <v>781.97424192191068</v>
      </c>
      <c r="S71" s="59">
        <f ca="1">AVERAGE(OFFSET($R$3,0,0,'Données projet'!$E$9+1,1))-AVERAGE(OFFSET($H$3,0,0,'Données projet'!$E$9+1,1))</f>
        <v>269.19146943657933</v>
      </c>
      <c r="T71" s="59">
        <f t="shared" si="88"/>
        <v>185.94138814570965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0</v>
      </c>
      <c r="AA71" s="21">
        <f>EXP(-LN(2)/25)*AA70+(1-EXP(-LN(2)/25))/(LN(2)/25)*Calculateur!V71*Calculateur!X71*VLOOKUP('Données projet'!$B$9,Paramètres!$A$1:$I$89,3,0)*0.475*44/12</f>
        <v>1.0829968985390639</v>
      </c>
      <c r="AB71" s="21">
        <f>EXP(-LN(2)/2)*AB70+(1-EXP(-LN(2)/2))/(LN(2)/2)*V71*Y71*VLOOKUP('Données projet'!$B$9,Paramètres!$A$1:$I$89,3,0)*0.475*44/12</f>
        <v>1.1805244168145041E-5</v>
      </c>
      <c r="AC71" s="22">
        <f t="shared" si="57"/>
        <v>1.0830087037832321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14.5</v>
      </c>
      <c r="AI71" s="13">
        <f>IF('Données projet'!$A$62&gt;35,AI70+AH71-AQ70,IF(A71&lt;'Données projet'!$A$62,$AF$205^A71,IF(A71='Données projet'!$A$62,'Données projet'!$B$62,AI70+AH71-AQ70)))</f>
        <v>648</v>
      </c>
      <c r="AJ71" s="13">
        <f>AI71*VLOOKUP('Données projet'!$B$10,Paramètres!$A$1:$I$89,3,0)*VLOOKUP('Données projet'!$B$10,Paramètres!$A$1:$I$89,5,0)</f>
        <v>362.23199999999997</v>
      </c>
      <c r="AK71" s="13">
        <f t="shared" si="89"/>
        <v>84.076149451138917</v>
      </c>
      <c r="AL71" s="20">
        <f t="shared" si="58"/>
        <v>777.32002696073357</v>
      </c>
      <c r="AM71" s="59">
        <f t="shared" si="59"/>
        <v>1070.6533602940669</v>
      </c>
      <c r="AN71" s="59">
        <f ca="1">AVERAGE(OFFSET($AM$3,0,0,'Données projet'!$E$10+1,1))-AVERAGE(OFFSET($H$3,0,0,'Données projet'!$E$10+1,1))</f>
        <v>400.34672861351783</v>
      </c>
      <c r="AO71" s="59">
        <f t="shared" si="90"/>
        <v>413.2016163204438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4.8425133634825386</v>
      </c>
      <c r="AV71" s="21">
        <f>EXP(-LN(2)/25)*AV70+(1-EXP(-LN(2)/25))/(LN(2)/25)*Calculateur!AQ71*Calculateur!AS71*VLOOKUP('Données projet'!$B$10,Paramètres!$A$1:$I$89,3,0)*0.475*44/12</f>
        <v>11.648082701872903</v>
      </c>
      <c r="AW71" s="21">
        <f>EXP(-LN(2)/2)*AW70+(1-EXP(-LN(2)/2))/(LN(2)/2)*AQ71*AT71*VLOOKUP('Données projet'!$B$10,Paramètres!$A$1:$I$89,3,0)*0.475*44/12</f>
        <v>6.2427071650282093E-5</v>
      </c>
      <c r="AX71" s="21">
        <f t="shared" si="60"/>
        <v>16.490658492427091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1">
        <f t="shared" si="86"/>
        <v>17.510358551572637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67">
        <f t="shared" si="56"/>
        <v>394.02348447732243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7</v>
      </c>
      <c r="N72" s="13">
        <f>IF('Données projet'!$A$36&gt;35,N71+M72-V71,IF(A72&lt;'Données projet'!$A$36,$K$205^A72,IF(A72='Données projet'!$A$36,'Données projet'!$B$36,N71+M72-V71)))</f>
        <v>256.00000000000017</v>
      </c>
      <c r="O72" s="13">
        <f>N72*VLOOKUP('Données projet'!$B$9,Paramètres!$A$1:$I$89,3,0)*VLOOKUP('Données projet'!$B$9,Paramètres!$A$1:$I$89,5,0)</f>
        <v>231.62880000000013</v>
      </c>
      <c r="P72" s="13">
        <f t="shared" si="87"/>
        <v>56.63472139815827</v>
      </c>
      <c r="Q72" s="20">
        <f t="shared" si="54"/>
        <v>502.0589664351258</v>
      </c>
      <c r="R72" s="59">
        <f t="shared" si="55"/>
        <v>795.39229976845911</v>
      </c>
      <c r="S72" s="59">
        <f ca="1">AVERAGE(OFFSET($R$3,0,0,'Données projet'!$E$9+1,1))-AVERAGE(OFFSET($H$3,0,0,'Données projet'!$E$9+1,1))</f>
        <v>269.19146943657933</v>
      </c>
      <c r="T72" s="59">
        <f t="shared" si="88"/>
        <v>185.94138814570965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0</v>
      </c>
      <c r="AA72" s="21">
        <f>EXP(-LN(2)/25)*AA71+(1-EXP(-LN(2)/25))/(LN(2)/25)*Calculateur!V72*Calculateur!X72*VLOOKUP('Données projet'!$B$9,Paramètres!$A$1:$I$89,3,0)*0.475*44/12</f>
        <v>1.0533822913961814</v>
      </c>
      <c r="AB72" s="21">
        <f>EXP(-LN(2)/2)*AB71+(1-EXP(-LN(2)/2))/(LN(2)/2)*V72*Y72*VLOOKUP('Données projet'!$B$9,Paramètres!$A$1:$I$89,3,0)*0.475*44/12</f>
        <v>8.3475682048583016E-6</v>
      </c>
      <c r="AC72" s="22">
        <f t="shared" si="57"/>
        <v>1.0533906389643863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14.5</v>
      </c>
      <c r="AI72" s="13">
        <f>IF('Données projet'!$A$62&gt;35,AI71+AH72-AQ71,IF(A72&lt;'Données projet'!$A$62,$AF$205^A72,IF(A72='Données projet'!$A$62,'Données projet'!$B$62,AI71+AH72-AQ71)))</f>
        <v>662.5</v>
      </c>
      <c r="AJ72" s="13">
        <f>AI72*VLOOKUP('Données projet'!$B$10,Paramètres!$A$1:$I$89,3,0)*VLOOKUP('Données projet'!$B$10,Paramètres!$A$1:$I$89,5,0)</f>
        <v>370.33750000000003</v>
      </c>
      <c r="AK72" s="13">
        <f t="shared" si="89"/>
        <v>85.736348730685762</v>
      </c>
      <c r="AL72" s="20">
        <f t="shared" si="58"/>
        <v>794.32861987261094</v>
      </c>
      <c r="AM72" s="59">
        <f t="shared" si="59"/>
        <v>1087.6619532059442</v>
      </c>
      <c r="AN72" s="59">
        <f ca="1">AVERAGE(OFFSET($AM$3,0,0,'Données projet'!$E$10+1,1))-AVERAGE(OFFSET($H$3,0,0,'Données projet'!$E$10+1,1))</f>
        <v>400.34672861351783</v>
      </c>
      <c r="AO72" s="59">
        <f t="shared" si="90"/>
        <v>413.2016163204438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4.7475546300661495</v>
      </c>
      <c r="AV72" s="21">
        <f>EXP(-LN(2)/25)*AV71+(1-EXP(-LN(2)/25))/(LN(2)/25)*Calculateur!AQ72*Calculateur!AS72*VLOOKUP('Données projet'!$B$10,Paramètres!$A$1:$I$89,3,0)*0.475*44/12</f>
        <v>11.329565267844142</v>
      </c>
      <c r="AW72" s="21">
        <f>EXP(-LN(2)/2)*AW71+(1-EXP(-LN(2)/2))/(LN(2)/2)*AQ72*AT72*VLOOKUP('Données projet'!$B$10,Paramètres!$A$1:$I$89,3,0)*0.475*44/12</f>
        <v>4.4142605693532946E-5</v>
      </c>
      <c r="AX72" s="21">
        <f t="shared" si="60"/>
        <v>16.077164040515989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1">
        <f t="shared" si="86"/>
        <v>17.734404526076464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67">
        <f t="shared" si="56"/>
        <v>395.96238788291669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263</v>
      </c>
      <c r="L73" s="12">
        <f>VLOOKUP(A73,'Données projet'!$A$35:$I$55,9,0)</f>
        <v>7</v>
      </c>
      <c r="M73" s="12">
        <f t="array" ref="M73">INDEX(L:L,MIN(IF(ISNUMBER(L73:L269),ROW(L73:L269),"")))</f>
        <v>7</v>
      </c>
      <c r="N73" s="13">
        <f>IF('Données projet'!$A$36&gt;35,N72+M73-V72,IF(A73&lt;'Données projet'!$A$36,$K$205^A73,IF(A73='Données projet'!$A$36,'Données projet'!$B$36,N72+M73-V72)))</f>
        <v>263.00000000000017</v>
      </c>
      <c r="O73" s="13">
        <f>N73*VLOOKUP('Données projet'!$B$9,Paramètres!$A$1:$I$89,3,0)*VLOOKUP('Données projet'!$B$9,Paramètres!$A$1:$I$89,5,0)</f>
        <v>237.96240000000012</v>
      </c>
      <c r="P73" s="13">
        <f t="shared" si="87"/>
        <v>58.000913607663399</v>
      </c>
      <c r="Q73" s="20">
        <f t="shared" si="54"/>
        <v>515.46943786668055</v>
      </c>
      <c r="R73" s="59">
        <f t="shared" si="55"/>
        <v>808.80277120001392</v>
      </c>
      <c r="S73" s="59">
        <f ca="1">AVERAGE(OFFSET($R$3,0,0,'Données projet'!$E$9+1,1))-AVERAGE(OFFSET($H$3,0,0,'Données projet'!$E$9+1,1))</f>
        <v>269.19146943657933</v>
      </c>
      <c r="T73" s="59">
        <f t="shared" si="88"/>
        <v>185.94138814570965</v>
      </c>
      <c r="U73" s="15">
        <f>IF(ISNA(VLOOKUP(A73,'Données projet'!$A$35:$I$55,3,0)),0,VLOOKUP(A73,'Données projet'!$A$35:$I$55,3,0))</f>
        <v>5</v>
      </c>
      <c r="V73" s="15">
        <f>IF(ISNA(VLOOKUP(A73,'Données projet'!$A$35:$I$55,4,0)),0,VLOOKUP(A73,'Données projet'!$A$35:$I$55,4,0))</f>
        <v>42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0</v>
      </c>
      <c r="AA73" s="21">
        <f>EXP(-LN(2)/25)*AA72+(1-EXP(-LN(2)/25))/(LN(2)/25)*Calculateur!V73*Calculateur!X73*VLOOKUP('Données projet'!$B$9,Paramètres!$A$1:$I$89,3,0)*0.475*44/12</f>
        <v>1.0245774972429857</v>
      </c>
      <c r="AB73" s="21">
        <f>EXP(-LN(2)/2)*AB72+(1-EXP(-LN(2)/2))/(LN(2)/2)*V73*Y73*VLOOKUP('Données projet'!$B$9,Paramètres!$A$1:$I$89,3,0)*0.475*44/12</f>
        <v>5.9026220840725205E-6</v>
      </c>
      <c r="AC73" s="22">
        <f t="shared" si="57"/>
        <v>1.0245833998650697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677</v>
      </c>
      <c r="AG73" s="12">
        <f>VLOOKUP(A73,'Données projet'!$A$61:$I$81,9,0)</f>
        <v>14.5</v>
      </c>
      <c r="AH73" s="12">
        <f t="array" ref="AH73">INDEX(AG:AG,MIN(IF(ISNUMBER(AG73:AG269),ROW(AG73:AG269),"")))</f>
        <v>14.5</v>
      </c>
      <c r="AI73" s="13">
        <f>IF('Données projet'!$A$62&gt;35,AI72+AH73-AQ72,IF(A73&lt;'Données projet'!$A$62,$AF$205^A73,IF(A73='Données projet'!$A$62,'Données projet'!$B$62,AI72+AH73-AQ72)))</f>
        <v>677</v>
      </c>
      <c r="AJ73" s="13">
        <f>AI73*VLOOKUP('Données projet'!$B$10,Paramètres!$A$1:$I$89,3,0)*VLOOKUP('Données projet'!$B$10,Paramètres!$A$1:$I$89,5,0)</f>
        <v>378.44300000000004</v>
      </c>
      <c r="AK73" s="13">
        <f t="shared" si="89"/>
        <v>87.392323475551621</v>
      </c>
      <c r="AL73" s="20">
        <f t="shared" si="58"/>
        <v>811.32985505325234</v>
      </c>
      <c r="AM73" s="59">
        <f t="shared" si="59"/>
        <v>1104.6631883865857</v>
      </c>
      <c r="AN73" s="59">
        <f ca="1">AVERAGE(OFFSET($AM$3,0,0,'Données projet'!$E$10+1,1))-AVERAGE(OFFSET($H$3,0,0,'Données projet'!$E$10+1,1))</f>
        <v>400.34672861351783</v>
      </c>
      <c r="AO73" s="59">
        <f t="shared" si="90"/>
        <v>413.2016163204438</v>
      </c>
      <c r="AP73" s="15">
        <f>IF(ISNA(VLOOKUP(A73,'Données projet'!$A$61:$I$81,3,0)),0,VLOOKUP(A73,'Données projet'!$A$61:$I$81,3,0))</f>
        <v>6</v>
      </c>
      <c r="AQ73" s="15">
        <f>IF(ISNA(VLOOKUP(A73,'Données projet'!$A$61:$I$81,4,0)),0,VLOOKUP(A73,'Données projet'!$A$61:$I$81,4,0))</f>
        <v>75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4.6544579794929479</v>
      </c>
      <c r="AV73" s="21">
        <f>EXP(-LN(2)/25)*AV72+(1-EXP(-LN(2)/25))/(LN(2)/25)*Calculateur!AQ73*Calculateur!AS73*VLOOKUP('Données projet'!$B$10,Paramètres!$A$1:$I$89,3,0)*0.475*44/12</f>
        <v>11.019757709799</v>
      </c>
      <c r="AW73" s="21">
        <f>EXP(-LN(2)/2)*AW72+(1-EXP(-LN(2)/2))/(LN(2)/2)*AQ73*AT73*VLOOKUP('Données projet'!$B$10,Paramètres!$A$1:$I$89,3,0)*0.475*44/12</f>
        <v>3.1213535825141046E-5</v>
      </c>
      <c r="AX73" s="21">
        <f t="shared" si="60"/>
        <v>15.674246902827774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1">
        <f t="shared" si="86"/>
        <v>17.958078240325332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67">
        <f t="shared" si="56"/>
        <v>397.90064293523346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6.1</v>
      </c>
      <c r="N74" s="13">
        <f>IF('Données projet'!$A$36&gt;35,N73+M74-V73,IF(A74&lt;'Données projet'!$A$36,$K$205^A74,IF(A74='Données projet'!$A$36,'Données projet'!$B$36,N73+M74-V73)))</f>
        <v>227.10000000000019</v>
      </c>
      <c r="O74" s="13">
        <f>N74*VLOOKUP('Données projet'!$B$9,Paramètres!$A$1:$I$89,3,0)*VLOOKUP('Données projet'!$B$9,Paramètres!$A$1:$I$89,5,0)</f>
        <v>205.48008000000016</v>
      </c>
      <c r="P74" s="13">
        <f t="shared" si="87"/>
        <v>50.94662215818515</v>
      </c>
      <c r="Q74" s="20">
        <f t="shared" si="54"/>
        <v>446.6098395921727</v>
      </c>
      <c r="R74" s="59">
        <f t="shared" si="55"/>
        <v>739.94317292550602</v>
      </c>
      <c r="S74" s="59">
        <f ca="1">AVERAGE(OFFSET($R$3,0,0,'Données projet'!$E$9+1,1))-AVERAGE(OFFSET($H$3,0,0,'Données projet'!$E$9+1,1))</f>
        <v>269.19146943657933</v>
      </c>
      <c r="T74" s="59">
        <f t="shared" si="88"/>
        <v>185.94138814570965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0</v>
      </c>
      <c r="AA74" s="21">
        <f>EXP(-LN(2)/25)*AA73+(1-EXP(-LN(2)/25))/(LN(2)/25)*Calculateur!V74*Calculateur!X74*VLOOKUP('Données projet'!$B$9,Paramètres!$A$1:$I$89,3,0)*0.475*44/12</f>
        <v>0.99656037170068745</v>
      </c>
      <c r="AB74" s="21">
        <f>EXP(-LN(2)/2)*AB73+(1-EXP(-LN(2)/2))/(LN(2)/2)*V74*Y74*VLOOKUP('Données projet'!$B$9,Paramètres!$A$1:$I$89,3,0)*0.475*44/12</f>
        <v>4.1737841024291508E-6</v>
      </c>
      <c r="AC74" s="22">
        <f t="shared" si="57"/>
        <v>0.9965645454847899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11.7</v>
      </c>
      <c r="AI74" s="13">
        <f>IF('Données projet'!$A$62&gt;35,AI73+AH74-AQ73,IF(A74&lt;'Données projet'!$A$62,$AF$205^A74,IF(A74='Données projet'!$A$62,'Données projet'!$B$62,AI73+AH74-AQ73)))</f>
        <v>613.70000000000005</v>
      </c>
      <c r="AJ74" s="13">
        <f>AI74*VLOOKUP('Données projet'!$B$10,Paramètres!$A$1:$I$89,3,0)*VLOOKUP('Données projet'!$B$10,Paramètres!$A$1:$I$89,5,0)</f>
        <v>343.05830000000003</v>
      </c>
      <c r="AK74" s="13">
        <f t="shared" si="89"/>
        <v>80.131480880405647</v>
      </c>
      <c r="AL74" s="20">
        <f t="shared" si="58"/>
        <v>737.0555350333733</v>
      </c>
      <c r="AM74" s="59">
        <f t="shared" si="59"/>
        <v>1030.3888683667067</v>
      </c>
      <c r="AN74" s="59">
        <f ca="1">AVERAGE(OFFSET($AM$3,0,0,'Données projet'!$E$10+1,1))-AVERAGE(OFFSET($H$3,0,0,'Données projet'!$E$10+1,1))</f>
        <v>400.34672861351783</v>
      </c>
      <c r="AO74" s="59">
        <f t="shared" si="90"/>
        <v>413.2016163204438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4.5631868974541367</v>
      </c>
      <c r="AV74" s="21">
        <f>EXP(-LN(2)/25)*AV73+(1-EXP(-LN(2)/25))/(LN(2)/25)*Calculateur!AQ74*Calculateur!AS74*VLOOKUP('Données projet'!$B$10,Paramètres!$A$1:$I$89,3,0)*0.475*44/12</f>
        <v>10.718421855720674</v>
      </c>
      <c r="AW74" s="21">
        <f>EXP(-LN(2)/2)*AW73+(1-EXP(-LN(2)/2))/(LN(2)/2)*AQ74*AT74*VLOOKUP('Données projet'!$B$10,Paramètres!$A$1:$I$89,3,0)*0.475*44/12</f>
        <v>2.2071302846766473E-5</v>
      </c>
      <c r="AX74" s="21">
        <f t="shared" si="60"/>
        <v>15.281630824477659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1">
        <f t="shared" si="86"/>
        <v>18.181385543312256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67">
        <f t="shared" si="56"/>
        <v>399.83825982126905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6.1</v>
      </c>
      <c r="N75" s="13">
        <f>IF('Données projet'!$A$36&gt;35,N74+M75-V74,IF(A75&lt;'Données projet'!$A$36,$K$205^A75,IF(A75='Données projet'!$A$36,'Données projet'!$B$36,N74+M75-V74)))</f>
        <v>233.20000000000019</v>
      </c>
      <c r="O75" s="13">
        <f>N75*VLOOKUP('Données projet'!$B$9,Paramètres!$A$1:$I$89,3,0)*VLOOKUP('Données projet'!$B$9,Paramètres!$A$1:$I$89,5,0)</f>
        <v>210.99936000000014</v>
      </c>
      <c r="P75" s="13">
        <f t="shared" si="87"/>
        <v>52.153910623486667</v>
      </c>
      <c r="Q75" s="20">
        <f t="shared" si="54"/>
        <v>458.32527966923953</v>
      </c>
      <c r="R75" s="59">
        <f t="shared" si="55"/>
        <v>751.65861300257279</v>
      </c>
      <c r="S75" s="59">
        <f ca="1">AVERAGE(OFFSET($R$3,0,0,'Données projet'!$E$9+1,1))-AVERAGE(OFFSET($H$3,0,0,'Données projet'!$E$9+1,1))</f>
        <v>269.19146943657933</v>
      </c>
      <c r="T75" s="59">
        <f t="shared" si="88"/>
        <v>185.94138814570965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0</v>
      </c>
      <c r="AA75" s="21">
        <f>EXP(-LN(2)/25)*AA74+(1-EXP(-LN(2)/25))/(LN(2)/25)*Calculateur!V75*Calculateur!X75*VLOOKUP('Données projet'!$B$9,Paramètres!$A$1:$I$89,3,0)*0.475*44/12</f>
        <v>0.9693093759296999</v>
      </c>
      <c r="AB75" s="21">
        <f>EXP(-LN(2)/2)*AB74+(1-EXP(-LN(2)/2))/(LN(2)/2)*V75*Y75*VLOOKUP('Données projet'!$B$9,Paramètres!$A$1:$I$89,3,0)*0.475*44/12</f>
        <v>2.9513110420362603E-6</v>
      </c>
      <c r="AC75" s="22">
        <f t="shared" si="57"/>
        <v>0.9693123272407419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11.7</v>
      </c>
      <c r="AI75" s="13">
        <f>IF('Données projet'!$A$62&gt;35,AI74+AH75-AQ74,IF(A75&lt;'Données projet'!$A$62,$AF$205^A75,IF(A75='Données projet'!$A$62,'Données projet'!$B$62,AI74+AH75-AQ74)))</f>
        <v>625.40000000000009</v>
      </c>
      <c r="AJ75" s="13">
        <f>AI75*VLOOKUP('Données projet'!$B$10,Paramètres!$A$1:$I$89,3,0)*VLOOKUP('Données projet'!$B$10,Paramètres!$A$1:$I$89,5,0)</f>
        <v>349.59860000000003</v>
      </c>
      <c r="AK75" s="13">
        <f t="shared" si="89"/>
        <v>81.479853290144945</v>
      </c>
      <c r="AL75" s="20">
        <f t="shared" si="58"/>
        <v>750.79497281366912</v>
      </c>
      <c r="AM75" s="59">
        <f t="shared" si="59"/>
        <v>1044.1283061470024</v>
      </c>
      <c r="AN75" s="59">
        <f ca="1">AVERAGE(OFFSET($AM$3,0,0,'Données projet'!$E$10+1,1))-AVERAGE(OFFSET($H$3,0,0,'Données projet'!$E$10+1,1))</f>
        <v>400.34672861351783</v>
      </c>
      <c r="AO75" s="59">
        <f t="shared" si="90"/>
        <v>413.2016163204438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4.4737055856642431</v>
      </c>
      <c r="AV75" s="21">
        <f>EXP(-LN(2)/25)*AV74+(1-EXP(-LN(2)/25))/(LN(2)/25)*Calculateur!AQ75*Calculateur!AS75*VLOOKUP('Données projet'!$B$10,Paramètres!$A$1:$I$89,3,0)*0.475*44/12</f>
        <v>10.425326046418684</v>
      </c>
      <c r="AW75" s="21">
        <f>EXP(-LN(2)/2)*AW74+(1-EXP(-LN(2)/2))/(LN(2)/2)*AQ75*AT75*VLOOKUP('Données projet'!$B$10,Paramètres!$A$1:$I$89,3,0)*0.475*44/12</f>
        <v>1.5606767912570523E-5</v>
      </c>
      <c r="AX75" s="21">
        <f t="shared" si="60"/>
        <v>14.899047238850839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1">
        <f t="shared" si="86"/>
        <v>18.404332112224722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67">
        <f t="shared" si="56"/>
        <v>401.77524842879154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6.1</v>
      </c>
      <c r="N76" s="13">
        <f>IF('Données projet'!$A$36&gt;35,N75+M76-V75,IF(A76&lt;'Données projet'!$A$36,$K$205^A76,IF(A76='Données projet'!$A$36,'Données projet'!$B$36,N75+M76-V75)))</f>
        <v>239.30000000000018</v>
      </c>
      <c r="O76" s="13">
        <f>N76*VLOOKUP('Données projet'!$B$9,Paramètres!$A$1:$I$89,3,0)*VLOOKUP('Données projet'!$B$9,Paramètres!$A$1:$I$89,5,0)</f>
        <v>216.51864000000015</v>
      </c>
      <c r="P76" s="13">
        <f t="shared" si="87"/>
        <v>53.357528323079173</v>
      </c>
      <c r="Q76" s="20">
        <f t="shared" si="54"/>
        <v>470.03432649602973</v>
      </c>
      <c r="R76" s="59">
        <f t="shared" si="55"/>
        <v>763.36765982936299</v>
      </c>
      <c r="S76" s="59">
        <f ca="1">AVERAGE(OFFSET($R$3,0,0,'Données projet'!$E$9+1,1))-AVERAGE(OFFSET($H$3,0,0,'Données projet'!$E$9+1,1))</f>
        <v>269.19146943657933</v>
      </c>
      <c r="T76" s="59">
        <f t="shared" si="88"/>
        <v>185.94138814570965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0</v>
      </c>
      <c r="AA76" s="21">
        <f>EXP(-LN(2)/25)*AA75+(1-EXP(-LN(2)/25))/(LN(2)/25)*Calculateur!V76*Calculateur!X76*VLOOKUP('Données projet'!$B$9,Paramètres!$A$1:$I$89,3,0)*0.475*44/12</f>
        <v>0.94280356007113753</v>
      </c>
      <c r="AB76" s="21">
        <f>EXP(-LN(2)/2)*AB75+(1-EXP(-LN(2)/2))/(LN(2)/2)*V76*Y76*VLOOKUP('Données projet'!$B$9,Paramètres!$A$1:$I$89,3,0)*0.475*44/12</f>
        <v>2.0868920512145754E-6</v>
      </c>
      <c r="AC76" s="22">
        <f t="shared" si="57"/>
        <v>0.94280564696318869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11.7</v>
      </c>
      <c r="AI76" s="13">
        <f>IF('Données projet'!$A$62&gt;35,AI75+AH76-AQ75,IF(A76&lt;'Données projet'!$A$62,$AF$205^A76,IF(A76='Données projet'!$A$62,'Données projet'!$B$62,AI75+AH76-AQ75)))</f>
        <v>637.10000000000014</v>
      </c>
      <c r="AJ76" s="13">
        <f>AI76*VLOOKUP('Données projet'!$B$10,Paramètres!$A$1:$I$89,3,0)*VLOOKUP('Données projet'!$B$10,Paramètres!$A$1:$I$89,5,0)</f>
        <v>356.13890000000004</v>
      </c>
      <c r="AK76" s="13">
        <f t="shared" si="89"/>
        <v>82.825292478605164</v>
      </c>
      <c r="AL76" s="20">
        <f t="shared" si="58"/>
        <v>764.52930190023733</v>
      </c>
      <c r="AM76" s="59">
        <f t="shared" si="59"/>
        <v>1057.8626352335707</v>
      </c>
      <c r="AN76" s="59">
        <f ca="1">AVERAGE(OFFSET($AM$3,0,0,'Données projet'!$E$10+1,1))-AVERAGE(OFFSET($H$3,0,0,'Données projet'!$E$10+1,1))</f>
        <v>400.34672861351783</v>
      </c>
      <c r="AO76" s="59">
        <f t="shared" si="90"/>
        <v>413.2016163204438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4.3859789478203384</v>
      </c>
      <c r="AV76" s="21">
        <f>EXP(-LN(2)/25)*AV75+(1-EXP(-LN(2)/25))/(LN(2)/25)*Calculateur!AQ76*Calculateur!AS76*VLOOKUP('Données projet'!$B$10,Paramètres!$A$1:$I$89,3,0)*0.475*44/12</f>
        <v>10.140244957435296</v>
      </c>
      <c r="AW76" s="21">
        <f>EXP(-LN(2)/2)*AW75+(1-EXP(-LN(2)/2))/(LN(2)/2)*AQ76*AT76*VLOOKUP('Données projet'!$B$10,Paramètres!$A$1:$I$89,3,0)*0.475*44/12</f>
        <v>1.1035651423383236E-5</v>
      </c>
      <c r="AX76" s="21">
        <f t="shared" si="60"/>
        <v>14.526234940907058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1">
        <f t="shared" si="86"/>
        <v>18.626923459774314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67">
        <f t="shared" si="56"/>
        <v>403.71161835910709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6.1</v>
      </c>
      <c r="N77" s="13">
        <f>IF('Données projet'!$A$36&gt;35,N76+M77-V76,IF(A77&lt;'Données projet'!$A$36,$K$205^A77,IF(A77='Données projet'!$A$36,'Données projet'!$B$36,N76+M77-V76)))</f>
        <v>245.40000000000018</v>
      </c>
      <c r="O77" s="13">
        <f>N77*VLOOKUP('Données projet'!$B$9,Paramètres!$A$1:$I$89,3,0)*VLOOKUP('Données projet'!$B$9,Paramètres!$A$1:$I$89,5,0)</f>
        <v>222.03792000000013</v>
      </c>
      <c r="P77" s="13">
        <f t="shared" si="87"/>
        <v>54.5575795882731</v>
      </c>
      <c r="Q77" s="20">
        <f t="shared" si="54"/>
        <v>481.7371617829092</v>
      </c>
      <c r="R77" s="59">
        <f t="shared" si="55"/>
        <v>775.07049511624245</v>
      </c>
      <c r="S77" s="59">
        <f ca="1">AVERAGE(OFFSET($R$3,0,0,'Données projet'!$E$9+1,1))-AVERAGE(OFFSET($H$3,0,0,'Données projet'!$E$9+1,1))</f>
        <v>269.19146943657933</v>
      </c>
      <c r="T77" s="59">
        <f t="shared" si="88"/>
        <v>185.94138814570965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0</v>
      </c>
      <c r="AA77" s="21">
        <f>EXP(-LN(2)/25)*AA76+(1-EXP(-LN(2)/25))/(LN(2)/25)*Calculateur!V77*Calculateur!X77*VLOOKUP('Données projet'!$B$9,Paramètres!$A$1:$I$89,3,0)*0.475*44/12</f>
        <v>0.91702254714110787</v>
      </c>
      <c r="AB77" s="21">
        <f>EXP(-LN(2)/2)*AB76+(1-EXP(-LN(2)/2))/(LN(2)/2)*V77*Y77*VLOOKUP('Données projet'!$B$9,Paramètres!$A$1:$I$89,3,0)*0.475*44/12</f>
        <v>1.4756555210181301E-6</v>
      </c>
      <c r="AC77" s="22">
        <f t="shared" si="57"/>
        <v>0.91702402279662887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11.7</v>
      </c>
      <c r="AI77" s="13">
        <f>IF('Données projet'!$A$62&gt;35,AI76+AH77-AQ76,IF(A77&lt;'Données projet'!$A$62,$AF$205^A77,IF(A77='Données projet'!$A$62,'Données projet'!$B$62,AI76+AH77-AQ76)))</f>
        <v>648.80000000000018</v>
      </c>
      <c r="AJ77" s="13">
        <f>AI77*VLOOKUP('Données projet'!$B$10,Paramètres!$A$1:$I$89,3,0)*VLOOKUP('Données projet'!$B$10,Paramètres!$A$1:$I$89,5,0)</f>
        <v>362.67920000000015</v>
      </c>
      <c r="AK77" s="13">
        <f t="shared" si="89"/>
        <v>84.167858525526952</v>
      </c>
      <c r="AL77" s="20">
        <f t="shared" si="58"/>
        <v>778.25862693195984</v>
      </c>
      <c r="AM77" s="59">
        <f t="shared" si="59"/>
        <v>1071.5919602652932</v>
      </c>
      <c r="AN77" s="59">
        <f ca="1">AVERAGE(OFFSET($AM$3,0,0,'Données projet'!$E$10+1,1))-AVERAGE(OFFSET($H$3,0,0,'Données projet'!$E$10+1,1))</f>
        <v>400.34672861351783</v>
      </c>
      <c r="AO77" s="59">
        <f t="shared" si="90"/>
        <v>413.2016163204438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4.2999725758365877</v>
      </c>
      <c r="AV77" s="21">
        <f>EXP(-LN(2)/25)*AV76+(1-EXP(-LN(2)/25))/(LN(2)/25)*Calculateur!AQ77*Calculateur!AS77*VLOOKUP('Données projet'!$B$10,Paramètres!$A$1:$I$89,3,0)*0.475*44/12</f>
        <v>9.8629594258219218</v>
      </c>
      <c r="AW77" s="21">
        <f>EXP(-LN(2)/2)*AW76+(1-EXP(-LN(2)/2))/(LN(2)/2)*AQ77*AT77*VLOOKUP('Données projet'!$B$10,Paramètres!$A$1:$I$89,3,0)*0.475*44/12</f>
        <v>7.8033839562852616E-6</v>
      </c>
      <c r="AX77" s="21">
        <f t="shared" si="60"/>
        <v>14.162939805042466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1">
        <f t="shared" si="86"/>
        <v>18.849164941118655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67">
        <f t="shared" si="56"/>
        <v>405.64737893911513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6.1</v>
      </c>
      <c r="N78" s="13">
        <f>IF('Données projet'!$A$36&gt;35,N77+M78-V77,IF(A78&lt;'Données projet'!$A$36,$K$205^A78,IF(A78='Données projet'!$A$36,'Données projet'!$B$36,N77+M78-V77)))</f>
        <v>251.50000000000017</v>
      </c>
      <c r="O78" s="13">
        <f>N78*VLOOKUP('Données projet'!$B$9,Paramètres!$A$1:$I$89,3,0)*VLOOKUP('Données projet'!$B$9,Paramètres!$A$1:$I$89,5,0)</f>
        <v>227.55720000000014</v>
      </c>
      <c r="P78" s="13">
        <f t="shared" si="87"/>
        <v>55.754163267932753</v>
      </c>
      <c r="Q78" s="20">
        <f t="shared" si="54"/>
        <v>493.43395769164982</v>
      </c>
      <c r="R78" s="59">
        <f t="shared" si="55"/>
        <v>786.76729102498314</v>
      </c>
      <c r="S78" s="59">
        <f ca="1">AVERAGE(OFFSET($R$3,0,0,'Données projet'!$E$9+1,1))-AVERAGE(OFFSET($H$3,0,0,'Données projet'!$E$9+1,1))</f>
        <v>269.19146943657933</v>
      </c>
      <c r="T78" s="59">
        <f t="shared" si="88"/>
        <v>185.94138814570965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0</v>
      </c>
      <c r="AA78" s="21">
        <f>EXP(-LN(2)/25)*AA77+(1-EXP(-LN(2)/25))/(LN(2)/25)*Calculateur!V78*Calculateur!X78*VLOOKUP('Données projet'!$B$9,Paramètres!$A$1:$I$89,3,0)*0.475*44/12</f>
        <v>0.89194651736541442</v>
      </c>
      <c r="AB78" s="21">
        <f>EXP(-LN(2)/2)*AB77+(1-EXP(-LN(2)/2))/(LN(2)/2)*V78*Y78*VLOOKUP('Données projet'!$B$9,Paramètres!$A$1:$I$89,3,0)*0.475*44/12</f>
        <v>1.0434460256072877E-6</v>
      </c>
      <c r="AC78" s="22">
        <f t="shared" si="57"/>
        <v>0.89194756081144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11.7</v>
      </c>
      <c r="AI78" s="13">
        <f>IF('Données projet'!$A$62&gt;35,AI77+AH78-AQ77,IF(A78&lt;'Données projet'!$A$62,$AF$205^A78,IF(A78='Données projet'!$A$62,'Données projet'!$B$62,AI77+AH78-AQ77)))</f>
        <v>660.50000000000023</v>
      </c>
      <c r="AJ78" s="13">
        <f>AI78*VLOOKUP('Données projet'!$B$10,Paramètres!$A$1:$I$89,3,0)*VLOOKUP('Données projet'!$B$10,Paramètres!$A$1:$I$89,5,0)</f>
        <v>369.21950000000015</v>
      </c>
      <c r="AK78" s="13">
        <f t="shared" si="89"/>
        <v>85.507609219700839</v>
      </c>
      <c r="AL78" s="20">
        <f t="shared" si="58"/>
        <v>791.98304855764582</v>
      </c>
      <c r="AM78" s="59">
        <f t="shared" si="59"/>
        <v>1085.3163818909791</v>
      </c>
      <c r="AN78" s="59">
        <f ca="1">AVERAGE(OFFSET($AM$3,0,0,'Données projet'!$E$10+1,1))-AVERAGE(OFFSET($H$3,0,0,'Données projet'!$E$10+1,1))</f>
        <v>400.34672861351783</v>
      </c>
      <c r="AO78" s="59">
        <f t="shared" si="90"/>
        <v>413.2016163204438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4.2156527363487308</v>
      </c>
      <c r="AV78" s="21">
        <f>EXP(-LN(2)/25)*AV77+(1-EXP(-LN(2)/25))/(LN(2)/25)*Calculateur!AQ78*Calculateur!AS78*VLOOKUP('Données projet'!$B$10,Paramètres!$A$1:$I$89,3,0)*0.475*44/12</f>
        <v>9.5932562816523266</v>
      </c>
      <c r="AW78" s="21">
        <f>EXP(-LN(2)/2)*AW77+(1-EXP(-LN(2)/2))/(LN(2)/2)*AQ78*AT78*VLOOKUP('Données projet'!$B$10,Paramètres!$A$1:$I$89,3,0)*0.475*44/12</f>
        <v>5.5178257116916182E-6</v>
      </c>
      <c r="AX78" s="21">
        <f t="shared" si="60"/>
        <v>13.808914535826768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1">
        <f t="shared" si="86"/>
        <v>19.071061760403854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67">
        <f t="shared" si="56"/>
        <v>407.58253923270354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6.1</v>
      </c>
      <c r="N79" s="13">
        <f>IF('Données projet'!$A$36&gt;35,N78+M79-V78,IF(A79&lt;'Données projet'!$A$36,$K$205^A79,IF(A79='Données projet'!$A$36,'Données projet'!$B$36,N78+M79-V78)))</f>
        <v>257.60000000000019</v>
      </c>
      <c r="O79" s="13">
        <f>N79*VLOOKUP('Données projet'!$B$9,Paramètres!$A$1:$I$89,3,0)*VLOOKUP('Données projet'!$B$9,Paramètres!$A$1:$I$89,5,0)</f>
        <v>233.07648000000017</v>
      </c>
      <c r="P79" s="13">
        <f t="shared" si="87"/>
        <v>56.947373142454929</v>
      </c>
      <c r="Q79" s="20">
        <f t="shared" si="54"/>
        <v>505.12487755644264</v>
      </c>
      <c r="R79" s="59">
        <f t="shared" si="55"/>
        <v>798.45821088977596</v>
      </c>
      <c r="S79" s="59">
        <f ca="1">AVERAGE(OFFSET($R$3,0,0,'Données projet'!$E$9+1,1))-AVERAGE(OFFSET($H$3,0,0,'Données projet'!$E$9+1,1))</f>
        <v>269.19146943657933</v>
      </c>
      <c r="T79" s="59">
        <f t="shared" si="88"/>
        <v>185.94138814570965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0</v>
      </c>
      <c r="AA79" s="21">
        <f>EXP(-LN(2)/25)*AA78+(1-EXP(-LN(2)/25))/(LN(2)/25)*Calculateur!V79*Calculateur!X79*VLOOKUP('Données projet'!$B$9,Paramètres!$A$1:$I$89,3,0)*0.475*44/12</f>
        <v>0.86755619294262842</v>
      </c>
      <c r="AB79" s="21">
        <f>EXP(-LN(2)/2)*AB78+(1-EXP(-LN(2)/2))/(LN(2)/2)*V79*Y79*VLOOKUP('Données projet'!$B$9,Paramètres!$A$1:$I$89,3,0)*0.475*44/12</f>
        <v>7.3782776050906506E-7</v>
      </c>
      <c r="AC79" s="22">
        <f t="shared" si="57"/>
        <v>0.86755693077038898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11.7</v>
      </c>
      <c r="AI79" s="13">
        <f>IF('Données projet'!$A$62&gt;35,AI78+AH79-AQ78,IF(A79&lt;'Données projet'!$A$62,$AF$205^A79,IF(A79='Données projet'!$A$62,'Données projet'!$B$62,AI78+AH79-AQ78)))</f>
        <v>672.20000000000027</v>
      </c>
      <c r="AJ79" s="13">
        <f>AI79*VLOOKUP('Données projet'!$B$10,Paramètres!$A$1:$I$89,3,0)*VLOOKUP('Données projet'!$B$10,Paramètres!$A$1:$I$89,5,0)</f>
        <v>375.75980000000015</v>
      </c>
      <c r="AK79" s="13">
        <f t="shared" si="89"/>
        <v>86.844600185332411</v>
      </c>
      <c r="AL79" s="20">
        <f t="shared" si="58"/>
        <v>805.70266365612088</v>
      </c>
      <c r="AM79" s="59">
        <f t="shared" si="59"/>
        <v>1099.0359969894541</v>
      </c>
      <c r="AN79" s="59">
        <f ca="1">AVERAGE(OFFSET($AM$3,0,0,'Données projet'!$E$10+1,1))-AVERAGE(OFFSET($H$3,0,0,'Données projet'!$E$10+1,1))</f>
        <v>400.34672861351783</v>
      </c>
      <c r="AO79" s="59">
        <f t="shared" si="90"/>
        <v>413.2016163204438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4.1329863574832073</v>
      </c>
      <c r="AV79" s="21">
        <f>EXP(-LN(2)/25)*AV78+(1-EXP(-LN(2)/25))/(LN(2)/25)*Calculateur!AQ79*Calculateur!AS79*VLOOKUP('Données projet'!$B$10,Paramètres!$A$1:$I$89,3,0)*0.475*44/12</f>
        <v>9.3309281841431222</v>
      </c>
      <c r="AW79" s="21">
        <f>EXP(-LN(2)/2)*AW78+(1-EXP(-LN(2)/2))/(LN(2)/2)*AQ79*AT79*VLOOKUP('Données projet'!$B$10,Paramètres!$A$1:$I$89,3,0)*0.475*44/12</f>
        <v>3.9016919781426308E-6</v>
      </c>
      <c r="AX79" s="21">
        <f t="shared" si="60"/>
        <v>13.463918443318308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1">
        <f t="shared" si="86"/>
        <v>19.292618976952753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67">
        <f t="shared" si="56"/>
        <v>409.51710805152618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6.1</v>
      </c>
      <c r="N80" s="13">
        <f>IF('Données projet'!$A$36&gt;35,N79+M80-V79,IF(A80&lt;'Données projet'!$A$36,$K$205^A80,IF(A80='Données projet'!$A$36,'Données projet'!$B$36,N79+M80-V79)))</f>
        <v>263.70000000000022</v>
      </c>
      <c r="O80" s="13">
        <f>N80*VLOOKUP('Données projet'!$B$9,Paramètres!$A$1:$I$89,3,0)*VLOOKUP('Données projet'!$B$9,Paramètres!$A$1:$I$89,5,0)</f>
        <v>238.59576000000018</v>
      </c>
      <c r="P80" s="13">
        <f t="shared" si="87"/>
        <v>58.137298297430824</v>
      </c>
      <c r="Q80" s="20">
        <f t="shared" si="54"/>
        <v>516.81007653469237</v>
      </c>
      <c r="R80" s="59">
        <f t="shared" si="55"/>
        <v>810.14340986802563</v>
      </c>
      <c r="S80" s="59">
        <f ca="1">AVERAGE(OFFSET($R$3,0,0,'Données projet'!$E$9+1,1))-AVERAGE(OFFSET($H$3,0,0,'Données projet'!$E$9+1,1))</f>
        <v>269.19146943657933</v>
      </c>
      <c r="T80" s="59">
        <f t="shared" si="88"/>
        <v>185.94138814570965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0</v>
      </c>
      <c r="AA80" s="21">
        <f>EXP(-LN(2)/25)*AA79+(1-EXP(-LN(2)/25))/(LN(2)/25)*Calculateur!V80*Calculateur!X80*VLOOKUP('Données projet'!$B$9,Paramètres!$A$1:$I$89,3,0)*0.475*44/12</f>
        <v>0.84383282322381492</v>
      </c>
      <c r="AB80" s="21">
        <f>EXP(-LN(2)/2)*AB79+(1-EXP(-LN(2)/2))/(LN(2)/2)*V80*Y80*VLOOKUP('Données projet'!$B$9,Paramètres!$A$1:$I$89,3,0)*0.475*44/12</f>
        <v>5.2172301280364385E-7</v>
      </c>
      <c r="AC80" s="22">
        <f t="shared" si="57"/>
        <v>0.84383334494682771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11.7</v>
      </c>
      <c r="AI80" s="13">
        <f>IF('Données projet'!$A$62&gt;35,AI79+AH80-AQ79,IF(A80&lt;'Données projet'!$A$62,$AF$205^A80,IF(A80='Données projet'!$A$62,'Données projet'!$B$62,AI79+AH80-AQ79)))</f>
        <v>683.90000000000032</v>
      </c>
      <c r="AJ80" s="13">
        <f>AI80*VLOOKUP('Données projet'!$B$10,Paramètres!$A$1:$I$89,3,0)*VLOOKUP('Données projet'!$B$10,Paramètres!$A$1:$I$89,5,0)</f>
        <v>382.30010000000016</v>
      </c>
      <c r="AK80" s="13">
        <f t="shared" si="89"/>
        <v>88.178884999359013</v>
      </c>
      <c r="AL80" s="20">
        <f t="shared" si="58"/>
        <v>819.41756554055053</v>
      </c>
      <c r="AM80" s="59">
        <f t="shared" si="59"/>
        <v>1112.7508988738839</v>
      </c>
      <c r="AN80" s="59">
        <f ca="1">AVERAGE(OFFSET($AM$3,0,0,'Données projet'!$E$10+1,1))-AVERAGE(OFFSET($H$3,0,0,'Données projet'!$E$10+1,1))</f>
        <v>400.34672861351783</v>
      </c>
      <c r="AO80" s="59">
        <f t="shared" si="90"/>
        <v>413.2016163204438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4.0519410158857241</v>
      </c>
      <c r="AV80" s="21">
        <f>EXP(-LN(2)/25)*AV79+(1-EXP(-LN(2)/25))/(LN(2)/25)*Calculateur!AQ80*Calculateur!AS80*VLOOKUP('Données projet'!$B$10,Paramètres!$A$1:$I$89,3,0)*0.475*44/12</f>
        <v>9.0757734622555422</v>
      </c>
      <c r="AW80" s="21">
        <f>EXP(-LN(2)/2)*AW79+(1-EXP(-LN(2)/2))/(LN(2)/2)*AQ80*AT80*VLOOKUP('Données projet'!$B$10,Paramètres!$A$1:$I$89,3,0)*0.475*44/12</f>
        <v>2.7589128558458091E-6</v>
      </c>
      <c r="AX80" s="21">
        <f t="shared" si="60"/>
        <v>13.127717237054123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1">
        <f t="shared" si="86"/>
        <v>19.51384151112245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67">
        <f t="shared" si="56"/>
        <v>411.45109396520513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6.1</v>
      </c>
      <c r="N81" s="13">
        <f>IF('Données projet'!$A$36&gt;35,N80+M81-V80,IF(A81&lt;'Données projet'!$A$36,$K$205^A81,IF(A81='Données projet'!$A$36,'Données projet'!$B$36,N80+M81-V80)))</f>
        <v>269.80000000000024</v>
      </c>
      <c r="O81" s="13">
        <f>N81*VLOOKUP('Données projet'!$B$9,Paramètres!$A$1:$I$89,3,0)*VLOOKUP('Données projet'!$B$9,Paramètres!$A$1:$I$89,5,0)</f>
        <v>244.11504000000019</v>
      </c>
      <c r="P81" s="13">
        <f t="shared" si="87"/>
        <v>59.324023461759062</v>
      </c>
      <c r="Q81" s="20">
        <f t="shared" si="54"/>
        <v>528.48970219589739</v>
      </c>
      <c r="R81" s="59">
        <f t="shared" si="55"/>
        <v>821.82303552923076</v>
      </c>
      <c r="S81" s="59">
        <f ca="1">AVERAGE(OFFSET($R$3,0,0,'Données projet'!$E$9+1,1))-AVERAGE(OFFSET($H$3,0,0,'Données projet'!$E$9+1,1))</f>
        <v>269.19146943657933</v>
      </c>
      <c r="T81" s="59">
        <f t="shared" si="88"/>
        <v>185.94138814570965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0</v>
      </c>
      <c r="AA81" s="21">
        <f>EXP(-LN(2)/25)*AA80+(1-EXP(-LN(2)/25))/(LN(2)/25)*Calculateur!V81*Calculateur!X81*VLOOKUP('Données projet'!$B$9,Paramètres!$A$1:$I$89,3,0)*0.475*44/12</f>
        <v>0.82075817029752018</v>
      </c>
      <c r="AB81" s="21">
        <f>EXP(-LN(2)/2)*AB80+(1-EXP(-LN(2)/2))/(LN(2)/2)*V81*Y81*VLOOKUP('Données projet'!$B$9,Paramètres!$A$1:$I$89,3,0)*0.475*44/12</f>
        <v>3.6891388025453253E-7</v>
      </c>
      <c r="AC81" s="22">
        <f t="shared" si="57"/>
        <v>0.82075853921140041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11.7</v>
      </c>
      <c r="AI81" s="13">
        <f>IF('Données projet'!$A$62&gt;35,AI80+AH81-AQ80,IF(A81&lt;'Données projet'!$A$62,$AF$205^A81,IF(A81='Données projet'!$A$62,'Données projet'!$B$62,AI80+AH81-AQ80)))</f>
        <v>695.60000000000036</v>
      </c>
      <c r="AJ81" s="13">
        <f>AI81*VLOOKUP('Données projet'!$B$10,Paramètres!$A$1:$I$89,3,0)*VLOOKUP('Données projet'!$B$10,Paramètres!$A$1:$I$89,5,0)</f>
        <v>388.84040000000022</v>
      </c>
      <c r="AK81" s="13">
        <f t="shared" si="89"/>
        <v>89.510515300512282</v>
      </c>
      <c r="AL81" s="20">
        <f t="shared" si="58"/>
        <v>833.12784414839268</v>
      </c>
      <c r="AM81" s="59">
        <f t="shared" si="59"/>
        <v>1126.4611774817261</v>
      </c>
      <c r="AN81" s="59">
        <f ca="1">AVERAGE(OFFSET($AM$3,0,0,'Données projet'!$E$10+1,1))-AVERAGE(OFFSET($H$3,0,0,'Données projet'!$E$10+1,1))</f>
        <v>400.34672861351783</v>
      </c>
      <c r="AO81" s="59">
        <f t="shared" si="90"/>
        <v>413.2016163204438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3.9724849240041902</v>
      </c>
      <c r="AV81" s="21">
        <f>EXP(-LN(2)/25)*AV80+(1-EXP(-LN(2)/25))/(LN(2)/25)*Calculateur!AQ81*Calculateur!AS81*VLOOKUP('Données projet'!$B$10,Paramètres!$A$1:$I$89,3,0)*0.475*44/12</f>
        <v>8.8275959596559801</v>
      </c>
      <c r="AW81" s="21">
        <f>EXP(-LN(2)/2)*AW80+(1-EXP(-LN(2)/2))/(LN(2)/2)*AQ81*AT81*VLOOKUP('Données projet'!$B$10,Paramètres!$A$1:$I$89,3,0)*0.475*44/12</f>
        <v>1.9508459890713154E-6</v>
      </c>
      <c r="AX81" s="21">
        <f t="shared" si="60"/>
        <v>12.80008283450616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1">
        <f t="shared" si="86"/>
        <v>19.734734149853086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67">
        <f t="shared" si="56"/>
        <v>413.38450531099431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6.1</v>
      </c>
      <c r="N82" s="13">
        <f>IF('Données projet'!$A$36&gt;35,N81+M82-V81,IF(A82&lt;'Données projet'!$A$36,$K$205^A82,IF(A82='Données projet'!$A$36,'Données projet'!$B$36,N81+M82-V81)))</f>
        <v>275.90000000000026</v>
      </c>
      <c r="O82" s="13">
        <f>N82*VLOOKUP('Données projet'!$B$9,Paramètres!$A$1:$I$89,3,0)*VLOOKUP('Données projet'!$B$9,Paramètres!$A$1:$I$89,5,0)</f>
        <v>249.63432000000023</v>
      </c>
      <c r="P82" s="13">
        <f t="shared" si="87"/>
        <v>60.507629314318471</v>
      </c>
      <c r="Q82" s="20">
        <f t="shared" si="54"/>
        <v>540.16389505577172</v>
      </c>
      <c r="R82" s="59">
        <f t="shared" si="55"/>
        <v>833.49722838910498</v>
      </c>
      <c r="S82" s="59">
        <f ca="1">AVERAGE(OFFSET($R$3,0,0,'Données projet'!$E$9+1,1))-AVERAGE(OFFSET($H$3,0,0,'Données projet'!$E$9+1,1))</f>
        <v>269.19146943657933</v>
      </c>
      <c r="T82" s="59">
        <f t="shared" si="88"/>
        <v>185.94138814570965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0</v>
      </c>
      <c r="AA82" s="21">
        <f>EXP(-LN(2)/25)*AA81+(1-EXP(-LN(2)/25))/(LN(2)/25)*Calculateur!V82*Calculateur!X82*VLOOKUP('Données projet'!$B$9,Paramètres!$A$1:$I$89,3,0)*0.475*44/12</f>
        <v>0.79831449496893814</v>
      </c>
      <c r="AB82" s="21">
        <f>EXP(-LN(2)/2)*AB81+(1-EXP(-LN(2)/2))/(LN(2)/2)*V82*Y82*VLOOKUP('Données projet'!$B$9,Paramètres!$A$1:$I$89,3,0)*0.475*44/12</f>
        <v>2.6086150640182193E-7</v>
      </c>
      <c r="AC82" s="22">
        <f t="shared" si="57"/>
        <v>0.79831475583044453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11.7</v>
      </c>
      <c r="AI82" s="13">
        <f>IF('Données projet'!$A$62&gt;35,AI81+AH82-AQ81,IF(A82&lt;'Données projet'!$A$62,$AF$205^A82,IF(A82='Données projet'!$A$62,'Données projet'!$B$62,AI81+AH82-AQ81)))</f>
        <v>707.30000000000041</v>
      </c>
      <c r="AJ82" s="13">
        <f>AI82*VLOOKUP('Données projet'!$B$10,Paramètres!$A$1:$I$89,3,0)*VLOOKUP('Données projet'!$B$10,Paramètres!$A$1:$I$89,5,0)</f>
        <v>395.38070000000027</v>
      </c>
      <c r="AK82" s="13">
        <f t="shared" si="89"/>
        <v>90.839540890834357</v>
      </c>
      <c r="AL82" s="20">
        <f t="shared" si="58"/>
        <v>846.83358621820355</v>
      </c>
      <c r="AM82" s="59">
        <f t="shared" si="59"/>
        <v>1140.1669195515369</v>
      </c>
      <c r="AN82" s="59">
        <f ca="1">AVERAGE(OFFSET($AM$3,0,0,'Données projet'!$E$10+1,1))-AVERAGE(OFFSET($H$3,0,0,'Données projet'!$E$10+1,1))</f>
        <v>400.34672861351783</v>
      </c>
      <c r="AO82" s="59">
        <f t="shared" si="90"/>
        <v>413.2016163204438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3.8945869176210226</v>
      </c>
      <c r="AV82" s="21">
        <f>EXP(-LN(2)/25)*AV81+(1-EXP(-LN(2)/25))/(LN(2)/25)*Calculateur!AQ82*Calculateur!AS82*VLOOKUP('Données projet'!$B$10,Paramètres!$A$1:$I$89,3,0)*0.475*44/12</f>
        <v>8.5862048839160909</v>
      </c>
      <c r="AW82" s="21">
        <f>EXP(-LN(2)/2)*AW81+(1-EXP(-LN(2)/2))/(LN(2)/2)*AQ82*AT82*VLOOKUP('Données projet'!$B$10,Paramètres!$A$1:$I$89,3,0)*0.475*44/12</f>
        <v>1.3794564279229045E-6</v>
      </c>
      <c r="AX82" s="21">
        <f t="shared" si="60"/>
        <v>12.480793180993542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1">
        <f t="shared" si="86"/>
        <v>19.955301551927505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67">
        <f t="shared" si="56"/>
        <v>415.31735020294059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282</v>
      </c>
      <c r="L83" s="12">
        <f>VLOOKUP(A83,'Données projet'!$A$35:$I$55,9,0)</f>
        <v>6.1</v>
      </c>
      <c r="M83" s="12">
        <f t="array" ref="M83">INDEX(L:L,MIN(IF(ISNUMBER(L83:L279),ROW(L83:L279),"")))</f>
        <v>6.1</v>
      </c>
      <c r="N83" s="13">
        <f>IF('Données projet'!$A$36&gt;35,N82+M83-V82,IF(A83&lt;'Données projet'!$A$36,$K$205^A83,IF(A83='Données projet'!$A$36,'Données projet'!$B$36,N82+M83-V82)))</f>
        <v>282.00000000000028</v>
      </c>
      <c r="O83" s="13">
        <f>N83*VLOOKUP('Données projet'!$B$9,Paramètres!$A$1:$I$89,3,0)*VLOOKUP('Données projet'!$B$9,Paramètres!$A$1:$I$89,5,0)</f>
        <v>255.15360000000024</v>
      </c>
      <c r="P83" s="13">
        <f t="shared" si="87"/>
        <v>61.688192762754483</v>
      </c>
      <c r="Q83" s="20">
        <f t="shared" si="54"/>
        <v>551.83278906179783</v>
      </c>
      <c r="R83" s="59">
        <f t="shared" si="55"/>
        <v>845.1661223951312</v>
      </c>
      <c r="S83" s="59">
        <f ca="1">AVERAGE(OFFSET($R$3,0,0,'Données projet'!$E$9+1,1))-AVERAGE(OFFSET($H$3,0,0,'Données projet'!$E$9+1,1))</f>
        <v>269.19146943657933</v>
      </c>
      <c r="T83" s="59">
        <f t="shared" si="88"/>
        <v>185.94138814570965</v>
      </c>
      <c r="U83" s="15">
        <f>IF(ISNA(VLOOKUP(A83,'Données projet'!$A$35:$I$55,3,0)),0,VLOOKUP(A83,'Données projet'!$A$35:$I$55,3,0))</f>
        <v>6</v>
      </c>
      <c r="V83" s="15">
        <f>IF(ISNA(VLOOKUP(A83,'Données projet'!$A$35:$I$55,4,0)),0,VLOOKUP(A83,'Données projet'!$A$35:$I$55,4,0))</f>
        <v>42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0</v>
      </c>
      <c r="AA83" s="21">
        <f>EXP(-LN(2)/25)*AA82+(1-EXP(-LN(2)/25))/(LN(2)/25)*Calculateur!V83*Calculateur!X83*VLOOKUP('Données projet'!$B$9,Paramètres!$A$1:$I$89,3,0)*0.475*44/12</f>
        <v>0.77648454312247783</v>
      </c>
      <c r="AB83" s="21">
        <f>EXP(-LN(2)/2)*AB82+(1-EXP(-LN(2)/2))/(LN(2)/2)*V83*Y83*VLOOKUP('Données projet'!$B$9,Paramètres!$A$1:$I$89,3,0)*0.475*44/12</f>
        <v>1.8445694012726627E-7</v>
      </c>
      <c r="AC83" s="22">
        <f t="shared" si="57"/>
        <v>0.776484727579418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719</v>
      </c>
      <c r="AG83" s="12">
        <f>VLOOKUP(A83,'Données projet'!$A$61:$I$81,9,0)</f>
        <v>11.7</v>
      </c>
      <c r="AH83" s="12">
        <f t="array" ref="AH83">INDEX(AG:AG,MIN(IF(ISNUMBER(AG83:AG279),ROW(AG83:AG279),"")))</f>
        <v>11.7</v>
      </c>
      <c r="AI83" s="13">
        <f>IF('Données projet'!$A$62&gt;35,AI82+AH83-AQ82,IF(A83&lt;'Données projet'!$A$62,$AF$205^A83,IF(A83='Données projet'!$A$62,'Données projet'!$B$62,AI82+AH83-AQ82)))</f>
        <v>719.00000000000045</v>
      </c>
      <c r="AJ83" s="13">
        <f>AI83*VLOOKUP('Données projet'!$B$10,Paramètres!$A$1:$I$89,3,0)*VLOOKUP('Données projet'!$B$10,Paramètres!$A$1:$I$89,5,0)</f>
        <v>401.92100000000028</v>
      </c>
      <c r="AK83" s="13">
        <f t="shared" si="89"/>
        <v>92.166009830286299</v>
      </c>
      <c r="AL83" s="20">
        <f t="shared" si="58"/>
        <v>860.53487545441567</v>
      </c>
      <c r="AM83" s="59">
        <f t="shared" si="59"/>
        <v>1153.8682087877489</v>
      </c>
      <c r="AN83" s="59">
        <f ca="1">AVERAGE(OFFSET($AM$3,0,0,'Données projet'!$E$10+1,1))-AVERAGE(OFFSET($H$3,0,0,'Données projet'!$E$10+1,1))</f>
        <v>400.34672861351783</v>
      </c>
      <c r="AO83" s="59">
        <f t="shared" si="90"/>
        <v>413.2016163204438</v>
      </c>
      <c r="AP83" s="15">
        <f>IF(ISNA(VLOOKUP(A83,'Données projet'!$A$61:$I$81,3,0)),0,VLOOKUP(A83,'Données projet'!$A$61:$I$81,3,0))</f>
        <v>7</v>
      </c>
      <c r="AQ83" s="15">
        <f>IF(ISNA(VLOOKUP(A83,'Données projet'!$A$61:$I$81,4,0)),0,VLOOKUP(A83,'Données projet'!$A$61:$I$81,4,0))</f>
        <v>719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3.8182164436299364</v>
      </c>
      <c r="AV83" s="21">
        <f>EXP(-LN(2)/25)*AV82+(1-EXP(-LN(2)/25))/(LN(2)/25)*Calculateur!AQ83*Calculateur!AS83*VLOOKUP('Données projet'!$B$10,Paramètres!$A$1:$I$89,3,0)*0.475*44/12</f>
        <v>8.3514146598365144</v>
      </c>
      <c r="AW83" s="21">
        <f>EXP(-LN(2)/2)*AW82+(1-EXP(-LN(2)/2))/(LN(2)/2)*AQ83*AT83*VLOOKUP('Données projet'!$B$10,Paramètres!$A$1:$I$89,3,0)*0.475*44/12</f>
        <v>9.754229945356577E-7</v>
      </c>
      <c r="AX83" s="21">
        <f t="shared" si="60"/>
        <v>12.169632078889444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1">
        <f t="shared" si="86"/>
        <v>20.175548252960489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67">
        <f t="shared" si="56"/>
        <v>417.24963654057308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5.6</v>
      </c>
      <c r="N84" s="13">
        <f>IF('Données projet'!$A$36&gt;35,N83+M84-V83,IF(A84&lt;'Données projet'!$A$36,$K$205^A84,IF(A84='Données projet'!$A$36,'Données projet'!$B$36,N83+M84-V83)))</f>
        <v>245.60000000000031</v>
      </c>
      <c r="O84" s="13">
        <f>N84*VLOOKUP('Données projet'!$B$9,Paramètres!$A$1:$I$89,3,0)*VLOOKUP('Données projet'!$B$9,Paramètres!$A$1:$I$89,5,0)</f>
        <v>222.2188800000003</v>
      </c>
      <c r="P84" s="13">
        <f t="shared" si="87"/>
        <v>54.596866296848951</v>
      </c>
      <c r="Q84" s="20">
        <f t="shared" si="54"/>
        <v>482.12075813367898</v>
      </c>
      <c r="R84" s="59">
        <f t="shared" si="55"/>
        <v>775.45409146701229</v>
      </c>
      <c r="S84" s="59">
        <f ca="1">AVERAGE(OFFSET($R$3,0,0,'Données projet'!$E$9+1,1))-AVERAGE(OFFSET($H$3,0,0,'Données projet'!$E$9+1,1))</f>
        <v>269.19146943657933</v>
      </c>
      <c r="T84" s="59">
        <f t="shared" si="88"/>
        <v>185.94138814570965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0</v>
      </c>
      <c r="AA84" s="21">
        <f>EXP(-LN(2)/25)*AA83+(1-EXP(-LN(2)/25))/(LN(2)/25)*Calculateur!V84*Calculateur!X84*VLOOKUP('Données projet'!$B$9,Paramètres!$A$1:$I$89,3,0)*0.475*44/12</f>
        <v>0.75525153245724619</v>
      </c>
      <c r="AB84" s="21">
        <f>EXP(-LN(2)/2)*AB83+(1-EXP(-LN(2)/2))/(LN(2)/2)*V84*Y84*VLOOKUP('Données projet'!$B$9,Paramètres!$A$1:$I$89,3,0)*0.475*44/12</f>
        <v>1.3043075320091096E-7</v>
      </c>
      <c r="AC84" s="22">
        <f t="shared" si="57"/>
        <v>0.75525166288799939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4.5474735088646412E-13</v>
      </c>
      <c r="AJ84" s="13">
        <f>AI84*VLOOKUP('Données projet'!$B$10,Paramètres!$A$1:$I$89,3,0)*VLOOKUP('Données projet'!$B$10,Paramètres!$A$1:$I$89,5,0)</f>
        <v>2.5420376914553347E-13</v>
      </c>
      <c r="AK84" s="13">
        <f t="shared" si="89"/>
        <v>3.4258699088369875E-12</v>
      </c>
      <c r="AL84" s="20">
        <f t="shared" si="58"/>
        <v>6.4094616558195571E-12</v>
      </c>
      <c r="AM84" s="59">
        <f t="shared" si="59"/>
        <v>293.33333333333974</v>
      </c>
      <c r="AN84" s="59">
        <f ca="1">AVERAGE(OFFSET($AM$3,0,0,'Données projet'!$E$10+1,1))-AVERAGE(OFFSET($H$3,0,0,'Données projet'!$E$10+1,1))</f>
        <v>400.34672861351783</v>
      </c>
      <c r="AO84" s="59">
        <f t="shared" si="90"/>
        <v>413.2016163204438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3.743343548052426</v>
      </c>
      <c r="AV84" s="21">
        <f>EXP(-LN(2)/25)*AV83+(1-EXP(-LN(2)/25))/(LN(2)/25)*Calculateur!AQ84*Calculateur!AS84*VLOOKUP('Données projet'!$B$10,Paramètres!$A$1:$I$89,3,0)*0.475*44/12</f>
        <v>8.1230447867814757</v>
      </c>
      <c r="AW84" s="21">
        <f>EXP(-LN(2)/2)*AW83+(1-EXP(-LN(2)/2))/(LN(2)/2)*AQ84*AT84*VLOOKUP('Données projet'!$B$10,Paramètres!$A$1:$I$89,3,0)*0.475*44/12</f>
        <v>6.8972821396145227E-7</v>
      </c>
      <c r="AX84" s="21">
        <f t="shared" si="60"/>
        <v>11.866389024562116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1">
        <f t="shared" si="86"/>
        <v>20.395478670134686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67">
        <f t="shared" si="56"/>
        <v>419.18137201715149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5.6</v>
      </c>
      <c r="N85" s="13">
        <f>IF('Données projet'!$A$36&gt;35,N84+M85-V84,IF(A85&lt;'Données projet'!$A$36,$K$205^A85,IF(A85='Données projet'!$A$36,'Données projet'!$B$36,N84+M85-V84)))</f>
        <v>251.2000000000003</v>
      </c>
      <c r="O85" s="13">
        <f>N85*VLOOKUP('Données projet'!$B$9,Paramètres!$A$1:$I$89,3,0)*VLOOKUP('Données projet'!$B$9,Paramètres!$A$1:$I$89,5,0)</f>
        <v>227.28576000000027</v>
      </c>
      <c r="P85" s="13">
        <f t="shared" si="87"/>
        <v>55.695394520076427</v>
      </c>
      <c r="Q85" s="20">
        <f t="shared" si="54"/>
        <v>492.85884412246696</v>
      </c>
      <c r="R85" s="59">
        <f t="shared" si="55"/>
        <v>786.19217745580022</v>
      </c>
      <c r="S85" s="59">
        <f ca="1">AVERAGE(OFFSET($R$3,0,0,'Données projet'!$E$9+1,1))-AVERAGE(OFFSET($H$3,0,0,'Données projet'!$E$9+1,1))</f>
        <v>269.19146943657933</v>
      </c>
      <c r="T85" s="59">
        <f t="shared" si="88"/>
        <v>185.94138814570965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0</v>
      </c>
      <c r="AA85" s="21">
        <f>EXP(-LN(2)/25)*AA84+(1-EXP(-LN(2)/25))/(LN(2)/25)*Calculateur!V85*Calculateur!X85*VLOOKUP('Données projet'!$B$9,Paramètres!$A$1:$I$89,3,0)*0.475*44/12</f>
        <v>0.7345991395852508</v>
      </c>
      <c r="AB85" s="21">
        <f>EXP(-LN(2)/2)*AB84+(1-EXP(-LN(2)/2))/(LN(2)/2)*V85*Y85*VLOOKUP('Données projet'!$B$9,Paramètres!$A$1:$I$89,3,0)*0.475*44/12</f>
        <v>9.2228470063633133E-8</v>
      </c>
      <c r="AC85" s="22">
        <f t="shared" si="57"/>
        <v>0.73459923181372089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4.5474735088646412E-13</v>
      </c>
      <c r="AJ85" s="13">
        <f>AI85*VLOOKUP('Données projet'!$B$10,Paramètres!$A$1:$I$89,3,0)*VLOOKUP('Données projet'!$B$10,Paramètres!$A$1:$I$89,5,0)</f>
        <v>2.5420376914553347E-13</v>
      </c>
      <c r="AK85" s="13">
        <f t="shared" si="89"/>
        <v>3.4258699088369875E-12</v>
      </c>
      <c r="AL85" s="20">
        <f t="shared" si="58"/>
        <v>6.4094616558195571E-12</v>
      </c>
      <c r="AM85" s="59">
        <f t="shared" si="59"/>
        <v>293.33333333333974</v>
      </c>
      <c r="AN85" s="59">
        <f ca="1">AVERAGE(OFFSET($AM$3,0,0,'Données projet'!$E$10+1,1))-AVERAGE(OFFSET($H$3,0,0,'Données projet'!$E$10+1,1))</f>
        <v>400.34672861351783</v>
      </c>
      <c r="AO85" s="59">
        <f t="shared" si="90"/>
        <v>413.2016163204438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3.6699388642892337</v>
      </c>
      <c r="AV85" s="21">
        <f>EXP(-LN(2)/25)*AV84+(1-EXP(-LN(2)/25))/(LN(2)/25)*Calculateur!AQ85*Calculateur!AS85*VLOOKUP('Données projet'!$B$10,Paramètres!$A$1:$I$89,3,0)*0.475*44/12</f>
        <v>7.9009196999145761</v>
      </c>
      <c r="AW85" s="21">
        <f>EXP(-LN(2)/2)*AW84+(1-EXP(-LN(2)/2))/(LN(2)/2)*AQ85*AT85*VLOOKUP('Données projet'!$B$10,Paramètres!$A$1:$I$89,3,0)*0.475*44/12</f>
        <v>4.8771149726782885E-7</v>
      </c>
      <c r="AX85" s="21">
        <f t="shared" si="60"/>
        <v>11.570859051915308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1">
        <f t="shared" si="86"/>
        <v>20.615097106698798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67">
        <f t="shared" si="56"/>
        <v>421.1125641275006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5.6</v>
      </c>
      <c r="N86" s="13">
        <f>IF('Données projet'!$A$36&gt;35,N85+M86-V85,IF(A86&lt;'Données projet'!$A$36,$K$205^A86,IF(A86='Données projet'!$A$36,'Données projet'!$B$36,N85+M86-V85)))</f>
        <v>256.8000000000003</v>
      </c>
      <c r="O86" s="13">
        <f>N86*VLOOKUP('Données projet'!$B$9,Paramètres!$A$1:$I$89,3,0)*VLOOKUP('Données projet'!$B$9,Paramètres!$A$1:$I$89,5,0)</f>
        <v>232.35264000000026</v>
      </c>
      <c r="P86" s="13">
        <f t="shared" si="87"/>
        <v>56.791075613550355</v>
      </c>
      <c r="Q86" s="20">
        <f t="shared" si="54"/>
        <v>503.59197136026728</v>
      </c>
      <c r="R86" s="59">
        <f t="shared" si="55"/>
        <v>796.92530469360054</v>
      </c>
      <c r="S86" s="59">
        <f ca="1">AVERAGE(OFFSET($R$3,0,0,'Données projet'!$E$9+1,1))-AVERAGE(OFFSET($H$3,0,0,'Données projet'!$E$9+1,1))</f>
        <v>269.19146943657933</v>
      </c>
      <c r="T86" s="59">
        <f t="shared" si="88"/>
        <v>185.94138814570965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0</v>
      </c>
      <c r="AA86" s="21">
        <f>EXP(-LN(2)/25)*AA85+(1-EXP(-LN(2)/25))/(LN(2)/25)*Calculateur!V86*Calculateur!X86*VLOOKUP('Données projet'!$B$9,Paramètres!$A$1:$I$89,3,0)*0.475*44/12</f>
        <v>0.71451148748240234</v>
      </c>
      <c r="AB86" s="21">
        <f>EXP(-LN(2)/2)*AB85+(1-EXP(-LN(2)/2))/(LN(2)/2)*V86*Y86*VLOOKUP('Données projet'!$B$9,Paramètres!$A$1:$I$89,3,0)*0.475*44/12</f>
        <v>6.5215376600455482E-8</v>
      </c>
      <c r="AC86" s="22">
        <f t="shared" si="57"/>
        <v>0.714511552697779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4.5474735088646412E-13</v>
      </c>
      <c r="AJ86" s="13">
        <f>AI86*VLOOKUP('Données projet'!$B$10,Paramètres!$A$1:$I$89,3,0)*VLOOKUP('Données projet'!$B$10,Paramètres!$A$1:$I$89,5,0)</f>
        <v>2.5420376914553347E-13</v>
      </c>
      <c r="AK86" s="13">
        <f t="shared" si="89"/>
        <v>3.4258699088369875E-12</v>
      </c>
      <c r="AL86" s="20">
        <f t="shared" si="58"/>
        <v>6.4094616558195571E-12</v>
      </c>
      <c r="AM86" s="59">
        <f t="shared" si="59"/>
        <v>293.33333333333974</v>
      </c>
      <c r="AN86" s="59">
        <f ca="1">AVERAGE(OFFSET($AM$3,0,0,'Données projet'!$E$10+1,1))-AVERAGE(OFFSET($H$3,0,0,'Données projet'!$E$10+1,1))</f>
        <v>400.34672861351783</v>
      </c>
      <c r="AO86" s="59">
        <f t="shared" si="90"/>
        <v>413.2016163204438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3.597973601602201</v>
      </c>
      <c r="AV86" s="21">
        <f>EXP(-LN(2)/25)*AV85+(1-EXP(-LN(2)/25))/(LN(2)/25)*Calculateur!AQ86*Calculateur!AS86*VLOOKUP('Données projet'!$B$10,Paramètres!$A$1:$I$89,3,0)*0.475*44/12</f>
        <v>7.6848686352291029</v>
      </c>
      <c r="AW86" s="21">
        <f>EXP(-LN(2)/2)*AW85+(1-EXP(-LN(2)/2))/(LN(2)/2)*AQ86*AT86*VLOOKUP('Données projet'!$B$10,Paramètres!$A$1:$I$89,3,0)*0.475*44/12</f>
        <v>3.4486410698072614E-7</v>
      </c>
      <c r="AX86" s="21">
        <f t="shared" si="60"/>
        <v>11.282842581695411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1">
        <f t="shared" si="86"/>
        <v>20.834407756242857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67">
        <f t="shared" si="56"/>
        <v>423.0432201754565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5.6</v>
      </c>
      <c r="N87" s="13">
        <f>IF('Données projet'!$A$36&gt;35,N86+M87-V86,IF(A87&lt;'Données projet'!$A$36,$K$205^A87,IF(A87='Données projet'!$A$36,'Données projet'!$B$36,N86+M87-V86)))</f>
        <v>262.40000000000032</v>
      </c>
      <c r="O87" s="13">
        <f>N87*VLOOKUP('Données projet'!$B$9,Paramètres!$A$1:$I$89,3,0)*VLOOKUP('Données projet'!$B$9,Paramètres!$A$1:$I$89,5,0)</f>
        <v>237.41952000000029</v>
      </c>
      <c r="P87" s="13">
        <f t="shared" si="87"/>
        <v>57.883978814320969</v>
      </c>
      <c r="Q87" s="20">
        <f t="shared" si="54"/>
        <v>514.32026043494284</v>
      </c>
      <c r="R87" s="59">
        <f t="shared" si="55"/>
        <v>807.6535937682761</v>
      </c>
      <c r="S87" s="59">
        <f ca="1">AVERAGE(OFFSET($R$3,0,0,'Données projet'!$E$9+1,1))-AVERAGE(OFFSET($H$3,0,0,'Données projet'!$E$9+1,1))</f>
        <v>269.19146943657933</v>
      </c>
      <c r="T87" s="59">
        <f t="shared" si="88"/>
        <v>185.94138814570965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0</v>
      </c>
      <c r="AA87" s="21">
        <f>EXP(-LN(2)/25)*AA86+(1-EXP(-LN(2)/25))/(LN(2)/25)*Calculateur!V87*Calculateur!X87*VLOOKUP('Données projet'!$B$9,Paramètres!$A$1:$I$89,3,0)*0.475*44/12</f>
        <v>0.69497313328266996</v>
      </c>
      <c r="AB87" s="21">
        <f>EXP(-LN(2)/2)*AB86+(1-EXP(-LN(2)/2))/(LN(2)/2)*V87*Y87*VLOOKUP('Données projet'!$B$9,Paramètres!$A$1:$I$89,3,0)*0.475*44/12</f>
        <v>4.6114235031816567E-8</v>
      </c>
      <c r="AC87" s="22">
        <f t="shared" si="57"/>
        <v>0.69497317939690495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4.5474735088646412E-13</v>
      </c>
      <c r="AJ87" s="13">
        <f>AI87*VLOOKUP('Données projet'!$B$10,Paramètres!$A$1:$I$89,3,0)*VLOOKUP('Données projet'!$B$10,Paramètres!$A$1:$I$89,5,0)</f>
        <v>2.5420376914553347E-13</v>
      </c>
      <c r="AK87" s="13">
        <f t="shared" si="89"/>
        <v>3.4258699088369875E-12</v>
      </c>
      <c r="AL87" s="20">
        <f t="shared" si="58"/>
        <v>6.4094616558195571E-12</v>
      </c>
      <c r="AM87" s="59">
        <f t="shared" si="59"/>
        <v>293.33333333333974</v>
      </c>
      <c r="AN87" s="59">
        <f ca="1">AVERAGE(OFFSET($AM$3,0,0,'Données projet'!$E$10+1,1))-AVERAGE(OFFSET($H$3,0,0,'Données projet'!$E$10+1,1))</f>
        <v>400.34672861351783</v>
      </c>
      <c r="AO87" s="59">
        <f t="shared" si="90"/>
        <v>413.2016163204438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3.5274195338219854</v>
      </c>
      <c r="AV87" s="21">
        <f>EXP(-LN(2)/25)*AV86+(1-EXP(-LN(2)/25))/(LN(2)/25)*Calculateur!AQ87*Calculateur!AS87*VLOOKUP('Données projet'!$B$10,Paramètres!$A$1:$I$89,3,0)*0.475*44/12</f>
        <v>7.4747254982690858</v>
      </c>
      <c r="AW87" s="21">
        <f>EXP(-LN(2)/2)*AW86+(1-EXP(-LN(2)/2))/(LN(2)/2)*AQ87*AT87*VLOOKUP('Données projet'!$B$10,Paramètres!$A$1:$I$89,3,0)*0.475*44/12</f>
        <v>2.4385574863391442E-7</v>
      </c>
      <c r="AX87" s="21">
        <f t="shared" si="60"/>
        <v>11.00214527594682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1">
        <f t="shared" si="86"/>
        <v>21.053414706764155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67">
        <f t="shared" si="56"/>
        <v>424.97334728094779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5.6</v>
      </c>
      <c r="N88" s="13">
        <f>IF('Données projet'!$A$36&gt;35,N87+M88-V87,IF(A88&lt;'Données projet'!$A$36,$K$205^A88,IF(A88='Données projet'!$A$36,'Données projet'!$B$36,N87+M88-V87)))</f>
        <v>268.00000000000034</v>
      </c>
      <c r="O88" s="13">
        <f>N88*VLOOKUP('Données projet'!$B$9,Paramètres!$A$1:$I$89,3,0)*VLOOKUP('Données projet'!$B$9,Paramètres!$A$1:$I$89,5,0)</f>
        <v>242.48640000000032</v>
      </c>
      <c r="P88" s="13">
        <f t="shared" si="87"/>
        <v>58.974170235372526</v>
      </c>
      <c r="Q88" s="20">
        <f t="shared" si="54"/>
        <v>525.04382649327442</v>
      </c>
      <c r="R88" s="59">
        <f t="shared" si="55"/>
        <v>818.37715982660779</v>
      </c>
      <c r="S88" s="59">
        <f ca="1">AVERAGE(OFFSET($R$3,0,0,'Données projet'!$E$9+1,1))-AVERAGE(OFFSET($H$3,0,0,'Données projet'!$E$9+1,1))</f>
        <v>269.19146943657933</v>
      </c>
      <c r="T88" s="59">
        <f t="shared" si="88"/>
        <v>185.94138814570965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0</v>
      </c>
      <c r="AA88" s="21">
        <f>EXP(-LN(2)/25)*AA87+(1-EXP(-LN(2)/25))/(LN(2)/25)*Calculateur!V88*Calculateur!X88*VLOOKUP('Données projet'!$B$9,Paramètres!$A$1:$I$89,3,0)*0.475*44/12</f>
        <v>0.67596905640600669</v>
      </c>
      <c r="AB88" s="21">
        <f>EXP(-LN(2)/2)*AB87+(1-EXP(-LN(2)/2))/(LN(2)/2)*V88*Y88*VLOOKUP('Données projet'!$B$9,Paramètres!$A$1:$I$89,3,0)*0.475*44/12</f>
        <v>3.2607688300227741E-8</v>
      </c>
      <c r="AC88" s="22">
        <f t="shared" si="57"/>
        <v>0.67596908901369501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4.5474735088646412E-13</v>
      </c>
      <c r="AJ88" s="13">
        <f>AI88*VLOOKUP('Données projet'!$B$10,Paramètres!$A$1:$I$89,3,0)*VLOOKUP('Données projet'!$B$10,Paramètres!$A$1:$I$89,5,0)</f>
        <v>2.5420376914553347E-13</v>
      </c>
      <c r="AK88" s="13">
        <f t="shared" si="89"/>
        <v>3.4258699088369875E-12</v>
      </c>
      <c r="AL88" s="20">
        <f t="shared" si="58"/>
        <v>6.4094616558195571E-12</v>
      </c>
      <c r="AM88" s="59">
        <f t="shared" si="59"/>
        <v>293.33333333333974</v>
      </c>
      <c r="AN88" s="59">
        <f ca="1">AVERAGE(OFFSET($AM$3,0,0,'Données projet'!$E$10+1,1))-AVERAGE(OFFSET($H$3,0,0,'Données projet'!$E$10+1,1))</f>
        <v>400.34672861351783</v>
      </c>
      <c r="AO88" s="59">
        <f t="shared" si="90"/>
        <v>413.2016163204438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3.4582489882772074</v>
      </c>
      <c r="AV88" s="21">
        <f>EXP(-LN(2)/25)*AV87+(1-EXP(-LN(2)/25))/(LN(2)/25)*Calculateur!AQ88*Calculateur!AS88*VLOOKUP('Données projet'!$B$10,Paramètres!$A$1:$I$89,3,0)*0.475*44/12</f>
        <v>7.2703287364401872</v>
      </c>
      <c r="AW88" s="21">
        <f>EXP(-LN(2)/2)*AW87+(1-EXP(-LN(2)/2))/(LN(2)/2)*AQ88*AT88*VLOOKUP('Données projet'!$B$10,Paramètres!$A$1:$I$89,3,0)*0.475*44/12</f>
        <v>1.7243205349036307E-7</v>
      </c>
      <c r="AX88" s="21">
        <f t="shared" si="60"/>
        <v>10.728577897149448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1">
        <f t="shared" si="86"/>
        <v>21.272121944536373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67">
        <f t="shared" si="56"/>
        <v>426.9029523867344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5.6</v>
      </c>
      <c r="N89" s="13">
        <f>IF('Données projet'!$A$36&gt;35,N88+M89-V88,IF(A89&lt;'Données projet'!$A$36,$K$205^A89,IF(A89='Données projet'!$A$36,'Données projet'!$B$36,N88+M89-V88)))</f>
        <v>273.60000000000036</v>
      </c>
      <c r="O89" s="13">
        <f>N89*VLOOKUP('Données projet'!$B$9,Paramètres!$A$1:$I$89,3,0)*VLOOKUP('Données projet'!$B$9,Paramètres!$A$1:$I$89,5,0)</f>
        <v>247.55328000000031</v>
      </c>
      <c r="P89" s="13">
        <f t="shared" si="87"/>
        <v>60.061713068870304</v>
      </c>
      <c r="Q89" s="20">
        <f t="shared" si="54"/>
        <v>535.76277959494962</v>
      </c>
      <c r="R89" s="59">
        <f t="shared" si="55"/>
        <v>829.09611292828299</v>
      </c>
      <c r="S89" s="59">
        <f ca="1">AVERAGE(OFFSET($R$3,0,0,'Données projet'!$E$9+1,1))-AVERAGE(OFFSET($H$3,0,0,'Données projet'!$E$9+1,1))</f>
        <v>269.19146943657933</v>
      </c>
      <c r="T89" s="59">
        <f t="shared" si="88"/>
        <v>185.94138814570965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0</v>
      </c>
      <c r="AA89" s="21">
        <f>EXP(-LN(2)/25)*AA88+(1-EXP(-LN(2)/25))/(LN(2)/25)*Calculateur!V89*Calculateur!X89*VLOOKUP('Données projet'!$B$9,Paramètres!$A$1:$I$89,3,0)*0.475*44/12</f>
        <v>0.65748464701091669</v>
      </c>
      <c r="AB89" s="21">
        <f>EXP(-LN(2)/2)*AB88+(1-EXP(-LN(2)/2))/(LN(2)/2)*V89*Y89*VLOOKUP('Données projet'!$B$9,Paramètres!$A$1:$I$89,3,0)*0.475*44/12</f>
        <v>2.3057117515908283E-8</v>
      </c>
      <c r="AC89" s="22">
        <f t="shared" si="57"/>
        <v>0.65748467006803424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4.5474735088646412E-13</v>
      </c>
      <c r="AJ89" s="13">
        <f>AI89*VLOOKUP('Données projet'!$B$10,Paramètres!$A$1:$I$89,3,0)*VLOOKUP('Données projet'!$B$10,Paramètres!$A$1:$I$89,5,0)</f>
        <v>2.5420376914553347E-13</v>
      </c>
      <c r="AK89" s="13">
        <f t="shared" si="89"/>
        <v>3.4258699088369875E-12</v>
      </c>
      <c r="AL89" s="20">
        <f t="shared" si="58"/>
        <v>6.4094616558195571E-12</v>
      </c>
      <c r="AM89" s="59">
        <f t="shared" si="59"/>
        <v>293.33333333333974</v>
      </c>
      <c r="AN89" s="59">
        <f ca="1">AVERAGE(OFFSET($AM$3,0,0,'Données projet'!$E$10+1,1))-AVERAGE(OFFSET($H$3,0,0,'Données projet'!$E$10+1,1))</f>
        <v>400.34672861351783</v>
      </c>
      <c r="AO89" s="59">
        <f t="shared" si="90"/>
        <v>413.2016163204438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3.3904348349406956</v>
      </c>
      <c r="AV89" s="21">
        <f>EXP(-LN(2)/25)*AV88+(1-EXP(-LN(2)/25))/(LN(2)/25)*Calculateur!AQ89*Calculateur!AS89*VLOOKUP('Données projet'!$B$10,Paramètres!$A$1:$I$89,3,0)*0.475*44/12</f>
        <v>7.0715212148122584</v>
      </c>
      <c r="AW89" s="21">
        <f>EXP(-LN(2)/2)*AW88+(1-EXP(-LN(2)/2))/(LN(2)/2)*AQ89*AT89*VLOOKUP('Données projet'!$B$10,Paramètres!$A$1:$I$89,3,0)*0.475*44/12</f>
        <v>1.2192787431695721E-7</v>
      </c>
      <c r="AX89" s="21">
        <f t="shared" si="60"/>
        <v>10.461956171680828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1">
        <f t="shared" si="86"/>
        <v>21.490533357793517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67">
        <f t="shared" si="56"/>
        <v>428.83204226482388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5.6</v>
      </c>
      <c r="N90" s="13">
        <f>IF('Données projet'!$A$36&gt;35,N89+M90-V89,IF(A90&lt;'Données projet'!$A$36,$K$205^A90,IF(A90='Données projet'!$A$36,'Données projet'!$B$36,N89+M90-V89)))</f>
        <v>279.20000000000039</v>
      </c>
      <c r="O90" s="13">
        <f>N90*VLOOKUP('Données projet'!$B$9,Paramètres!$A$1:$I$89,3,0)*VLOOKUP('Données projet'!$B$9,Paramètres!$A$1:$I$89,5,0)</f>
        <v>252.62016000000034</v>
      </c>
      <c r="P90" s="13">
        <f t="shared" si="87"/>
        <v>61.146667772298876</v>
      </c>
      <c r="Q90" s="20">
        <f t="shared" si="54"/>
        <v>546.47722503675448</v>
      </c>
      <c r="R90" s="59">
        <f t="shared" si="55"/>
        <v>839.81055837008785</v>
      </c>
      <c r="S90" s="59">
        <f ca="1">AVERAGE(OFFSET($R$3,0,0,'Données projet'!$E$9+1,1))-AVERAGE(OFFSET($H$3,0,0,'Données projet'!$E$9+1,1))</f>
        <v>269.19146943657933</v>
      </c>
      <c r="T90" s="59">
        <f t="shared" si="88"/>
        <v>185.94138814570965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0</v>
      </c>
      <c r="AA90" s="21">
        <f>EXP(-LN(2)/25)*AA89+(1-EXP(-LN(2)/25))/(LN(2)/25)*Calculateur!V90*Calculateur!X90*VLOOKUP('Données projet'!$B$9,Paramètres!$A$1:$I$89,3,0)*0.475*44/12</f>
        <v>0.63950569476278829</v>
      </c>
      <c r="AB90" s="21">
        <f>EXP(-LN(2)/2)*AB89+(1-EXP(-LN(2)/2))/(LN(2)/2)*V90*Y90*VLOOKUP('Données projet'!$B$9,Paramètres!$A$1:$I$89,3,0)*0.475*44/12</f>
        <v>1.630384415011387E-8</v>
      </c>
      <c r="AC90" s="22">
        <f t="shared" si="57"/>
        <v>0.63950571106663245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4.5474735088646412E-13</v>
      </c>
      <c r="AJ90" s="13">
        <f>AI90*VLOOKUP('Données projet'!$B$10,Paramètres!$A$1:$I$89,3,0)*VLOOKUP('Données projet'!$B$10,Paramètres!$A$1:$I$89,5,0)</f>
        <v>2.5420376914553347E-13</v>
      </c>
      <c r="AK90" s="13">
        <f t="shared" si="89"/>
        <v>3.4258699088369875E-12</v>
      </c>
      <c r="AL90" s="20">
        <f t="shared" si="58"/>
        <v>6.4094616558195571E-12</v>
      </c>
      <c r="AM90" s="59">
        <f t="shared" si="59"/>
        <v>293.33333333333974</v>
      </c>
      <c r="AN90" s="59">
        <f ca="1">AVERAGE(OFFSET($AM$3,0,0,'Données projet'!$E$10+1,1))-AVERAGE(OFFSET($H$3,0,0,'Données projet'!$E$10+1,1))</f>
        <v>400.34672861351783</v>
      </c>
      <c r="AO90" s="59">
        <f t="shared" si="90"/>
        <v>413.2016163204438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3.3239504757885636</v>
      </c>
      <c r="AV90" s="21">
        <f>EXP(-LN(2)/25)*AV89+(1-EXP(-LN(2)/25))/(LN(2)/25)*Calculateur!AQ90*Calculateur!AS90*VLOOKUP('Données projet'!$B$10,Paramètres!$A$1:$I$89,3,0)*0.475*44/12</f>
        <v>6.8781500953180785</v>
      </c>
      <c r="AW90" s="21">
        <f>EXP(-LN(2)/2)*AW89+(1-EXP(-LN(2)/2))/(LN(2)/2)*AQ90*AT90*VLOOKUP('Données projet'!$B$10,Paramètres!$A$1:$I$89,3,0)*0.475*44/12</f>
        <v>8.6216026745181534E-8</v>
      </c>
      <c r="AX90" s="21">
        <f t="shared" si="60"/>
        <v>10.202100657322669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1">
        <f t="shared" si="86"/>
        <v>21.70865274023982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67">
        <f t="shared" si="56"/>
        <v>430.76062352258458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5.6</v>
      </c>
      <c r="N91" s="13">
        <f>IF('Données projet'!$A$36&gt;35,N90+M91-V90,IF(A91&lt;'Données projet'!$A$36,$K$205^A91,IF(A91='Données projet'!$A$36,'Données projet'!$B$36,N90+M91-V90)))</f>
        <v>284.80000000000041</v>
      </c>
      <c r="O91" s="13">
        <f>N91*VLOOKUP('Données projet'!$B$9,Paramètres!$A$1:$I$89,3,0)*VLOOKUP('Données projet'!$B$9,Paramètres!$A$1:$I$89,5,0)</f>
        <v>257.68704000000037</v>
      </c>
      <c r="P91" s="13">
        <f t="shared" si="87"/>
        <v>62.229092239243457</v>
      </c>
      <c r="Q91" s="20">
        <f t="shared" si="54"/>
        <v>557.18726365001623</v>
      </c>
      <c r="R91" s="59">
        <f t="shared" si="55"/>
        <v>850.52059698334961</v>
      </c>
      <c r="S91" s="59">
        <f ca="1">AVERAGE(OFFSET($R$3,0,0,'Données projet'!$E$9+1,1))-AVERAGE(OFFSET($H$3,0,0,'Données projet'!$E$9+1,1))</f>
        <v>269.19146943657933</v>
      </c>
      <c r="T91" s="59">
        <f t="shared" si="88"/>
        <v>185.94138814570965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0</v>
      </c>
      <c r="AA91" s="21">
        <f>EXP(-LN(2)/25)*AA90+(1-EXP(-LN(2)/25))/(LN(2)/25)*Calculateur!V91*Calculateur!X91*VLOOKUP('Données projet'!$B$9,Paramètres!$A$1:$I$89,3,0)*0.475*44/12</f>
        <v>0.62201837790935699</v>
      </c>
      <c r="AB91" s="21">
        <f>EXP(-LN(2)/2)*AB90+(1-EXP(-LN(2)/2))/(LN(2)/2)*V91*Y91*VLOOKUP('Données projet'!$B$9,Paramètres!$A$1:$I$89,3,0)*0.475*44/12</f>
        <v>1.1528558757954142E-8</v>
      </c>
      <c r="AC91" s="22">
        <f t="shared" si="57"/>
        <v>0.62201838943791576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4.5474735088646412E-13</v>
      </c>
      <c r="AJ91" s="13">
        <f>AI91*VLOOKUP('Données projet'!$B$10,Paramètres!$A$1:$I$89,3,0)*VLOOKUP('Données projet'!$B$10,Paramètres!$A$1:$I$89,5,0)</f>
        <v>2.5420376914553347E-13</v>
      </c>
      <c r="AK91" s="13">
        <f t="shared" si="89"/>
        <v>3.4258699088369875E-12</v>
      </c>
      <c r="AL91" s="20">
        <f t="shared" si="58"/>
        <v>6.4094616558195571E-12</v>
      </c>
      <c r="AM91" s="59">
        <f t="shared" si="59"/>
        <v>293.33333333333974</v>
      </c>
      <c r="AN91" s="59">
        <f ca="1">AVERAGE(OFFSET($AM$3,0,0,'Données projet'!$E$10+1,1))-AVERAGE(OFFSET($H$3,0,0,'Données projet'!$E$10+1,1))</f>
        <v>400.34672861351783</v>
      </c>
      <c r="AO91" s="59">
        <f t="shared" si="90"/>
        <v>413.2016163204438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3.2587698343679499</v>
      </c>
      <c r="AV91" s="21">
        <f>EXP(-LN(2)/25)*AV90+(1-EXP(-LN(2)/25))/(LN(2)/25)*Calculateur!AQ91*Calculateur!AS91*VLOOKUP('Données projet'!$B$10,Paramètres!$A$1:$I$89,3,0)*0.475*44/12</f>
        <v>6.6900667192554124</v>
      </c>
      <c r="AW91" s="21">
        <f>EXP(-LN(2)/2)*AW90+(1-EXP(-LN(2)/2))/(LN(2)/2)*AQ91*AT91*VLOOKUP('Données projet'!$B$10,Paramètres!$A$1:$I$89,3,0)*0.475*44/12</f>
        <v>6.0963937158478606E-8</v>
      </c>
      <c r="AX91" s="21">
        <f t="shared" si="60"/>
        <v>9.9488366145873002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1">
        <f t="shared" si="86"/>
        <v>21.926483794395363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67">
        <f t="shared" si="56"/>
        <v>432.68870260857216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5.6</v>
      </c>
      <c r="N92" s="13">
        <f>IF('Données projet'!$A$36&gt;35,N91+M92-V91,IF(A92&lt;'Données projet'!$A$36,$K$205^A92,IF(A92='Données projet'!$A$36,'Données projet'!$B$36,N91+M92-V91)))</f>
        <v>290.40000000000043</v>
      </c>
      <c r="O92" s="13">
        <f>N92*VLOOKUP('Données projet'!$B$9,Paramètres!$A$1:$I$89,3,0)*VLOOKUP('Données projet'!$B$9,Paramètres!$A$1:$I$89,5,0)</f>
        <v>262.75392000000039</v>
      </c>
      <c r="P92" s="13">
        <f t="shared" si="87"/>
        <v>63.309041956360382</v>
      </c>
      <c r="Q92" s="20">
        <f t="shared" si="54"/>
        <v>567.89299207399495</v>
      </c>
      <c r="R92" s="59">
        <f t="shared" si="55"/>
        <v>861.2263254073282</v>
      </c>
      <c r="S92" s="59">
        <f ca="1">AVERAGE(OFFSET($R$3,0,0,'Données projet'!$E$9+1,1))-AVERAGE(OFFSET($H$3,0,0,'Données projet'!$E$9+1,1))</f>
        <v>269.19146943657933</v>
      </c>
      <c r="T92" s="59">
        <f t="shared" si="88"/>
        <v>185.94138814570965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0</v>
      </c>
      <c r="AA92" s="21">
        <f>EXP(-LN(2)/25)*AA91+(1-EXP(-LN(2)/25))/(LN(2)/25)*Calculateur!V92*Calculateur!X92*VLOOKUP('Données projet'!$B$9,Paramètres!$A$1:$I$89,3,0)*0.475*44/12</f>
        <v>0.6050092526549008</v>
      </c>
      <c r="AB92" s="21">
        <f>EXP(-LN(2)/2)*AB91+(1-EXP(-LN(2)/2))/(LN(2)/2)*V92*Y92*VLOOKUP('Données projet'!$B$9,Paramètres!$A$1:$I$89,3,0)*0.475*44/12</f>
        <v>8.1519220750569352E-9</v>
      </c>
      <c r="AC92" s="22">
        <f t="shared" si="57"/>
        <v>0.60500926080682282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4.5474735088646412E-13</v>
      </c>
      <c r="AJ92" s="13">
        <f>AI92*VLOOKUP('Données projet'!$B$10,Paramètres!$A$1:$I$89,3,0)*VLOOKUP('Données projet'!$B$10,Paramètres!$A$1:$I$89,5,0)</f>
        <v>2.5420376914553347E-13</v>
      </c>
      <c r="AK92" s="13">
        <f t="shared" si="89"/>
        <v>3.4258699088369875E-12</v>
      </c>
      <c r="AL92" s="20">
        <f t="shared" si="58"/>
        <v>6.4094616558195571E-12</v>
      </c>
      <c r="AM92" s="59">
        <f t="shared" si="59"/>
        <v>293.33333333333974</v>
      </c>
      <c r="AN92" s="59">
        <f ca="1">AVERAGE(OFFSET($AM$3,0,0,'Données projet'!$E$10+1,1))-AVERAGE(OFFSET($H$3,0,0,'Données projet'!$E$10+1,1))</f>
        <v>400.34672861351783</v>
      </c>
      <c r="AO92" s="59">
        <f t="shared" si="90"/>
        <v>413.2016163204438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3.1948673455693291</v>
      </c>
      <c r="AV92" s="21">
        <f>EXP(-LN(2)/25)*AV91+(1-EXP(-LN(2)/25))/(LN(2)/25)*Calculateur!AQ92*Calculateur!AS92*VLOOKUP('Données projet'!$B$10,Paramètres!$A$1:$I$89,3,0)*0.475*44/12</f>
        <v>6.5071264930020547</v>
      </c>
      <c r="AW92" s="21">
        <f>EXP(-LN(2)/2)*AW91+(1-EXP(-LN(2)/2))/(LN(2)/2)*AQ92*AT92*VLOOKUP('Données projet'!$B$10,Paramètres!$A$1:$I$89,3,0)*0.475*44/12</f>
        <v>4.3108013372590767E-8</v>
      </c>
      <c r="AX92" s="21">
        <f t="shared" si="60"/>
        <v>9.701993881679396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1">
        <f t="shared" si="86"/>
        <v>22.144030134787187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67">
        <f t="shared" si="56"/>
        <v>434.61628581808787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296</v>
      </c>
      <c r="L93" s="12">
        <f>VLOOKUP(A93,'Données projet'!$A$35:$I$55,9,0)</f>
        <v>5.6</v>
      </c>
      <c r="M93" s="12">
        <f t="array" ref="M93">INDEX(L:L,MIN(IF(ISNUMBER(L93:L289),ROW(L93:L289),"")))</f>
        <v>5.6</v>
      </c>
      <c r="N93" s="13">
        <f>IF('Données projet'!$A$36&gt;35,N92+M93-V92,IF(A93&lt;'Données projet'!$A$36,$K$205^A93,IF(A93='Données projet'!$A$36,'Données projet'!$B$36,N92+M93-V92)))</f>
        <v>296.00000000000045</v>
      </c>
      <c r="O93" s="13">
        <f>N93*VLOOKUP('Données projet'!$B$9,Paramètres!$A$1:$I$89,3,0)*VLOOKUP('Données projet'!$B$9,Paramètres!$A$1:$I$89,5,0)</f>
        <v>267.82080000000042</v>
      </c>
      <c r="P93" s="13">
        <f t="shared" si="87"/>
        <v>64.38657014789743</v>
      </c>
      <c r="Q93" s="20">
        <f t="shared" si="54"/>
        <v>578.59450300758874</v>
      </c>
      <c r="R93" s="59">
        <f t="shared" si="55"/>
        <v>871.92783634092211</v>
      </c>
      <c r="S93" s="59">
        <f ca="1">AVERAGE(OFFSET($R$3,0,0,'Données projet'!$E$9+1,1))-AVERAGE(OFFSET($H$3,0,0,'Données projet'!$E$9+1,1))</f>
        <v>269.19146943657933</v>
      </c>
      <c r="T93" s="59">
        <f t="shared" si="88"/>
        <v>185.94138814570965</v>
      </c>
      <c r="U93" s="15">
        <f>IF(ISNA(VLOOKUP(A93,'Données projet'!$A$35:$I$55,3,0)),0,VLOOKUP(A93,'Données projet'!$A$35:$I$55,3,0))</f>
        <v>7</v>
      </c>
      <c r="V93" s="15">
        <f>IF(ISNA(VLOOKUP(A93,'Données projet'!$A$35:$I$55,4,0)),0,VLOOKUP(A93,'Données projet'!$A$35:$I$55,4,0))</f>
        <v>42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0</v>
      </c>
      <c r="AA93" s="21">
        <f>EXP(-LN(2)/25)*AA92+(1-EXP(-LN(2)/25))/(LN(2)/25)*Calculateur!V93*Calculateur!X93*VLOOKUP('Données projet'!$B$9,Paramètres!$A$1:$I$89,3,0)*0.475*44/12</f>
        <v>0.58846524282499868</v>
      </c>
      <c r="AB93" s="21">
        <f>EXP(-LN(2)/2)*AB92+(1-EXP(-LN(2)/2))/(LN(2)/2)*V93*Y93*VLOOKUP('Données projet'!$B$9,Paramètres!$A$1:$I$89,3,0)*0.475*44/12</f>
        <v>5.7642793789770708E-9</v>
      </c>
      <c r="AC93" s="22">
        <f t="shared" si="57"/>
        <v>0.58846524858927807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4.5474735088646412E-13</v>
      </c>
      <c r="AJ93" s="13">
        <f>AI93*VLOOKUP('Données projet'!$B$10,Paramètres!$A$1:$I$89,3,0)*VLOOKUP('Données projet'!$B$10,Paramètres!$A$1:$I$89,5,0)</f>
        <v>2.5420376914553347E-13</v>
      </c>
      <c r="AK93" s="13">
        <f t="shared" si="89"/>
        <v>3.4258699088369875E-12</v>
      </c>
      <c r="AL93" s="20">
        <f t="shared" si="58"/>
        <v>6.4094616558195571E-12</v>
      </c>
      <c r="AM93" s="59">
        <f t="shared" si="59"/>
        <v>293.33333333333974</v>
      </c>
      <c r="AN93" s="59">
        <f ca="1">AVERAGE(OFFSET($AM$3,0,0,'Données projet'!$E$10+1,1))-AVERAGE(OFFSET($H$3,0,0,'Données projet'!$E$10+1,1))</f>
        <v>400.34672861351783</v>
      </c>
      <c r="AO93" s="59">
        <f t="shared" si="90"/>
        <v>413.2016163204438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3.1322179455993795</v>
      </c>
      <c r="AV93" s="21">
        <f>EXP(-LN(2)/25)*AV92+(1-EXP(-LN(2)/25))/(LN(2)/25)*Calculateur!AQ93*Calculateur!AS93*VLOOKUP('Données projet'!$B$10,Paramètres!$A$1:$I$89,3,0)*0.475*44/12</f>
        <v>6.3291887768560038</v>
      </c>
      <c r="AW93" s="21">
        <f>EXP(-LN(2)/2)*AW92+(1-EXP(-LN(2)/2))/(LN(2)/2)*AQ93*AT93*VLOOKUP('Données projet'!$B$10,Paramètres!$A$1:$I$89,3,0)*0.475*44/12</f>
        <v>3.0481968579239303E-8</v>
      </c>
      <c r="AX93" s="21">
        <f t="shared" si="60"/>
        <v>9.4614067529373518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1">
        <f t="shared" si="86"/>
        <v>22.361295290994477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67">
        <f t="shared" si="56"/>
        <v>436.54337929848225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4.9000000000000004</v>
      </c>
      <c r="N94" s="13">
        <f>IF('Données projet'!$A$36&gt;35,N93+M94-V93,IF(A94&lt;'Données projet'!$A$36,$K$205^A94,IF(A94='Données projet'!$A$36,'Données projet'!$B$36,N93+M94-V93)))</f>
        <v>258.90000000000043</v>
      </c>
      <c r="O94" s="13">
        <f>N94*VLOOKUP('Données projet'!$B$9,Paramètres!$A$1:$I$89,3,0)*VLOOKUP('Données projet'!$B$9,Paramètres!$A$1:$I$89,5,0)</f>
        <v>234.25272000000038</v>
      </c>
      <c r="P94" s="13">
        <f t="shared" si="87"/>
        <v>57.2012362311714</v>
      </c>
      <c r="Q94" s="20">
        <f t="shared" si="54"/>
        <v>507.61564043595746</v>
      </c>
      <c r="R94" s="59">
        <f t="shared" si="55"/>
        <v>800.94897376929077</v>
      </c>
      <c r="S94" s="59">
        <f ca="1">AVERAGE(OFFSET($R$3,0,0,'Données projet'!$E$9+1,1))-AVERAGE(OFFSET($H$3,0,0,'Données projet'!$E$9+1,1))</f>
        <v>269.19146943657933</v>
      </c>
      <c r="T94" s="59">
        <f t="shared" si="88"/>
        <v>185.94138814570965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0</v>
      </c>
      <c r="AA94" s="21">
        <f>EXP(-LN(2)/25)*AA93+(1-EXP(-LN(2)/25))/(LN(2)/25)*Calculateur!V94*Calculateur!X94*VLOOKUP('Données projet'!$B$9,Paramètres!$A$1:$I$89,3,0)*0.475*44/12</f>
        <v>0.57237362981390694</v>
      </c>
      <c r="AB94" s="21">
        <f>EXP(-LN(2)/2)*AB93+(1-EXP(-LN(2)/2))/(LN(2)/2)*V94*Y94*VLOOKUP('Données projet'!$B$9,Paramètres!$A$1:$I$89,3,0)*0.475*44/12</f>
        <v>4.0759610375284676E-9</v>
      </c>
      <c r="AC94" s="22">
        <f t="shared" si="57"/>
        <v>0.57237363388986795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4.5474735088646412E-13</v>
      </c>
      <c r="AJ94" s="13">
        <f>AI94*VLOOKUP('Données projet'!$B$10,Paramètres!$A$1:$I$89,3,0)*VLOOKUP('Données projet'!$B$10,Paramètres!$A$1:$I$89,5,0)</f>
        <v>2.5420376914553347E-13</v>
      </c>
      <c r="AK94" s="13">
        <f t="shared" si="89"/>
        <v>3.4258699088369875E-12</v>
      </c>
      <c r="AL94" s="20">
        <f t="shared" si="58"/>
        <v>6.4094616558195571E-12</v>
      </c>
      <c r="AM94" s="59">
        <f t="shared" si="59"/>
        <v>293.33333333333974</v>
      </c>
      <c r="AN94" s="59">
        <f ca="1">AVERAGE(OFFSET($AM$3,0,0,'Données projet'!$E$10+1,1))-AVERAGE(OFFSET($H$3,0,0,'Données projet'!$E$10+1,1))</f>
        <v>400.34672861351783</v>
      </c>
      <c r="AO94" s="59">
        <f t="shared" si="90"/>
        <v>413.2016163204438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3.0707970621504797</v>
      </c>
      <c r="AV94" s="21">
        <f>EXP(-LN(2)/25)*AV93+(1-EXP(-LN(2)/25))/(LN(2)/25)*Calculateur!AQ94*Calculateur!AS94*VLOOKUP('Données projet'!$B$10,Paramètres!$A$1:$I$89,3,0)*0.475*44/12</f>
        <v>6.1561167769153045</v>
      </c>
      <c r="AW94" s="21">
        <f>EXP(-LN(2)/2)*AW93+(1-EXP(-LN(2)/2))/(LN(2)/2)*AQ94*AT94*VLOOKUP('Données projet'!$B$10,Paramètres!$A$1:$I$89,3,0)*0.475*44/12</f>
        <v>2.1554006686295384E-8</v>
      </c>
      <c r="AX94" s="21">
        <f t="shared" si="60"/>
        <v>9.2269138606197902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1">
        <f t="shared" si="86"/>
        <v>22.578282710556053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67">
        <f t="shared" si="56"/>
        <v>438.46998905421867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4.9000000000000004</v>
      </c>
      <c r="N95" s="13">
        <f>IF('Données projet'!$A$36&gt;35,N94+M95-V94,IF(A95&lt;'Données projet'!$A$36,$K$205^A95,IF(A95='Données projet'!$A$36,'Données projet'!$B$36,N94+M95-V94)))</f>
        <v>263.80000000000041</v>
      </c>
      <c r="O95" s="13">
        <f>N95*VLOOKUP('Données projet'!$B$9,Paramètres!$A$1:$I$89,3,0)*VLOOKUP('Données projet'!$B$9,Paramètres!$A$1:$I$89,5,0)</f>
        <v>238.68624000000034</v>
      </c>
      <c r="P95" s="13">
        <f t="shared" si="87"/>
        <v>58.156778382060978</v>
      </c>
      <c r="Q95" s="20">
        <f t="shared" si="54"/>
        <v>517.00159034875685</v>
      </c>
      <c r="R95" s="59">
        <f t="shared" si="55"/>
        <v>810.33492368209022</v>
      </c>
      <c r="S95" s="59">
        <f ca="1">AVERAGE(OFFSET($R$3,0,0,'Données projet'!$E$9+1,1))-AVERAGE(OFFSET($H$3,0,0,'Données projet'!$E$9+1,1))</f>
        <v>269.19146943657933</v>
      </c>
      <c r="T95" s="59">
        <f t="shared" si="88"/>
        <v>185.94138814570965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0</v>
      </c>
      <c r="AA95" s="21">
        <f>EXP(-LN(2)/25)*AA94+(1-EXP(-LN(2)/25))/(LN(2)/25)*Calculateur!V95*Calculateur!X95*VLOOKUP('Données projet'!$B$9,Paramètres!$A$1:$I$89,3,0)*0.475*44/12</f>
        <v>0.55672204280682469</v>
      </c>
      <c r="AB95" s="21">
        <f>EXP(-LN(2)/2)*AB94+(1-EXP(-LN(2)/2))/(LN(2)/2)*V95*Y95*VLOOKUP('Données projet'!$B$9,Paramètres!$A$1:$I$89,3,0)*0.475*44/12</f>
        <v>2.8821396894885354E-9</v>
      </c>
      <c r="AC95" s="22">
        <f t="shared" si="57"/>
        <v>0.55672204568896433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4.5474735088646412E-13</v>
      </c>
      <c r="AJ95" s="13">
        <f>AI95*VLOOKUP('Données projet'!$B$10,Paramètres!$A$1:$I$89,3,0)*VLOOKUP('Données projet'!$B$10,Paramètres!$A$1:$I$89,5,0)</f>
        <v>2.5420376914553347E-13</v>
      </c>
      <c r="AK95" s="13">
        <f t="shared" si="89"/>
        <v>3.4258699088369875E-12</v>
      </c>
      <c r="AL95" s="20">
        <f t="shared" si="58"/>
        <v>6.4094616558195571E-12</v>
      </c>
      <c r="AM95" s="59">
        <f t="shared" si="59"/>
        <v>293.33333333333974</v>
      </c>
      <c r="AN95" s="59">
        <f ca="1">AVERAGE(OFFSET($AM$3,0,0,'Données projet'!$E$10+1,1))-AVERAGE(OFFSET($H$3,0,0,'Données projet'!$E$10+1,1))</f>
        <v>400.34672861351783</v>
      </c>
      <c r="AO95" s="59">
        <f t="shared" si="90"/>
        <v>413.2016163204438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3.0105806047629731</v>
      </c>
      <c r="AV95" s="21">
        <f>EXP(-LN(2)/25)*AV94+(1-EXP(-LN(2)/25))/(LN(2)/25)*Calculateur!AQ95*Calculateur!AS95*VLOOKUP('Données projet'!$B$10,Paramètres!$A$1:$I$89,3,0)*0.475*44/12</f>
        <v>5.9877774399144439</v>
      </c>
      <c r="AW95" s="21">
        <f>EXP(-LN(2)/2)*AW94+(1-EXP(-LN(2)/2))/(LN(2)/2)*AQ95*AT95*VLOOKUP('Données projet'!$B$10,Paramètres!$A$1:$I$89,3,0)*0.475*44/12</f>
        <v>1.5240984289619652E-8</v>
      </c>
      <c r="AX95" s="21">
        <f t="shared" si="60"/>
        <v>8.9983580599184005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1">
        <f t="shared" si="86"/>
        <v>22.794995761747877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67">
        <f t="shared" si="56"/>
        <v>440.39612095171111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4.9000000000000004</v>
      </c>
      <c r="N96" s="13">
        <f>IF('Données projet'!$A$36&gt;35,N95+M96-V95,IF(A96&lt;'Données projet'!$A$36,$K$205^A96,IF(A96='Données projet'!$A$36,'Données projet'!$B$36,N95+M96-V95)))</f>
        <v>268.70000000000039</v>
      </c>
      <c r="O96" s="13">
        <f>N96*VLOOKUP('Données projet'!$B$9,Paramètres!$A$1:$I$89,3,0)*VLOOKUP('Données projet'!$B$9,Paramètres!$A$1:$I$89,5,0)</f>
        <v>243.11976000000033</v>
      </c>
      <c r="P96" s="13">
        <f t="shared" si="87"/>
        <v>59.110256668778582</v>
      </c>
      <c r="Q96" s="20">
        <f t="shared" si="54"/>
        <v>526.38394569812317</v>
      </c>
      <c r="R96" s="59">
        <f t="shared" si="55"/>
        <v>819.71727903145643</v>
      </c>
      <c r="S96" s="59">
        <f ca="1">AVERAGE(OFFSET($R$3,0,0,'Données projet'!$E$9+1,1))-AVERAGE(OFFSET($H$3,0,0,'Données projet'!$E$9+1,1))</f>
        <v>269.19146943657933</v>
      </c>
      <c r="T96" s="59">
        <f t="shared" si="88"/>
        <v>185.94138814570965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0</v>
      </c>
      <c r="AA96" s="21">
        <f>EXP(-LN(2)/25)*AA95+(1-EXP(-LN(2)/25))/(LN(2)/25)*Calculateur!V96*Calculateur!X96*VLOOKUP('Données projet'!$B$9,Paramètres!$A$1:$I$89,3,0)*0.475*44/12</f>
        <v>0.54149844926953228</v>
      </c>
      <c r="AB96" s="21">
        <f>EXP(-LN(2)/2)*AB95+(1-EXP(-LN(2)/2))/(LN(2)/2)*V96*Y96*VLOOKUP('Données projet'!$B$9,Paramètres!$A$1:$I$89,3,0)*0.475*44/12</f>
        <v>2.0379805187642338E-9</v>
      </c>
      <c r="AC96" s="22">
        <f t="shared" si="57"/>
        <v>0.54149845130751284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4.5474735088646412E-13</v>
      </c>
      <c r="AJ96" s="13">
        <f>AI96*VLOOKUP('Données projet'!$B$10,Paramètres!$A$1:$I$89,3,0)*VLOOKUP('Données projet'!$B$10,Paramètres!$A$1:$I$89,5,0)</f>
        <v>2.5420376914553347E-13</v>
      </c>
      <c r="AK96" s="13">
        <f t="shared" si="89"/>
        <v>3.4258699088369875E-12</v>
      </c>
      <c r="AL96" s="20">
        <f t="shared" si="58"/>
        <v>6.4094616558195571E-12</v>
      </c>
      <c r="AM96" s="59">
        <f t="shared" si="59"/>
        <v>293.33333333333974</v>
      </c>
      <c r="AN96" s="59">
        <f ca="1">AVERAGE(OFFSET($AM$3,0,0,'Données projet'!$E$10+1,1))-AVERAGE(OFFSET($H$3,0,0,'Données projet'!$E$10+1,1))</f>
        <v>400.34672861351783</v>
      </c>
      <c r="AO96" s="59">
        <f t="shared" si="90"/>
        <v>413.2016163204438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2.951544955376423</v>
      </c>
      <c r="AV96" s="21">
        <f>EXP(-LN(2)/25)*AV95+(1-EXP(-LN(2)/25))/(LN(2)/25)*Calculateur!AQ96*Calculateur!AS96*VLOOKUP('Données projet'!$B$10,Paramètres!$A$1:$I$89,3,0)*0.475*44/12</f>
        <v>5.8240413509364535</v>
      </c>
      <c r="AW96" s="21">
        <f>EXP(-LN(2)/2)*AW95+(1-EXP(-LN(2)/2))/(LN(2)/2)*AQ96*AT96*VLOOKUP('Données projet'!$B$10,Paramètres!$A$1:$I$89,3,0)*0.475*44/12</f>
        <v>1.0777003343147692E-8</v>
      </c>
      <c r="AX96" s="21">
        <f t="shared" si="60"/>
        <v>8.7755863170898802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1">
        <f t="shared" si="86"/>
        <v>23.011437736237649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67">
        <f t="shared" si="56"/>
        <v>442.32178072394748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4.9000000000000004</v>
      </c>
      <c r="N97" s="13">
        <f>IF('Données projet'!$A$36&gt;35,N96+M97-V96,IF(A97&lt;'Données projet'!$A$36,$K$205^A97,IF(A97='Données projet'!$A$36,'Données projet'!$B$36,N96+M97-V96)))</f>
        <v>273.60000000000036</v>
      </c>
      <c r="O97" s="13">
        <f>N97*VLOOKUP('Données projet'!$B$9,Paramètres!$A$1:$I$89,3,0)*VLOOKUP('Données projet'!$B$9,Paramètres!$A$1:$I$89,5,0)</f>
        <v>247.55328000000031</v>
      </c>
      <c r="P97" s="13">
        <f t="shared" si="87"/>
        <v>60.061713068870304</v>
      </c>
      <c r="Q97" s="20">
        <f t="shared" si="54"/>
        <v>535.76277959494962</v>
      </c>
      <c r="R97" s="59">
        <f t="shared" si="55"/>
        <v>829.09611292828299</v>
      </c>
      <c r="S97" s="59">
        <f ca="1">AVERAGE(OFFSET($R$3,0,0,'Données projet'!$E$9+1,1))-AVERAGE(OFFSET($H$3,0,0,'Données projet'!$E$9+1,1))</f>
        <v>269.19146943657933</v>
      </c>
      <c r="T97" s="59">
        <f t="shared" si="88"/>
        <v>185.94138814570965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0</v>
      </c>
      <c r="AA97" s="21">
        <f>EXP(-LN(2)/25)*AA96+(1-EXP(-LN(2)/25))/(LN(2)/25)*Calculateur!V97*Calculateur!X97*VLOOKUP('Données projet'!$B$9,Paramètres!$A$1:$I$89,3,0)*0.475*44/12</f>
        <v>0.52669114569809106</v>
      </c>
      <c r="AB97" s="21">
        <f>EXP(-LN(2)/2)*AB96+(1-EXP(-LN(2)/2))/(LN(2)/2)*V97*Y97*VLOOKUP('Données projet'!$B$9,Paramètres!$A$1:$I$89,3,0)*0.475*44/12</f>
        <v>1.4410698447442677E-9</v>
      </c>
      <c r="AC97" s="22">
        <f t="shared" si="57"/>
        <v>0.52669114713916088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4.5474735088646412E-13</v>
      </c>
      <c r="AJ97" s="13">
        <f>AI97*VLOOKUP('Données projet'!$B$10,Paramètres!$A$1:$I$89,3,0)*VLOOKUP('Données projet'!$B$10,Paramètres!$A$1:$I$89,5,0)</f>
        <v>2.5420376914553347E-13</v>
      </c>
      <c r="AK97" s="13">
        <f t="shared" si="89"/>
        <v>3.4258699088369875E-12</v>
      </c>
      <c r="AL97" s="20">
        <f t="shared" si="58"/>
        <v>6.4094616558195571E-12</v>
      </c>
      <c r="AM97" s="59">
        <f t="shared" si="59"/>
        <v>293.33333333333974</v>
      </c>
      <c r="AN97" s="59">
        <f ca="1">AVERAGE(OFFSET($AM$3,0,0,'Données projet'!$E$10+1,1))-AVERAGE(OFFSET($H$3,0,0,'Données projet'!$E$10+1,1))</f>
        <v>400.34672861351783</v>
      </c>
      <c r="AO97" s="59">
        <f t="shared" si="90"/>
        <v>413.2016163204438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2.8936669590661528</v>
      </c>
      <c r="AV97" s="21">
        <f>EXP(-LN(2)/25)*AV96+(1-EXP(-LN(2)/25))/(LN(2)/25)*Calculateur!AQ97*Calculateur!AS97*VLOOKUP('Données projet'!$B$10,Paramètres!$A$1:$I$89,3,0)*0.475*44/12</f>
        <v>5.6647826339220728</v>
      </c>
      <c r="AW97" s="21">
        <f>EXP(-LN(2)/2)*AW96+(1-EXP(-LN(2)/2))/(LN(2)/2)*AQ97*AT97*VLOOKUP('Données projet'!$B$10,Paramètres!$A$1:$I$89,3,0)*0.475*44/12</f>
        <v>7.6204921448098258E-9</v>
      </c>
      <c r="AX97" s="21">
        <f t="shared" si="60"/>
        <v>8.5584496006087178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1">
        <f t="shared" si="86"/>
        <v>23.227611851623202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67">
        <f t="shared" si="56"/>
        <v>444.24697397491065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4.9000000000000004</v>
      </c>
      <c r="N98" s="13">
        <f>IF('Données projet'!$A$36&gt;35,N97+M98-V97,IF(A98&lt;'Données projet'!$A$36,$K$205^A98,IF(A98='Données projet'!$A$36,'Données projet'!$B$36,N97+M98-V97)))</f>
        <v>278.50000000000034</v>
      </c>
      <c r="O98" s="13">
        <f>N98*VLOOKUP('Données projet'!$B$9,Paramètres!$A$1:$I$89,3,0)*VLOOKUP('Données projet'!$B$9,Paramètres!$A$1:$I$89,5,0)</f>
        <v>251.98680000000033</v>
      </c>
      <c r="P98" s="13">
        <f t="shared" si="87"/>
        <v>61.011187970195103</v>
      </c>
      <c r="Q98" s="20">
        <f t="shared" si="54"/>
        <v>545.13816238142374</v>
      </c>
      <c r="R98" s="59">
        <f t="shared" si="55"/>
        <v>838.47149571475711</v>
      </c>
      <c r="S98" s="59">
        <f ca="1">AVERAGE(OFFSET($R$3,0,0,'Données projet'!$E$9+1,1))-AVERAGE(OFFSET($H$3,0,0,'Données projet'!$E$9+1,1))</f>
        <v>269.19146943657933</v>
      </c>
      <c r="T98" s="59">
        <f t="shared" si="88"/>
        <v>185.94138814570965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0</v>
      </c>
      <c r="AA98" s="21">
        <f>EXP(-LN(2)/25)*AA97+(1-EXP(-LN(2)/25))/(LN(2)/25)*Calculateur!V98*Calculateur!X98*VLOOKUP('Données projet'!$B$9,Paramètres!$A$1:$I$89,3,0)*0.475*44/12</f>
        <v>0.51228874862149321</v>
      </c>
      <c r="AB98" s="21">
        <f>EXP(-LN(2)/2)*AB97+(1-EXP(-LN(2)/2))/(LN(2)/2)*V98*Y98*VLOOKUP('Données projet'!$B$9,Paramètres!$A$1:$I$89,3,0)*0.475*44/12</f>
        <v>1.0189902593821169E-9</v>
      </c>
      <c r="AC98" s="22">
        <f t="shared" si="57"/>
        <v>0.51228874964048343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4.5474735088646412E-13</v>
      </c>
      <c r="AJ98" s="13">
        <f>AI98*VLOOKUP('Données projet'!$B$10,Paramètres!$A$1:$I$89,3,0)*VLOOKUP('Données projet'!$B$10,Paramètres!$A$1:$I$89,5,0)</f>
        <v>2.5420376914553347E-13</v>
      </c>
      <c r="AK98" s="13">
        <f t="shared" si="89"/>
        <v>3.4258699088369875E-12</v>
      </c>
      <c r="AL98" s="20">
        <f t="shared" si="58"/>
        <v>6.4094616558195571E-12</v>
      </c>
      <c r="AM98" s="59">
        <f t="shared" si="59"/>
        <v>293.33333333333974</v>
      </c>
      <c r="AN98" s="59">
        <f ca="1">AVERAGE(OFFSET($AM$3,0,0,'Données projet'!$E$10+1,1))-AVERAGE(OFFSET($H$3,0,0,'Données projet'!$E$10+1,1))</f>
        <v>400.34672861351783</v>
      </c>
      <c r="AO98" s="59">
        <f t="shared" si="90"/>
        <v>413.2016163204438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2.8369239149614351</v>
      </c>
      <c r="AV98" s="21">
        <f>EXP(-LN(2)/25)*AV97+(1-EXP(-LN(2)/25))/(LN(2)/25)*Calculateur!AQ98*Calculateur!AS98*VLOOKUP('Données projet'!$B$10,Paramètres!$A$1:$I$89,3,0)*0.475*44/12</f>
        <v>5.5098788548995019</v>
      </c>
      <c r="AW98" s="21">
        <f>EXP(-LN(2)/2)*AW97+(1-EXP(-LN(2)/2))/(LN(2)/2)*AQ98*AT98*VLOOKUP('Données projet'!$B$10,Paramètres!$A$1:$I$89,3,0)*0.475*44/12</f>
        <v>5.3885016715738459E-9</v>
      </c>
      <c r="AX98" s="21">
        <f t="shared" si="60"/>
        <v>8.3468027752494383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1">
        <f t="shared" si="86"/>
        <v>23.443521253861071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67">
        <f t="shared" si="56"/>
        <v>446.17170618380828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4.9000000000000004</v>
      </c>
      <c r="N99" s="13">
        <f>IF('Données projet'!$A$36&gt;35,N98+M99-V98,IF(A99&lt;'Données projet'!$A$36,$K$205^A99,IF(A99='Données projet'!$A$36,'Données projet'!$B$36,N98+M99-V98)))</f>
        <v>283.40000000000032</v>
      </c>
      <c r="O99" s="13">
        <f>N99*VLOOKUP('Données projet'!$B$9,Paramètres!$A$1:$I$89,3,0)*VLOOKUP('Données projet'!$B$9,Paramètres!$A$1:$I$89,5,0)</f>
        <v>256.42032000000029</v>
      </c>
      <c r="P99" s="13">
        <f t="shared" si="87"/>
        <v>61.958720258016967</v>
      </c>
      <c r="Q99" s="20">
        <f t="shared" ref="Q99:Q130" si="107">(O99+P99)*0.475*44/12</f>
        <v>554.51016178271334</v>
      </c>
      <c r="R99" s="59">
        <f t="shared" si="55"/>
        <v>847.8434951160466</v>
      </c>
      <c r="S99" s="59">
        <f ca="1">AVERAGE(OFFSET($R$3,0,0,'Données projet'!$E$9+1,1))-AVERAGE(OFFSET($H$3,0,0,'Données projet'!$E$9+1,1))</f>
        <v>269.19146943657933</v>
      </c>
      <c r="T99" s="59">
        <f t="shared" si="88"/>
        <v>185.94138814570965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0</v>
      </c>
      <c r="AA99" s="21">
        <f>EXP(-LN(2)/25)*AA98+(1-EXP(-LN(2)/25))/(LN(2)/25)*Calculateur!V99*Calculateur!X99*VLOOKUP('Données projet'!$B$9,Paramètres!$A$1:$I$89,3,0)*0.475*44/12</f>
        <v>0.49828018585034406</v>
      </c>
      <c r="AB99" s="21">
        <f>EXP(-LN(2)/2)*AB98+(1-EXP(-LN(2)/2))/(LN(2)/2)*V99*Y99*VLOOKUP('Données projet'!$B$9,Paramètres!$A$1:$I$89,3,0)*0.475*44/12</f>
        <v>7.2053492237213385E-10</v>
      </c>
      <c r="AC99" s="22">
        <f t="shared" si="57"/>
        <v>0.49828018657087897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4.5474735088646412E-13</v>
      </c>
      <c r="AJ99" s="13">
        <f>AI99*VLOOKUP('Données projet'!$B$10,Paramètres!$A$1:$I$89,3,0)*VLOOKUP('Données projet'!$B$10,Paramètres!$A$1:$I$89,5,0)</f>
        <v>2.5420376914553347E-13</v>
      </c>
      <c r="AK99" s="13">
        <f t="shared" si="89"/>
        <v>3.4258699088369875E-12</v>
      </c>
      <c r="AL99" s="20">
        <f t="shared" si="58"/>
        <v>6.4094616558195571E-12</v>
      </c>
      <c r="AM99" s="59">
        <f t="shared" si="59"/>
        <v>293.33333333333974</v>
      </c>
      <c r="AN99" s="59">
        <f ca="1">AVERAGE(OFFSET($AM$3,0,0,'Données projet'!$E$10+1,1))-AVERAGE(OFFSET($H$3,0,0,'Données projet'!$E$10+1,1))</f>
        <v>400.34672861351783</v>
      </c>
      <c r="AO99" s="59">
        <f t="shared" si="90"/>
        <v>413.2016163204438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2.7812935673417716</v>
      </c>
      <c r="AV99" s="21">
        <f>EXP(-LN(2)/25)*AV98+(1-EXP(-LN(2)/25))/(LN(2)/25)*Calculateur!AQ99*Calculateur!AS99*VLOOKUP('Données projet'!$B$10,Paramètres!$A$1:$I$89,3,0)*0.475*44/12</f>
        <v>5.3592109278603388</v>
      </c>
      <c r="AW99" s="21">
        <f>EXP(-LN(2)/2)*AW98+(1-EXP(-LN(2)/2))/(LN(2)/2)*AQ99*AT99*VLOOKUP('Données projet'!$B$10,Paramètres!$A$1:$I$89,3,0)*0.475*44/12</f>
        <v>3.8102460724049129E-9</v>
      </c>
      <c r="AX99" s="21">
        <f t="shared" si="60"/>
        <v>8.1405044990123567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1">
        <f t="shared" si="86"/>
        <v>23.659169019590845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67">
        <f t="shared" si="56"/>
        <v>448.09598270912102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4.9000000000000004</v>
      </c>
      <c r="N100" s="13">
        <f>IF('Données projet'!$A$36&gt;35,N99+M100-V99,IF(A100&lt;'Données projet'!$A$36,$K$205^A100,IF(A100='Données projet'!$A$36,'Données projet'!$B$36,N99+M100-V99)))</f>
        <v>288.3000000000003</v>
      </c>
      <c r="O100" s="13">
        <f>N100*VLOOKUP('Données projet'!$B$9,Paramètres!$A$1:$I$89,3,0)*VLOOKUP('Données projet'!$B$9,Paramètres!$A$1:$I$89,5,0)</f>
        <v>260.85384000000028</v>
      </c>
      <c r="P100" s="13">
        <f t="shared" si="87"/>
        <v>62.90434739590382</v>
      </c>
      <c r="Q100" s="20">
        <f t="shared" si="107"/>
        <v>563.87884304786633</v>
      </c>
      <c r="R100" s="59">
        <f t="shared" si="55"/>
        <v>857.2121763811997</v>
      </c>
      <c r="S100" s="59">
        <f ca="1">AVERAGE(OFFSET($R$3,0,0,'Données projet'!$E$9+1,1))-AVERAGE(OFFSET($H$3,0,0,'Données projet'!$E$9+1,1))</f>
        <v>269.19146943657933</v>
      </c>
      <c r="T100" s="59">
        <f t="shared" si="88"/>
        <v>185.94138814570965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0</v>
      </c>
      <c r="AA100" s="21">
        <f>EXP(-LN(2)/25)*AA99+(1-EXP(-LN(2)/25))/(LN(2)/25)*Calculateur!V100*Calculateur!X100*VLOOKUP('Données projet'!$B$9,Paramètres!$A$1:$I$89,3,0)*0.475*44/12</f>
        <v>0.48465468796485028</v>
      </c>
      <c r="AB100" s="21">
        <f>EXP(-LN(2)/2)*AB99+(1-EXP(-LN(2)/2))/(LN(2)/2)*V100*Y100*VLOOKUP('Données projet'!$B$9,Paramètres!$A$1:$I$89,3,0)*0.475*44/12</f>
        <v>5.0949512969105845E-10</v>
      </c>
      <c r="AC100" s="22">
        <f t="shared" si="57"/>
        <v>0.4846546884743454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4.5474735088646412E-13</v>
      </c>
      <c r="AJ100" s="13">
        <f>AI100*VLOOKUP('Données projet'!$B$10,Paramètres!$A$1:$I$89,3,0)*VLOOKUP('Données projet'!$B$10,Paramètres!$A$1:$I$89,5,0)</f>
        <v>2.5420376914553347E-13</v>
      </c>
      <c r="AK100" s="13">
        <f t="shared" si="89"/>
        <v>3.4258699088369875E-12</v>
      </c>
      <c r="AL100" s="20">
        <f t="shared" si="58"/>
        <v>6.4094616558195571E-12</v>
      </c>
      <c r="AM100" s="59">
        <f t="shared" si="59"/>
        <v>293.33333333333974</v>
      </c>
      <c r="AN100" s="59">
        <f ca="1">AVERAGE(OFFSET($AM$3,0,0,'Données projet'!$E$10+1,1))-AVERAGE(OFFSET($H$3,0,0,'Données projet'!$E$10+1,1))</f>
        <v>400.34672861351783</v>
      </c>
      <c r="AO100" s="59">
        <f t="shared" si="90"/>
        <v>413.2016163204438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2.7267540969077677</v>
      </c>
      <c r="AV100" s="21">
        <f>EXP(-LN(2)/25)*AV99+(1-EXP(-LN(2)/25))/(LN(2)/25)*Calculateur!AQ100*Calculateur!AS100*VLOOKUP('Données projet'!$B$10,Paramètres!$A$1:$I$89,3,0)*0.475*44/12</f>
        <v>5.2126630232093438</v>
      </c>
      <c r="AW100" s="21">
        <f>EXP(-LN(2)/2)*AW99+(1-EXP(-LN(2)/2))/(LN(2)/2)*AQ100*AT100*VLOOKUP('Données projet'!$B$10,Paramètres!$A$1:$I$89,3,0)*0.475*44/12</f>
        <v>2.6942508357869229E-9</v>
      </c>
      <c r="AX100" s="21">
        <f t="shared" si="60"/>
        <v>7.9394171228113626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1">
        <f t="shared" si="86"/>
        <v>23.874558158360987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67">
        <f t="shared" si="56"/>
        <v>450.01980879247901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4.9000000000000004</v>
      </c>
      <c r="N101" s="13">
        <f>IF('Données projet'!$A$36&gt;35,N100+M101-V100,IF(A101&lt;'Données projet'!$A$36,$K$205^A101,IF(A101='Données projet'!$A$36,'Données projet'!$B$36,N100+M101-V100)))</f>
        <v>293.20000000000027</v>
      </c>
      <c r="O101" s="13">
        <f>N101*VLOOKUP('Données projet'!$B$9,Paramètres!$A$1:$I$89,3,0)*VLOOKUP('Données projet'!$B$9,Paramètres!$A$1:$I$89,5,0)</f>
        <v>265.28736000000026</v>
      </c>
      <c r="P101" s="13">
        <f t="shared" si="87"/>
        <v>63.848105500970064</v>
      </c>
      <c r="Q101" s="20">
        <f t="shared" si="107"/>
        <v>573.24426908085661</v>
      </c>
      <c r="R101" s="59">
        <f t="shared" si="55"/>
        <v>866.57760241418987</v>
      </c>
      <c r="S101" s="59">
        <f ca="1">AVERAGE(OFFSET($R$3,0,0,'Données projet'!$E$9+1,1))-AVERAGE(OFFSET($H$3,0,0,'Données projet'!$E$9+1,1))</f>
        <v>269.19146943657933</v>
      </c>
      <c r="T101" s="59">
        <f t="shared" si="88"/>
        <v>185.94138814570965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0</v>
      </c>
      <c r="AA101" s="21">
        <f>EXP(-LN(2)/25)*AA100+(1-EXP(-LN(2)/25))/(LN(2)/25)*Calculateur!V101*Calculateur!X101*VLOOKUP('Données projet'!$B$9,Paramètres!$A$1:$I$89,3,0)*0.475*44/12</f>
        <v>0.4714017800355691</v>
      </c>
      <c r="AB101" s="21">
        <f>EXP(-LN(2)/2)*AB100+(1-EXP(-LN(2)/2))/(LN(2)/2)*V101*Y101*VLOOKUP('Données projet'!$B$9,Paramètres!$A$1:$I$89,3,0)*0.475*44/12</f>
        <v>3.6026746118606693E-10</v>
      </c>
      <c r="AC101" s="22">
        <f t="shared" si="57"/>
        <v>0.47140178039583658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4.5474735088646412E-13</v>
      </c>
      <c r="AJ101" s="13">
        <f>AI101*VLOOKUP('Données projet'!$B$10,Paramètres!$A$1:$I$89,3,0)*VLOOKUP('Données projet'!$B$10,Paramètres!$A$1:$I$89,5,0)</f>
        <v>2.5420376914553347E-13</v>
      </c>
      <c r="AK101" s="13">
        <f t="shared" si="89"/>
        <v>3.4258699088369875E-12</v>
      </c>
      <c r="AL101" s="20">
        <f t="shared" si="58"/>
        <v>6.4094616558195571E-12</v>
      </c>
      <c r="AM101" s="59">
        <f t="shared" si="59"/>
        <v>293.33333333333974</v>
      </c>
      <c r="AN101" s="59">
        <f ca="1">AVERAGE(OFFSET($AM$3,0,0,'Données projet'!$E$10+1,1))-AVERAGE(OFFSET($H$3,0,0,'Données projet'!$E$10+1,1))</f>
        <v>400.34672861351783</v>
      </c>
      <c r="AO101" s="59">
        <f t="shared" si="90"/>
        <v>413.2016163204438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2.6732841122231825</v>
      </c>
      <c r="AV101" s="21">
        <f>EXP(-LN(2)/25)*AV100+(1-EXP(-LN(2)/25))/(LN(2)/25)*Calculateur!AQ101*Calculateur!AS101*VLOOKUP('Données projet'!$B$10,Paramètres!$A$1:$I$89,3,0)*0.475*44/12</f>
        <v>5.07012247871765</v>
      </c>
      <c r="AW101" s="21">
        <f>EXP(-LN(2)/2)*AW100+(1-EXP(-LN(2)/2))/(LN(2)/2)*AQ101*AT101*VLOOKUP('Données projet'!$B$10,Paramètres!$A$1:$I$89,3,0)*0.475*44/12</f>
        <v>1.9051230362024564E-9</v>
      </c>
      <c r="AX101" s="21">
        <f t="shared" si="60"/>
        <v>7.7434065928459557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1">
        <f t="shared" si="86"/>
        <v>24.089691614761293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67">
        <f t="shared" si="56"/>
        <v>451.94318956237618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4.9000000000000004</v>
      </c>
      <c r="N102" s="13">
        <f>IF('Données projet'!$A$36&gt;35,N101+M102-V101,IF(A102&lt;'Données projet'!$A$36,$K$205^A102,IF(A102='Données projet'!$A$36,'Données projet'!$B$36,N101+M102-V101)))</f>
        <v>298.10000000000025</v>
      </c>
      <c r="O102" s="13">
        <f>N102*VLOOKUP('Données projet'!$B$9,Paramètres!$A$1:$I$89,3,0)*VLOOKUP('Données projet'!$B$9,Paramètres!$A$1:$I$89,5,0)</f>
        <v>269.72088000000025</v>
      </c>
      <c r="P102" s="13">
        <f t="shared" si="87"/>
        <v>64.790029413947011</v>
      </c>
      <c r="Q102" s="20">
        <f t="shared" si="107"/>
        <v>582.60650056262477</v>
      </c>
      <c r="R102" s="59">
        <f t="shared" si="55"/>
        <v>875.93983389595815</v>
      </c>
      <c r="S102" s="59">
        <f ca="1">AVERAGE(OFFSET($R$3,0,0,'Données projet'!$E$9+1,1))-AVERAGE(OFFSET($H$3,0,0,'Données projet'!$E$9+1,1))</f>
        <v>269.19146943657933</v>
      </c>
      <c r="T102" s="59">
        <f t="shared" si="88"/>
        <v>185.94138814570965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0</v>
      </c>
      <c r="AA102" s="21">
        <f>EXP(-LN(2)/25)*AA101+(1-EXP(-LN(2)/25))/(LN(2)/25)*Calculateur!V102*Calculateur!X102*VLOOKUP('Données projet'!$B$9,Paramètres!$A$1:$I$89,3,0)*0.475*44/12</f>
        <v>0.45851127357055427</v>
      </c>
      <c r="AB102" s="21">
        <f>EXP(-LN(2)/2)*AB101+(1-EXP(-LN(2)/2))/(LN(2)/2)*V102*Y102*VLOOKUP('Données projet'!$B$9,Paramètres!$A$1:$I$89,3,0)*0.475*44/12</f>
        <v>2.5474756484552923E-10</v>
      </c>
      <c r="AC102" s="22">
        <f t="shared" si="57"/>
        <v>0.45851127382530182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4.5474735088646412E-13</v>
      </c>
      <c r="AJ102" s="13">
        <f>AI102*VLOOKUP('Données projet'!$B$10,Paramètres!$A$1:$I$89,3,0)*VLOOKUP('Données projet'!$B$10,Paramètres!$A$1:$I$89,5,0)</f>
        <v>2.5420376914553347E-13</v>
      </c>
      <c r="AK102" s="13">
        <f t="shared" si="89"/>
        <v>3.4258699088369875E-12</v>
      </c>
      <c r="AL102" s="20">
        <f t="shared" si="58"/>
        <v>6.4094616558195571E-12</v>
      </c>
      <c r="AM102" s="59">
        <f t="shared" si="59"/>
        <v>293.33333333333974</v>
      </c>
      <c r="AN102" s="59">
        <f ca="1">AVERAGE(OFFSET($AM$3,0,0,'Données projet'!$E$10+1,1))-AVERAGE(OFFSET($H$3,0,0,'Données projet'!$E$10+1,1))</f>
        <v>400.34672861351783</v>
      </c>
      <c r="AO102" s="59">
        <f t="shared" si="90"/>
        <v>413.2016163204438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2.6208626413247917</v>
      </c>
      <c r="AV102" s="21">
        <f>EXP(-LN(2)/25)*AV101+(1-EXP(-LN(2)/25))/(LN(2)/25)*Calculateur!AQ102*Calculateur!AS102*VLOOKUP('Données projet'!$B$10,Paramètres!$A$1:$I$89,3,0)*0.475*44/12</f>
        <v>4.9314797129109627</v>
      </c>
      <c r="AW102" s="21">
        <f>EXP(-LN(2)/2)*AW101+(1-EXP(-LN(2)/2))/(LN(2)/2)*AQ102*AT102*VLOOKUP('Données projet'!$B$10,Paramètres!$A$1:$I$89,3,0)*0.475*44/12</f>
        <v>1.3471254178934615E-9</v>
      </c>
      <c r="AX102" s="21">
        <f t="shared" si="60"/>
        <v>7.5523423555828799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1">
        <f t="shared" si="86"/>
        <v>24.304572270466512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67">
        <f t="shared" si="56"/>
        <v>453.86613003772942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303</v>
      </c>
      <c r="L103" s="12">
        <f>VLOOKUP(A103,'Données projet'!$A$35:$I$55,9,0)</f>
        <v>4.9000000000000004</v>
      </c>
      <c r="M103" s="12">
        <f t="array" ref="M103">INDEX(L:L,MIN(IF(ISNUMBER(L103:L299),ROW(L103:L299),"")))</f>
        <v>4.9000000000000004</v>
      </c>
      <c r="N103" s="13">
        <f>IF('Données projet'!$A$36&gt;35,N102+M103-V102,IF(A103&lt;'Données projet'!$A$36,$K$205^A103,IF(A103='Données projet'!$A$36,'Données projet'!$B$36,N102+M103-V102)))</f>
        <v>303.00000000000023</v>
      </c>
      <c r="O103" s="13">
        <f>N103*VLOOKUP('Données projet'!$B$9,Paramètres!$A$1:$I$89,3,0)*VLOOKUP('Données projet'!$B$9,Paramètres!$A$1:$I$89,5,0)</f>
        <v>274.15440000000018</v>
      </c>
      <c r="P103" s="13">
        <f t="shared" si="87"/>
        <v>65.730152764515836</v>
      </c>
      <c r="Q103" s="20">
        <f t="shared" si="107"/>
        <v>591.96559606486528</v>
      </c>
      <c r="R103" s="59">
        <f t="shared" si="55"/>
        <v>885.29892939819865</v>
      </c>
      <c r="S103" s="59">
        <f ca="1">AVERAGE(OFFSET($R$3,0,0,'Données projet'!$E$9+1,1))-AVERAGE(OFFSET($H$3,0,0,'Données projet'!$E$9+1,1))</f>
        <v>269.19146943657933</v>
      </c>
      <c r="T103" s="59">
        <f t="shared" si="88"/>
        <v>185.94138814570965</v>
      </c>
      <c r="U103" s="15">
        <f>IF(ISNA(VLOOKUP(A103,'Données projet'!$A$35:$I$55,3,0)),0,VLOOKUP(A103,'Données projet'!$A$35:$I$55,3,0))</f>
        <v>8</v>
      </c>
      <c r="V103" s="15">
        <f>IF(ISNA(VLOOKUP(A103,'Données projet'!$A$35:$I$55,4,0)),0,VLOOKUP(A103,'Données projet'!$A$35:$I$55,4,0))</f>
        <v>42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0</v>
      </c>
      <c r="AA103" s="21">
        <f>EXP(-LN(2)/25)*AA102+(1-EXP(-LN(2)/25))/(LN(2)/25)*Calculateur!V103*Calculateur!X103*VLOOKUP('Données projet'!$B$9,Paramètres!$A$1:$I$89,3,0)*0.475*44/12</f>
        <v>0.44597325868270754</v>
      </c>
      <c r="AB103" s="21">
        <f>EXP(-LN(2)/2)*AB102+(1-EXP(-LN(2)/2))/(LN(2)/2)*V103*Y103*VLOOKUP('Données projet'!$B$9,Paramètres!$A$1:$I$89,3,0)*0.475*44/12</f>
        <v>1.8013373059303346E-10</v>
      </c>
      <c r="AC103" s="22">
        <f t="shared" si="57"/>
        <v>0.44597325886284128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4.5474735088646412E-13</v>
      </c>
      <c r="AJ103" s="13">
        <f>AI103*VLOOKUP('Données projet'!$B$10,Paramètres!$A$1:$I$89,3,0)*VLOOKUP('Données projet'!$B$10,Paramètres!$A$1:$I$89,5,0)</f>
        <v>2.5420376914553347E-13</v>
      </c>
      <c r="AK103" s="13">
        <f t="shared" si="89"/>
        <v>3.4258699088369875E-12</v>
      </c>
      <c r="AL103" s="20">
        <f t="shared" si="58"/>
        <v>6.4094616558195571E-12</v>
      </c>
      <c r="AM103" s="59">
        <f t="shared" si="59"/>
        <v>293.33333333333974</v>
      </c>
      <c r="AN103" s="59">
        <f ca="1">AVERAGE(OFFSET($AM$3,0,0,'Données projet'!$E$10+1,1))-AVERAGE(OFFSET($H$3,0,0,'Données projet'!$E$10+1,1))</f>
        <v>400.34672861351783</v>
      </c>
      <c r="AO103" s="59">
        <f t="shared" si="90"/>
        <v>413.2016163204438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2.5694691234967784</v>
      </c>
      <c r="AV103" s="21">
        <f>EXP(-LN(2)/25)*AV102+(1-EXP(-LN(2)/25))/(LN(2)/25)*Calculateur!AQ103*Calculateur!AS103*VLOOKUP('Données projet'!$B$10,Paramètres!$A$1:$I$89,3,0)*0.475*44/12</f>
        <v>4.7966281408261651</v>
      </c>
      <c r="AW103" s="21">
        <f>EXP(-LN(2)/2)*AW102+(1-EXP(-LN(2)/2))/(LN(2)/2)*AQ103*AT103*VLOOKUP('Données projet'!$B$10,Paramètres!$A$1:$I$89,3,0)*0.475*44/12</f>
        <v>9.5256151810122822E-10</v>
      </c>
      <c r="AX103" s="21">
        <f t="shared" si="60"/>
        <v>7.3660972652755055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1">
        <f t="shared" si="86"/>
        <v>24.519202946196138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67">
        <f t="shared" si="56"/>
        <v>455.78863513129187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4.4000000000000004</v>
      </c>
      <c r="N104" s="13">
        <f>IF('Données projet'!$A$36&gt;35,N103+M104-V103,IF(A104&lt;'Données projet'!$A$36,$K$205^A104,IF(A104='Données projet'!$A$36,'Données projet'!$B$36,N103+M104-V103)))</f>
        <v>265.4000000000002</v>
      </c>
      <c r="O104" s="13">
        <f>N104*VLOOKUP('Données projet'!$B$9,Paramètres!$A$1:$I$89,3,0)*VLOOKUP('Données projet'!$B$9,Paramètres!$A$1:$I$89,5,0)</f>
        <v>240.13392000000016</v>
      </c>
      <c r="P104" s="13">
        <f t="shared" si="87"/>
        <v>58.468343087048616</v>
      </c>
      <c r="Q104" s="20">
        <f t="shared" si="107"/>
        <v>520.06560820994321</v>
      </c>
      <c r="R104" s="59">
        <f t="shared" si="55"/>
        <v>813.39894154327658</v>
      </c>
      <c r="S104" s="59">
        <f ca="1">AVERAGE(OFFSET($R$3,0,0,'Données projet'!$E$9+1,1))-AVERAGE(OFFSET($H$3,0,0,'Données projet'!$E$9+1,1))</f>
        <v>269.19146943657933</v>
      </c>
      <c r="T104" s="59">
        <f t="shared" si="88"/>
        <v>185.94138814570965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0</v>
      </c>
      <c r="AA104" s="21">
        <f>EXP(-LN(2)/25)*AA103+(1-EXP(-LN(2)/25))/(LN(2)/25)*Calculateur!V104*Calculateur!X104*VLOOKUP('Données projet'!$B$9,Paramètres!$A$1:$I$89,3,0)*0.475*44/12</f>
        <v>0.43377809647131449</v>
      </c>
      <c r="AB104" s="21">
        <f>EXP(-LN(2)/2)*AB103+(1-EXP(-LN(2)/2))/(LN(2)/2)*V104*Y104*VLOOKUP('Données projet'!$B$9,Paramètres!$A$1:$I$89,3,0)*0.475*44/12</f>
        <v>1.2737378242276461E-10</v>
      </c>
      <c r="AC104" s="22">
        <f t="shared" si="57"/>
        <v>0.43377809659868827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4.5474735088646412E-13</v>
      </c>
      <c r="AJ104" s="13">
        <f>AI104*VLOOKUP('Données projet'!$B$10,Paramètres!$A$1:$I$89,3,0)*VLOOKUP('Données projet'!$B$10,Paramètres!$A$1:$I$89,5,0)</f>
        <v>2.5420376914553347E-13</v>
      </c>
      <c r="AK104" s="13">
        <f t="shared" si="89"/>
        <v>3.4258699088369875E-12</v>
      </c>
      <c r="AL104" s="20">
        <f t="shared" si="58"/>
        <v>6.4094616558195571E-12</v>
      </c>
      <c r="AM104" s="59">
        <f t="shared" si="59"/>
        <v>293.33333333333974</v>
      </c>
      <c r="AN104" s="59">
        <f ca="1">AVERAGE(OFFSET($AM$3,0,0,'Données projet'!$E$10+1,1))-AVERAGE(OFFSET($H$3,0,0,'Données projet'!$E$10+1,1))</f>
        <v>400.34672861351783</v>
      </c>
      <c r="AO104" s="59">
        <f t="shared" si="90"/>
        <v>413.2016163204438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2.5190834012064216</v>
      </c>
      <c r="AV104" s="21">
        <f>EXP(-LN(2)/25)*AV103+(1-EXP(-LN(2)/25))/(LN(2)/25)*Calculateur!AQ104*Calculateur!AS104*VLOOKUP('Données projet'!$B$10,Paramètres!$A$1:$I$89,3,0)*0.475*44/12</f>
        <v>4.6654640920715629</v>
      </c>
      <c r="AW104" s="21">
        <f>EXP(-LN(2)/2)*AW103+(1-EXP(-LN(2)/2))/(LN(2)/2)*AQ104*AT104*VLOOKUP('Données projet'!$B$10,Paramètres!$A$1:$I$89,3,0)*0.475*44/12</f>
        <v>6.7356270894673074E-10</v>
      </c>
      <c r="AX104" s="21">
        <f t="shared" si="60"/>
        <v>7.1845474939515466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1">
        <f t="shared" si="86"/>
        <v>24.733586403594217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67">
        <f t="shared" si="56"/>
        <v>457.71070965292688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4.4000000000000004</v>
      </c>
      <c r="N105" s="13">
        <f>IF('Données projet'!$A$36&gt;35,N104+M105-V104,IF(A105&lt;'Données projet'!$A$36,$K$205^A105,IF(A105='Données projet'!$A$36,'Données projet'!$B$36,N104+M105-V104)))</f>
        <v>269.80000000000018</v>
      </c>
      <c r="O105" s="13">
        <f>N105*VLOOKUP('Données projet'!$B$9,Paramètres!$A$1:$I$89,3,0)*VLOOKUP('Données projet'!$B$9,Paramètres!$A$1:$I$89,5,0)</f>
        <v>244.11504000000016</v>
      </c>
      <c r="P105" s="13">
        <f t="shared" si="87"/>
        <v>59.324023461759062</v>
      </c>
      <c r="Q105" s="20">
        <f t="shared" si="107"/>
        <v>528.48970219589739</v>
      </c>
      <c r="R105" s="59">
        <f t="shared" si="55"/>
        <v>821.82303552923076</v>
      </c>
      <c r="S105" s="59">
        <f ca="1">AVERAGE(OFFSET($R$3,0,0,'Données projet'!$E$9+1,1))-AVERAGE(OFFSET($H$3,0,0,'Données projet'!$E$9+1,1))</f>
        <v>269.19146943657933</v>
      </c>
      <c r="T105" s="59">
        <f t="shared" si="88"/>
        <v>185.94138814570965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0</v>
      </c>
      <c r="AA105" s="21">
        <f>EXP(-LN(2)/25)*AA104+(1-EXP(-LN(2)/25))/(LN(2)/25)*Calculateur!V105*Calculateur!X105*VLOOKUP('Données projet'!$B$9,Paramètres!$A$1:$I$89,3,0)*0.475*44/12</f>
        <v>0.42191641161190774</v>
      </c>
      <c r="AB105" s="21">
        <f>EXP(-LN(2)/2)*AB104+(1-EXP(-LN(2)/2))/(LN(2)/2)*V105*Y105*VLOOKUP('Données projet'!$B$9,Paramètres!$A$1:$I$89,3,0)*0.475*44/12</f>
        <v>9.0066865296516732E-11</v>
      </c>
      <c r="AC105" s="22">
        <f t="shared" si="57"/>
        <v>0.42191641170197458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4.5474735088646412E-13</v>
      </c>
      <c r="AJ105" s="13">
        <f>AI105*VLOOKUP('Données projet'!$B$10,Paramètres!$A$1:$I$89,3,0)*VLOOKUP('Données projet'!$B$10,Paramètres!$A$1:$I$89,5,0)</f>
        <v>2.5420376914553347E-13</v>
      </c>
      <c r="AK105" s="13">
        <f t="shared" si="89"/>
        <v>3.4258699088369875E-12</v>
      </c>
      <c r="AL105" s="20">
        <f t="shared" si="58"/>
        <v>6.4094616558195571E-12</v>
      </c>
      <c r="AM105" s="59">
        <f t="shared" si="59"/>
        <v>293.33333333333974</v>
      </c>
      <c r="AN105" s="59">
        <f ca="1">AVERAGE(OFFSET($AM$3,0,0,'Données projet'!$E$10+1,1))-AVERAGE(OFFSET($H$3,0,0,'Données projet'!$E$10+1,1))</f>
        <v>400.34672861351783</v>
      </c>
      <c r="AO105" s="59">
        <f t="shared" si="90"/>
        <v>413.2016163204438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2.4696857121979225</v>
      </c>
      <c r="AV105" s="21">
        <f>EXP(-LN(2)/25)*AV104+(1-EXP(-LN(2)/25))/(LN(2)/25)*Calculateur!AQ105*Calculateur!AS105*VLOOKUP('Données projet'!$B$10,Paramètres!$A$1:$I$89,3,0)*0.475*44/12</f>
        <v>4.5378867311277729</v>
      </c>
      <c r="AW105" s="21">
        <f>EXP(-LN(2)/2)*AW104+(1-EXP(-LN(2)/2))/(LN(2)/2)*AQ105*AT105*VLOOKUP('Données projet'!$B$10,Paramètres!$A$1:$I$89,3,0)*0.475*44/12</f>
        <v>4.7628075905061411E-10</v>
      </c>
      <c r="AX105" s="21">
        <f t="shared" si="60"/>
        <v>7.0075724438019762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1">
        <f t="shared" si="86"/>
        <v>24.947725347033305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67">
        <f t="shared" si="56"/>
        <v>459.63235831274994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4.4000000000000004</v>
      </c>
      <c r="N106" s="13">
        <f>IF('Données projet'!$A$36&gt;35,N105+M106-V105,IF(A106&lt;'Données projet'!$A$36,$K$205^A106,IF(A106='Données projet'!$A$36,'Données projet'!$B$36,N105+M106-V105)))</f>
        <v>274.20000000000016</v>
      </c>
      <c r="O106" s="13">
        <f>N106*VLOOKUP('Données projet'!$B$9,Paramètres!$A$1:$I$89,3,0)*VLOOKUP('Données projet'!$B$9,Paramètres!$A$1:$I$89,5,0)</f>
        <v>248.09616000000014</v>
      </c>
      <c r="P106" s="13">
        <f t="shared" si="87"/>
        <v>60.178080967364686</v>
      </c>
      <c r="Q106" s="20">
        <f t="shared" si="107"/>
        <v>536.91096968482714</v>
      </c>
      <c r="R106" s="59">
        <f t="shared" si="55"/>
        <v>830.24430301816051</v>
      </c>
      <c r="S106" s="59">
        <f ca="1">AVERAGE(OFFSET($R$3,0,0,'Données projet'!$E$9+1,1))-AVERAGE(OFFSET($H$3,0,0,'Données projet'!$E$9+1,1))</f>
        <v>269.19146943657933</v>
      </c>
      <c r="T106" s="59">
        <f t="shared" si="88"/>
        <v>185.94138814570965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0</v>
      </c>
      <c r="AA106" s="21">
        <f>EXP(-LN(2)/25)*AA105+(1-EXP(-LN(2)/25))/(LN(2)/25)*Calculateur!V106*Calculateur!X106*VLOOKUP('Données projet'!$B$9,Paramètres!$A$1:$I$89,3,0)*0.475*44/12</f>
        <v>0.41037908514876031</v>
      </c>
      <c r="AB106" s="21">
        <f>EXP(-LN(2)/2)*AB105+(1-EXP(-LN(2)/2))/(LN(2)/2)*V106*Y106*VLOOKUP('Données projet'!$B$9,Paramètres!$A$1:$I$89,3,0)*0.475*44/12</f>
        <v>6.3686891211382306E-11</v>
      </c>
      <c r="AC106" s="22">
        <f t="shared" si="57"/>
        <v>0.4103790852124472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4.5474735088646412E-13</v>
      </c>
      <c r="AJ106" s="13">
        <f>AI106*VLOOKUP('Données projet'!$B$10,Paramètres!$A$1:$I$89,3,0)*VLOOKUP('Données projet'!$B$10,Paramètres!$A$1:$I$89,5,0)</f>
        <v>2.5420376914553347E-13</v>
      </c>
      <c r="AK106" s="13">
        <f t="shared" si="89"/>
        <v>3.4258699088369875E-12</v>
      </c>
      <c r="AL106" s="20">
        <f t="shared" si="58"/>
        <v>6.4094616558195571E-12</v>
      </c>
      <c r="AM106" s="59">
        <f t="shared" si="59"/>
        <v>293.33333333333974</v>
      </c>
      <c r="AN106" s="59">
        <f ca="1">AVERAGE(OFFSET($AM$3,0,0,'Données projet'!$E$10+1,1))-AVERAGE(OFFSET($H$3,0,0,'Données projet'!$E$10+1,1))</f>
        <v>400.34672861351783</v>
      </c>
      <c r="AO106" s="59">
        <f t="shared" si="90"/>
        <v>413.2016163204438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2.4212566817412653</v>
      </c>
      <c r="AV106" s="21">
        <f>EXP(-LN(2)/25)*AV105+(1-EXP(-LN(2)/25))/(LN(2)/25)*Calculateur!AQ106*Calculateur!AS106*VLOOKUP('Données projet'!$B$10,Paramètres!$A$1:$I$89,3,0)*0.475*44/12</f>
        <v>4.4137979798279918</v>
      </c>
      <c r="AW106" s="21">
        <f>EXP(-LN(2)/2)*AW105+(1-EXP(-LN(2)/2))/(LN(2)/2)*AQ106*AT106*VLOOKUP('Données projet'!$B$10,Paramètres!$A$1:$I$89,3,0)*0.475*44/12</f>
        <v>3.3678135447336537E-10</v>
      </c>
      <c r="AX106" s="21">
        <f t="shared" si="60"/>
        <v>6.8350546619060388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1">
        <f t="shared" si="86"/>
        <v>25.161622425346469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67">
        <f t="shared" si="56"/>
        <v>461.55358572414536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4.4000000000000004</v>
      </c>
      <c r="N107" s="13">
        <f>IF('Données projet'!$A$36&gt;35,N106+M107-V106,IF(A107&lt;'Données projet'!$A$36,$K$205^A107,IF(A107='Données projet'!$A$36,'Données projet'!$B$36,N106+M107-V106)))</f>
        <v>278.60000000000014</v>
      </c>
      <c r="O107" s="13">
        <f>N107*VLOOKUP('Données projet'!$B$9,Paramètres!$A$1:$I$89,3,0)*VLOOKUP('Données projet'!$B$9,Paramètres!$A$1:$I$89,5,0)</f>
        <v>252.07728000000014</v>
      </c>
      <c r="P107" s="13">
        <f t="shared" si="87"/>
        <v>61.030544652155044</v>
      </c>
      <c r="Q107" s="20">
        <f t="shared" si="107"/>
        <v>545.32946126917022</v>
      </c>
      <c r="R107" s="59">
        <f t="shared" si="55"/>
        <v>838.66279460250348</v>
      </c>
      <c r="S107" s="59">
        <f ca="1">AVERAGE(OFFSET($R$3,0,0,'Données projet'!$E$9+1,1))-AVERAGE(OFFSET($H$3,0,0,'Données projet'!$E$9+1,1))</f>
        <v>269.19146943657933</v>
      </c>
      <c r="T107" s="59">
        <f t="shared" si="88"/>
        <v>185.94138814570965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0</v>
      </c>
      <c r="AA107" s="21">
        <f>EXP(-LN(2)/25)*AA106+(1-EXP(-LN(2)/25))/(LN(2)/25)*Calculateur!V107*Calculateur!X107*VLOOKUP('Données projet'!$B$9,Paramètres!$A$1:$I$89,3,0)*0.475*44/12</f>
        <v>0.39915724748446929</v>
      </c>
      <c r="AB107" s="21">
        <f>EXP(-LN(2)/2)*AB106+(1-EXP(-LN(2)/2))/(LN(2)/2)*V107*Y107*VLOOKUP('Données projet'!$B$9,Paramètres!$A$1:$I$89,3,0)*0.475*44/12</f>
        <v>4.5033432648258366E-11</v>
      </c>
      <c r="AC107" s="22">
        <f t="shared" si="57"/>
        <v>0.39915724752950271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4.5474735088646412E-13</v>
      </c>
      <c r="AJ107" s="13">
        <f>AI107*VLOOKUP('Données projet'!$B$10,Paramètres!$A$1:$I$89,3,0)*VLOOKUP('Données projet'!$B$10,Paramètres!$A$1:$I$89,5,0)</f>
        <v>2.5420376914553347E-13</v>
      </c>
      <c r="AK107" s="13">
        <f t="shared" si="89"/>
        <v>3.4258699088369875E-12</v>
      </c>
      <c r="AL107" s="20">
        <f t="shared" si="58"/>
        <v>6.4094616558195571E-12</v>
      </c>
      <c r="AM107" s="59">
        <f t="shared" si="59"/>
        <v>293.33333333333974</v>
      </c>
      <c r="AN107" s="59">
        <f ca="1">AVERAGE(OFFSET($AM$3,0,0,'Données projet'!$E$10+1,1))-AVERAGE(OFFSET($H$3,0,0,'Données projet'!$E$10+1,1))</f>
        <v>400.34672861351783</v>
      </c>
      <c r="AO107" s="59">
        <f t="shared" si="90"/>
        <v>413.2016163204438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2.3737773150330712</v>
      </c>
      <c r="AV107" s="21">
        <f>EXP(-LN(2)/25)*AV106+(1-EXP(-LN(2)/25))/(LN(2)/25)*Calculateur!AQ107*Calculateur!AS107*VLOOKUP('Données projet'!$B$10,Paramètres!$A$1:$I$89,3,0)*0.475*44/12</f>
        <v>4.2931024419580472</v>
      </c>
      <c r="AW107" s="21">
        <f>EXP(-LN(2)/2)*AW106+(1-EXP(-LN(2)/2))/(LN(2)/2)*AQ107*AT107*VLOOKUP('Données projet'!$B$10,Paramètres!$A$1:$I$89,3,0)*0.475*44/12</f>
        <v>2.3814037952530705E-10</v>
      </c>
      <c r="AX107" s="21">
        <f t="shared" si="60"/>
        <v>6.6668797572292586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1">
        <f t="shared" si="86"/>
        <v>25.375280233490724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67">
        <f t="shared" si="56"/>
        <v>463.47439640666329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4.4000000000000004</v>
      </c>
      <c r="N108" s="13">
        <f>IF('Données projet'!$A$36&gt;35,N107+M108-V107,IF(A108&lt;'Données projet'!$A$36,$K$205^A108,IF(A108='Données projet'!$A$36,'Données projet'!$B$36,N107+M108-V107)))</f>
        <v>283.00000000000011</v>
      </c>
      <c r="O108" s="13">
        <f>N108*VLOOKUP('Données projet'!$B$9,Paramètres!$A$1:$I$89,3,0)*VLOOKUP('Données projet'!$B$9,Paramètres!$A$1:$I$89,5,0)</f>
        <v>256.05840000000006</v>
      </c>
      <c r="P108" s="13">
        <f t="shared" si="87"/>
        <v>61.881442594256484</v>
      </c>
      <c r="Q108" s="20">
        <f t="shared" si="107"/>
        <v>553.74522585166358</v>
      </c>
      <c r="R108" s="59">
        <f t="shared" si="55"/>
        <v>847.07855918499695</v>
      </c>
      <c r="S108" s="59">
        <f ca="1">AVERAGE(OFFSET($R$3,0,0,'Données projet'!$E$9+1,1))-AVERAGE(OFFSET($H$3,0,0,'Données projet'!$E$9+1,1))</f>
        <v>269.19146943657933</v>
      </c>
      <c r="T108" s="59">
        <f t="shared" si="88"/>
        <v>185.94138814570965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0</v>
      </c>
      <c r="AA108" s="21">
        <f>EXP(-LN(2)/25)*AA107+(1-EXP(-LN(2)/25))/(LN(2)/25)*Calculateur!V108*Calculateur!X108*VLOOKUP('Données projet'!$B$9,Paramètres!$A$1:$I$89,3,0)*0.475*44/12</f>
        <v>0.38824227156123914</v>
      </c>
      <c r="AB108" s="21">
        <f>EXP(-LN(2)/2)*AB107+(1-EXP(-LN(2)/2))/(LN(2)/2)*V108*Y108*VLOOKUP('Données projet'!$B$9,Paramètres!$A$1:$I$89,3,0)*0.475*44/12</f>
        <v>3.1843445605691153E-11</v>
      </c>
      <c r="AC108" s="22">
        <f t="shared" si="57"/>
        <v>0.38824227159308261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4.5474735088646412E-13</v>
      </c>
      <c r="AJ108" s="13">
        <f>AI108*VLOOKUP('Données projet'!$B$10,Paramètres!$A$1:$I$89,3,0)*VLOOKUP('Données projet'!$B$10,Paramètres!$A$1:$I$89,5,0)</f>
        <v>2.5420376914553347E-13</v>
      </c>
      <c r="AK108" s="13">
        <f t="shared" si="89"/>
        <v>3.4258699088369875E-12</v>
      </c>
      <c r="AL108" s="20">
        <f t="shared" si="58"/>
        <v>6.4094616558195571E-12</v>
      </c>
      <c r="AM108" s="59">
        <f t="shared" si="59"/>
        <v>293.33333333333974</v>
      </c>
      <c r="AN108" s="59">
        <f ca="1">AVERAGE(OFFSET($AM$3,0,0,'Données projet'!$E$10+1,1))-AVERAGE(OFFSET($H$3,0,0,'Données projet'!$E$10+1,1))</f>
        <v>400.34672861351783</v>
      </c>
      <c r="AO108" s="59">
        <f t="shared" si="90"/>
        <v>413.2016163204438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2.3272289897464704</v>
      </c>
      <c r="AV108" s="21">
        <f>EXP(-LN(2)/25)*AV107+(1-EXP(-LN(2)/25))/(LN(2)/25)*Calculateur!AQ108*Calculateur!AS108*VLOOKUP('Données projet'!$B$10,Paramètres!$A$1:$I$89,3,0)*0.475*44/12</f>
        <v>4.175707329918259</v>
      </c>
      <c r="AW108" s="21">
        <f>EXP(-LN(2)/2)*AW107+(1-EXP(-LN(2)/2))/(LN(2)/2)*AQ108*AT108*VLOOKUP('Données projet'!$B$10,Paramètres!$A$1:$I$89,3,0)*0.475*44/12</f>
        <v>1.6839067723668268E-10</v>
      </c>
      <c r="AX108" s="21">
        <f t="shared" si="60"/>
        <v>6.50293631983312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1">
        <f t="shared" si="86"/>
        <v>25.588701314145272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67">
        <f t="shared" si="56"/>
        <v>465.39479478880332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4.4000000000000004</v>
      </c>
      <c r="N109" s="13">
        <f>IF('Données projet'!$A$36&gt;35,N108+M109-V108,IF(A109&lt;'Données projet'!$A$36,$K$205^A109,IF(A109='Données projet'!$A$36,'Données projet'!$B$36,N108+M109-V108)))</f>
        <v>287.40000000000009</v>
      </c>
      <c r="O109" s="13">
        <f>N109*VLOOKUP('Données projet'!$B$9,Paramètres!$A$1:$I$89,3,0)*VLOOKUP('Données projet'!$B$9,Paramètres!$A$1:$I$89,5,0)</f>
        <v>260.03952000000004</v>
      </c>
      <c r="P109" s="13">
        <f t="shared" si="87"/>
        <v>62.730801948604871</v>
      </c>
      <c r="Q109" s="20">
        <f t="shared" si="107"/>
        <v>562.15831072715355</v>
      </c>
      <c r="R109" s="59">
        <f t="shared" si="55"/>
        <v>855.49164406048681</v>
      </c>
      <c r="S109" s="59">
        <f ca="1">AVERAGE(OFFSET($R$3,0,0,'Données projet'!$E$9+1,1))-AVERAGE(OFFSET($H$3,0,0,'Données projet'!$E$9+1,1))</f>
        <v>269.19146943657933</v>
      </c>
      <c r="T109" s="59">
        <f t="shared" si="88"/>
        <v>185.94138814570965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0</v>
      </c>
      <c r="AA109" s="21">
        <f>EXP(-LN(2)/25)*AA108+(1-EXP(-LN(2)/25))/(LN(2)/25)*Calculateur!V109*Calculateur!X109*VLOOKUP('Données projet'!$B$9,Paramètres!$A$1:$I$89,3,0)*0.475*44/12</f>
        <v>0.37762576622862332</v>
      </c>
      <c r="AB109" s="21">
        <f>EXP(-LN(2)/2)*AB108+(1-EXP(-LN(2)/2))/(LN(2)/2)*V109*Y109*VLOOKUP('Données projet'!$B$9,Paramètres!$A$1:$I$89,3,0)*0.475*44/12</f>
        <v>2.2516716324129183E-11</v>
      </c>
      <c r="AC109" s="22">
        <f t="shared" si="57"/>
        <v>0.37762576625114003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4.5474735088646412E-13</v>
      </c>
      <c r="AJ109" s="13">
        <f>AI109*VLOOKUP('Données projet'!$B$10,Paramètres!$A$1:$I$89,3,0)*VLOOKUP('Données projet'!$B$10,Paramètres!$A$1:$I$89,5,0)</f>
        <v>2.5420376914553347E-13</v>
      </c>
      <c r="AK109" s="13">
        <f t="shared" si="89"/>
        <v>3.4258699088369875E-12</v>
      </c>
      <c r="AL109" s="20">
        <f t="shared" si="58"/>
        <v>6.4094616558195571E-12</v>
      </c>
      <c r="AM109" s="59">
        <f t="shared" si="59"/>
        <v>293.33333333333974</v>
      </c>
      <c r="AN109" s="59">
        <f ca="1">AVERAGE(OFFSET($AM$3,0,0,'Données projet'!$E$10+1,1))-AVERAGE(OFFSET($H$3,0,0,'Données projet'!$E$10+1,1))</f>
        <v>400.34672861351783</v>
      </c>
      <c r="AO109" s="59">
        <f t="shared" si="90"/>
        <v>413.2016163204438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2.2815934487270648</v>
      </c>
      <c r="AV109" s="21">
        <f>EXP(-LN(2)/25)*AV108+(1-EXP(-LN(2)/25))/(LN(2)/25)*Calculateur!AQ109*Calculateur!AS109*VLOOKUP('Données projet'!$B$10,Paramètres!$A$1:$I$89,3,0)*0.475*44/12</f>
        <v>4.0615223933907396</v>
      </c>
      <c r="AW109" s="21">
        <f>EXP(-LN(2)/2)*AW108+(1-EXP(-LN(2)/2))/(LN(2)/2)*AQ109*AT109*VLOOKUP('Données projet'!$B$10,Paramètres!$A$1:$I$89,3,0)*0.475*44/12</f>
        <v>1.1907018976265353E-10</v>
      </c>
      <c r="AX109" s="21">
        <f t="shared" si="60"/>
        <v>6.3431158422368741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1">
        <f t="shared" si="86"/>
        <v>25.801888159247749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67">
        <f t="shared" si="56"/>
        <v>467.3147852106901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4.4000000000000004</v>
      </c>
      <c r="N110" s="13">
        <f>IF('Données projet'!$A$36&gt;35,N109+M110-V109,IF(A110&lt;'Données projet'!$A$36,$K$205^A110,IF(A110='Données projet'!$A$36,'Données projet'!$B$36,N109+M110-V109)))</f>
        <v>291.80000000000007</v>
      </c>
      <c r="O110" s="13">
        <f>N110*VLOOKUP('Données projet'!$B$9,Paramètres!$A$1:$I$89,3,0)*VLOOKUP('Données projet'!$B$9,Paramètres!$A$1:$I$89,5,0)</f>
        <v>264.02064000000007</v>
      </c>
      <c r="P110" s="13">
        <f t="shared" si="87"/>
        <v>63.578648990959174</v>
      </c>
      <c r="Q110" s="20">
        <f t="shared" si="107"/>
        <v>570.56876165925394</v>
      </c>
      <c r="R110" s="59">
        <f t="shared" si="55"/>
        <v>863.90209499258731</v>
      </c>
      <c r="S110" s="59">
        <f ca="1">AVERAGE(OFFSET($R$3,0,0,'Données projet'!$E$9+1,1))-AVERAGE(OFFSET($H$3,0,0,'Données projet'!$E$9+1,1))</f>
        <v>269.19146943657933</v>
      </c>
      <c r="T110" s="59">
        <f t="shared" si="88"/>
        <v>185.94138814570965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0</v>
      </c>
      <c r="AA110" s="21">
        <f>EXP(-LN(2)/25)*AA109+(1-EXP(-LN(2)/25))/(LN(2)/25)*Calculateur!V110*Calculateur!X110*VLOOKUP('Données projet'!$B$9,Paramètres!$A$1:$I$89,3,0)*0.475*44/12</f>
        <v>0.36729956979262562</v>
      </c>
      <c r="AB110" s="21">
        <f>EXP(-LN(2)/2)*AB109+(1-EXP(-LN(2)/2))/(LN(2)/2)*V110*Y110*VLOOKUP('Données projet'!$B$9,Paramètres!$A$1:$I$89,3,0)*0.475*44/12</f>
        <v>1.5921722802845577E-11</v>
      </c>
      <c r="AC110" s="22">
        <f t="shared" si="57"/>
        <v>0.36729956980854733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4.5474735088646412E-13</v>
      </c>
      <c r="AJ110" s="13">
        <f>AI110*VLOOKUP('Données projet'!$B$10,Paramètres!$A$1:$I$89,3,0)*VLOOKUP('Données projet'!$B$10,Paramètres!$A$1:$I$89,5,0)</f>
        <v>2.5420376914553347E-13</v>
      </c>
      <c r="AK110" s="13">
        <f t="shared" si="89"/>
        <v>3.4258699088369875E-12</v>
      </c>
      <c r="AL110" s="20">
        <f t="shared" si="58"/>
        <v>6.4094616558195571E-12</v>
      </c>
      <c r="AM110" s="59">
        <f t="shared" si="59"/>
        <v>293.33333333333974</v>
      </c>
      <c r="AN110" s="59">
        <f ca="1">AVERAGE(OFFSET($AM$3,0,0,'Données projet'!$E$10+1,1))-AVERAGE(OFFSET($H$3,0,0,'Données projet'!$E$10+1,1))</f>
        <v>400.34672861351783</v>
      </c>
      <c r="AO110" s="59">
        <f t="shared" si="90"/>
        <v>413.2016163204438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2.2368527928321185</v>
      </c>
      <c r="AV110" s="21">
        <f>EXP(-LN(2)/25)*AV109+(1-EXP(-LN(2)/25))/(LN(2)/25)*Calculateur!AQ110*Calculateur!AS110*VLOOKUP('Données projet'!$B$10,Paramètres!$A$1:$I$89,3,0)*0.475*44/12</f>
        <v>3.9504598499572898</v>
      </c>
      <c r="AW110" s="21">
        <f>EXP(-LN(2)/2)*AW109+(1-EXP(-LN(2)/2))/(LN(2)/2)*AQ110*AT110*VLOOKUP('Données projet'!$B$10,Paramètres!$A$1:$I$89,3,0)*0.475*44/12</f>
        <v>8.4195338618341342E-11</v>
      </c>
      <c r="AX110" s="21">
        <f t="shared" si="60"/>
        <v>6.1873126428736036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1">
        <f t="shared" si="86"/>
        <v>26.014843211471252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67">
        <f t="shared" si="56"/>
        <v>469.23437192664602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4.4000000000000004</v>
      </c>
      <c r="N111" s="13">
        <f>IF('Données projet'!$A$36&gt;35,N110+M111-V110,IF(A111&lt;'Données projet'!$A$36,$K$205^A111,IF(A111='Données projet'!$A$36,'Données projet'!$B$36,N110+M111-V110)))</f>
        <v>296.20000000000005</v>
      </c>
      <c r="O111" s="13">
        <f>N111*VLOOKUP('Données projet'!$B$9,Paramètres!$A$1:$I$89,3,0)*VLOOKUP('Données projet'!$B$9,Paramètres!$A$1:$I$89,5,0)</f>
        <v>268.00176000000005</v>
      </c>
      <c r="P111" s="13">
        <f t="shared" si="87"/>
        <v>64.425009159185578</v>
      </c>
      <c r="Q111" s="20">
        <f t="shared" si="107"/>
        <v>578.97662295224825</v>
      </c>
      <c r="R111" s="59">
        <f t="shared" si="55"/>
        <v>872.30995628558162</v>
      </c>
      <c r="S111" s="59">
        <f ca="1">AVERAGE(OFFSET($R$3,0,0,'Données projet'!$E$9+1,1))-AVERAGE(OFFSET($H$3,0,0,'Données projet'!$E$9+1,1))</f>
        <v>269.19146943657933</v>
      </c>
      <c r="T111" s="59">
        <f t="shared" si="88"/>
        <v>185.94138814570965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0</v>
      </c>
      <c r="AA111" s="21">
        <f>EXP(-LN(2)/25)*AA110+(1-EXP(-LN(2)/25))/(LN(2)/25)*Calculateur!V111*Calculateur!X111*VLOOKUP('Données projet'!$B$9,Paramètres!$A$1:$I$89,3,0)*0.475*44/12</f>
        <v>0.35725574374120139</v>
      </c>
      <c r="AB111" s="21">
        <f>EXP(-LN(2)/2)*AB110+(1-EXP(-LN(2)/2))/(LN(2)/2)*V111*Y111*VLOOKUP('Données projet'!$B$9,Paramètres!$A$1:$I$89,3,0)*0.475*44/12</f>
        <v>1.1258358162064591E-11</v>
      </c>
      <c r="AC111" s="22">
        <f t="shared" si="57"/>
        <v>0.35725574375245978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4.5474735088646412E-13</v>
      </c>
      <c r="AJ111" s="13">
        <f>AI111*VLOOKUP('Données projet'!$B$10,Paramètres!$A$1:$I$89,3,0)*VLOOKUP('Données projet'!$B$10,Paramètres!$A$1:$I$89,5,0)</f>
        <v>2.5420376914553347E-13</v>
      </c>
      <c r="AK111" s="13">
        <f t="shared" si="89"/>
        <v>3.4258699088369875E-12</v>
      </c>
      <c r="AL111" s="20">
        <f t="shared" si="58"/>
        <v>6.4094616558195571E-12</v>
      </c>
      <c r="AM111" s="59">
        <f t="shared" si="59"/>
        <v>293.33333333333974</v>
      </c>
      <c r="AN111" s="59">
        <f ca="1">AVERAGE(OFFSET($AM$3,0,0,'Données projet'!$E$10+1,1))-AVERAGE(OFFSET($H$3,0,0,'Données projet'!$E$10+1,1))</f>
        <v>400.34672861351783</v>
      </c>
      <c r="AO111" s="59">
        <f t="shared" si="90"/>
        <v>413.2016163204438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2.1929894739101665</v>
      </c>
      <c r="AV111" s="21">
        <f>EXP(-LN(2)/25)*AV110+(1-EXP(-LN(2)/25))/(LN(2)/25)*Calculateur!AQ111*Calculateur!AS111*VLOOKUP('Données projet'!$B$10,Paramètres!$A$1:$I$89,3,0)*0.475*44/12</f>
        <v>3.8424343176145532</v>
      </c>
      <c r="AW111" s="21">
        <f>EXP(-LN(2)/2)*AW110+(1-EXP(-LN(2)/2))/(LN(2)/2)*AQ111*AT111*VLOOKUP('Données projet'!$B$10,Paramètres!$A$1:$I$89,3,0)*0.475*44/12</f>
        <v>5.9535094881326764E-11</v>
      </c>
      <c r="AX111" s="21">
        <f t="shared" si="60"/>
        <v>6.0354237915842548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1">
        <f t="shared" si="86"/>
        <v>26.227568865645399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67">
        <f t="shared" si="56"/>
        <v>471.15355910766601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4.4000000000000004</v>
      </c>
      <c r="N112" s="13">
        <f>IF('Données projet'!$A$36&gt;35,N111+M112-V111,IF(A112&lt;'Données projet'!$A$36,$K$205^A112,IF(A112='Données projet'!$A$36,'Données projet'!$B$36,N111+M112-V111)))</f>
        <v>300.60000000000002</v>
      </c>
      <c r="O112" s="13">
        <f>N112*VLOOKUP('Données projet'!$B$9,Paramètres!$A$1:$I$89,3,0)*VLOOKUP('Données projet'!$B$9,Paramètres!$A$1:$I$89,5,0)</f>
        <v>271.98288000000002</v>
      </c>
      <c r="P112" s="13">
        <f t="shared" si="87"/>
        <v>65.269907092018755</v>
      </c>
      <c r="Q112" s="20">
        <f t="shared" si="107"/>
        <v>587.38193751859933</v>
      </c>
      <c r="R112" s="59">
        <f t="shared" si="55"/>
        <v>880.7152708519327</v>
      </c>
      <c r="S112" s="59">
        <f ca="1">AVERAGE(OFFSET($R$3,0,0,'Données projet'!$E$9+1,1))-AVERAGE(OFFSET($H$3,0,0,'Données projet'!$E$9+1,1))</f>
        <v>269.19146943657933</v>
      </c>
      <c r="T112" s="59">
        <f t="shared" si="88"/>
        <v>185.94138814570965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0</v>
      </c>
      <c r="AA112" s="21">
        <f>EXP(-LN(2)/25)*AA111+(1-EXP(-LN(2)/25))/(LN(2)/25)*Calculateur!V112*Calculateur!X112*VLOOKUP('Données projet'!$B$9,Paramètres!$A$1:$I$89,3,0)*0.475*44/12</f>
        <v>0.3474865666413352</v>
      </c>
      <c r="AB112" s="21">
        <f>EXP(-LN(2)/2)*AB111+(1-EXP(-LN(2)/2))/(LN(2)/2)*V112*Y112*VLOOKUP('Données projet'!$B$9,Paramètres!$A$1:$I$89,3,0)*0.475*44/12</f>
        <v>7.9608614014227883E-12</v>
      </c>
      <c r="AC112" s="22">
        <f t="shared" si="57"/>
        <v>0.34748656664929606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4.5474735088646412E-13</v>
      </c>
      <c r="AJ112" s="13">
        <f>AI112*VLOOKUP('Données projet'!$B$10,Paramètres!$A$1:$I$89,3,0)*VLOOKUP('Données projet'!$B$10,Paramètres!$A$1:$I$89,5,0)</f>
        <v>2.5420376914553347E-13</v>
      </c>
      <c r="AK112" s="13">
        <f t="shared" si="89"/>
        <v>3.4258699088369875E-12</v>
      </c>
      <c r="AL112" s="20">
        <f t="shared" si="58"/>
        <v>6.4094616558195571E-12</v>
      </c>
      <c r="AM112" s="59">
        <f t="shared" si="59"/>
        <v>293.33333333333974</v>
      </c>
      <c r="AN112" s="59">
        <f ca="1">AVERAGE(OFFSET($AM$3,0,0,'Données projet'!$E$10+1,1))-AVERAGE(OFFSET($H$3,0,0,'Données projet'!$E$10+1,1))</f>
        <v>400.34672861351783</v>
      </c>
      <c r="AO112" s="59">
        <f t="shared" si="90"/>
        <v>413.2016163204438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2.1499862879182912</v>
      </c>
      <c r="AV112" s="21">
        <f>EXP(-LN(2)/25)*AV111+(1-EXP(-LN(2)/25))/(LN(2)/25)*Calculateur!AQ112*Calculateur!AS112*VLOOKUP('Données projet'!$B$10,Paramètres!$A$1:$I$89,3,0)*0.475*44/12</f>
        <v>3.7373627491345447</v>
      </c>
      <c r="AW112" s="21">
        <f>EXP(-LN(2)/2)*AW111+(1-EXP(-LN(2)/2))/(LN(2)/2)*AQ112*AT112*VLOOKUP('Données projet'!$B$10,Paramètres!$A$1:$I$89,3,0)*0.475*44/12</f>
        <v>4.2097669309170671E-11</v>
      </c>
      <c r="AX112" s="21">
        <f t="shared" si="60"/>
        <v>5.8873490370949337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1">
        <f t="shared" si="86"/>
        <v>26.440067470123306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67">
        <f t="shared" si="56"/>
        <v>473.0723508437984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>
        <f>VLOOKUP(A113,'Données projet'!$A$35:$I$55,2,0)</f>
        <v>305</v>
      </c>
      <c r="L113" s="12">
        <f>VLOOKUP(A113,'Données projet'!$A$35:$I$55,9,0)</f>
        <v>4.4000000000000004</v>
      </c>
      <c r="M113" s="12">
        <f t="array" ref="M113">INDEX(L:L,MIN(IF(ISNUMBER(L113:L309),ROW(L113:L309),"")))</f>
        <v>4.4000000000000004</v>
      </c>
      <c r="N113" s="13">
        <f>IF('Données projet'!$A$36&gt;35,N112+M113-V112,IF(A113&lt;'Données projet'!$A$36,$K$205^A113,IF(A113='Données projet'!$A$36,'Données projet'!$B$36,N112+M113-V112)))</f>
        <v>305</v>
      </c>
      <c r="O113" s="13">
        <f>N113*VLOOKUP('Données projet'!$B$9,Paramètres!$A$1:$I$89,3,0)*VLOOKUP('Données projet'!$B$9,Paramètres!$A$1:$I$89,5,0)</f>
        <v>275.964</v>
      </c>
      <c r="P113" s="13">
        <f t="shared" si="87"/>
        <v>66.113366665488911</v>
      </c>
      <c r="Q113" s="20">
        <f t="shared" si="107"/>
        <v>595.7847469423931</v>
      </c>
      <c r="R113" s="59">
        <f t="shared" si="55"/>
        <v>889.11808027572647</v>
      </c>
      <c r="S113" s="59">
        <f ca="1">AVERAGE(OFFSET($R$3,0,0,'Données projet'!$E$9+1,1))-AVERAGE(OFFSET($H$3,0,0,'Données projet'!$E$9+1,1))</f>
        <v>269.19146943657933</v>
      </c>
      <c r="T113" s="59">
        <f t="shared" si="88"/>
        <v>185.94138814570965</v>
      </c>
      <c r="U113" s="15">
        <f>IF(ISNA(VLOOKUP(A113,'Données projet'!$A$35:$I$55,3,0)),0,VLOOKUP(A113,'Données projet'!$A$35:$I$55,3,0))</f>
        <v>9</v>
      </c>
      <c r="V113" s="15">
        <f>IF(ISNA(VLOOKUP(A113,'Données projet'!$A$35:$I$55,4,0)),0,VLOOKUP(A113,'Données projet'!$A$35:$I$55,4,0))</f>
        <v>39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0</v>
      </c>
      <c r="AA113" s="21">
        <f>EXP(-LN(2)/25)*AA112+(1-EXP(-LN(2)/25))/(LN(2)/25)*Calculateur!V113*Calculateur!X113*VLOOKUP('Données projet'!$B$9,Paramètres!$A$1:$I$89,3,0)*0.475*44/12</f>
        <v>0.33798452820300356</v>
      </c>
      <c r="AB113" s="21">
        <f>EXP(-LN(2)/2)*AB112+(1-EXP(-LN(2)/2))/(LN(2)/2)*V113*Y113*VLOOKUP('Données projet'!$B$9,Paramètres!$A$1:$I$89,3,0)*0.475*44/12</f>
        <v>5.6291790810322957E-12</v>
      </c>
      <c r="AC113" s="22">
        <f t="shared" si="57"/>
        <v>0.33798452820863273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4.5474735088646412E-13</v>
      </c>
      <c r="AJ113" s="13">
        <f>AI113*VLOOKUP('Données projet'!$B$10,Paramètres!$A$1:$I$89,3,0)*VLOOKUP('Données projet'!$B$10,Paramètres!$A$1:$I$89,5,0)</f>
        <v>2.5420376914553347E-13</v>
      </c>
      <c r="AK113" s="13">
        <f t="shared" si="89"/>
        <v>3.4258699088369875E-12</v>
      </c>
      <c r="AL113" s="20">
        <f t="shared" si="58"/>
        <v>6.4094616558195571E-12</v>
      </c>
      <c r="AM113" s="59">
        <f t="shared" si="59"/>
        <v>293.33333333333974</v>
      </c>
      <c r="AN113" s="59">
        <f ca="1">AVERAGE(OFFSET($AM$3,0,0,'Données projet'!$E$10+1,1))-AVERAGE(OFFSET($H$3,0,0,'Données projet'!$E$10+1,1))</f>
        <v>400.34672861351783</v>
      </c>
      <c r="AO113" s="59">
        <f t="shared" si="90"/>
        <v>413.2016163204438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2.1078263681743628</v>
      </c>
      <c r="AV113" s="21">
        <f>EXP(-LN(2)/25)*AV112+(1-EXP(-LN(2)/25))/(LN(2)/25)*Calculateur!AQ113*Calculateur!AS113*VLOOKUP('Données projet'!$B$10,Paramètres!$A$1:$I$89,3,0)*0.475*44/12</f>
        <v>3.6351643682200954</v>
      </c>
      <c r="AW113" s="21">
        <f>EXP(-LN(2)/2)*AW112+(1-EXP(-LN(2)/2))/(LN(2)/2)*AQ113*AT113*VLOOKUP('Données projet'!$B$10,Paramètres!$A$1:$I$89,3,0)*0.475*44/12</f>
        <v>2.9767547440663382E-11</v>
      </c>
      <c r="AX113" s="21">
        <f t="shared" si="60"/>
        <v>5.7429907364242254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1">
        <f t="shared" si="86"/>
        <v>26.65234132809799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67">
        <f t="shared" si="56"/>
        <v>474.99075114643767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3.7</v>
      </c>
      <c r="N114" s="13">
        <f>IF('Données projet'!$A$36&gt;35,N113+M114-V113,IF(A114&lt;'Données projet'!$A$36,$K$205^A114,IF(A114='Données projet'!$A$36,'Données projet'!$B$36,N113+M114-V113)))</f>
        <v>269.7</v>
      </c>
      <c r="O114" s="13">
        <f>N114*VLOOKUP('Données projet'!$B$9,Paramètres!$A$1:$I$89,3,0)*VLOOKUP('Données projet'!$B$9,Paramètres!$A$1:$I$89,5,0)</f>
        <v>244.02455999999998</v>
      </c>
      <c r="P114" s="13">
        <f t="shared" si="87"/>
        <v>59.304594314969279</v>
      </c>
      <c r="Q114" s="20">
        <f t="shared" si="107"/>
        <v>528.29827709857148</v>
      </c>
      <c r="R114" s="59">
        <f t="shared" si="55"/>
        <v>821.63161043190485</v>
      </c>
      <c r="S114" s="59">
        <f ca="1">AVERAGE(OFFSET($R$3,0,0,'Données projet'!$E$9+1,1))-AVERAGE(OFFSET($H$3,0,0,'Données projet'!$E$9+1,1))</f>
        <v>269.19146943657933</v>
      </c>
      <c r="T114" s="59">
        <f t="shared" si="88"/>
        <v>185.94138814570965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0</v>
      </c>
      <c r="AA114" s="21">
        <f>EXP(-LN(2)/25)*AA113+(1-EXP(-LN(2)/25))/(LN(2)/25)*Calculateur!V114*Calculateur!X114*VLOOKUP('Données projet'!$B$9,Paramètres!$A$1:$I$89,3,0)*0.475*44/12</f>
        <v>0.32874232350545857</v>
      </c>
      <c r="AB114" s="21">
        <f>EXP(-LN(2)/2)*AB113+(1-EXP(-LN(2)/2))/(LN(2)/2)*V114*Y114*VLOOKUP('Données projet'!$B$9,Paramètres!$A$1:$I$89,3,0)*0.475*44/12</f>
        <v>3.9804307007113941E-12</v>
      </c>
      <c r="AC114" s="22">
        <f t="shared" si="57"/>
        <v>0.32874232350943899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4.5474735088646412E-13</v>
      </c>
      <c r="AJ114" s="13">
        <f>AI114*VLOOKUP('Données projet'!$B$10,Paramètres!$A$1:$I$89,3,0)*VLOOKUP('Données projet'!$B$10,Paramètres!$A$1:$I$89,5,0)</f>
        <v>2.5420376914553347E-13</v>
      </c>
      <c r="AK114" s="13">
        <f t="shared" si="89"/>
        <v>3.4258699088369875E-12</v>
      </c>
      <c r="AL114" s="20">
        <f t="shared" si="58"/>
        <v>6.4094616558195571E-12</v>
      </c>
      <c r="AM114" s="59">
        <f t="shared" si="59"/>
        <v>293.33333333333974</v>
      </c>
      <c r="AN114" s="59">
        <f ca="1">AVERAGE(OFFSET($AM$3,0,0,'Données projet'!$E$10+1,1))-AVERAGE(OFFSET($H$3,0,0,'Données projet'!$E$10+1,1))</f>
        <v>400.34672861351783</v>
      </c>
      <c r="AO114" s="59">
        <f t="shared" si="90"/>
        <v>413.2016163204438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2.066493178741601</v>
      </c>
      <c r="AV114" s="21">
        <f>EXP(-LN(2)/25)*AV113+(1-EXP(-LN(2)/25))/(LN(2)/25)*Calculateur!AQ114*Calculateur!AS114*VLOOKUP('Données projet'!$B$10,Paramètres!$A$1:$I$89,3,0)*0.475*44/12</f>
        <v>3.535760607406131</v>
      </c>
      <c r="AW114" s="21">
        <f>EXP(-LN(2)/2)*AW113+(1-EXP(-LN(2)/2))/(LN(2)/2)*AQ114*AT114*VLOOKUP('Données projet'!$B$10,Paramètres!$A$1:$I$89,3,0)*0.475*44/12</f>
        <v>2.1048834654585336E-11</v>
      </c>
      <c r="AX114" s="21">
        <f t="shared" si="60"/>
        <v>5.6022537861687809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1">
        <f t="shared" si="86"/>
        <v>26.864392698869374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67">
        <f t="shared" si="56"/>
        <v>476.90876395053112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3.7</v>
      </c>
      <c r="N115" s="13">
        <f>IF('Données projet'!$A$36&gt;35,N114+M115-V114,IF(A115&lt;'Données projet'!$A$36,$K$205^A115,IF(A115='Données projet'!$A$36,'Données projet'!$B$36,N114+M115-V114)))</f>
        <v>273.39999999999998</v>
      </c>
      <c r="O115" s="13">
        <f>N115*VLOOKUP('Données projet'!$B$9,Paramètres!$A$1:$I$89,3,0)*VLOOKUP('Données projet'!$B$9,Paramètres!$A$1:$I$89,5,0)</f>
        <v>247.37231999999997</v>
      </c>
      <c r="P115" s="13">
        <f t="shared" si="87"/>
        <v>60.022917171131049</v>
      </c>
      <c r="Q115" s="20">
        <f t="shared" si="107"/>
        <v>535.38003807305324</v>
      </c>
      <c r="R115" s="59">
        <f t="shared" si="55"/>
        <v>828.71337140638661</v>
      </c>
      <c r="S115" s="59">
        <f ca="1">AVERAGE(OFFSET($R$3,0,0,'Données projet'!$E$9+1,1))-AVERAGE(OFFSET($H$3,0,0,'Données projet'!$E$9+1,1))</f>
        <v>269.19146943657933</v>
      </c>
      <c r="T115" s="59">
        <f t="shared" si="88"/>
        <v>185.94138814570965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0</v>
      </c>
      <c r="AA115" s="21">
        <f>EXP(-LN(2)/25)*AA114+(1-EXP(-LN(2)/25))/(LN(2)/25)*Calculateur!V115*Calculateur!X115*VLOOKUP('Données projet'!$B$9,Paramètres!$A$1:$I$89,3,0)*0.475*44/12</f>
        <v>0.31975284738139437</v>
      </c>
      <c r="AB115" s="21">
        <f>EXP(-LN(2)/2)*AB114+(1-EXP(-LN(2)/2))/(LN(2)/2)*V115*Y115*VLOOKUP('Données projet'!$B$9,Paramètres!$A$1:$I$89,3,0)*0.475*44/12</f>
        <v>2.8145895405161479E-12</v>
      </c>
      <c r="AC115" s="22">
        <f t="shared" si="57"/>
        <v>0.31975284738420895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4.5474735088646412E-13</v>
      </c>
      <c r="AJ115" s="13">
        <f>AI115*VLOOKUP('Données projet'!$B$10,Paramètres!$A$1:$I$89,3,0)*VLOOKUP('Données projet'!$B$10,Paramètres!$A$1:$I$89,5,0)</f>
        <v>2.5420376914553347E-13</v>
      </c>
      <c r="AK115" s="13">
        <f t="shared" si="89"/>
        <v>3.4258699088369875E-12</v>
      </c>
      <c r="AL115" s="20">
        <f t="shared" si="58"/>
        <v>6.4094616558195571E-12</v>
      </c>
      <c r="AM115" s="59">
        <f t="shared" si="59"/>
        <v>293.33333333333974</v>
      </c>
      <c r="AN115" s="59">
        <f ca="1">AVERAGE(OFFSET($AM$3,0,0,'Données projet'!$E$10+1,1))-AVERAGE(OFFSET($H$3,0,0,'Données projet'!$E$10+1,1))</f>
        <v>400.34672861351783</v>
      </c>
      <c r="AO115" s="59">
        <f t="shared" si="90"/>
        <v>413.2016163204438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2.0259705079428594</v>
      </c>
      <c r="AV115" s="21">
        <f>EXP(-LN(2)/25)*AV114+(1-EXP(-LN(2)/25))/(LN(2)/25)*Calculateur!AQ115*Calculateur!AS115*VLOOKUP('Données projet'!$B$10,Paramètres!$A$1:$I$89,3,0)*0.475*44/12</f>
        <v>3.439075047659041</v>
      </c>
      <c r="AW115" s="21">
        <f>EXP(-LN(2)/2)*AW114+(1-EXP(-LN(2)/2))/(LN(2)/2)*AQ115*AT115*VLOOKUP('Données projet'!$B$10,Paramètres!$A$1:$I$89,3,0)*0.475*44/12</f>
        <v>1.4883773720331691E-11</v>
      </c>
      <c r="AX115" s="21">
        <f t="shared" si="60"/>
        <v>5.4650455556167845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1">
        <f t="shared" si="86"/>
        <v>27.076223799065254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67">
        <f t="shared" si="56"/>
        <v>478.82639311670562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3.7</v>
      </c>
      <c r="N116" s="13">
        <f>IF('Données projet'!$A$36&gt;35,N115+M116-V115,IF(A116&lt;'Données projet'!$A$36,$K$205^A116,IF(A116='Données projet'!$A$36,'Données projet'!$B$36,N115+M116-V115)))</f>
        <v>277.09999999999997</v>
      </c>
      <c r="O116" s="13">
        <f>N116*VLOOKUP('Données projet'!$B$9,Paramètres!$A$1:$I$89,3,0)*VLOOKUP('Données projet'!$B$9,Paramètres!$A$1:$I$89,5,0)</f>
        <v>250.72007999999994</v>
      </c>
      <c r="P116" s="13">
        <f t="shared" si="87"/>
        <v>60.740109326032758</v>
      </c>
      <c r="Q116" s="20">
        <f t="shared" si="107"/>
        <v>542.45982974284027</v>
      </c>
      <c r="R116" s="59">
        <f t="shared" si="55"/>
        <v>835.79316307617364</v>
      </c>
      <c r="S116" s="59">
        <f ca="1">AVERAGE(OFFSET($R$3,0,0,'Données projet'!$E$9+1,1))-AVERAGE(OFFSET($H$3,0,0,'Données projet'!$E$9+1,1))</f>
        <v>269.19146943657933</v>
      </c>
      <c r="T116" s="59">
        <f t="shared" si="88"/>
        <v>185.94138814570965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0</v>
      </c>
      <c r="AA116" s="21">
        <f>EXP(-LN(2)/25)*AA115+(1-EXP(-LN(2)/25))/(LN(2)/25)*Calculateur!V116*Calculateur!X116*VLOOKUP('Données projet'!$B$9,Paramètres!$A$1:$I$89,3,0)*0.475*44/12</f>
        <v>0.31100918895467872</v>
      </c>
      <c r="AB116" s="21">
        <f>EXP(-LN(2)/2)*AB115+(1-EXP(-LN(2)/2))/(LN(2)/2)*V116*Y116*VLOOKUP('Données projet'!$B$9,Paramètres!$A$1:$I$89,3,0)*0.475*44/12</f>
        <v>1.9902153503556971E-12</v>
      </c>
      <c r="AC116" s="22">
        <f t="shared" si="57"/>
        <v>0.31100918895666896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4.5474735088646412E-13</v>
      </c>
      <c r="AJ116" s="13">
        <f>AI116*VLOOKUP('Données projet'!$B$10,Paramètres!$A$1:$I$89,3,0)*VLOOKUP('Données projet'!$B$10,Paramètres!$A$1:$I$89,5,0)</f>
        <v>2.5420376914553347E-13</v>
      </c>
      <c r="AK116" s="13">
        <f t="shared" si="89"/>
        <v>3.4258699088369875E-12</v>
      </c>
      <c r="AL116" s="20">
        <f t="shared" si="58"/>
        <v>6.4094616558195571E-12</v>
      </c>
      <c r="AM116" s="59">
        <f t="shared" si="59"/>
        <v>293.33333333333974</v>
      </c>
      <c r="AN116" s="59">
        <f ca="1">AVERAGE(OFFSET($AM$3,0,0,'Données projet'!$E$10+1,1))-AVERAGE(OFFSET($H$3,0,0,'Données projet'!$E$10+1,1))</f>
        <v>400.34672861351783</v>
      </c>
      <c r="AO116" s="59">
        <f t="shared" si="90"/>
        <v>413.2016163204438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1.9862424620020926</v>
      </c>
      <c r="AV116" s="21">
        <f>EXP(-LN(2)/25)*AV115+(1-EXP(-LN(2)/25))/(LN(2)/25)*Calculateur!AQ116*Calculateur!AS116*VLOOKUP('Données projet'!$B$10,Paramètres!$A$1:$I$89,3,0)*0.475*44/12</f>
        <v>3.345033359627708</v>
      </c>
      <c r="AW116" s="21">
        <f>EXP(-LN(2)/2)*AW115+(1-EXP(-LN(2)/2))/(LN(2)/2)*AQ116*AT116*VLOOKUP('Données projet'!$B$10,Paramètres!$A$1:$I$89,3,0)*0.475*44/12</f>
        <v>1.0524417327292668E-11</v>
      </c>
      <c r="AX116" s="21">
        <f t="shared" si="60"/>
        <v>5.3312758216403244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1">
        <f t="shared" si="86"/>
        <v>27.287836803817498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67">
        <f t="shared" si="56"/>
        <v>480.74364243331581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3.7</v>
      </c>
      <c r="N117" s="13">
        <f>IF('Données projet'!$A$36&gt;35,N116+M117-V116,IF(A117&lt;'Données projet'!$A$36,$K$205^A117,IF(A117='Données projet'!$A$36,'Données projet'!$B$36,N116+M117-V116)))</f>
        <v>280.79999999999995</v>
      </c>
      <c r="O117" s="13">
        <f>N117*VLOOKUP('Données projet'!$B$9,Paramètres!$A$1:$I$89,3,0)*VLOOKUP('Données projet'!$B$9,Paramètres!$A$1:$I$89,5,0)</f>
        <v>254.06783999999996</v>
      </c>
      <c r="P117" s="13">
        <f t="shared" si="87"/>
        <v>61.456187622750718</v>
      </c>
      <c r="Q117" s="20">
        <f t="shared" si="107"/>
        <v>549.53768144295748</v>
      </c>
      <c r="R117" s="59">
        <f t="shared" si="55"/>
        <v>842.87101477629085</v>
      </c>
      <c r="S117" s="59">
        <f ca="1">AVERAGE(OFFSET($R$3,0,0,'Données projet'!$E$9+1,1))-AVERAGE(OFFSET($H$3,0,0,'Données projet'!$E$9+1,1))</f>
        <v>269.19146943657933</v>
      </c>
      <c r="T117" s="59">
        <f t="shared" si="88"/>
        <v>185.94138814570965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0</v>
      </c>
      <c r="AA117" s="21">
        <f>EXP(-LN(2)/25)*AA116+(1-EXP(-LN(2)/25))/(LN(2)/25)*Calculateur!V117*Calculateur!X117*VLOOKUP('Données projet'!$B$9,Paramètres!$A$1:$I$89,3,0)*0.475*44/12</f>
        <v>0.30250462632745062</v>
      </c>
      <c r="AB117" s="21">
        <f>EXP(-LN(2)/2)*AB116+(1-EXP(-LN(2)/2))/(LN(2)/2)*V117*Y117*VLOOKUP('Données projet'!$B$9,Paramètres!$A$1:$I$89,3,0)*0.475*44/12</f>
        <v>1.4072947702580739E-12</v>
      </c>
      <c r="AC117" s="22">
        <f t="shared" si="57"/>
        <v>0.30250462632885794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4.5474735088646412E-13</v>
      </c>
      <c r="AJ117" s="13">
        <f>AI117*VLOOKUP('Données projet'!$B$10,Paramètres!$A$1:$I$89,3,0)*VLOOKUP('Données projet'!$B$10,Paramètres!$A$1:$I$89,5,0)</f>
        <v>2.5420376914553347E-13</v>
      </c>
      <c r="AK117" s="13">
        <f t="shared" si="89"/>
        <v>3.4258699088369875E-12</v>
      </c>
      <c r="AL117" s="20">
        <f t="shared" si="58"/>
        <v>6.4094616558195571E-12</v>
      </c>
      <c r="AM117" s="59">
        <f t="shared" si="59"/>
        <v>293.33333333333974</v>
      </c>
      <c r="AN117" s="59">
        <f ca="1">AVERAGE(OFFSET($AM$3,0,0,'Données projet'!$E$10+1,1))-AVERAGE(OFFSET($H$3,0,0,'Données projet'!$E$10+1,1))</f>
        <v>400.34672861351783</v>
      </c>
      <c r="AO117" s="59">
        <f t="shared" si="90"/>
        <v>413.2016163204438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1.9472934588105089</v>
      </c>
      <c r="AV117" s="21">
        <f>EXP(-LN(2)/25)*AV116+(1-EXP(-LN(2)/25))/(LN(2)/25)*Calculateur!AQ117*Calculateur!AS117*VLOOKUP('Données projet'!$B$10,Paramètres!$A$1:$I$89,3,0)*0.475*44/12</f>
        <v>3.2535632465010291</v>
      </c>
      <c r="AW117" s="21">
        <f>EXP(-LN(2)/2)*AW116+(1-EXP(-LN(2)/2))/(LN(2)/2)*AQ117*AT117*VLOOKUP('Données projet'!$B$10,Paramètres!$A$1:$I$89,3,0)*0.475*44/12</f>
        <v>7.4418868601658455E-12</v>
      </c>
      <c r="AX117" s="21">
        <f t="shared" si="60"/>
        <v>5.20085670531898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1">
        <f t="shared" si="86"/>
        <v>27.499233847895908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67">
        <f t="shared" si="56"/>
        <v>482.66051561841903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3.7</v>
      </c>
      <c r="N118" s="13">
        <f>IF('Données projet'!$A$36&gt;35,N117+M118-V117,IF(A118&lt;'Données projet'!$A$36,$K$205^A118,IF(A118='Données projet'!$A$36,'Données projet'!$B$36,N117+M118-V117)))</f>
        <v>284.49999999999994</v>
      </c>
      <c r="O118" s="13">
        <f>N118*VLOOKUP('Données projet'!$B$9,Paramètres!$A$1:$I$89,3,0)*VLOOKUP('Données projet'!$B$9,Paramètres!$A$1:$I$89,5,0)</f>
        <v>257.41559999999993</v>
      </c>
      <c r="P118" s="13">
        <f t="shared" si="87"/>
        <v>62.171168434977119</v>
      </c>
      <c r="Q118" s="20">
        <f t="shared" si="107"/>
        <v>556.61362169091831</v>
      </c>
      <c r="R118" s="59">
        <f t="shared" si="55"/>
        <v>849.94695502425157</v>
      </c>
      <c r="S118" s="59">
        <f ca="1">AVERAGE(OFFSET($R$3,0,0,'Données projet'!$E$9+1,1))-AVERAGE(OFFSET($H$3,0,0,'Données projet'!$E$9+1,1))</f>
        <v>269.19146943657933</v>
      </c>
      <c r="T118" s="59">
        <f t="shared" si="88"/>
        <v>185.94138814570965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0</v>
      </c>
      <c r="AA118" s="21">
        <f>EXP(-LN(2)/25)*AA117+(1-EXP(-LN(2)/25))/(LN(2)/25)*Calculateur!V118*Calculateur!X118*VLOOKUP('Données projet'!$B$9,Paramètres!$A$1:$I$89,3,0)*0.475*44/12</f>
        <v>0.29423262141249956</v>
      </c>
      <c r="AB118" s="21">
        <f>EXP(-LN(2)/2)*AB117+(1-EXP(-LN(2)/2))/(LN(2)/2)*V118*Y118*VLOOKUP('Données projet'!$B$9,Paramètres!$A$1:$I$89,3,0)*0.475*44/12</f>
        <v>9.9510767517784854E-13</v>
      </c>
      <c r="AC118" s="22">
        <f t="shared" si="57"/>
        <v>0.29423262141349465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4.5474735088646412E-13</v>
      </c>
      <c r="AJ118" s="13">
        <f>AI118*VLOOKUP('Données projet'!$B$10,Paramètres!$A$1:$I$89,3,0)*VLOOKUP('Données projet'!$B$10,Paramètres!$A$1:$I$89,5,0)</f>
        <v>2.5420376914553347E-13</v>
      </c>
      <c r="AK118" s="13">
        <f t="shared" si="89"/>
        <v>3.4258699088369875E-12</v>
      </c>
      <c r="AL118" s="20">
        <f t="shared" si="58"/>
        <v>6.4094616558195571E-12</v>
      </c>
      <c r="AM118" s="59">
        <f t="shared" si="59"/>
        <v>293.33333333333974</v>
      </c>
      <c r="AN118" s="59">
        <f ca="1">AVERAGE(OFFSET($AM$3,0,0,'Données projet'!$E$10+1,1))-AVERAGE(OFFSET($H$3,0,0,'Données projet'!$E$10+1,1))</f>
        <v>400.34672861351783</v>
      </c>
      <c r="AO118" s="59">
        <f t="shared" si="90"/>
        <v>413.2016163204438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1.909108221814966</v>
      </c>
      <c r="AV118" s="21">
        <f>EXP(-LN(2)/25)*AV117+(1-EXP(-LN(2)/25))/(LN(2)/25)*Calculateur!AQ118*Calculateur!AS118*VLOOKUP('Données projet'!$B$10,Paramètres!$A$1:$I$89,3,0)*0.475*44/12</f>
        <v>3.1645943884280037</v>
      </c>
      <c r="AW118" s="21">
        <f>EXP(-LN(2)/2)*AW117+(1-EXP(-LN(2)/2))/(LN(2)/2)*AQ118*AT118*VLOOKUP('Données projet'!$B$10,Paramètres!$A$1:$I$89,3,0)*0.475*44/12</f>
        <v>5.2622086636463339E-12</v>
      </c>
      <c r="AX118" s="21">
        <f t="shared" si="60"/>
        <v>5.0737026102482323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1">
        <f t="shared" si="86"/>
        <v>27.710417026801501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67">
        <f t="shared" si="56"/>
        <v>484.57701632167959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3.7</v>
      </c>
      <c r="N119" s="13">
        <f>IF('Données projet'!$A$36&gt;35,N118+M119-V118,IF(A119&lt;'Données projet'!$A$36,$K$205^A119,IF(A119='Données projet'!$A$36,'Données projet'!$B$36,N118+M119-V118)))</f>
        <v>288.19999999999993</v>
      </c>
      <c r="O119" s="13">
        <f>N119*VLOOKUP('Données projet'!$B$9,Paramètres!$A$1:$I$89,3,0)*VLOOKUP('Données projet'!$B$9,Paramètres!$A$1:$I$89,5,0)</f>
        <v>260.76335999999992</v>
      </c>
      <c r="P119" s="13">
        <f t="shared" si="87"/>
        <v>62.885067686031952</v>
      </c>
      <c r="Q119" s="20">
        <f t="shared" si="107"/>
        <v>563.68767821983886</v>
      </c>
      <c r="R119" s="59">
        <f t="shared" si="55"/>
        <v>857.02101155317223</v>
      </c>
      <c r="S119" s="59">
        <f ca="1">AVERAGE(OFFSET($R$3,0,0,'Données projet'!$E$9+1,1))-AVERAGE(OFFSET($H$3,0,0,'Données projet'!$E$9+1,1))</f>
        <v>269.19146943657933</v>
      </c>
      <c r="T119" s="59">
        <f t="shared" si="88"/>
        <v>185.94138814570965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0</v>
      </c>
      <c r="AA119" s="21">
        <f>EXP(-LN(2)/25)*AA118+(1-EXP(-LN(2)/25))/(LN(2)/25)*Calculateur!V119*Calculateur!X119*VLOOKUP('Données projet'!$B$9,Paramètres!$A$1:$I$89,3,0)*0.475*44/12</f>
        <v>0.28618681490695369</v>
      </c>
      <c r="AB119" s="21">
        <f>EXP(-LN(2)/2)*AB118+(1-EXP(-LN(2)/2))/(LN(2)/2)*V119*Y119*VLOOKUP('Données projet'!$B$9,Paramètres!$A$1:$I$89,3,0)*0.475*44/12</f>
        <v>7.0364738512903697E-13</v>
      </c>
      <c r="AC119" s="22">
        <f t="shared" si="57"/>
        <v>0.28618681490765735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4.5474735088646412E-13</v>
      </c>
      <c r="AJ119" s="13">
        <f>AI119*VLOOKUP('Données projet'!$B$10,Paramètres!$A$1:$I$89,3,0)*VLOOKUP('Données projet'!$B$10,Paramètres!$A$1:$I$89,5,0)</f>
        <v>2.5420376914553347E-13</v>
      </c>
      <c r="AK119" s="13">
        <f t="shared" si="89"/>
        <v>3.4258699088369875E-12</v>
      </c>
      <c r="AL119" s="20">
        <f t="shared" si="58"/>
        <v>6.4094616558195571E-12</v>
      </c>
      <c r="AM119" s="59">
        <f t="shared" si="59"/>
        <v>293.33333333333974</v>
      </c>
      <c r="AN119" s="59">
        <f ca="1">AVERAGE(OFFSET($AM$3,0,0,'Données projet'!$E$10+1,1))-AVERAGE(OFFSET($H$3,0,0,'Données projet'!$E$10+1,1))</f>
        <v>400.34672861351783</v>
      </c>
      <c r="AO119" s="59">
        <f t="shared" si="90"/>
        <v>413.2016163204438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1.8716717740262108</v>
      </c>
      <c r="AV119" s="21">
        <f>EXP(-LN(2)/25)*AV118+(1-EXP(-LN(2)/25))/(LN(2)/25)*Calculateur!AQ119*Calculateur!AS119*VLOOKUP('Données projet'!$B$10,Paramètres!$A$1:$I$89,3,0)*0.475*44/12</f>
        <v>3.078058388457654</v>
      </c>
      <c r="AW119" s="21">
        <f>EXP(-LN(2)/2)*AW118+(1-EXP(-LN(2)/2))/(LN(2)/2)*AQ119*AT119*VLOOKUP('Données projet'!$B$10,Paramètres!$A$1:$I$89,3,0)*0.475*44/12</f>
        <v>3.7209434300829227E-12</v>
      </c>
      <c r="AX119" s="21">
        <f t="shared" si="60"/>
        <v>4.9497301624875858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1">
        <f t="shared" si="86"/>
        <v>27.921388397821048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67">
        <f t="shared" si="56"/>
        <v>486.49314812620531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3.7</v>
      </c>
      <c r="N120" s="13">
        <f>IF('Données projet'!$A$36&gt;35,N119+M120-V119,IF(A120&lt;'Données projet'!$A$36,$K$205^A120,IF(A120='Données projet'!$A$36,'Données projet'!$B$36,N119+M120-V119)))</f>
        <v>291.89999999999992</v>
      </c>
      <c r="O120" s="13">
        <f>N120*VLOOKUP('Données projet'!$B$9,Paramètres!$A$1:$I$89,3,0)*VLOOKUP('Données projet'!$B$9,Paramètres!$A$1:$I$89,5,0)</f>
        <v>264.11111999999991</v>
      </c>
      <c r="P120" s="13">
        <f t="shared" si="87"/>
        <v>63.59790086687066</v>
      </c>
      <c r="Q120" s="20">
        <f t="shared" si="107"/>
        <v>570.75987800979954</v>
      </c>
      <c r="R120" s="59">
        <f t="shared" si="55"/>
        <v>864.09321134313291</v>
      </c>
      <c r="S120" s="59">
        <f ca="1">AVERAGE(OFFSET($R$3,0,0,'Données projet'!$E$9+1,1))-AVERAGE(OFFSET($H$3,0,0,'Données projet'!$E$9+1,1))</f>
        <v>269.19146943657933</v>
      </c>
      <c r="T120" s="59">
        <f t="shared" si="88"/>
        <v>185.94138814570965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0</v>
      </c>
      <c r="AA120" s="21">
        <f>EXP(-LN(2)/25)*AA119+(1-EXP(-LN(2)/25))/(LN(2)/25)*Calculateur!V120*Calculateur!X120*VLOOKUP('Données projet'!$B$9,Paramètres!$A$1:$I$89,3,0)*0.475*44/12</f>
        <v>0.27836102140341251</v>
      </c>
      <c r="AB120" s="21">
        <f>EXP(-LN(2)/2)*AB119+(1-EXP(-LN(2)/2))/(LN(2)/2)*V120*Y120*VLOOKUP('Données projet'!$B$9,Paramètres!$A$1:$I$89,3,0)*0.475*44/12</f>
        <v>4.9755383758892427E-13</v>
      </c>
      <c r="AC120" s="22">
        <f t="shared" si="57"/>
        <v>0.27836102140391006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4.5474735088646412E-13</v>
      </c>
      <c r="AJ120" s="13">
        <f>AI120*VLOOKUP('Données projet'!$B$10,Paramètres!$A$1:$I$89,3,0)*VLOOKUP('Données projet'!$B$10,Paramètres!$A$1:$I$89,5,0)</f>
        <v>2.5420376914553347E-13</v>
      </c>
      <c r="AK120" s="13">
        <f t="shared" si="89"/>
        <v>3.4258699088369875E-12</v>
      </c>
      <c r="AL120" s="20">
        <f t="shared" si="58"/>
        <v>6.4094616558195571E-12</v>
      </c>
      <c r="AM120" s="59">
        <f t="shared" si="59"/>
        <v>293.33333333333974</v>
      </c>
      <c r="AN120" s="59">
        <f ca="1">AVERAGE(OFFSET($AM$3,0,0,'Données projet'!$E$10+1,1))-AVERAGE(OFFSET($H$3,0,0,'Données projet'!$E$10+1,1))</f>
        <v>400.34672861351783</v>
      </c>
      <c r="AO120" s="59">
        <f t="shared" si="90"/>
        <v>413.2016163204438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1.8349694321446146</v>
      </c>
      <c r="AV120" s="21">
        <f>EXP(-LN(2)/25)*AV119+(1-EXP(-LN(2)/25))/(LN(2)/25)*Calculateur!AQ120*Calculateur!AS120*VLOOKUP('Données projet'!$B$10,Paramètres!$A$1:$I$89,3,0)*0.475*44/12</f>
        <v>2.9938887199572237</v>
      </c>
      <c r="AW120" s="21">
        <f>EXP(-LN(2)/2)*AW119+(1-EXP(-LN(2)/2))/(LN(2)/2)*AQ120*AT120*VLOOKUP('Données projet'!$B$10,Paramètres!$A$1:$I$89,3,0)*0.475*44/12</f>
        <v>2.6311043318231669E-12</v>
      </c>
      <c r="AX120" s="21">
        <f t="shared" si="60"/>
        <v>4.8288581521044689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1">
        <f t="shared" si="86"/>
        <v>28.132149981044396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67">
        <f t="shared" si="56"/>
        <v>488.40891455031931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3.7</v>
      </c>
      <c r="N121" s="13">
        <f>IF('Données projet'!$A$36&gt;35,N120+M121-V120,IF(A121&lt;'Données projet'!$A$36,$K$205^A121,IF(A121='Données projet'!$A$36,'Données projet'!$B$36,N120+M121-V120)))</f>
        <v>295.59999999999991</v>
      </c>
      <c r="O121" s="13">
        <f>N121*VLOOKUP('Données projet'!$B$9,Paramètres!$A$1:$I$89,3,0)*VLOOKUP('Données projet'!$B$9,Paramètres!$A$1:$I$89,5,0)</f>
        <v>267.45887999999991</v>
      </c>
      <c r="P121" s="13">
        <f t="shared" si="87"/>
        <v>64.309683053152384</v>
      </c>
      <c r="Q121" s="20">
        <f t="shared" si="107"/>
        <v>577.83024731757359</v>
      </c>
      <c r="R121" s="59">
        <f t="shared" si="55"/>
        <v>871.16358065090685</v>
      </c>
      <c r="S121" s="59">
        <f ca="1">AVERAGE(OFFSET($R$3,0,0,'Données projet'!$E$9+1,1))-AVERAGE(OFFSET($H$3,0,0,'Données projet'!$E$9+1,1))</f>
        <v>269.19146943657933</v>
      </c>
      <c r="T121" s="59">
        <f t="shared" si="88"/>
        <v>185.94138814570965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0</v>
      </c>
      <c r="AA121" s="21">
        <f>EXP(-LN(2)/25)*AA120+(1-EXP(-LN(2)/25))/(LN(2)/25)*Calculateur!V121*Calculateur!X121*VLOOKUP('Données projet'!$B$9,Paramètres!$A$1:$I$89,3,0)*0.475*44/12</f>
        <v>0.27074922463476631</v>
      </c>
      <c r="AB121" s="21">
        <f>EXP(-LN(2)/2)*AB120+(1-EXP(-LN(2)/2))/(LN(2)/2)*V121*Y121*VLOOKUP('Données projet'!$B$9,Paramètres!$A$1:$I$89,3,0)*0.475*44/12</f>
        <v>3.5182369256451848E-13</v>
      </c>
      <c r="AC121" s="22">
        <f t="shared" si="57"/>
        <v>0.27074922463511814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4.5474735088646412E-13</v>
      </c>
      <c r="AJ121" s="13">
        <f>AI121*VLOOKUP('Données projet'!$B$10,Paramètres!$A$1:$I$89,3,0)*VLOOKUP('Données projet'!$B$10,Paramètres!$A$1:$I$89,5,0)</f>
        <v>2.5420376914553347E-13</v>
      </c>
      <c r="AK121" s="13">
        <f t="shared" si="89"/>
        <v>3.4258699088369875E-12</v>
      </c>
      <c r="AL121" s="20">
        <f t="shared" si="58"/>
        <v>6.4094616558195571E-12</v>
      </c>
      <c r="AM121" s="59">
        <f t="shared" si="59"/>
        <v>293.33333333333974</v>
      </c>
      <c r="AN121" s="59">
        <f ca="1">AVERAGE(OFFSET($AM$3,0,0,'Données projet'!$E$10+1,1))-AVERAGE(OFFSET($H$3,0,0,'Données projet'!$E$10+1,1))</f>
        <v>400.34672861351783</v>
      </c>
      <c r="AO121" s="59">
        <f t="shared" si="90"/>
        <v>413.2016163204438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1.7989868008010985</v>
      </c>
      <c r="AV121" s="21">
        <f>EXP(-LN(2)/25)*AV120+(1-EXP(-LN(2)/25))/(LN(2)/25)*Calculateur!AQ121*Calculateur!AS121*VLOOKUP('Données projet'!$B$10,Paramètres!$A$1:$I$89,3,0)*0.475*44/12</f>
        <v>2.9120206754682281</v>
      </c>
      <c r="AW121" s="21">
        <f>EXP(-LN(2)/2)*AW120+(1-EXP(-LN(2)/2))/(LN(2)/2)*AQ121*AT121*VLOOKUP('Données projet'!$B$10,Paramètres!$A$1:$I$89,3,0)*0.475*44/12</f>
        <v>1.8604717150414614E-12</v>
      </c>
      <c r="AX121" s="21">
        <f t="shared" si="60"/>
        <v>4.7110074762711873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1">
        <f t="shared" si="86"/>
        <v>28.342703760346538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67">
        <f t="shared" si="56"/>
        <v>490.32431904927057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3.7</v>
      </c>
      <c r="N122" s="13">
        <f>IF('Données projet'!$A$36&gt;35,N121+M122-V121,IF(A122&lt;'Données projet'!$A$36,$K$205^A122,IF(A122='Données projet'!$A$36,'Données projet'!$B$36,N121+M122-V121)))</f>
        <v>299.2999999999999</v>
      </c>
      <c r="O122" s="13">
        <f>N122*VLOOKUP('Données projet'!$B$9,Paramètres!$A$1:$I$89,3,0)*VLOOKUP('Données projet'!$B$9,Paramètres!$A$1:$I$89,5,0)</f>
        <v>270.8066399999999</v>
      </c>
      <c r="P122" s="13">
        <f t="shared" si="87"/>
        <v>65.020428921429911</v>
      </c>
      <c r="Q122" s="20">
        <f t="shared" si="107"/>
        <v>584.89881170482352</v>
      </c>
      <c r="R122" s="59">
        <f t="shared" si="55"/>
        <v>878.23214503815689</v>
      </c>
      <c r="S122" s="59">
        <f ca="1">AVERAGE(OFFSET($R$3,0,0,'Données projet'!$E$9+1,1))-AVERAGE(OFFSET($H$3,0,0,'Données projet'!$E$9+1,1))</f>
        <v>269.19146943657933</v>
      </c>
      <c r="T122" s="59">
        <f t="shared" si="88"/>
        <v>185.94138814570965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0</v>
      </c>
      <c r="AA122" s="21">
        <f>EXP(-LN(2)/25)*AA121+(1-EXP(-LN(2)/25))/(LN(2)/25)*Calculateur!V122*Calculateur!X122*VLOOKUP('Données projet'!$B$9,Paramètres!$A$1:$I$89,3,0)*0.475*44/12</f>
        <v>0.26334557284904569</v>
      </c>
      <c r="AB122" s="21">
        <f>EXP(-LN(2)/2)*AB121+(1-EXP(-LN(2)/2))/(LN(2)/2)*V122*Y122*VLOOKUP('Données projet'!$B$9,Paramètres!$A$1:$I$89,3,0)*0.475*44/12</f>
        <v>2.4877691879446213E-13</v>
      </c>
      <c r="AC122" s="22">
        <f t="shared" si="57"/>
        <v>0.2633455728492945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4.5474735088646412E-13</v>
      </c>
      <c r="AJ122" s="13">
        <f>AI122*VLOOKUP('Données projet'!$B$10,Paramètres!$A$1:$I$89,3,0)*VLOOKUP('Données projet'!$B$10,Paramètres!$A$1:$I$89,5,0)</f>
        <v>2.5420376914553347E-13</v>
      </c>
      <c r="AK122" s="13">
        <f t="shared" si="89"/>
        <v>3.4258699088369875E-12</v>
      </c>
      <c r="AL122" s="20">
        <f t="shared" si="58"/>
        <v>6.4094616558195571E-12</v>
      </c>
      <c r="AM122" s="59">
        <f t="shared" si="59"/>
        <v>293.33333333333974</v>
      </c>
      <c r="AN122" s="59">
        <f ca="1">AVERAGE(OFFSET($AM$3,0,0,'Données projet'!$E$10+1,1))-AVERAGE(OFFSET($H$3,0,0,'Données projet'!$E$10+1,1))</f>
        <v>400.34672861351783</v>
      </c>
      <c r="AO122" s="59">
        <f t="shared" si="90"/>
        <v>413.2016163204438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1.7637097669109907</v>
      </c>
      <c r="AV122" s="21">
        <f>EXP(-LN(2)/25)*AV121+(1-EXP(-LN(2)/25))/(LN(2)/25)*Calculateur!AQ122*Calculateur!AS122*VLOOKUP('Données projet'!$B$10,Paramètres!$A$1:$I$89,3,0)*0.475*44/12</f>
        <v>2.8323913169610377</v>
      </c>
      <c r="AW122" s="21">
        <f>EXP(-LN(2)/2)*AW121+(1-EXP(-LN(2)/2))/(LN(2)/2)*AQ122*AT122*VLOOKUP('Données projet'!$B$10,Paramètres!$A$1:$I$89,3,0)*0.475*44/12</f>
        <v>1.3155521659115835E-12</v>
      </c>
      <c r="AX122" s="21">
        <f t="shared" si="60"/>
        <v>4.5961010838733438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1">
        <f t="shared" si="86"/>
        <v>28.553051684335379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67">
        <f t="shared" si="56"/>
        <v>492.23936501688451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>
        <f>VLOOKUP(A123,'Données projet'!$A$35:$I$55,2,0)</f>
        <v>303</v>
      </c>
      <c r="L123" s="12">
        <f>VLOOKUP(A123,'Données projet'!$A$35:$I$55,9,0)</f>
        <v>3.7</v>
      </c>
      <c r="M123" s="12">
        <f t="array" ref="M123">INDEX(L:L,MIN(IF(ISNUMBER(L123:L319),ROW(L123:L319),"")))</f>
        <v>3.7</v>
      </c>
      <c r="N123" s="13">
        <f>IF('Données projet'!$A$36&gt;35,N122+M123-V122,IF(A123&lt;'Données projet'!$A$36,$K$205^A123,IF(A123='Données projet'!$A$36,'Données projet'!$B$36,N122+M123-V122)))</f>
        <v>302.99999999999989</v>
      </c>
      <c r="O123" s="13">
        <f>N123*VLOOKUP('Données projet'!$B$9,Paramètres!$A$1:$I$89,3,0)*VLOOKUP('Données projet'!$B$9,Paramètres!$A$1:$I$89,5,0)</f>
        <v>274.1543999999999</v>
      </c>
      <c r="P123" s="13">
        <f t="shared" si="87"/>
        <v>65.730152764515779</v>
      </c>
      <c r="Q123" s="20">
        <f t="shared" si="107"/>
        <v>591.96559606486471</v>
      </c>
      <c r="R123" s="59">
        <f t="shared" si="55"/>
        <v>885.29892939819797</v>
      </c>
      <c r="S123" s="59">
        <f ca="1">AVERAGE(OFFSET($R$3,0,0,'Données projet'!$E$9+1,1))-AVERAGE(OFFSET($H$3,0,0,'Données projet'!$E$9+1,1))</f>
        <v>269.19146943657933</v>
      </c>
      <c r="T123" s="59">
        <f t="shared" si="88"/>
        <v>185.94138814570965</v>
      </c>
      <c r="U123" s="15">
        <f>IF(ISNA(VLOOKUP(A123,'Données projet'!$A$35:$I$55,3,0)),0,VLOOKUP(A123,'Données projet'!$A$35:$I$55,3,0))</f>
        <v>10</v>
      </c>
      <c r="V123" s="15">
        <f>IF(ISNA(VLOOKUP(A123,'Données projet'!$A$35:$I$55,4,0)),0,VLOOKUP(A123,'Données projet'!$A$35:$I$55,4,0))</f>
        <v>303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0</v>
      </c>
      <c r="AA123" s="21">
        <f>EXP(-LN(2)/25)*AA122+(1-EXP(-LN(2)/25))/(LN(2)/25)*Calculateur!V123*Calculateur!X123*VLOOKUP('Données projet'!$B$9,Paramètres!$A$1:$I$89,3,0)*0.475*44/12</f>
        <v>0.25614437431074677</v>
      </c>
      <c r="AB123" s="21">
        <f>EXP(-LN(2)/2)*AB122+(1-EXP(-LN(2)/2))/(LN(2)/2)*V123*Y123*VLOOKUP('Données projet'!$B$9,Paramètres!$A$1:$I$89,3,0)*0.475*44/12</f>
        <v>1.7591184628225924E-13</v>
      </c>
      <c r="AC123" s="22">
        <f t="shared" si="57"/>
        <v>0.25614437431092268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4.5474735088646412E-13</v>
      </c>
      <c r="AJ123" s="13">
        <f>AI123*VLOOKUP('Données projet'!$B$10,Paramètres!$A$1:$I$89,3,0)*VLOOKUP('Données projet'!$B$10,Paramètres!$A$1:$I$89,5,0)</f>
        <v>2.5420376914553347E-13</v>
      </c>
      <c r="AK123" s="13">
        <f t="shared" si="89"/>
        <v>3.4258699088369875E-12</v>
      </c>
      <c r="AL123" s="20">
        <f t="shared" si="58"/>
        <v>6.4094616558195571E-12</v>
      </c>
      <c r="AM123" s="59">
        <f t="shared" si="59"/>
        <v>293.33333333333974</v>
      </c>
      <c r="AN123" s="59">
        <f ca="1">AVERAGE(OFFSET($AM$3,0,0,'Données projet'!$E$10+1,1))-AVERAGE(OFFSET($H$3,0,0,'Données projet'!$E$10+1,1))</f>
        <v>400.34672861351783</v>
      </c>
      <c r="AO123" s="59">
        <f t="shared" si="90"/>
        <v>413.2016163204438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1.7291244941386019</v>
      </c>
      <c r="AV123" s="21">
        <f>EXP(-LN(2)/25)*AV122+(1-EXP(-LN(2)/25))/(LN(2)/25)*Calculateur!AQ123*Calculateur!AS123*VLOOKUP('Données projet'!$B$10,Paramètres!$A$1:$I$89,3,0)*0.475*44/12</f>
        <v>2.7549394274497523</v>
      </c>
      <c r="AW123" s="21">
        <f>EXP(-LN(2)/2)*AW122+(1-EXP(-LN(2)/2))/(LN(2)/2)*AQ123*AT123*VLOOKUP('Données projet'!$B$10,Paramètres!$A$1:$I$89,3,0)*0.475*44/12</f>
        <v>9.3023585752073068E-13</v>
      </c>
      <c r="AX123" s="21">
        <f t="shared" si="60"/>
        <v>4.4840639215892839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1">
        <f t="shared" si="86"/>
        <v>28.763195667267546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67">
        <f t="shared" si="56"/>
        <v>494.15405578715797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-1.1368683772161603E-13</v>
      </c>
      <c r="O124" s="13">
        <f>N124*VLOOKUP('Données projet'!$B$9,Paramètres!$A$1:$I$89,3,0)*VLOOKUP('Données projet'!$B$9,Paramètres!$A$1:$I$89,5,0)</f>
        <v>-1.0286385077051818E-13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269.19146943657933</v>
      </c>
      <c r="T124" s="59">
        <f t="shared" si="88"/>
        <v>185.94138814570965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0</v>
      </c>
      <c r="AA124" s="21">
        <f>EXP(-LN(2)/25)*AA123+(1-EXP(-LN(2)/25))/(LN(2)/25)*Calculateur!V124*Calculateur!X124*VLOOKUP('Données projet'!$B$9,Paramètres!$A$1:$I$89,3,0)*0.475*44/12</f>
        <v>0.24914009292517217</v>
      </c>
      <c r="AB124" s="21">
        <f>EXP(-LN(2)/2)*AB123+(1-EXP(-LN(2)/2))/(LN(2)/2)*V124*Y124*VLOOKUP('Données projet'!$B$9,Paramètres!$A$1:$I$89,3,0)*0.475*44/12</f>
        <v>1.2438845939723107E-13</v>
      </c>
      <c r="AC124" s="22">
        <f t="shared" si="57"/>
        <v>0.24914009292529657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4.5474735088646412E-13</v>
      </c>
      <c r="AJ124" s="13">
        <f>AI124*VLOOKUP('Données projet'!$B$10,Paramètres!$A$1:$I$89,3,0)*VLOOKUP('Données projet'!$B$10,Paramètres!$A$1:$I$89,5,0)</f>
        <v>2.5420376914553347E-13</v>
      </c>
      <c r="AK124" s="13">
        <f t="shared" si="89"/>
        <v>3.4258699088369875E-12</v>
      </c>
      <c r="AL124" s="20">
        <f t="shared" si="58"/>
        <v>6.4094616558195571E-12</v>
      </c>
      <c r="AM124" s="59">
        <f t="shared" si="59"/>
        <v>293.33333333333974</v>
      </c>
      <c r="AN124" s="59">
        <f ca="1">AVERAGE(OFFSET($AM$3,0,0,'Données projet'!$E$10+1,1))-AVERAGE(OFFSET($H$3,0,0,'Données projet'!$E$10+1,1))</f>
        <v>400.34672861351783</v>
      </c>
      <c r="AO124" s="59">
        <f t="shared" si="90"/>
        <v>413.2016163204438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1.6952174174703463</v>
      </c>
      <c r="AV124" s="21">
        <f>EXP(-LN(2)/25)*AV123+(1-EXP(-LN(2)/25))/(LN(2)/25)*Calculateur!AQ124*Calculateur!AS124*VLOOKUP('Données projet'!$B$10,Paramètres!$A$1:$I$89,3,0)*0.475*44/12</f>
        <v>2.6796054639301707</v>
      </c>
      <c r="AW124" s="21">
        <f>EXP(-LN(2)/2)*AW123+(1-EXP(-LN(2)/2))/(LN(2)/2)*AQ124*AT124*VLOOKUP('Données projet'!$B$10,Paramètres!$A$1:$I$89,3,0)*0.475*44/12</f>
        <v>6.5777608295579173E-13</v>
      </c>
      <c r="AX124" s="21">
        <f t="shared" si="60"/>
        <v>4.3748228814011751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1">
        <f t="shared" si="86"/>
        <v>28.973137589932421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67">
        <f t="shared" si="56"/>
        <v>496.06839463579934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-1.1368683772161603E-13</v>
      </c>
      <c r="O125" s="13">
        <f>N125*VLOOKUP('Données projet'!$B$9,Paramètres!$A$1:$I$89,3,0)*VLOOKUP('Données projet'!$B$9,Paramètres!$A$1:$I$89,5,0)</f>
        <v>-1.0286385077051818E-13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269.19146943657933</v>
      </c>
      <c r="T125" s="59">
        <f t="shared" si="88"/>
        <v>185.94138814570965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0</v>
      </c>
      <c r="AA125" s="21">
        <f>EXP(-LN(2)/25)*AA124+(1-EXP(-LN(2)/25))/(LN(2)/25)*Calculateur!V125*Calculateur!X125*VLOOKUP('Données projet'!$B$9,Paramètres!$A$1:$I$89,3,0)*0.475*44/12</f>
        <v>0.24232734398242525</v>
      </c>
      <c r="AB125" s="21">
        <f>EXP(-LN(2)/2)*AB124+(1-EXP(-LN(2)/2))/(LN(2)/2)*V125*Y125*VLOOKUP('Données projet'!$B$9,Paramètres!$A$1:$I$89,3,0)*0.475*44/12</f>
        <v>8.7955923141129621E-14</v>
      </c>
      <c r="AC125" s="22">
        <f t="shared" si="57"/>
        <v>0.24232734398251321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4.5474735088646412E-13</v>
      </c>
      <c r="AJ125" s="13">
        <f>AI125*VLOOKUP('Données projet'!$B$10,Paramètres!$A$1:$I$89,3,0)*VLOOKUP('Données projet'!$B$10,Paramètres!$A$1:$I$89,5,0)</f>
        <v>2.5420376914553347E-13</v>
      </c>
      <c r="AK125" s="13">
        <f t="shared" si="89"/>
        <v>3.4258699088369875E-12</v>
      </c>
      <c r="AL125" s="20">
        <f t="shared" si="58"/>
        <v>6.4094616558195571E-12</v>
      </c>
      <c r="AM125" s="59">
        <f t="shared" si="59"/>
        <v>293.33333333333974</v>
      </c>
      <c r="AN125" s="59">
        <f ca="1">AVERAGE(OFFSET($AM$3,0,0,'Données projet'!$E$10+1,1))-AVERAGE(OFFSET($H$3,0,0,'Données projet'!$E$10+1,1))</f>
        <v>400.34672861351783</v>
      </c>
      <c r="AO125" s="59">
        <f t="shared" si="90"/>
        <v>413.2016163204438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1.6619752378942803</v>
      </c>
      <c r="AV125" s="21">
        <f>EXP(-LN(2)/25)*AV124+(1-EXP(-LN(2)/25))/(LN(2)/25)*Calculateur!AQ125*Calculateur!AS125*VLOOKUP('Données projet'!$B$10,Paramètres!$A$1:$I$89,3,0)*0.475*44/12</f>
        <v>2.6063315116046732</v>
      </c>
      <c r="AW125" s="21">
        <f>EXP(-LN(2)/2)*AW124+(1-EXP(-LN(2)/2))/(LN(2)/2)*AQ125*AT125*VLOOKUP('Données projet'!$B$10,Paramètres!$A$1:$I$89,3,0)*0.475*44/12</f>
        <v>4.6511792876036534E-13</v>
      </c>
      <c r="AX125" s="21">
        <f t="shared" si="60"/>
        <v>4.2683067494994189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1">
        <f t="shared" si="86"/>
        <v>29.182879300506769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67">
        <f t="shared" si="56"/>
        <v>497.98238478171629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-1.1368683772161603E-13</v>
      </c>
      <c r="O126" s="13">
        <f>N126*VLOOKUP('Données projet'!$B$9,Paramètres!$A$1:$I$89,3,0)*VLOOKUP('Données projet'!$B$9,Paramètres!$A$1:$I$89,5,0)</f>
        <v>-1.0286385077051818E-13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269.19146943657933</v>
      </c>
      <c r="T126" s="59">
        <f t="shared" si="88"/>
        <v>185.94138814570965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0</v>
      </c>
      <c r="AA126" s="21">
        <f>EXP(-LN(2)/25)*AA125+(1-EXP(-LN(2)/25))/(LN(2)/25)*Calculateur!V126*Calculateur!X126*VLOOKUP('Données projet'!$B$9,Paramètres!$A$1:$I$89,3,0)*0.475*44/12</f>
        <v>0.23570089001778466</v>
      </c>
      <c r="AB126" s="21">
        <f>EXP(-LN(2)/2)*AB125+(1-EXP(-LN(2)/2))/(LN(2)/2)*V126*Y126*VLOOKUP('Données projet'!$B$9,Paramètres!$A$1:$I$89,3,0)*0.475*44/12</f>
        <v>6.2194229698615533E-14</v>
      </c>
      <c r="AC126" s="22">
        <f t="shared" si="57"/>
        <v>0.23570089001784686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4.5474735088646412E-13</v>
      </c>
      <c r="AJ126" s="13">
        <f>AI126*VLOOKUP('Données projet'!$B$10,Paramètres!$A$1:$I$89,3,0)*VLOOKUP('Données projet'!$B$10,Paramètres!$A$1:$I$89,5,0)</f>
        <v>2.5420376914553347E-13</v>
      </c>
      <c r="AK126" s="13">
        <f t="shared" si="89"/>
        <v>3.4258699088369875E-12</v>
      </c>
      <c r="AL126" s="20">
        <f t="shared" si="58"/>
        <v>6.4094616558195571E-12</v>
      </c>
      <c r="AM126" s="59">
        <f t="shared" si="59"/>
        <v>293.33333333333974</v>
      </c>
      <c r="AN126" s="59">
        <f ca="1">AVERAGE(OFFSET($AM$3,0,0,'Données projet'!$E$10+1,1))-AVERAGE(OFFSET($H$3,0,0,'Données projet'!$E$10+1,1))</f>
        <v>400.34672861351783</v>
      </c>
      <c r="AO126" s="59">
        <f t="shared" si="90"/>
        <v>413.2016163204438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1.6293849171839736</v>
      </c>
      <c r="AV126" s="21">
        <f>EXP(-LN(2)/25)*AV125+(1-EXP(-LN(2)/25))/(LN(2)/25)*Calculateur!AQ126*Calculateur!AS126*VLOOKUP('Données projet'!$B$10,Paramètres!$A$1:$I$89,3,0)*0.475*44/12</f>
        <v>2.5350612393588263</v>
      </c>
      <c r="AW126" s="21">
        <f>EXP(-LN(2)/2)*AW125+(1-EXP(-LN(2)/2))/(LN(2)/2)*AQ126*AT126*VLOOKUP('Données projet'!$B$10,Paramètres!$A$1:$I$89,3,0)*0.475*44/12</f>
        <v>3.2888804147789587E-13</v>
      </c>
      <c r="AX126" s="21">
        <f t="shared" si="60"/>
        <v>4.1644461565431286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1">
        <f t="shared" si="86"/>
        <v>29.392422615380852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67">
        <f t="shared" si="56"/>
        <v>499.89602938845536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-1.1368683772161603E-13</v>
      </c>
      <c r="O127" s="13">
        <f>N127*VLOOKUP('Données projet'!$B$9,Paramètres!$A$1:$I$89,3,0)*VLOOKUP('Données projet'!$B$9,Paramètres!$A$1:$I$89,5,0)</f>
        <v>-1.0286385077051818E-13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269.19146943657933</v>
      </c>
      <c r="T127" s="59">
        <f t="shared" si="88"/>
        <v>185.94138814570965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0</v>
      </c>
      <c r="AA127" s="21">
        <f>EXP(-LN(2)/25)*AA126+(1-EXP(-LN(2)/25))/(LN(2)/25)*Calculateur!V127*Calculateur!X127*VLOOKUP('Données projet'!$B$9,Paramètres!$A$1:$I$89,3,0)*0.475*44/12</f>
        <v>0.22925563678527724</v>
      </c>
      <c r="AB127" s="21">
        <f>EXP(-LN(2)/2)*AB126+(1-EXP(-LN(2)/2))/(LN(2)/2)*V127*Y127*VLOOKUP('Données projet'!$B$9,Paramètres!$A$1:$I$89,3,0)*0.475*44/12</f>
        <v>4.397796157056481E-14</v>
      </c>
      <c r="AC127" s="22">
        <f t="shared" si="57"/>
        <v>0.22925563678532121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4.5474735088646412E-13</v>
      </c>
      <c r="AJ127" s="13">
        <f>AI127*VLOOKUP('Données projet'!$B$10,Paramètres!$A$1:$I$89,3,0)*VLOOKUP('Données projet'!$B$10,Paramètres!$A$1:$I$89,5,0)</f>
        <v>2.5420376914553347E-13</v>
      </c>
      <c r="AK127" s="13">
        <f t="shared" si="89"/>
        <v>3.4258699088369875E-12</v>
      </c>
      <c r="AL127" s="20">
        <f t="shared" si="58"/>
        <v>6.4094616558195571E-12</v>
      </c>
      <c r="AM127" s="59">
        <f t="shared" si="59"/>
        <v>293.33333333333974</v>
      </c>
      <c r="AN127" s="59">
        <f ca="1">AVERAGE(OFFSET($AM$3,0,0,'Données projet'!$E$10+1,1))-AVERAGE(OFFSET($H$3,0,0,'Données projet'!$E$10+1,1))</f>
        <v>400.34672861351783</v>
      </c>
      <c r="AO127" s="59">
        <f t="shared" si="90"/>
        <v>413.2016163204438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1.5974336727846632</v>
      </c>
      <c r="AV127" s="21">
        <f>EXP(-LN(2)/25)*AV126+(1-EXP(-LN(2)/25))/(LN(2)/25)*Calculateur!AQ127*Calculateur!AS127*VLOOKUP('Données projet'!$B$10,Paramètres!$A$1:$I$89,3,0)*0.475*44/12</f>
        <v>2.4657398564554827</v>
      </c>
      <c r="AW127" s="21">
        <f>EXP(-LN(2)/2)*AW126+(1-EXP(-LN(2)/2))/(LN(2)/2)*AQ127*AT127*VLOOKUP('Données projet'!$B$10,Paramètres!$A$1:$I$89,3,0)*0.475*44/12</f>
        <v>2.3255896438018267E-13</v>
      </c>
      <c r="AX127" s="21">
        <f t="shared" si="60"/>
        <v>4.0631735292403786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1">
        <f t="shared" si="86"/>
        <v>29.601769319956595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67">
        <f t="shared" si="56"/>
        <v>501.80933156559138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-1.1368683772161603E-13</v>
      </c>
      <c r="O128" s="13">
        <f>N128*VLOOKUP('Données projet'!$B$9,Paramètres!$A$1:$I$89,3,0)*VLOOKUP('Données projet'!$B$9,Paramètres!$A$1:$I$89,5,0)</f>
        <v>-1.0286385077051818E-13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269.19146943657933</v>
      </c>
      <c r="T128" s="59">
        <f t="shared" si="88"/>
        <v>185.94138814570965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0</v>
      </c>
      <c r="AA128" s="21">
        <f>EXP(-LN(2)/25)*AA127+(1-EXP(-LN(2)/25))/(LN(2)/25)*Calculateur!V128*Calculateur!X128*VLOOKUP('Données projet'!$B$9,Paramètres!$A$1:$I$89,3,0)*0.475*44/12</f>
        <v>0.22298662934135388</v>
      </c>
      <c r="AB128" s="21">
        <f>EXP(-LN(2)/2)*AB127+(1-EXP(-LN(2)/2))/(LN(2)/2)*V128*Y128*VLOOKUP('Données projet'!$B$9,Paramètres!$A$1:$I$89,3,0)*0.475*44/12</f>
        <v>3.1097114849307767E-14</v>
      </c>
      <c r="AC128" s="22">
        <f t="shared" si="57"/>
        <v>0.22298662934138497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4.5474735088646412E-13</v>
      </c>
      <c r="AJ128" s="13">
        <f>AI128*VLOOKUP('Données projet'!$B$10,Paramètres!$A$1:$I$89,3,0)*VLOOKUP('Données projet'!$B$10,Paramètres!$A$1:$I$89,5,0)</f>
        <v>2.5420376914553347E-13</v>
      </c>
      <c r="AK128" s="13">
        <f t="shared" si="89"/>
        <v>3.4258699088369875E-12</v>
      </c>
      <c r="AL128" s="20">
        <f t="shared" si="58"/>
        <v>6.4094616558195571E-12</v>
      </c>
      <c r="AM128" s="59">
        <f t="shared" si="59"/>
        <v>293.33333333333974</v>
      </c>
      <c r="AN128" s="59">
        <f ca="1">AVERAGE(OFFSET($AM$3,0,0,'Données projet'!$E$10+1,1))-AVERAGE(OFFSET($H$3,0,0,'Données projet'!$E$10+1,1))</f>
        <v>400.34672861351783</v>
      </c>
      <c r="AO128" s="59">
        <f t="shared" si="90"/>
        <v>413.2016163204438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1.5661089727996884</v>
      </c>
      <c r="AV128" s="21">
        <f>EXP(-LN(2)/25)*AV127+(1-EXP(-LN(2)/25))/(LN(2)/25)*Calculateur!AQ128*Calculateur!AS128*VLOOKUP('Données projet'!$B$10,Paramètres!$A$1:$I$89,3,0)*0.475*44/12</f>
        <v>2.3983140704130839</v>
      </c>
      <c r="AW128" s="21">
        <f>EXP(-LN(2)/2)*AW127+(1-EXP(-LN(2)/2))/(LN(2)/2)*AQ128*AT128*VLOOKUP('Données projet'!$B$10,Paramètres!$A$1:$I$89,3,0)*0.475*44/12</f>
        <v>1.6444402073894793E-13</v>
      </c>
      <c r="AX128" s="21">
        <f t="shared" si="60"/>
        <v>3.9644230432129364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1">
        <f t="shared" si="86"/>
        <v>29.810921169420254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67">
        <f t="shared" si="56"/>
        <v>503.72229437007394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-1.1368683772161603E-13</v>
      </c>
      <c r="O129" s="13">
        <f>N129*VLOOKUP('Données projet'!$B$9,Paramètres!$A$1:$I$89,3,0)*VLOOKUP('Données projet'!$B$9,Paramètres!$A$1:$I$89,5,0)</f>
        <v>-1.0286385077051818E-13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269.19146943657933</v>
      </c>
      <c r="T129" s="59">
        <f t="shared" si="88"/>
        <v>185.94138814570965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0</v>
      </c>
      <c r="AA129" s="21">
        <f>EXP(-LN(2)/25)*AA128+(1-EXP(-LN(2)/25))/(LN(2)/25)*Calculateur!V129*Calculateur!X129*VLOOKUP('Données projet'!$B$9,Paramètres!$A$1:$I$89,3,0)*0.475*44/12</f>
        <v>0.21688904823565736</v>
      </c>
      <c r="AB129" s="21">
        <f>EXP(-LN(2)/2)*AB128+(1-EXP(-LN(2)/2))/(LN(2)/2)*V129*Y129*VLOOKUP('Données projet'!$B$9,Paramètres!$A$1:$I$89,3,0)*0.475*44/12</f>
        <v>2.1988980785282405E-14</v>
      </c>
      <c r="AC129" s="22">
        <f t="shared" si="57"/>
        <v>0.21688904823567934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4.5474735088646412E-13</v>
      </c>
      <c r="AJ129" s="13">
        <f>AI129*VLOOKUP('Données projet'!$B$10,Paramètres!$A$1:$I$89,3,0)*VLOOKUP('Données projet'!$B$10,Paramètres!$A$1:$I$89,5,0)</f>
        <v>2.5420376914553347E-13</v>
      </c>
      <c r="AK129" s="13">
        <f t="shared" si="89"/>
        <v>3.4258699088369875E-12</v>
      </c>
      <c r="AL129" s="20">
        <f t="shared" si="58"/>
        <v>6.4094616558195571E-12</v>
      </c>
      <c r="AM129" s="59">
        <f t="shared" si="59"/>
        <v>293.33333333333974</v>
      </c>
      <c r="AN129" s="59">
        <f ca="1">AVERAGE(OFFSET($AM$3,0,0,'Données projet'!$E$10+1,1))-AVERAGE(OFFSET($H$3,0,0,'Données projet'!$E$10+1,1))</f>
        <v>400.34672861351783</v>
      </c>
      <c r="AO129" s="59">
        <f t="shared" si="90"/>
        <v>413.2016163204438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1.5353985310752385</v>
      </c>
      <c r="AV129" s="21">
        <f>EXP(-LN(2)/25)*AV128+(1-EXP(-LN(2)/25))/(LN(2)/25)*Calculateur!AQ129*Calculateur!AS129*VLOOKUP('Données projet'!$B$10,Paramètres!$A$1:$I$89,3,0)*0.475*44/12</f>
        <v>2.3327320460357823</v>
      </c>
      <c r="AW129" s="21">
        <f>EXP(-LN(2)/2)*AW128+(1-EXP(-LN(2)/2))/(LN(2)/2)*AQ129*AT129*VLOOKUP('Données projet'!$B$10,Paramètres!$A$1:$I$89,3,0)*0.475*44/12</f>
        <v>1.1627948219009134E-13</v>
      </c>
      <c r="AX129" s="21">
        <f t="shared" si="60"/>
        <v>3.8681305771111374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1">
        <f t="shared" si="86"/>
        <v>30.019879889489037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67">
        <f t="shared" si="56"/>
        <v>505.63492080752712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-1.1368683772161603E-13</v>
      </c>
      <c r="O130" s="13">
        <f>N130*VLOOKUP('Données projet'!$B$9,Paramètres!$A$1:$I$89,3,0)*VLOOKUP('Données projet'!$B$9,Paramètres!$A$1:$I$89,5,0)</f>
        <v>-1.0286385077051818E-13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269.19146943657933</v>
      </c>
      <c r="T130" s="59">
        <f t="shared" si="88"/>
        <v>185.94138814570965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0</v>
      </c>
      <c r="AA130" s="21">
        <f>EXP(-LN(2)/25)*AA129+(1-EXP(-LN(2)/25))/(LN(2)/25)*Calculateur!V130*Calculateur!X130*VLOOKUP('Données projet'!$B$9,Paramètres!$A$1:$I$89,3,0)*0.475*44/12</f>
        <v>0.21095820580595395</v>
      </c>
      <c r="AB130" s="21">
        <f>EXP(-LN(2)/2)*AB129+(1-EXP(-LN(2)/2))/(LN(2)/2)*V130*Y130*VLOOKUP('Données projet'!$B$9,Paramètres!$A$1:$I$89,3,0)*0.475*44/12</f>
        <v>1.5548557424653883E-14</v>
      </c>
      <c r="AC130" s="22">
        <f t="shared" si="57"/>
        <v>0.2109582058059695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4.5474735088646412E-13</v>
      </c>
      <c r="AJ130" s="13">
        <f>AI130*VLOOKUP('Données projet'!$B$10,Paramètres!$A$1:$I$89,3,0)*VLOOKUP('Données projet'!$B$10,Paramètres!$A$1:$I$89,5,0)</f>
        <v>2.5420376914553347E-13</v>
      </c>
      <c r="AK130" s="13">
        <f t="shared" si="89"/>
        <v>3.4258699088369875E-12</v>
      </c>
      <c r="AL130" s="20">
        <f t="shared" si="58"/>
        <v>6.4094616558195571E-12</v>
      </c>
      <c r="AM130" s="59">
        <f t="shared" si="59"/>
        <v>293.33333333333974</v>
      </c>
      <c r="AN130" s="59">
        <f ca="1">AVERAGE(OFFSET($AM$3,0,0,'Données projet'!$E$10+1,1))-AVERAGE(OFFSET($H$3,0,0,'Données projet'!$E$10+1,1))</f>
        <v>400.34672861351783</v>
      </c>
      <c r="AO130" s="59">
        <f t="shared" si="90"/>
        <v>413.2016163204438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1.5052903023814852</v>
      </c>
      <c r="AV130" s="21">
        <f>EXP(-LN(2)/25)*AV129+(1-EXP(-LN(2)/25))/(LN(2)/25)*Calculateur!AQ130*Calculateur!AS130*VLOOKUP('Données projet'!$B$10,Paramètres!$A$1:$I$89,3,0)*0.475*44/12</f>
        <v>2.2689433655638869</v>
      </c>
      <c r="AW130" s="21">
        <f>EXP(-LN(2)/2)*AW129+(1-EXP(-LN(2)/2))/(LN(2)/2)*AQ130*AT130*VLOOKUP('Données projet'!$B$10,Paramètres!$A$1:$I$89,3,0)*0.475*44/12</f>
        <v>8.2222010369473967E-14</v>
      </c>
      <c r="AX130" s="21">
        <f t="shared" si="60"/>
        <v>3.7742336679454542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1">
        <f t="shared" si="86"/>
        <v>30.228647177134249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67">
        <f t="shared" si="56"/>
        <v>507.5472138335092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-1.1368683772161603E-13</v>
      </c>
      <c r="O131" s="13">
        <f>N131*VLOOKUP('Données projet'!$B$9,Paramètres!$A$1:$I$89,3,0)*VLOOKUP('Données projet'!$B$9,Paramètres!$A$1:$I$89,5,0)</f>
        <v>-1.0286385077051818E-13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269.19146943657933</v>
      </c>
      <c r="T131" s="59">
        <f t="shared" si="88"/>
        <v>185.94138814570965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0</v>
      </c>
      <c r="AA131" s="21">
        <f>EXP(-LN(2)/25)*AA130+(1-EXP(-LN(2)/25))/(LN(2)/25)*Calculateur!V131*Calculateur!X131*VLOOKUP('Données projet'!$B$9,Paramètres!$A$1:$I$89,3,0)*0.475*44/12</f>
        <v>0.20518954257438024</v>
      </c>
      <c r="AB131" s="21">
        <f>EXP(-LN(2)/2)*AB130+(1-EXP(-LN(2)/2))/(LN(2)/2)*V131*Y131*VLOOKUP('Données projet'!$B$9,Paramètres!$A$1:$I$89,3,0)*0.475*44/12</f>
        <v>1.0994490392641203E-14</v>
      </c>
      <c r="AC131" s="22">
        <f t="shared" si="57"/>
        <v>0.20518954257439123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4.5474735088646412E-13</v>
      </c>
      <c r="AJ131" s="13">
        <f>AI131*VLOOKUP('Données projet'!$B$10,Paramètres!$A$1:$I$89,3,0)*VLOOKUP('Données projet'!$B$10,Paramètres!$A$1:$I$89,5,0)</f>
        <v>2.5420376914553347E-13</v>
      </c>
      <c r="AK131" s="13">
        <f t="shared" si="89"/>
        <v>3.4258699088369875E-12</v>
      </c>
      <c r="AL131" s="20">
        <f t="shared" si="58"/>
        <v>6.4094616558195571E-12</v>
      </c>
      <c r="AM131" s="59">
        <f t="shared" si="59"/>
        <v>293.33333333333974</v>
      </c>
      <c r="AN131" s="59">
        <f ca="1">AVERAGE(OFFSET($AM$3,0,0,'Données projet'!$E$10+1,1))-AVERAGE(OFFSET($H$3,0,0,'Données projet'!$E$10+1,1))</f>
        <v>400.34672861351783</v>
      </c>
      <c r="AO131" s="59">
        <f t="shared" si="90"/>
        <v>413.2016163204438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1.4757724776882102</v>
      </c>
      <c r="AV131" s="21">
        <f>EXP(-LN(2)/25)*AV130+(1-EXP(-LN(2)/25))/(LN(2)/25)*Calculateur!AQ131*Calculateur!AS131*VLOOKUP('Données projet'!$B$10,Paramètres!$A$1:$I$89,3,0)*0.475*44/12</f>
        <v>2.2068989899139964</v>
      </c>
      <c r="AW131" s="21">
        <f>EXP(-LN(2)/2)*AW130+(1-EXP(-LN(2)/2))/(LN(2)/2)*AQ131*AT131*VLOOKUP('Données projet'!$B$10,Paramètres!$A$1:$I$89,3,0)*0.475*44/12</f>
        <v>5.8139741095045668E-14</v>
      </c>
      <c r="AX131" s="21">
        <f t="shared" si="60"/>
        <v>3.6826714676022649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1">
        <f t="shared" si="86"/>
        <v>30.437224701280673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67">
        <f t="shared" ref="H132:H195" si="110">(B132+E132+F132)*44/12+(C132+D132)*0.475*44/12</f>
        <v>509.45917635473086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-1.1368683772161603E-13</v>
      </c>
      <c r="O132" s="13">
        <f>N132*VLOOKUP('Données projet'!$B$9,Paramètres!$A$1:$I$89,3,0)*VLOOKUP('Données projet'!$B$9,Paramètres!$A$1:$I$89,5,0)</f>
        <v>-1.0286385077051818E-13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269.19146943657933</v>
      </c>
      <c r="T132" s="59">
        <f t="shared" si="88"/>
        <v>185.94138814570965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0</v>
      </c>
      <c r="AA132" s="21">
        <f>EXP(-LN(2)/25)*AA131+(1-EXP(-LN(2)/25))/(LN(2)/25)*Calculateur!V132*Calculateur!X132*VLOOKUP('Données projet'!$B$9,Paramètres!$A$1:$I$89,3,0)*0.475*44/12</f>
        <v>0.19957862374223473</v>
      </c>
      <c r="AB132" s="21">
        <f>EXP(-LN(2)/2)*AB131+(1-EXP(-LN(2)/2))/(LN(2)/2)*V132*Y132*VLOOKUP('Données projet'!$B$9,Paramètres!$A$1:$I$89,3,0)*0.475*44/12</f>
        <v>7.7742787123269417E-15</v>
      </c>
      <c r="AC132" s="22">
        <f t="shared" ref="AC132:AC153" si="111">SUM(Z132:AB132)</f>
        <v>0.1995786237422425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4.5474735088646412E-13</v>
      </c>
      <c r="AJ132" s="13">
        <f>AI132*VLOOKUP('Données projet'!$B$10,Paramètres!$A$1:$I$89,3,0)*VLOOKUP('Données projet'!$B$10,Paramètres!$A$1:$I$89,5,0)</f>
        <v>2.5420376914553347E-13</v>
      </c>
      <c r="AK132" s="13">
        <f t="shared" si="89"/>
        <v>3.4258699088369875E-12</v>
      </c>
      <c r="AL132" s="20">
        <f t="shared" ref="AL132:AL153" si="112">(AJ132+AK132)*0.475*44/12</f>
        <v>6.4094616558195571E-12</v>
      </c>
      <c r="AM132" s="59">
        <f t="shared" ref="AM132:AM195" si="113">AL132+(AD132+AE132)*44/12</f>
        <v>293.33333333333974</v>
      </c>
      <c r="AN132" s="59">
        <f ca="1">AVERAGE(OFFSET($AM$3,0,0,'Données projet'!$E$10+1,1))-AVERAGE(OFFSET($H$3,0,0,'Données projet'!$E$10+1,1))</f>
        <v>400.34672861351783</v>
      </c>
      <c r="AO132" s="59">
        <f t="shared" si="90"/>
        <v>413.2016163204438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1.4468334795330751</v>
      </c>
      <c r="AV132" s="21">
        <f>EXP(-LN(2)/25)*AV131+(1-EXP(-LN(2)/25))/(LN(2)/25)*Calculateur!AQ132*Calculateur!AS132*VLOOKUP('Données projet'!$B$10,Paramètres!$A$1:$I$89,3,0)*0.475*44/12</f>
        <v>2.1465512209790241</v>
      </c>
      <c r="AW132" s="21">
        <f>EXP(-LN(2)/2)*AW131+(1-EXP(-LN(2)/2))/(LN(2)/2)*AQ132*AT132*VLOOKUP('Données projet'!$B$10,Paramètres!$A$1:$I$89,3,0)*0.475*44/12</f>
        <v>4.1111005184736983E-14</v>
      </c>
      <c r="AX132" s="21">
        <f t="shared" ref="AX132:AX153" si="114">SUM(AU132:AW132)</f>
        <v>3.5933847005121407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1">
        <f t="shared" ref="D133:D196" si="140">IFERROR(EXP(-1.0587+0.8836*LN(C133)+0.284),0)</f>
        <v>30.645614103483904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67">
        <f t="shared" si="110"/>
        <v>511.37081123023484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-1.1368683772161603E-13</v>
      </c>
      <c r="O133" s="13">
        <f>N133*VLOOKUP('Données projet'!$B$9,Paramètres!$A$1:$I$89,3,0)*VLOOKUP('Données projet'!$B$9,Paramètres!$A$1:$I$89,5,0)</f>
        <v>-1.0286385077051818E-13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269.19146943657933</v>
      </c>
      <c r="T133" s="59">
        <f t="shared" ref="T133:T196" si="142">$T$3</f>
        <v>185.94138814570965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0</v>
      </c>
      <c r="AA133" s="21">
        <f>EXP(-LN(2)/25)*AA132+(1-EXP(-LN(2)/25))/(LN(2)/25)*Calculateur!V133*Calculateur!X133*VLOOKUP('Données projet'!$B$9,Paramètres!$A$1:$I$89,3,0)*0.475*44/12</f>
        <v>0.19412113578061965</v>
      </c>
      <c r="AB133" s="21">
        <f>EXP(-LN(2)/2)*AB132+(1-EXP(-LN(2)/2))/(LN(2)/2)*V133*Y133*VLOOKUP('Données projet'!$B$9,Paramètres!$A$1:$I$89,3,0)*0.475*44/12</f>
        <v>5.4972451963206013E-15</v>
      </c>
      <c r="AC133" s="22">
        <f t="shared" si="111"/>
        <v>0.19412113578062515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4.5474735088646412E-13</v>
      </c>
      <c r="AJ133" s="13">
        <f>AI133*VLOOKUP('Données projet'!$B$10,Paramètres!$A$1:$I$89,3,0)*VLOOKUP('Données projet'!$B$10,Paramètres!$A$1:$I$89,5,0)</f>
        <v>2.5420376914553347E-13</v>
      </c>
      <c r="AK133" s="13">
        <f t="shared" ref="AK133:AK153" si="143">EXP(-1.0587+0.8836*LN(AJ133)+0.284)</f>
        <v>3.4258699088369875E-12</v>
      </c>
      <c r="AL133" s="20">
        <f t="shared" si="112"/>
        <v>6.4094616558195571E-12</v>
      </c>
      <c r="AM133" s="59">
        <f t="shared" si="113"/>
        <v>293.33333333333974</v>
      </c>
      <c r="AN133" s="59">
        <f ca="1">AVERAGE(OFFSET($AM$3,0,0,'Données projet'!$E$10+1,1))-AVERAGE(OFFSET($H$3,0,0,'Données projet'!$E$10+1,1))</f>
        <v>400.34672861351783</v>
      </c>
      <c r="AO133" s="59">
        <f t="shared" ref="AO133:AO196" si="144">$AO$3</f>
        <v>413.2016163204438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1.4184619574807162</v>
      </c>
      <c r="AV133" s="21">
        <f>EXP(-LN(2)/25)*AV132+(1-EXP(-LN(2)/25))/(LN(2)/25)*Calculateur!AQ133*Calculateur!AS133*VLOOKUP('Données projet'!$B$10,Paramètres!$A$1:$I$89,3,0)*0.475*44/12</f>
        <v>2.0878536649591299</v>
      </c>
      <c r="AW133" s="21">
        <f>EXP(-LN(2)/2)*AW132+(1-EXP(-LN(2)/2))/(LN(2)/2)*AQ133*AT133*VLOOKUP('Données projet'!$B$10,Paramètres!$A$1:$I$89,3,0)*0.475*44/12</f>
        <v>2.9069870547522834E-14</v>
      </c>
      <c r="AX133" s="21">
        <f t="shared" si="114"/>
        <v>3.506315622439875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1">
        <f t="shared" si="140"/>
        <v>30.853816998586289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67">
        <f t="shared" si="110"/>
        <v>513.28212127253823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-1.1368683772161603E-13</v>
      </c>
      <c r="O134" s="13">
        <f>N134*VLOOKUP('Données projet'!$B$9,Paramètres!$A$1:$I$89,3,0)*VLOOKUP('Données projet'!$B$9,Paramètres!$A$1:$I$89,5,0)</f>
        <v>-1.0286385077051818E-13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269.19146943657933</v>
      </c>
      <c r="T134" s="59">
        <f t="shared" si="142"/>
        <v>185.94138814570965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</v>
      </c>
      <c r="AA134" s="21">
        <f>EXP(-LN(2)/25)*AA133+(1-EXP(-LN(2)/25))/(LN(2)/25)*Calculateur!V134*Calculateur!X134*VLOOKUP('Données projet'!$B$9,Paramètres!$A$1:$I$89,3,0)*0.475*44/12</f>
        <v>0.18881288311431174</v>
      </c>
      <c r="AB134" s="21">
        <f>EXP(-LN(2)/2)*AB133+(1-EXP(-LN(2)/2))/(LN(2)/2)*V134*Y134*VLOOKUP('Données projet'!$B$9,Paramètres!$A$1:$I$89,3,0)*0.475*44/12</f>
        <v>3.8871393561634708E-15</v>
      </c>
      <c r="AC134" s="22">
        <f t="shared" si="111"/>
        <v>0.18881288311431563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4.5474735088646412E-13</v>
      </c>
      <c r="AJ134" s="13">
        <f>AI134*VLOOKUP('Données projet'!$B$10,Paramètres!$A$1:$I$89,3,0)*VLOOKUP('Données projet'!$B$10,Paramètres!$A$1:$I$89,5,0)</f>
        <v>2.5420376914553347E-13</v>
      </c>
      <c r="AK134" s="13">
        <f t="shared" si="143"/>
        <v>3.4258699088369875E-12</v>
      </c>
      <c r="AL134" s="20">
        <f t="shared" si="112"/>
        <v>6.4094616558195571E-12</v>
      </c>
      <c r="AM134" s="59">
        <f t="shared" si="113"/>
        <v>293.33333333333974</v>
      </c>
      <c r="AN134" s="59">
        <f ca="1">AVERAGE(OFFSET($AM$3,0,0,'Données projet'!$E$10+1,1))-AVERAGE(OFFSET($H$3,0,0,'Données projet'!$E$10+1,1))</f>
        <v>400.34672861351783</v>
      </c>
      <c r="AO134" s="59">
        <f t="shared" si="144"/>
        <v>413.2016163204438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1.3906467836708845</v>
      </c>
      <c r="AV134" s="21">
        <f>EXP(-LN(2)/25)*AV133+(1-EXP(-LN(2)/25))/(LN(2)/25)*Calculateur!AQ134*Calculateur!AS134*VLOOKUP('Données projet'!$B$10,Paramètres!$A$1:$I$89,3,0)*0.475*44/12</f>
        <v>2.0307611966953703</v>
      </c>
      <c r="AW134" s="21">
        <f>EXP(-LN(2)/2)*AW133+(1-EXP(-LN(2)/2))/(LN(2)/2)*AQ134*AT134*VLOOKUP('Données projet'!$B$10,Paramètres!$A$1:$I$89,3,0)*0.475*44/12</f>
        <v>2.0555502592368492E-14</v>
      </c>
      <c r="AX134" s="21">
        <f t="shared" si="114"/>
        <v>3.4214079803662751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1">
        <f t="shared" si="140"/>
        <v>31.061834975351932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67">
        <f t="shared" si="110"/>
        <v>515.19310924873832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-1.1368683772161603E-13</v>
      </c>
      <c r="O135" s="13">
        <f>N135*VLOOKUP('Données projet'!$B$9,Paramètres!$A$1:$I$89,3,0)*VLOOKUP('Données projet'!$B$9,Paramètres!$A$1:$I$89,5,0)</f>
        <v>-1.0286385077051818E-13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269.19146943657933</v>
      </c>
      <c r="T135" s="59">
        <f t="shared" si="142"/>
        <v>185.94138814570965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</v>
      </c>
      <c r="AA135" s="21">
        <f>EXP(-LN(2)/25)*AA134+(1-EXP(-LN(2)/25))/(LN(2)/25)*Calculateur!V135*Calculateur!X135*VLOOKUP('Données projet'!$B$9,Paramètres!$A$1:$I$89,3,0)*0.475*44/12</f>
        <v>0.1836497848963129</v>
      </c>
      <c r="AB135" s="21">
        <f>EXP(-LN(2)/2)*AB134+(1-EXP(-LN(2)/2))/(LN(2)/2)*V135*Y135*VLOOKUP('Données projet'!$B$9,Paramètres!$A$1:$I$89,3,0)*0.475*44/12</f>
        <v>2.7486225981603006E-15</v>
      </c>
      <c r="AC135" s="22">
        <f t="shared" si="111"/>
        <v>0.18364978489631564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4.5474735088646412E-13</v>
      </c>
      <c r="AJ135" s="13">
        <f>AI135*VLOOKUP('Données projet'!$B$10,Paramètres!$A$1:$I$89,3,0)*VLOOKUP('Données projet'!$B$10,Paramètres!$A$1:$I$89,5,0)</f>
        <v>2.5420376914553347E-13</v>
      </c>
      <c r="AK135" s="13">
        <f t="shared" si="143"/>
        <v>3.4258699088369875E-12</v>
      </c>
      <c r="AL135" s="20">
        <f t="shared" si="112"/>
        <v>6.4094616558195571E-12</v>
      </c>
      <c r="AM135" s="59">
        <f t="shared" si="113"/>
        <v>293.33333333333974</v>
      </c>
      <c r="AN135" s="59">
        <f ca="1">AVERAGE(OFFSET($AM$3,0,0,'Données projet'!$E$10+1,1))-AVERAGE(OFFSET($H$3,0,0,'Données projet'!$E$10+1,1))</f>
        <v>400.34672861351783</v>
      </c>
      <c r="AO135" s="59">
        <f t="shared" si="144"/>
        <v>413.2016163204438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1.3633770484538825</v>
      </c>
      <c r="AV135" s="21">
        <f>EXP(-LN(2)/25)*AV134+(1-EXP(-LN(2)/25))/(LN(2)/25)*Calculateur!AQ135*Calculateur!AS135*VLOOKUP('Données projet'!$B$10,Paramètres!$A$1:$I$89,3,0)*0.475*44/12</f>
        <v>1.9752299249786454</v>
      </c>
      <c r="AW135" s="21">
        <f>EXP(-LN(2)/2)*AW134+(1-EXP(-LN(2)/2))/(LN(2)/2)*AQ135*AT135*VLOOKUP('Données projet'!$B$10,Paramètres!$A$1:$I$89,3,0)*0.475*44/12</f>
        <v>1.4534935273761417E-14</v>
      </c>
      <c r="AX135" s="21">
        <f t="shared" si="114"/>
        <v>3.3386069734325425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1">
        <f t="shared" si="140"/>
        <v>31.26966959708238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67">
        <f t="shared" si="110"/>
        <v>517.10377788158553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-1.1368683772161603E-13</v>
      </c>
      <c r="O136" s="13">
        <f>N136*VLOOKUP('Données projet'!$B$9,Paramètres!$A$1:$I$89,3,0)*VLOOKUP('Données projet'!$B$9,Paramètres!$A$1:$I$89,5,0)</f>
        <v>-1.0286385077051818E-13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269.19146943657933</v>
      </c>
      <c r="T136" s="59">
        <f t="shared" si="142"/>
        <v>185.94138814570965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</v>
      </c>
      <c r="AA136" s="21">
        <f>EXP(-LN(2)/25)*AA135+(1-EXP(-LN(2)/25))/(LN(2)/25)*Calculateur!V136*Calculateur!X136*VLOOKUP('Données projet'!$B$9,Paramètres!$A$1:$I$89,3,0)*0.475*44/12</f>
        <v>0.17862787187060078</v>
      </c>
      <c r="AB136" s="21">
        <f>EXP(-LN(2)/2)*AB135+(1-EXP(-LN(2)/2))/(LN(2)/2)*V136*Y136*VLOOKUP('Données projet'!$B$9,Paramètres!$A$1:$I$89,3,0)*0.475*44/12</f>
        <v>1.9435696780817354E-15</v>
      </c>
      <c r="AC136" s="22">
        <f t="shared" si="111"/>
        <v>0.17862787187060272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4.5474735088646412E-13</v>
      </c>
      <c r="AJ136" s="13">
        <f>AI136*VLOOKUP('Données projet'!$B$10,Paramètres!$A$1:$I$89,3,0)*VLOOKUP('Données projet'!$B$10,Paramètres!$A$1:$I$89,5,0)</f>
        <v>2.5420376914553347E-13</v>
      </c>
      <c r="AK136" s="13">
        <f t="shared" si="143"/>
        <v>3.4258699088369875E-12</v>
      </c>
      <c r="AL136" s="20">
        <f t="shared" si="112"/>
        <v>6.4094616558195571E-12</v>
      </c>
      <c r="AM136" s="59">
        <f t="shared" si="113"/>
        <v>293.33333333333974</v>
      </c>
      <c r="AN136" s="59">
        <f ca="1">AVERAGE(OFFSET($AM$3,0,0,'Données projet'!$E$10+1,1))-AVERAGE(OFFSET($H$3,0,0,'Données projet'!$E$10+1,1))</f>
        <v>400.34672861351783</v>
      </c>
      <c r="AO136" s="59">
        <f t="shared" si="144"/>
        <v>413.2016163204438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1.3366420561115899</v>
      </c>
      <c r="AV136" s="21">
        <f>EXP(-LN(2)/25)*AV135+(1-EXP(-LN(2)/25))/(LN(2)/25)*Calculateur!AQ136*Calculateur!AS136*VLOOKUP('Données projet'!$B$10,Paramètres!$A$1:$I$89,3,0)*0.475*44/12</f>
        <v>1.9212171588072771</v>
      </c>
      <c r="AW136" s="21">
        <f>EXP(-LN(2)/2)*AW135+(1-EXP(-LN(2)/2))/(LN(2)/2)*AQ136*AT136*VLOOKUP('Données projet'!$B$10,Paramètres!$A$1:$I$89,3,0)*0.475*44/12</f>
        <v>1.0277751296184246E-14</v>
      </c>
      <c r="AX136" s="21">
        <f t="shared" si="114"/>
        <v>3.2578592149188772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1">
        <f t="shared" si="140"/>
        <v>31.477322402212781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67">
        <f t="shared" si="110"/>
        <v>519.01412985052093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-1.1368683772161603E-13</v>
      </c>
      <c r="O137" s="13">
        <f>N137*VLOOKUP('Données projet'!$B$9,Paramètres!$A$1:$I$89,3,0)*VLOOKUP('Données projet'!$B$9,Paramètres!$A$1:$I$89,5,0)</f>
        <v>-1.0286385077051818E-13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269.19146943657933</v>
      </c>
      <c r="T137" s="59">
        <f t="shared" si="142"/>
        <v>185.94138814570965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</v>
      </c>
      <c r="AA137" s="21">
        <f>EXP(-LN(2)/25)*AA136+(1-EXP(-LN(2)/25))/(LN(2)/25)*Calculateur!V137*Calculateur!X137*VLOOKUP('Données projet'!$B$9,Paramètres!$A$1:$I$89,3,0)*0.475*44/12</f>
        <v>0.17374328332066769</v>
      </c>
      <c r="AB137" s="21">
        <f>EXP(-LN(2)/2)*AB136+(1-EXP(-LN(2)/2))/(LN(2)/2)*V137*Y137*VLOOKUP('Données projet'!$B$9,Paramètres!$A$1:$I$89,3,0)*0.475*44/12</f>
        <v>1.3743112990801503E-15</v>
      </c>
      <c r="AC137" s="22">
        <f t="shared" si="111"/>
        <v>0.17374328332066907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4.5474735088646412E-13</v>
      </c>
      <c r="AJ137" s="13">
        <f>AI137*VLOOKUP('Données projet'!$B$10,Paramètres!$A$1:$I$89,3,0)*VLOOKUP('Données projet'!$B$10,Paramètres!$A$1:$I$89,5,0)</f>
        <v>2.5420376914553347E-13</v>
      </c>
      <c r="AK137" s="13">
        <f t="shared" si="143"/>
        <v>3.4258699088369875E-12</v>
      </c>
      <c r="AL137" s="20">
        <f t="shared" si="112"/>
        <v>6.4094616558195571E-12</v>
      </c>
      <c r="AM137" s="59">
        <f t="shared" si="113"/>
        <v>293.33333333333974</v>
      </c>
      <c r="AN137" s="59">
        <f ca="1">AVERAGE(OFFSET($AM$3,0,0,'Données projet'!$E$10+1,1))-AVERAGE(OFFSET($H$3,0,0,'Données projet'!$E$10+1,1))</f>
        <v>400.34672861351783</v>
      </c>
      <c r="AO137" s="59">
        <f t="shared" si="144"/>
        <v>413.2016163204438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1.3104313206623945</v>
      </c>
      <c r="AV137" s="21">
        <f>EXP(-LN(2)/25)*AV136+(1-EXP(-LN(2)/25))/(LN(2)/25)*Calculateur!AQ137*Calculateur!AS137*VLOOKUP('Données projet'!$B$10,Paramètres!$A$1:$I$89,3,0)*0.475*44/12</f>
        <v>1.8686813745672728</v>
      </c>
      <c r="AW137" s="21">
        <f>EXP(-LN(2)/2)*AW136+(1-EXP(-LN(2)/2))/(LN(2)/2)*AQ137*AT137*VLOOKUP('Données projet'!$B$10,Paramètres!$A$1:$I$89,3,0)*0.475*44/12</f>
        <v>7.2674676368807085E-15</v>
      </c>
      <c r="AX137" s="21">
        <f t="shared" si="114"/>
        <v>3.1791126952296747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1">
        <f t="shared" si="140"/>
        <v>31.68479490489014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67">
        <f t="shared" si="110"/>
        <v>520.9241677926841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-1.1368683772161603E-13</v>
      </c>
      <c r="O138" s="13">
        <f>N138*VLOOKUP('Données projet'!$B$9,Paramètres!$A$1:$I$89,3,0)*VLOOKUP('Données projet'!$B$9,Paramètres!$A$1:$I$89,5,0)</f>
        <v>-1.0286385077051818E-13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269.19146943657933</v>
      </c>
      <c r="T138" s="59">
        <f t="shared" si="142"/>
        <v>185.94138814570965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</v>
      </c>
      <c r="AA138" s="21">
        <f>EXP(-LN(2)/25)*AA137+(1-EXP(-LN(2)/25))/(LN(2)/25)*Calculateur!V138*Calculateur!X138*VLOOKUP('Données projet'!$B$9,Paramètres!$A$1:$I$89,3,0)*0.475*44/12</f>
        <v>0.16899226410150187</v>
      </c>
      <c r="AB138" s="21">
        <f>EXP(-LN(2)/2)*AB137+(1-EXP(-LN(2)/2))/(LN(2)/2)*V138*Y138*VLOOKUP('Données projet'!$B$9,Paramètres!$A$1:$I$89,3,0)*0.475*44/12</f>
        <v>9.7178483904086771E-16</v>
      </c>
      <c r="AC138" s="22">
        <f t="shared" si="111"/>
        <v>0.16899226410150284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4.5474735088646412E-13</v>
      </c>
      <c r="AJ138" s="13">
        <f>AI138*VLOOKUP('Données projet'!$B$10,Paramètres!$A$1:$I$89,3,0)*VLOOKUP('Données projet'!$B$10,Paramètres!$A$1:$I$89,5,0)</f>
        <v>2.5420376914553347E-13</v>
      </c>
      <c r="AK138" s="13">
        <f t="shared" si="143"/>
        <v>3.4258699088369875E-12</v>
      </c>
      <c r="AL138" s="20">
        <f t="shared" si="112"/>
        <v>6.4094616558195571E-12</v>
      </c>
      <c r="AM138" s="59">
        <f t="shared" si="113"/>
        <v>293.33333333333974</v>
      </c>
      <c r="AN138" s="59">
        <f ca="1">AVERAGE(OFFSET($AM$3,0,0,'Données projet'!$E$10+1,1))-AVERAGE(OFFSET($H$3,0,0,'Données projet'!$E$10+1,1))</f>
        <v>400.34672861351783</v>
      </c>
      <c r="AO138" s="59">
        <f t="shared" si="144"/>
        <v>413.2016163204438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1.2847345617483878</v>
      </c>
      <c r="AV138" s="21">
        <f>EXP(-LN(2)/25)*AV137+(1-EXP(-LN(2)/25))/(LN(2)/25)*Calculateur!AQ138*Calculateur!AS138*VLOOKUP('Données projet'!$B$10,Paramètres!$A$1:$I$89,3,0)*0.475*44/12</f>
        <v>1.8175821841100481</v>
      </c>
      <c r="AW138" s="21">
        <f>EXP(-LN(2)/2)*AW137+(1-EXP(-LN(2)/2))/(LN(2)/2)*AQ138*AT138*VLOOKUP('Données projet'!$B$10,Paramètres!$A$1:$I$89,3,0)*0.475*44/12</f>
        <v>5.1388756480921229E-15</v>
      </c>
      <c r="AX138" s="21">
        <f t="shared" si="114"/>
        <v>3.1023167458584413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1">
        <f t="shared" si="140"/>
        <v>31.892088595533707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67">
        <f t="shared" si="110"/>
        <v>522.83389430388831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-1.1368683772161603E-13</v>
      </c>
      <c r="O139" s="13">
        <f>N139*VLOOKUP('Données projet'!$B$9,Paramètres!$A$1:$I$89,3,0)*VLOOKUP('Données projet'!$B$9,Paramètres!$A$1:$I$89,5,0)</f>
        <v>-1.0286385077051818E-13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269.19146943657933</v>
      </c>
      <c r="T139" s="59">
        <f t="shared" si="142"/>
        <v>185.94138814570965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</v>
      </c>
      <c r="AA139" s="21">
        <f>EXP(-LN(2)/25)*AA138+(1-EXP(-LN(2)/25))/(LN(2)/25)*Calculateur!V139*Calculateur!X139*VLOOKUP('Données projet'!$B$9,Paramètres!$A$1:$I$89,3,0)*0.475*44/12</f>
        <v>0.16437116175272937</v>
      </c>
      <c r="AB139" s="21">
        <f>EXP(-LN(2)/2)*AB138+(1-EXP(-LN(2)/2))/(LN(2)/2)*V139*Y139*VLOOKUP('Données projet'!$B$9,Paramètres!$A$1:$I$89,3,0)*0.475*44/12</f>
        <v>6.8715564954007516E-16</v>
      </c>
      <c r="AC139" s="22">
        <f t="shared" si="111"/>
        <v>0.16437116175273006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4.5474735088646412E-13</v>
      </c>
      <c r="AJ139" s="13">
        <f>AI139*VLOOKUP('Données projet'!$B$10,Paramètres!$A$1:$I$89,3,0)*VLOOKUP('Données projet'!$B$10,Paramètres!$A$1:$I$89,5,0)</f>
        <v>2.5420376914553347E-13</v>
      </c>
      <c r="AK139" s="13">
        <f t="shared" si="143"/>
        <v>3.4258699088369875E-12</v>
      </c>
      <c r="AL139" s="20">
        <f t="shared" si="112"/>
        <v>6.4094616558195571E-12</v>
      </c>
      <c r="AM139" s="59">
        <f t="shared" si="113"/>
        <v>293.33333333333974</v>
      </c>
      <c r="AN139" s="59">
        <f ca="1">AVERAGE(OFFSET($AM$3,0,0,'Données projet'!$E$10+1,1))-AVERAGE(OFFSET($H$3,0,0,'Données projet'!$E$10+1,1))</f>
        <v>400.34672861351783</v>
      </c>
      <c r="AO139" s="59">
        <f t="shared" si="144"/>
        <v>413.2016163204438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1.2595417006032095</v>
      </c>
      <c r="AV139" s="21">
        <f>EXP(-LN(2)/25)*AV138+(1-EXP(-LN(2)/25))/(LN(2)/25)*Calculateur!AQ139*Calculateur!AS139*VLOOKUP('Données projet'!$B$10,Paramètres!$A$1:$I$89,3,0)*0.475*44/12</f>
        <v>1.7678803037030659</v>
      </c>
      <c r="AW139" s="21">
        <f>EXP(-LN(2)/2)*AW138+(1-EXP(-LN(2)/2))/(LN(2)/2)*AQ139*AT139*VLOOKUP('Données projet'!$B$10,Paramètres!$A$1:$I$89,3,0)*0.475*44/12</f>
        <v>3.6337338184403542E-15</v>
      </c>
      <c r="AX139" s="21">
        <f t="shared" si="114"/>
        <v>3.0274220043062789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1">
        <f t="shared" si="140"/>
        <v>32.09920494137846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67">
        <f t="shared" si="110"/>
        <v>524.74331193956789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-1.1368683772161603E-13</v>
      </c>
      <c r="O140" s="13">
        <f>N140*VLOOKUP('Données projet'!$B$9,Paramètres!$A$1:$I$89,3,0)*VLOOKUP('Données projet'!$B$9,Paramètres!$A$1:$I$89,5,0)</f>
        <v>-1.0286385077051818E-13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269.19146943657933</v>
      </c>
      <c r="T140" s="59">
        <f t="shared" si="142"/>
        <v>185.94138814570965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</v>
      </c>
      <c r="AA140" s="21">
        <f>EXP(-LN(2)/25)*AA139+(1-EXP(-LN(2)/25))/(LN(2)/25)*Calculateur!V140*Calculateur!X140*VLOOKUP('Données projet'!$B$9,Paramètres!$A$1:$I$89,3,0)*0.475*44/12</f>
        <v>0.15987642369069727</v>
      </c>
      <c r="AB140" s="21">
        <f>EXP(-LN(2)/2)*AB139+(1-EXP(-LN(2)/2))/(LN(2)/2)*V140*Y140*VLOOKUP('Données projet'!$B$9,Paramètres!$A$1:$I$89,3,0)*0.475*44/12</f>
        <v>4.8589241952043386E-16</v>
      </c>
      <c r="AC140" s="22">
        <f t="shared" si="111"/>
        <v>0.15987642369069777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4.5474735088646412E-13</v>
      </c>
      <c r="AJ140" s="13">
        <f>AI140*VLOOKUP('Données projet'!$B$10,Paramètres!$A$1:$I$89,3,0)*VLOOKUP('Données projet'!$B$10,Paramètres!$A$1:$I$89,5,0)</f>
        <v>2.5420376914553347E-13</v>
      </c>
      <c r="AK140" s="13">
        <f t="shared" si="143"/>
        <v>3.4258699088369875E-12</v>
      </c>
      <c r="AL140" s="20">
        <f t="shared" si="112"/>
        <v>6.4094616558195571E-12</v>
      </c>
      <c r="AM140" s="59">
        <f t="shared" si="113"/>
        <v>293.33333333333974</v>
      </c>
      <c r="AN140" s="59">
        <f ca="1">AVERAGE(OFFSET($AM$3,0,0,'Données projet'!$E$10+1,1))-AVERAGE(OFFSET($H$3,0,0,'Données projet'!$E$10+1,1))</f>
        <v>400.34672861351783</v>
      </c>
      <c r="AO140" s="59">
        <f t="shared" si="144"/>
        <v>413.2016163204438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1.2348428560989599</v>
      </c>
      <c r="AV140" s="21">
        <f>EXP(-LN(2)/25)*AV139+(1-EXP(-LN(2)/25))/(LN(2)/25)*Calculateur!AQ140*Calculateur!AS140*VLOOKUP('Données projet'!$B$10,Paramètres!$A$1:$I$89,3,0)*0.475*44/12</f>
        <v>1.719537523829521</v>
      </c>
      <c r="AW140" s="21">
        <f>EXP(-LN(2)/2)*AW139+(1-EXP(-LN(2)/2))/(LN(2)/2)*AQ140*AT140*VLOOKUP('Données projet'!$B$10,Paramètres!$A$1:$I$89,3,0)*0.475*44/12</f>
        <v>2.5694378240460615E-15</v>
      </c>
      <c r="AX140" s="21">
        <f t="shared" si="114"/>
        <v>2.9543803799284838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1">
        <f t="shared" si="140"/>
        <v>32.306145387002346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67">
        <f t="shared" si="110"/>
        <v>526.65242321569622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-1.1368683772161603E-13</v>
      </c>
      <c r="O141" s="13">
        <f>N141*VLOOKUP('Données projet'!$B$9,Paramètres!$A$1:$I$89,3,0)*VLOOKUP('Données projet'!$B$9,Paramètres!$A$1:$I$89,5,0)</f>
        <v>-1.0286385077051818E-13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269.19146943657933</v>
      </c>
      <c r="T141" s="59">
        <f t="shared" si="142"/>
        <v>185.94138814570965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</v>
      </c>
      <c r="AA141" s="21">
        <f>EXP(-LN(2)/25)*AA140+(1-EXP(-LN(2)/25))/(LN(2)/25)*Calculateur!V141*Calculateur!X141*VLOOKUP('Données projet'!$B$9,Paramètres!$A$1:$I$89,3,0)*0.475*44/12</f>
        <v>0.15550459447733944</v>
      </c>
      <c r="AB141" s="21">
        <f>EXP(-LN(2)/2)*AB140+(1-EXP(-LN(2)/2))/(LN(2)/2)*V141*Y141*VLOOKUP('Données projet'!$B$9,Paramètres!$A$1:$I$89,3,0)*0.475*44/12</f>
        <v>3.4357782477003758E-16</v>
      </c>
      <c r="AC141" s="22">
        <f t="shared" si="111"/>
        <v>0.15550459447733977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4.5474735088646412E-13</v>
      </c>
      <c r="AJ141" s="13">
        <f>AI141*VLOOKUP('Données projet'!$B$10,Paramètres!$A$1:$I$89,3,0)*VLOOKUP('Données projet'!$B$10,Paramètres!$A$1:$I$89,5,0)</f>
        <v>2.5420376914553347E-13</v>
      </c>
      <c r="AK141" s="13">
        <f t="shared" si="143"/>
        <v>3.4258699088369875E-12</v>
      </c>
      <c r="AL141" s="20">
        <f t="shared" si="112"/>
        <v>6.4094616558195571E-12</v>
      </c>
      <c r="AM141" s="59">
        <f t="shared" si="113"/>
        <v>293.33333333333974</v>
      </c>
      <c r="AN141" s="59">
        <f ca="1">AVERAGE(OFFSET($AM$3,0,0,'Données projet'!$E$10+1,1))-AVERAGE(OFFSET($H$3,0,0,'Données projet'!$E$10+1,1))</f>
        <v>400.34672861351783</v>
      </c>
      <c r="AO141" s="59">
        <f t="shared" si="144"/>
        <v>413.2016163204438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1.2106283408706313</v>
      </c>
      <c r="AV141" s="21">
        <f>EXP(-LN(2)/25)*AV140+(1-EXP(-LN(2)/25))/(LN(2)/25)*Calculateur!AQ141*Calculateur!AS141*VLOOKUP('Données projet'!$B$10,Paramètres!$A$1:$I$89,3,0)*0.475*44/12</f>
        <v>1.6725166798138544</v>
      </c>
      <c r="AW141" s="21">
        <f>EXP(-LN(2)/2)*AW140+(1-EXP(-LN(2)/2))/(LN(2)/2)*AQ141*AT141*VLOOKUP('Données projet'!$B$10,Paramètres!$A$1:$I$89,3,0)*0.475*44/12</f>
        <v>1.8168669092201771E-15</v>
      </c>
      <c r="AX141" s="21">
        <f t="shared" si="114"/>
        <v>2.8831450206844877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1">
        <f t="shared" si="140"/>
        <v>32.512911354837613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67">
        <f t="shared" si="110"/>
        <v>528.56123060967593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-1.1368683772161603E-13</v>
      </c>
      <c r="O142" s="13">
        <f>N142*VLOOKUP('Données projet'!$B$9,Paramètres!$A$1:$I$89,3,0)*VLOOKUP('Données projet'!$B$9,Paramètres!$A$1:$I$89,5,0)</f>
        <v>-1.0286385077051818E-13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269.19146943657933</v>
      </c>
      <c r="T142" s="59">
        <f t="shared" si="142"/>
        <v>185.94138814570965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</v>
      </c>
      <c r="AA142" s="21">
        <f>EXP(-LN(2)/25)*AA141+(1-EXP(-LN(2)/25))/(LN(2)/25)*Calculateur!V142*Calculateur!X142*VLOOKUP('Données projet'!$B$9,Paramètres!$A$1:$I$89,3,0)*0.475*44/12</f>
        <v>0.15125231316372539</v>
      </c>
      <c r="AB142" s="21">
        <f>EXP(-LN(2)/2)*AB141+(1-EXP(-LN(2)/2))/(LN(2)/2)*V142*Y142*VLOOKUP('Données projet'!$B$9,Paramètres!$A$1:$I$89,3,0)*0.475*44/12</f>
        <v>2.4294620976021693E-16</v>
      </c>
      <c r="AC142" s="22">
        <f t="shared" si="111"/>
        <v>0.15125231316372564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4.5474735088646412E-13</v>
      </c>
      <c r="AJ142" s="13">
        <f>AI142*VLOOKUP('Données projet'!$B$10,Paramètres!$A$1:$I$89,3,0)*VLOOKUP('Données projet'!$B$10,Paramètres!$A$1:$I$89,5,0)</f>
        <v>2.5420376914553347E-13</v>
      </c>
      <c r="AK142" s="13">
        <f t="shared" si="143"/>
        <v>3.4258699088369875E-12</v>
      </c>
      <c r="AL142" s="20">
        <f t="shared" si="112"/>
        <v>6.4094616558195571E-12</v>
      </c>
      <c r="AM142" s="59">
        <f t="shared" si="113"/>
        <v>293.33333333333974</v>
      </c>
      <c r="AN142" s="59">
        <f ca="1">AVERAGE(OFFSET($AM$3,0,0,'Données projet'!$E$10+1,1))-AVERAGE(OFFSET($H$3,0,0,'Données projet'!$E$10+1,1))</f>
        <v>400.34672861351783</v>
      </c>
      <c r="AO142" s="59">
        <f t="shared" si="144"/>
        <v>413.2016163204438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1.1868886575165343</v>
      </c>
      <c r="AV142" s="21">
        <f>EXP(-LN(2)/25)*AV141+(1-EXP(-LN(2)/25))/(LN(2)/25)*Calculateur!AQ142*Calculateur!AS142*VLOOKUP('Données projet'!$B$10,Paramètres!$A$1:$I$89,3,0)*0.475*44/12</f>
        <v>1.626781623250515</v>
      </c>
      <c r="AW142" s="21">
        <f>EXP(-LN(2)/2)*AW141+(1-EXP(-LN(2)/2))/(LN(2)/2)*AQ142*AT142*VLOOKUP('Données projet'!$B$10,Paramètres!$A$1:$I$89,3,0)*0.475*44/12</f>
        <v>1.2847189120230307E-15</v>
      </c>
      <c r="AX142" s="21">
        <f t="shared" si="114"/>
        <v>2.8136702807670506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1">
        <f t="shared" si="140"/>
        <v>32.719504245667331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67">
        <f t="shared" si="110"/>
        <v>530.4697365612044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-1.1368683772161603E-13</v>
      </c>
      <c r="O143" s="13">
        <f>N143*VLOOKUP('Données projet'!$B$9,Paramètres!$A$1:$I$89,3,0)*VLOOKUP('Données projet'!$B$9,Paramètres!$A$1:$I$89,5,0)</f>
        <v>-1.0286385077051818E-13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269.19146943657933</v>
      </c>
      <c r="T143" s="59">
        <f t="shared" si="142"/>
        <v>185.94138814570965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</v>
      </c>
      <c r="AA143" s="21">
        <f>EXP(-LN(2)/25)*AA142+(1-EXP(-LN(2)/25))/(LN(2)/25)*Calculateur!V143*Calculateur!X143*VLOOKUP('Données projet'!$B$9,Paramètres!$A$1:$I$89,3,0)*0.475*44/12</f>
        <v>0.14711631070624986</v>
      </c>
      <c r="AB143" s="21">
        <f>EXP(-LN(2)/2)*AB142+(1-EXP(-LN(2)/2))/(LN(2)/2)*V143*Y143*VLOOKUP('Données projet'!$B$9,Paramètres!$A$1:$I$89,3,0)*0.475*44/12</f>
        <v>1.7178891238501879E-16</v>
      </c>
      <c r="AC143" s="22">
        <f t="shared" si="111"/>
        <v>0.14711631070625003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4.5474735088646412E-13</v>
      </c>
      <c r="AJ143" s="13">
        <f>AI143*VLOOKUP('Données projet'!$B$10,Paramètres!$A$1:$I$89,3,0)*VLOOKUP('Données projet'!$B$10,Paramètres!$A$1:$I$89,5,0)</f>
        <v>2.5420376914553347E-13</v>
      </c>
      <c r="AK143" s="13">
        <f t="shared" si="143"/>
        <v>3.4258699088369875E-12</v>
      </c>
      <c r="AL143" s="20">
        <f t="shared" si="112"/>
        <v>6.4094616558195571E-12</v>
      </c>
      <c r="AM143" s="59">
        <f t="shared" si="113"/>
        <v>293.33333333333974</v>
      </c>
      <c r="AN143" s="59">
        <f ca="1">AVERAGE(OFFSET($AM$3,0,0,'Données projet'!$E$10+1,1))-AVERAGE(OFFSET($H$3,0,0,'Données projet'!$E$10+1,1))</f>
        <v>400.34672861351783</v>
      </c>
      <c r="AO143" s="59">
        <f t="shared" si="144"/>
        <v>413.2016163204438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1.1636144948732339</v>
      </c>
      <c r="AV143" s="21">
        <f>EXP(-LN(2)/25)*AV142+(1-EXP(-LN(2)/25))/(LN(2)/25)*Calculateur!AQ143*Calculateur!AS143*VLOOKUP('Données projet'!$B$10,Paramètres!$A$1:$I$89,3,0)*0.475*44/12</f>
        <v>1.5822971942140023</v>
      </c>
      <c r="AW143" s="21">
        <f>EXP(-LN(2)/2)*AW142+(1-EXP(-LN(2)/2))/(LN(2)/2)*AQ143*AT143*VLOOKUP('Données projet'!$B$10,Paramètres!$A$1:$I$89,3,0)*0.475*44/12</f>
        <v>9.0843345461008856E-16</v>
      </c>
      <c r="AX143" s="21">
        <f t="shared" si="114"/>
        <v>2.745911689087237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1">
        <f t="shared" si="140"/>
        <v>32.925925439106905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67">
        <f t="shared" si="110"/>
        <v>532.3779434731116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-1.1368683772161603E-13</v>
      </c>
      <c r="O144" s="13">
        <f>N144*VLOOKUP('Données projet'!$B$9,Paramètres!$A$1:$I$89,3,0)*VLOOKUP('Données projet'!$B$9,Paramètres!$A$1:$I$89,5,0)</f>
        <v>-1.0286385077051818E-13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269.19146943657933</v>
      </c>
      <c r="T144" s="59">
        <f t="shared" si="142"/>
        <v>185.94138814570965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</v>
      </c>
      <c r="AA144" s="21">
        <f>EXP(-LN(2)/25)*AA143+(1-EXP(-LN(2)/25))/(LN(2)/25)*Calculateur!V144*Calculateur!X144*VLOOKUP('Données projet'!$B$9,Paramètres!$A$1:$I$89,3,0)*0.475*44/12</f>
        <v>0.14309340745347693</v>
      </c>
      <c r="AB144" s="21">
        <f>EXP(-LN(2)/2)*AB143+(1-EXP(-LN(2)/2))/(LN(2)/2)*V144*Y144*VLOOKUP('Données projet'!$B$9,Paramètres!$A$1:$I$89,3,0)*0.475*44/12</f>
        <v>1.2147310488010846E-16</v>
      </c>
      <c r="AC144" s="22">
        <f t="shared" si="111"/>
        <v>0.14309340745347704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4.5474735088646412E-13</v>
      </c>
      <c r="AJ144" s="13">
        <f>AI144*VLOOKUP('Données projet'!$B$10,Paramètres!$A$1:$I$89,3,0)*VLOOKUP('Données projet'!$B$10,Paramètres!$A$1:$I$89,5,0)</f>
        <v>2.5420376914553347E-13</v>
      </c>
      <c r="AK144" s="13">
        <f t="shared" si="143"/>
        <v>3.4258699088369875E-12</v>
      </c>
      <c r="AL144" s="20">
        <f t="shared" si="112"/>
        <v>6.4094616558195571E-12</v>
      </c>
      <c r="AM144" s="59">
        <f t="shared" si="113"/>
        <v>293.33333333333974</v>
      </c>
      <c r="AN144" s="59">
        <f ca="1">AVERAGE(OFFSET($AM$3,0,0,'Données projet'!$E$10+1,1))-AVERAGE(OFFSET($H$3,0,0,'Données projet'!$E$10+1,1))</f>
        <v>400.34672861351783</v>
      </c>
      <c r="AO144" s="59">
        <f t="shared" si="144"/>
        <v>413.2016163204438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1.1407967243635311</v>
      </c>
      <c r="AV144" s="21">
        <f>EXP(-LN(2)/25)*AV143+(1-EXP(-LN(2)/25))/(LN(2)/25)*Calculateur!AQ144*Calculateur!AS144*VLOOKUP('Données projet'!$B$10,Paramètres!$A$1:$I$89,3,0)*0.475*44/12</f>
        <v>1.5390291942288272</v>
      </c>
      <c r="AW144" s="21">
        <f>EXP(-LN(2)/2)*AW143+(1-EXP(-LN(2)/2))/(LN(2)/2)*AQ144*AT144*VLOOKUP('Données projet'!$B$10,Paramètres!$A$1:$I$89,3,0)*0.475*44/12</f>
        <v>6.4235945601151537E-16</v>
      </c>
      <c r="AX144" s="21">
        <f t="shared" si="114"/>
        <v>2.6798259185923587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1">
        <f t="shared" si="140"/>
        <v>33.132176294071868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67">
        <f t="shared" si="110"/>
        <v>534.28585371217559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-1.1368683772161603E-13</v>
      </c>
      <c r="O145" s="13">
        <f>N145*VLOOKUP('Données projet'!$B$9,Paramètres!$A$1:$I$89,3,0)*VLOOKUP('Données projet'!$B$9,Paramètres!$A$1:$I$89,5,0)</f>
        <v>-1.0286385077051818E-13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269.19146943657933</v>
      </c>
      <c r="T145" s="59">
        <f t="shared" si="142"/>
        <v>185.94138814570965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</v>
      </c>
      <c r="AA145" s="21">
        <f>EXP(-LN(2)/25)*AA144+(1-EXP(-LN(2)/25))/(LN(2)/25)*Calculateur!V145*Calculateur!X145*VLOOKUP('Données projet'!$B$9,Paramètres!$A$1:$I$89,3,0)*0.475*44/12</f>
        <v>0.13918051070170634</v>
      </c>
      <c r="AB145" s="21">
        <f>EXP(-LN(2)/2)*AB144+(1-EXP(-LN(2)/2))/(LN(2)/2)*V145*Y145*VLOOKUP('Données projet'!$B$9,Paramètres!$A$1:$I$89,3,0)*0.475*44/12</f>
        <v>8.5894456192509395E-17</v>
      </c>
      <c r="AC145" s="22">
        <f t="shared" si="111"/>
        <v>0.13918051070170642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4.5474735088646412E-13</v>
      </c>
      <c r="AJ145" s="13">
        <f>AI145*VLOOKUP('Données projet'!$B$10,Paramètres!$A$1:$I$89,3,0)*VLOOKUP('Données projet'!$B$10,Paramètres!$A$1:$I$89,5,0)</f>
        <v>2.5420376914553347E-13</v>
      </c>
      <c r="AK145" s="13">
        <f t="shared" si="143"/>
        <v>3.4258699088369875E-12</v>
      </c>
      <c r="AL145" s="20">
        <f t="shared" si="112"/>
        <v>6.4094616558195571E-12</v>
      </c>
      <c r="AM145" s="59">
        <f t="shared" si="113"/>
        <v>293.33333333333974</v>
      </c>
      <c r="AN145" s="59">
        <f ca="1">AVERAGE(OFFSET($AM$3,0,0,'Données projet'!$E$10+1,1))-AVERAGE(OFFSET($H$3,0,0,'Données projet'!$E$10+1,1))</f>
        <v>400.34672861351783</v>
      </c>
      <c r="AO145" s="59">
        <f t="shared" si="144"/>
        <v>413.2016163204438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1.1184263964160579</v>
      </c>
      <c r="AV145" s="21">
        <f>EXP(-LN(2)/25)*AV144+(1-EXP(-LN(2)/25))/(LN(2)/25)*Calculateur!AQ145*Calculateur!AS145*VLOOKUP('Données projet'!$B$10,Paramètres!$A$1:$I$89,3,0)*0.475*44/12</f>
        <v>1.4969443599786121</v>
      </c>
      <c r="AW145" s="21">
        <f>EXP(-LN(2)/2)*AW144+(1-EXP(-LN(2)/2))/(LN(2)/2)*AQ145*AT145*VLOOKUP('Données projet'!$B$10,Paramètres!$A$1:$I$89,3,0)*0.475*44/12</f>
        <v>4.5421672730504428E-16</v>
      </c>
      <c r="AX145" s="21">
        <f t="shared" si="114"/>
        <v>2.6153707563946704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1">
        <f t="shared" si="140"/>
        <v>33.33825814923194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67">
        <f t="shared" si="110"/>
        <v>536.19346960991265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-1.1368683772161603E-13</v>
      </c>
      <c r="O146" s="13">
        <f>N146*VLOOKUP('Données projet'!$B$9,Paramètres!$A$1:$I$89,3,0)*VLOOKUP('Données projet'!$B$9,Paramètres!$A$1:$I$89,5,0)</f>
        <v>-1.0286385077051818E-13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269.19146943657933</v>
      </c>
      <c r="T146" s="59">
        <f t="shared" si="142"/>
        <v>185.94138814570965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</v>
      </c>
      <c r="AA146" s="21">
        <f>EXP(-LN(2)/25)*AA145+(1-EXP(-LN(2)/25))/(LN(2)/25)*Calculateur!V146*Calculateur!X146*VLOOKUP('Données projet'!$B$9,Paramètres!$A$1:$I$89,3,0)*0.475*44/12</f>
        <v>0.13537461231738324</v>
      </c>
      <c r="AB146" s="21">
        <f>EXP(-LN(2)/2)*AB145+(1-EXP(-LN(2)/2))/(LN(2)/2)*V146*Y146*VLOOKUP('Données projet'!$B$9,Paramètres!$A$1:$I$89,3,0)*0.475*44/12</f>
        <v>6.0736552440054232E-17</v>
      </c>
      <c r="AC146" s="22">
        <f t="shared" si="111"/>
        <v>0.13537461231738329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4.5474735088646412E-13</v>
      </c>
      <c r="AJ146" s="13">
        <f>AI146*VLOOKUP('Données projet'!$B$10,Paramètres!$A$1:$I$89,3,0)*VLOOKUP('Données projet'!$B$10,Paramètres!$A$1:$I$89,5,0)</f>
        <v>2.5420376914553347E-13</v>
      </c>
      <c r="AK146" s="13">
        <f t="shared" si="143"/>
        <v>3.4258699088369875E-12</v>
      </c>
      <c r="AL146" s="20">
        <f t="shared" si="112"/>
        <v>6.4094616558195571E-12</v>
      </c>
      <c r="AM146" s="59">
        <f t="shared" si="113"/>
        <v>293.33333333333974</v>
      </c>
      <c r="AN146" s="59">
        <f ca="1">AVERAGE(OFFSET($AM$3,0,0,'Données projet'!$E$10+1,1))-AVERAGE(OFFSET($H$3,0,0,'Données projet'!$E$10+1,1))</f>
        <v>400.34672861351783</v>
      </c>
      <c r="AO146" s="59">
        <f t="shared" si="144"/>
        <v>413.2016163204438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1.0964947369550819</v>
      </c>
      <c r="AV146" s="21">
        <f>EXP(-LN(2)/25)*AV145+(1-EXP(-LN(2)/25))/(LN(2)/25)*Calculateur!AQ146*Calculateur!AS146*VLOOKUP('Données projet'!$B$10,Paramètres!$A$1:$I$89,3,0)*0.475*44/12</f>
        <v>1.4560103377341143</v>
      </c>
      <c r="AW146" s="21">
        <f>EXP(-LN(2)/2)*AW145+(1-EXP(-LN(2)/2))/(LN(2)/2)*AQ146*AT146*VLOOKUP('Données projet'!$B$10,Paramètres!$A$1:$I$89,3,0)*0.475*44/12</f>
        <v>3.2117972800575768E-16</v>
      </c>
      <c r="AX146" s="21">
        <f t="shared" si="114"/>
        <v>2.5525050746891966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1">
        <f t="shared" si="140"/>
        <v>33.544172323452237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67">
        <f t="shared" si="110"/>
        <v>538.10079346334646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-1.1368683772161603E-13</v>
      </c>
      <c r="O147" s="13">
        <f>N147*VLOOKUP('Données projet'!$B$9,Paramètres!$A$1:$I$89,3,0)*VLOOKUP('Données projet'!$B$9,Paramètres!$A$1:$I$89,5,0)</f>
        <v>-1.0286385077051818E-13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269.19146943657933</v>
      </c>
      <c r="T147" s="59">
        <f t="shared" si="142"/>
        <v>185.94138814570965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</v>
      </c>
      <c r="AA147" s="21">
        <f>EXP(-LN(2)/25)*AA146+(1-EXP(-LN(2)/25))/(LN(2)/25)*Calculateur!V147*Calculateur!X147*VLOOKUP('Données projet'!$B$9,Paramètres!$A$1:$I$89,3,0)*0.475*44/12</f>
        <v>0.13167278642452293</v>
      </c>
      <c r="AB147" s="21">
        <f>EXP(-LN(2)/2)*AB146+(1-EXP(-LN(2)/2))/(LN(2)/2)*V147*Y147*VLOOKUP('Données projet'!$B$9,Paramètres!$A$1:$I$89,3,0)*0.475*44/12</f>
        <v>4.2947228096254698E-17</v>
      </c>
      <c r="AC147" s="22">
        <f t="shared" si="111"/>
        <v>0.13167278642452299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4.5474735088646412E-13</v>
      </c>
      <c r="AJ147" s="13">
        <f>AI147*VLOOKUP('Données projet'!$B$10,Paramètres!$A$1:$I$89,3,0)*VLOOKUP('Données projet'!$B$10,Paramètres!$A$1:$I$89,5,0)</f>
        <v>2.5420376914553347E-13</v>
      </c>
      <c r="AK147" s="13">
        <f t="shared" si="143"/>
        <v>3.4258699088369875E-12</v>
      </c>
      <c r="AL147" s="20">
        <f t="shared" si="112"/>
        <v>6.4094616558195571E-12</v>
      </c>
      <c r="AM147" s="59">
        <f t="shared" si="113"/>
        <v>293.33333333333974</v>
      </c>
      <c r="AN147" s="59">
        <f ca="1">AVERAGE(OFFSET($AM$3,0,0,'Données projet'!$E$10+1,1))-AVERAGE(OFFSET($H$3,0,0,'Données projet'!$E$10+1,1))</f>
        <v>400.34672861351783</v>
      </c>
      <c r="AO147" s="59">
        <f t="shared" si="144"/>
        <v>413.2016163204438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1.0749931439591442</v>
      </c>
      <c r="AV147" s="21">
        <f>EXP(-LN(2)/25)*AV146+(1-EXP(-LN(2)/25))/(LN(2)/25)*Calculateur!AQ147*Calculateur!AS147*VLOOKUP('Données projet'!$B$10,Paramètres!$A$1:$I$89,3,0)*0.475*44/12</f>
        <v>1.4161956584805191</v>
      </c>
      <c r="AW147" s="21">
        <f>EXP(-LN(2)/2)*AW146+(1-EXP(-LN(2)/2))/(LN(2)/2)*AQ147*AT147*VLOOKUP('Données projet'!$B$10,Paramètres!$A$1:$I$89,3,0)*0.475*44/12</f>
        <v>2.2710836365252214E-16</v>
      </c>
      <c r="AX147" s="21">
        <f t="shared" si="114"/>
        <v>2.4911888024396638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1">
        <f t="shared" si="140"/>
        <v>33.749920116221446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67">
        <f t="shared" si="110"/>
        <v>540.00782753575277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-1.1368683772161603E-13</v>
      </c>
      <c r="O148" s="13">
        <f>N148*VLOOKUP('Données projet'!$B$9,Paramètres!$A$1:$I$89,3,0)*VLOOKUP('Données projet'!$B$9,Paramètres!$A$1:$I$89,5,0)</f>
        <v>-1.0286385077051818E-13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269.19146943657933</v>
      </c>
      <c r="T148" s="59">
        <f t="shared" si="142"/>
        <v>185.94138814570965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</v>
      </c>
      <c r="AA148" s="21">
        <f>EXP(-LN(2)/25)*AA147+(1-EXP(-LN(2)/25))/(LN(2)/25)*Calculateur!V148*Calculateur!X148*VLOOKUP('Données projet'!$B$9,Paramètres!$A$1:$I$89,3,0)*0.475*44/12</f>
        <v>0.12807218715537347</v>
      </c>
      <c r="AB148" s="21">
        <f>EXP(-LN(2)/2)*AB147+(1-EXP(-LN(2)/2))/(LN(2)/2)*V148*Y148*VLOOKUP('Données projet'!$B$9,Paramètres!$A$1:$I$89,3,0)*0.475*44/12</f>
        <v>3.0368276220027116E-17</v>
      </c>
      <c r="AC148" s="22">
        <f t="shared" si="111"/>
        <v>0.1280721871553735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4.5474735088646412E-13</v>
      </c>
      <c r="AJ148" s="13">
        <f>AI148*VLOOKUP('Données projet'!$B$10,Paramètres!$A$1:$I$89,3,0)*VLOOKUP('Données projet'!$B$10,Paramètres!$A$1:$I$89,5,0)</f>
        <v>2.5420376914553347E-13</v>
      </c>
      <c r="AK148" s="13">
        <f t="shared" si="143"/>
        <v>3.4258699088369875E-12</v>
      </c>
      <c r="AL148" s="20">
        <f t="shared" si="112"/>
        <v>6.4094616558195571E-12</v>
      </c>
      <c r="AM148" s="59">
        <f t="shared" si="113"/>
        <v>293.33333333333974</v>
      </c>
      <c r="AN148" s="59">
        <f ca="1">AVERAGE(OFFSET($AM$3,0,0,'Données projet'!$E$10+1,1))-AVERAGE(OFFSET($H$3,0,0,'Données projet'!$E$10+1,1))</f>
        <v>400.34672861351783</v>
      </c>
      <c r="AO148" s="59">
        <f t="shared" si="144"/>
        <v>413.2016163204438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1.05391318408718</v>
      </c>
      <c r="AV148" s="21">
        <f>EXP(-LN(2)/25)*AV147+(1-EXP(-LN(2)/25))/(LN(2)/25)*Calculateur!AQ148*Calculateur!AS148*VLOOKUP('Données projet'!$B$10,Paramètres!$A$1:$I$89,3,0)*0.475*44/12</f>
        <v>1.3774697137248764</v>
      </c>
      <c r="AW148" s="21">
        <f>EXP(-LN(2)/2)*AW147+(1-EXP(-LN(2)/2))/(LN(2)/2)*AQ148*AT148*VLOOKUP('Données projet'!$B$10,Paramètres!$A$1:$I$89,3,0)*0.475*44/12</f>
        <v>1.6058986400287884E-16</v>
      </c>
      <c r="AX148" s="21">
        <f t="shared" si="114"/>
        <v>2.4313828978120564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1">
        <f t="shared" si="140"/>
        <v>33.955502808068339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67">
        <f t="shared" si="110"/>
        <v>541.91457405738606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-1.1368683772161603E-13</v>
      </c>
      <c r="O149" s="13">
        <f>N149*VLOOKUP('Données projet'!$B$9,Paramètres!$A$1:$I$89,3,0)*VLOOKUP('Données projet'!$B$9,Paramètres!$A$1:$I$89,5,0)</f>
        <v>-1.0286385077051818E-13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269.19146943657933</v>
      </c>
      <c r="T149" s="59">
        <f t="shared" si="142"/>
        <v>185.94138814570965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</v>
      </c>
      <c r="AA149" s="21">
        <f>EXP(-LN(2)/25)*AA148+(1-EXP(-LN(2)/25))/(LN(2)/25)*Calculateur!V149*Calculateur!X149*VLOOKUP('Données projet'!$B$9,Paramètres!$A$1:$I$89,3,0)*0.475*44/12</f>
        <v>0.12457004646258617</v>
      </c>
      <c r="AB149" s="21">
        <f>EXP(-LN(2)/2)*AB148+(1-EXP(-LN(2)/2))/(LN(2)/2)*V149*Y149*VLOOKUP('Données projet'!$B$9,Paramètres!$A$1:$I$89,3,0)*0.475*44/12</f>
        <v>2.1473614048127349E-17</v>
      </c>
      <c r="AC149" s="22">
        <f t="shared" si="111"/>
        <v>0.1245700464625862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4.5474735088646412E-13</v>
      </c>
      <c r="AJ149" s="13">
        <f>AI149*VLOOKUP('Données projet'!$B$10,Paramètres!$A$1:$I$89,3,0)*VLOOKUP('Données projet'!$B$10,Paramètres!$A$1:$I$89,5,0)</f>
        <v>2.5420376914553347E-13</v>
      </c>
      <c r="AK149" s="13">
        <f t="shared" si="143"/>
        <v>3.4258699088369875E-12</v>
      </c>
      <c r="AL149" s="20">
        <f t="shared" si="112"/>
        <v>6.4094616558195571E-12</v>
      </c>
      <c r="AM149" s="59">
        <f t="shared" si="113"/>
        <v>293.33333333333974</v>
      </c>
      <c r="AN149" s="59">
        <f ca="1">AVERAGE(OFFSET($AM$3,0,0,'Données projet'!$E$10+1,1))-AVERAGE(OFFSET($H$3,0,0,'Données projet'!$E$10+1,1))</f>
        <v>400.34672861351783</v>
      </c>
      <c r="AO149" s="59">
        <f t="shared" si="144"/>
        <v>413.2016163204438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1.0332465893707992</v>
      </c>
      <c r="AV149" s="21">
        <f>EXP(-LN(2)/25)*AV148+(1-EXP(-LN(2)/25))/(LN(2)/25)*Calculateur!AQ149*Calculateur!AS149*VLOOKUP('Données projet'!$B$10,Paramètres!$A$1:$I$89,3,0)*0.475*44/12</f>
        <v>1.3398027319650856</v>
      </c>
      <c r="AW149" s="21">
        <f>EXP(-LN(2)/2)*AW148+(1-EXP(-LN(2)/2))/(LN(2)/2)*AQ149*AT149*VLOOKUP('Données projet'!$B$10,Paramètres!$A$1:$I$89,3,0)*0.475*44/12</f>
        <v>1.1355418182626107E-16</v>
      </c>
      <c r="AX149" s="21">
        <f t="shared" si="114"/>
        <v>2.373049321335885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1">
        <f t="shared" si="140"/>
        <v>34.160921660966174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67">
        <f t="shared" si="110"/>
        <v>543.82103522618308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-1.1368683772161603E-13</v>
      </c>
      <c r="O150" s="13">
        <f>N150*VLOOKUP('Données projet'!$B$9,Paramètres!$A$1:$I$89,3,0)*VLOOKUP('Données projet'!$B$9,Paramètres!$A$1:$I$89,5,0)</f>
        <v>-1.0286385077051818E-13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269.19146943657933</v>
      </c>
      <c r="T150" s="59">
        <f t="shared" si="142"/>
        <v>185.94138814570965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</v>
      </c>
      <c r="AA150" s="21">
        <f>EXP(-LN(2)/25)*AA149+(1-EXP(-LN(2)/25))/(LN(2)/25)*Calculateur!V150*Calculateur!X150*VLOOKUP('Données projet'!$B$9,Paramètres!$A$1:$I$89,3,0)*0.475*44/12</f>
        <v>0.12116367199121271</v>
      </c>
      <c r="AB150" s="21">
        <f>EXP(-LN(2)/2)*AB149+(1-EXP(-LN(2)/2))/(LN(2)/2)*V150*Y150*VLOOKUP('Données projet'!$B$9,Paramètres!$A$1:$I$89,3,0)*0.475*44/12</f>
        <v>1.5184138110013558E-17</v>
      </c>
      <c r="AC150" s="22">
        <f t="shared" si="111"/>
        <v>0.12116367199121272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4.5474735088646412E-13</v>
      </c>
      <c r="AJ150" s="13">
        <f>AI150*VLOOKUP('Données projet'!$B$10,Paramètres!$A$1:$I$89,3,0)*VLOOKUP('Données projet'!$B$10,Paramètres!$A$1:$I$89,5,0)</f>
        <v>2.5420376914553347E-13</v>
      </c>
      <c r="AK150" s="13">
        <f t="shared" si="143"/>
        <v>3.4258699088369875E-12</v>
      </c>
      <c r="AL150" s="20">
        <f t="shared" si="112"/>
        <v>6.4094616558195571E-12</v>
      </c>
      <c r="AM150" s="59">
        <f t="shared" si="113"/>
        <v>293.33333333333974</v>
      </c>
      <c r="AN150" s="59">
        <f ca="1">AVERAGE(OFFSET($AM$3,0,0,'Données projet'!$E$10+1,1))-AVERAGE(OFFSET($H$3,0,0,'Données projet'!$E$10+1,1))</f>
        <v>400.34672861351783</v>
      </c>
      <c r="AO150" s="59">
        <f t="shared" si="144"/>
        <v>413.2016163204438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1.0129852539714284</v>
      </c>
      <c r="AV150" s="21">
        <f>EXP(-LN(2)/25)*AV149+(1-EXP(-LN(2)/25))/(LN(2)/25)*Calculateur!AQ150*Calculateur!AS150*VLOOKUP('Données projet'!$B$10,Paramètres!$A$1:$I$89,3,0)*0.475*44/12</f>
        <v>1.3031657558023368</v>
      </c>
      <c r="AW150" s="21">
        <f>EXP(-LN(2)/2)*AW149+(1-EXP(-LN(2)/2))/(LN(2)/2)*AQ150*AT150*VLOOKUP('Données projet'!$B$10,Paramètres!$A$1:$I$89,3,0)*0.475*44/12</f>
        <v>8.0294932001439421E-17</v>
      </c>
      <c r="AX150" s="21">
        <f t="shared" si="114"/>
        <v>2.3161510097737654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1">
        <f t="shared" si="140"/>
        <v>34.366177918726152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67">
        <f t="shared" si="110"/>
        <v>545.72721320844835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-1.1368683772161603E-13</v>
      </c>
      <c r="O151" s="13">
        <f>N151*VLOOKUP('Données projet'!$B$9,Paramètres!$A$1:$I$89,3,0)*VLOOKUP('Données projet'!$B$9,Paramètres!$A$1:$I$89,5,0)</f>
        <v>-1.0286385077051818E-13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269.19146943657933</v>
      </c>
      <c r="T151" s="59">
        <f t="shared" si="142"/>
        <v>185.94138814570965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</v>
      </c>
      <c r="AA151" s="21">
        <f>EXP(-LN(2)/25)*AA150+(1-EXP(-LN(2)/25))/(LN(2)/25)*Calculateur!V151*Calculateur!X151*VLOOKUP('Données projet'!$B$9,Paramètres!$A$1:$I$89,3,0)*0.475*44/12</f>
        <v>0.11785044500889241</v>
      </c>
      <c r="AB151" s="21">
        <f>EXP(-LN(2)/2)*AB150+(1-EXP(-LN(2)/2))/(LN(2)/2)*V151*Y151*VLOOKUP('Données projet'!$B$9,Paramètres!$A$1:$I$89,3,0)*0.475*44/12</f>
        <v>1.0736807024063674E-17</v>
      </c>
      <c r="AC151" s="22">
        <f t="shared" si="111"/>
        <v>0.11785044500889243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4.5474735088646412E-13</v>
      </c>
      <c r="AJ151" s="13">
        <f>AI151*VLOOKUP('Données projet'!$B$10,Paramètres!$A$1:$I$89,3,0)*VLOOKUP('Données projet'!$B$10,Paramètres!$A$1:$I$89,5,0)</f>
        <v>2.5420376914553347E-13</v>
      </c>
      <c r="AK151" s="13">
        <f t="shared" si="143"/>
        <v>3.4258699088369875E-12</v>
      </c>
      <c r="AL151" s="20">
        <f t="shared" si="112"/>
        <v>6.4094616558195571E-12</v>
      </c>
      <c r="AM151" s="59">
        <f t="shared" si="113"/>
        <v>293.33333333333974</v>
      </c>
      <c r="AN151" s="59">
        <f ca="1">AVERAGE(OFFSET($AM$3,0,0,'Données projet'!$E$10+1,1))-AVERAGE(OFFSET($H$3,0,0,'Données projet'!$E$10+1,1))</f>
        <v>400.34672861351783</v>
      </c>
      <c r="AO151" s="59">
        <f t="shared" si="144"/>
        <v>413.2016163204438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0.99312123100104499</v>
      </c>
      <c r="AV151" s="21">
        <f>EXP(-LN(2)/25)*AV150+(1-EXP(-LN(2)/25))/(LN(2)/25)*Calculateur!AQ151*Calculateur!AS151*VLOOKUP('Données projet'!$B$10,Paramètres!$A$1:$I$89,3,0)*0.475*44/12</f>
        <v>1.2675306196794132</v>
      </c>
      <c r="AW151" s="21">
        <f>EXP(-LN(2)/2)*AW150+(1-EXP(-LN(2)/2))/(LN(2)/2)*AQ151*AT151*VLOOKUP('Données projet'!$B$10,Paramètres!$A$1:$I$89,3,0)*0.475*44/12</f>
        <v>5.6777090913130535E-17</v>
      </c>
      <c r="AX151" s="21">
        <f t="shared" si="114"/>
        <v>2.2606518506804583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1">
        <f t="shared" si="140"/>
        <v>34.571272807379401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67">
        <f t="shared" si="110"/>
        <v>547.63311013951943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-1.1368683772161603E-13</v>
      </c>
      <c r="O152" s="13">
        <f>N152*VLOOKUP('Données projet'!$B$9,Paramètres!$A$1:$I$89,3,0)*VLOOKUP('Données projet'!$B$9,Paramètres!$A$1:$I$89,5,0)</f>
        <v>-1.0286385077051818E-13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269.19146943657933</v>
      </c>
      <c r="T152" s="59">
        <f t="shared" si="142"/>
        <v>185.94138814570965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</v>
      </c>
      <c r="AA152" s="21">
        <f>EXP(-LN(2)/25)*AA151+(1-EXP(-LN(2)/25))/(LN(2)/25)*Calculateur!V152*Calculateur!X152*VLOOKUP('Données projet'!$B$9,Paramètres!$A$1:$I$89,3,0)*0.475*44/12</f>
        <v>0.11462781839263869</v>
      </c>
      <c r="AB152" s="21">
        <f>EXP(-LN(2)/2)*AB151+(1-EXP(-LN(2)/2))/(LN(2)/2)*V152*Y152*VLOOKUP('Données projet'!$B$9,Paramètres!$A$1:$I$89,3,0)*0.475*44/12</f>
        <v>7.592069055006779E-18</v>
      </c>
      <c r="AC152" s="22">
        <f t="shared" si="111"/>
        <v>0.11462781839263871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4.5474735088646412E-13</v>
      </c>
      <c r="AJ152" s="13">
        <f>AI152*VLOOKUP('Données projet'!$B$10,Paramètres!$A$1:$I$89,3,0)*VLOOKUP('Données projet'!$B$10,Paramètres!$A$1:$I$89,5,0)</f>
        <v>2.5420376914553347E-13</v>
      </c>
      <c r="AK152" s="13">
        <f t="shared" si="143"/>
        <v>3.4258699088369875E-12</v>
      </c>
      <c r="AL152" s="20">
        <f t="shared" si="112"/>
        <v>6.4094616558195571E-12</v>
      </c>
      <c r="AM152" s="59">
        <f t="shared" si="113"/>
        <v>293.33333333333974</v>
      </c>
      <c r="AN152" s="59">
        <f ca="1">AVERAGE(OFFSET($AM$3,0,0,'Données projet'!$E$10+1,1))-AVERAGE(OFFSET($H$3,0,0,'Données projet'!$E$10+1,1))</f>
        <v>400.34672861351783</v>
      </c>
      <c r="AO152" s="59">
        <f t="shared" si="144"/>
        <v>413.2016163204438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0.9736467294052531</v>
      </c>
      <c r="AV152" s="21">
        <f>EXP(-LN(2)/25)*AV151+(1-EXP(-LN(2)/25))/(LN(2)/25)*Calculateur!AQ152*Calculateur!AS152*VLOOKUP('Données projet'!$B$10,Paramètres!$A$1:$I$89,3,0)*0.475*44/12</f>
        <v>1.2328699282277413</v>
      </c>
      <c r="AW152" s="21">
        <f>EXP(-LN(2)/2)*AW151+(1-EXP(-LN(2)/2))/(LN(2)/2)*AQ152*AT152*VLOOKUP('Données projet'!$B$10,Paramètres!$A$1:$I$89,3,0)*0.475*44/12</f>
        <v>4.014746600071971E-17</v>
      </c>
      <c r="AX152" s="21">
        <f t="shared" si="114"/>
        <v>2.2065166576329944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1">
        <f t="shared" si="140"/>
        <v>34.776207535549027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67">
        <f t="shared" si="110"/>
        <v>549.53872812441477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-1.1368683772161603E-13</v>
      </c>
      <c r="O153" s="13">
        <f>N153*VLOOKUP('Données projet'!$B$9,Paramètres!$A$1:$I$89,3,0)*VLOOKUP('Données projet'!$B$9,Paramètres!$A$1:$I$89,5,0)</f>
        <v>-1.0286385077051818E-13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269.19146943657933</v>
      </c>
      <c r="T153" s="59">
        <f t="shared" si="142"/>
        <v>185.94138814570965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</v>
      </c>
      <c r="AA153" s="21">
        <f>EXP(-LN(2)/25)*AA152+(1-EXP(-LN(2)/25))/(LN(2)/25)*Calculateur!V153*Calculateur!X153*VLOOKUP('Données projet'!$B$9,Paramètres!$A$1:$I$89,3,0)*0.475*44/12</f>
        <v>0.111493314670677</v>
      </c>
      <c r="AB153" s="21">
        <f>EXP(-LN(2)/2)*AB152+(1-EXP(-LN(2)/2))/(LN(2)/2)*V153*Y153*VLOOKUP('Données projet'!$B$9,Paramètres!$A$1:$I$89,3,0)*0.475*44/12</f>
        <v>5.3684035120318372E-18</v>
      </c>
      <c r="AC153" s="22">
        <f t="shared" si="111"/>
        <v>0.111493314670677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4.5474735088646412E-13</v>
      </c>
      <c r="AJ153" s="13">
        <f>AI153*VLOOKUP('Données projet'!$B$10,Paramètres!$A$1:$I$89,3,0)*VLOOKUP('Données projet'!$B$10,Paramètres!$A$1:$I$89,5,0)</f>
        <v>2.5420376914553347E-13</v>
      </c>
      <c r="AK153" s="13">
        <f t="shared" si="143"/>
        <v>3.4258699088369875E-12</v>
      </c>
      <c r="AL153" s="20">
        <f t="shared" si="112"/>
        <v>6.4094616558195571E-12</v>
      </c>
      <c r="AM153" s="59">
        <f t="shared" si="113"/>
        <v>293.33333333333974</v>
      </c>
      <c r="AN153" s="59">
        <f ca="1">AVERAGE(OFFSET($AM$3,0,0,'Données projet'!$E$10+1,1))-AVERAGE(OFFSET($H$3,0,0,'Données projet'!$E$10+1,1))</f>
        <v>400.34672861351783</v>
      </c>
      <c r="AO153" s="59">
        <f t="shared" si="144"/>
        <v>413.2016163204438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0.95455411090748166</v>
      </c>
      <c r="AV153" s="21">
        <f>EXP(-LN(2)/25)*AV152+(1-EXP(-LN(2)/25))/(LN(2)/25)*Calculateur!AQ153*Calculateur!AS153*VLOOKUP('Données projet'!$B$10,Paramètres!$A$1:$I$89,3,0)*0.475*44/12</f>
        <v>1.1991570352065419</v>
      </c>
      <c r="AW153" s="21">
        <f>EXP(-LN(2)/2)*AW152+(1-EXP(-LN(2)/2))/(LN(2)/2)*AQ153*AT153*VLOOKUP('Données projet'!$B$10,Paramètres!$A$1:$I$89,3,0)*0.475*44/12</f>
        <v>2.8388545456565267E-17</v>
      </c>
      <c r="AX153" s="21">
        <f t="shared" si="114"/>
        <v>2.1537111461140235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1">
        <f t="shared" si="140"/>
        <v>34.980983294811438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67">
        <f t="shared" si="110"/>
        <v>551.4440692384635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-1.1368683772161603E-13</v>
      </c>
      <c r="O154" s="13">
        <f>N154*VLOOKUP('Données projet'!$B$9,Paramètres!$A$1:$I$89,3,0)*VLOOKUP('Données projet'!$B$9,Paramètres!$A$1:$I$89,5,0)</f>
        <v>-1.0286385077051818E-13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269.19146943657933</v>
      </c>
      <c r="T154" s="59">
        <f t="shared" si="142"/>
        <v>185.94138814570965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</v>
      </c>
      <c r="AA154" s="21">
        <f>EXP(-LN(2)/25)*AA153+(1-EXP(-LN(2)/25))/(LN(2)/25)*Calculateur!V154*Calculateur!X154*VLOOKUP('Données projet'!$B$9,Paramètres!$A$1:$I$89,3,0)*0.475*44/12</f>
        <v>0.10844452411782873</v>
      </c>
      <c r="AB154" s="21">
        <f>EXP(-LN(2)/2)*AB153+(1-EXP(-LN(2)/2))/(LN(2)/2)*V154*Y154*VLOOKUP('Données projet'!$B$9,Paramètres!$A$1:$I$89,3,0)*0.475*44/12</f>
        <v>3.7960345275033895E-18</v>
      </c>
      <c r="AC154" s="22">
        <f t="shared" ref="AC154:AC203" si="163">SUM(Z154:AB154)</f>
        <v>0.10844452411782873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4.5474735088646412E-13</v>
      </c>
      <c r="AJ154" s="13">
        <f>AI154*VLOOKUP('Données projet'!$B$10,Paramètres!$A$1:$I$89,3,0)*VLOOKUP('Données projet'!$B$10,Paramètres!$A$1:$I$89,5,0)</f>
        <v>2.5420376914553347E-13</v>
      </c>
      <c r="AK154" s="13">
        <f t="shared" ref="AK154:AK203" si="164">EXP(-1.0587+0.8836*LN(AJ154)+0.284)</f>
        <v>3.4258699088369875E-12</v>
      </c>
      <c r="AL154" s="20">
        <f t="shared" ref="AL154:AL203" si="165">(AJ154+AK154)*0.475*44/12</f>
        <v>6.4094616558195571E-12</v>
      </c>
      <c r="AM154" s="59">
        <f t="shared" si="113"/>
        <v>293.33333333333974</v>
      </c>
      <c r="AN154" s="59">
        <f ca="1">AVERAGE(OFFSET($AM$3,0,0,'Données projet'!$E$10+1,1))-AVERAGE(OFFSET($H$3,0,0,'Données projet'!$E$10+1,1))</f>
        <v>400.34672861351783</v>
      </c>
      <c r="AO154" s="59">
        <f t="shared" si="144"/>
        <v>413.2016163204438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0.93583588701310405</v>
      </c>
      <c r="AV154" s="21">
        <f>EXP(-LN(2)/25)*AV153+(1-EXP(-LN(2)/25))/(LN(2)/25)*Calculateur!AQ154*Calculateur!AS154*VLOOKUP('Données projet'!$B$10,Paramètres!$A$1:$I$89,3,0)*0.475*44/12</f>
        <v>1.1663660230178912</v>
      </c>
      <c r="AW154" s="21">
        <f>EXP(-LN(2)/2)*AW153+(1-EXP(-LN(2)/2))/(LN(2)/2)*AQ154*AT154*VLOOKUP('Données projet'!$B$10,Paramètres!$A$1:$I$89,3,0)*0.475*44/12</f>
        <v>2.0073733000359855E-17</v>
      </c>
      <c r="AX154" s="21">
        <f t="shared" ref="AX154:AX203" si="166">SUM(AU154:AW154)</f>
        <v>2.1022019100309954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1">
        <f t="shared" si="140"/>
        <v>35.185601260048031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67">
        <f t="shared" si="110"/>
        <v>553.34913552791727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-1.1368683772161603E-13</v>
      </c>
      <c r="O155" s="13">
        <f>N155*VLOOKUP('Données projet'!$B$9,Paramètres!$A$1:$I$89,3,0)*VLOOKUP('Données projet'!$B$9,Paramètres!$A$1:$I$89,5,0)</f>
        <v>-1.0286385077051818E-13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269.19146943657933</v>
      </c>
      <c r="T155" s="59">
        <f t="shared" si="142"/>
        <v>185.94138814570965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</v>
      </c>
      <c r="AA155" s="21">
        <f>EXP(-LN(2)/25)*AA154+(1-EXP(-LN(2)/25))/(LN(2)/25)*Calculateur!V155*Calculateur!X155*VLOOKUP('Données projet'!$B$9,Paramètres!$A$1:$I$89,3,0)*0.475*44/12</f>
        <v>0.10547910290297703</v>
      </c>
      <c r="AB155" s="21">
        <f>EXP(-LN(2)/2)*AB154+(1-EXP(-LN(2)/2))/(LN(2)/2)*V155*Y155*VLOOKUP('Données projet'!$B$9,Paramètres!$A$1:$I$89,3,0)*0.475*44/12</f>
        <v>2.6842017560159186E-18</v>
      </c>
      <c r="AC155" s="22">
        <f t="shared" si="163"/>
        <v>0.10547910290297703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4.5474735088646412E-13</v>
      </c>
      <c r="AJ155" s="13">
        <f>AI155*VLOOKUP('Données projet'!$B$10,Paramètres!$A$1:$I$89,3,0)*VLOOKUP('Données projet'!$B$10,Paramètres!$A$1:$I$89,5,0)</f>
        <v>2.5420376914553347E-13</v>
      </c>
      <c r="AK155" s="13">
        <f t="shared" si="164"/>
        <v>3.4258699088369875E-12</v>
      </c>
      <c r="AL155" s="20">
        <f t="shared" si="165"/>
        <v>6.4094616558195571E-12</v>
      </c>
      <c r="AM155" s="59">
        <f t="shared" si="113"/>
        <v>293.33333333333974</v>
      </c>
      <c r="AN155" s="59">
        <f ca="1">AVERAGE(OFFSET($AM$3,0,0,'Données projet'!$E$10+1,1))-AVERAGE(OFFSET($H$3,0,0,'Données projet'!$E$10+1,1))</f>
        <v>400.34672861351783</v>
      </c>
      <c r="AO155" s="59">
        <f t="shared" si="144"/>
        <v>413.2016163204438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0.91748471607230597</v>
      </c>
      <c r="AV155" s="21">
        <f>EXP(-LN(2)/25)*AV154+(1-EXP(-LN(2)/25))/(LN(2)/25)*Calculateur!AQ155*Calculateur!AS155*VLOOKUP('Données projet'!$B$10,Paramètres!$A$1:$I$89,3,0)*0.475*44/12</f>
        <v>1.1344716827819434</v>
      </c>
      <c r="AW155" s="21">
        <f>EXP(-LN(2)/2)*AW154+(1-EXP(-LN(2)/2))/(LN(2)/2)*AQ155*AT155*VLOOKUP('Données projet'!$B$10,Paramètres!$A$1:$I$89,3,0)*0.475*44/12</f>
        <v>1.4194272728282634E-17</v>
      </c>
      <c r="AX155" s="21">
        <f t="shared" si="166"/>
        <v>2.0519563988542493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1">
        <f t="shared" si="140"/>
        <v>35.390062589787611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67">
        <f t="shared" si="110"/>
        <v>555.25392901054693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-1.1368683772161603E-13</v>
      </c>
      <c r="O156" s="13">
        <f>N156*VLOOKUP('Données projet'!$B$9,Paramètres!$A$1:$I$89,3,0)*VLOOKUP('Données projet'!$B$9,Paramètres!$A$1:$I$89,5,0)</f>
        <v>-1.0286385077051818E-13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269.19146943657933</v>
      </c>
      <c r="T156" s="59">
        <f t="shared" si="142"/>
        <v>185.94138814570965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</v>
      </c>
      <c r="AA156" s="21">
        <f>EXP(-LN(2)/25)*AA155+(1-EXP(-LN(2)/25))/(LN(2)/25)*Calculateur!V156*Calculateur!X156*VLOOKUP('Données projet'!$B$9,Paramètres!$A$1:$I$89,3,0)*0.475*44/12</f>
        <v>0.10259477128719018</v>
      </c>
      <c r="AB156" s="21">
        <f>EXP(-LN(2)/2)*AB155+(1-EXP(-LN(2)/2))/(LN(2)/2)*V156*Y156*VLOOKUP('Données projet'!$B$9,Paramètres!$A$1:$I$89,3,0)*0.475*44/12</f>
        <v>1.8980172637516947E-18</v>
      </c>
      <c r="AC156" s="22">
        <f t="shared" si="163"/>
        <v>0.10259477128719018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4.5474735088646412E-13</v>
      </c>
      <c r="AJ156" s="13">
        <f>AI156*VLOOKUP('Données projet'!$B$10,Paramètres!$A$1:$I$89,3,0)*VLOOKUP('Données projet'!$B$10,Paramètres!$A$1:$I$89,5,0)</f>
        <v>2.5420376914553347E-13</v>
      </c>
      <c r="AK156" s="13">
        <f t="shared" si="164"/>
        <v>3.4258699088369875E-12</v>
      </c>
      <c r="AL156" s="20">
        <f t="shared" si="165"/>
        <v>6.4094616558195571E-12</v>
      </c>
      <c r="AM156" s="59">
        <f t="shared" si="113"/>
        <v>293.33333333333974</v>
      </c>
      <c r="AN156" s="59">
        <f ca="1">AVERAGE(OFFSET($AM$3,0,0,'Données projet'!$E$10+1,1))-AVERAGE(OFFSET($H$3,0,0,'Données projet'!$E$10+1,1))</f>
        <v>400.34672861351783</v>
      </c>
      <c r="AO156" s="59">
        <f t="shared" si="144"/>
        <v>413.2016163204438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0.89949340040054793</v>
      </c>
      <c r="AV156" s="21">
        <f>EXP(-LN(2)/25)*AV155+(1-EXP(-LN(2)/25))/(LN(2)/25)*Calculateur!AQ156*Calculateur!AS156*VLOOKUP('Données projet'!$B$10,Paramètres!$A$1:$I$89,3,0)*0.475*44/12</f>
        <v>1.1034494949569982</v>
      </c>
      <c r="AW156" s="21">
        <f>EXP(-LN(2)/2)*AW155+(1-EXP(-LN(2)/2))/(LN(2)/2)*AQ156*AT156*VLOOKUP('Données projet'!$B$10,Paramètres!$A$1:$I$89,3,0)*0.475*44/12</f>
        <v>1.0036866500179928E-17</v>
      </c>
      <c r="AX156" s="21">
        <f t="shared" si="166"/>
        <v>2.0029428953575463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1">
        <f t="shared" si="140"/>
        <v>35.594368426539035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67">
        <f t="shared" si="110"/>
        <v>557.1584516762224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-1.1368683772161603E-13</v>
      </c>
      <c r="O157" s="13">
        <f>N157*VLOOKUP('Données projet'!$B$9,Paramètres!$A$1:$I$89,3,0)*VLOOKUP('Données projet'!$B$9,Paramètres!$A$1:$I$89,5,0)</f>
        <v>-1.0286385077051818E-13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269.19146943657933</v>
      </c>
      <c r="T157" s="59">
        <f t="shared" si="142"/>
        <v>185.94138814570965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</v>
      </c>
      <c r="AA157" s="21">
        <f>EXP(-LN(2)/25)*AA156+(1-EXP(-LN(2)/25))/(LN(2)/25)*Calculateur!V157*Calculateur!X157*VLOOKUP('Données projet'!$B$9,Paramètres!$A$1:$I$89,3,0)*0.475*44/12</f>
        <v>9.978931187111742E-2</v>
      </c>
      <c r="AB157" s="21">
        <f>EXP(-LN(2)/2)*AB156+(1-EXP(-LN(2)/2))/(LN(2)/2)*V157*Y157*VLOOKUP('Données projet'!$B$9,Paramètres!$A$1:$I$89,3,0)*0.475*44/12</f>
        <v>1.3421008780079593E-18</v>
      </c>
      <c r="AC157" s="22">
        <f t="shared" si="163"/>
        <v>9.978931187111742E-2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4.5474735088646412E-13</v>
      </c>
      <c r="AJ157" s="13">
        <f>AI157*VLOOKUP('Données projet'!$B$10,Paramètres!$A$1:$I$89,3,0)*VLOOKUP('Données projet'!$B$10,Paramètres!$A$1:$I$89,5,0)</f>
        <v>2.5420376914553347E-13</v>
      </c>
      <c r="AK157" s="13">
        <f t="shared" si="164"/>
        <v>3.4258699088369875E-12</v>
      </c>
      <c r="AL157" s="20">
        <f t="shared" si="165"/>
        <v>6.4094616558195571E-12</v>
      </c>
      <c r="AM157" s="59">
        <f t="shared" si="113"/>
        <v>293.33333333333974</v>
      </c>
      <c r="AN157" s="59">
        <f ca="1">AVERAGE(OFFSET($AM$3,0,0,'Données projet'!$E$10+1,1))-AVERAGE(OFFSET($H$3,0,0,'Données projet'!$E$10+1,1))</f>
        <v>400.34672861351783</v>
      </c>
      <c r="AO157" s="59">
        <f t="shared" si="144"/>
        <v>413.2016163204438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0.88185488345549401</v>
      </c>
      <c r="AV157" s="21">
        <f>EXP(-LN(2)/25)*AV156+(1-EXP(-LN(2)/25))/(LN(2)/25)*Calculateur!AQ157*Calculateur!AS157*VLOOKUP('Données projet'!$B$10,Paramètres!$A$1:$I$89,3,0)*0.475*44/12</f>
        <v>1.073275610489512</v>
      </c>
      <c r="AW157" s="21">
        <f>EXP(-LN(2)/2)*AW156+(1-EXP(-LN(2)/2))/(LN(2)/2)*AQ157*AT157*VLOOKUP('Données projet'!$B$10,Paramètres!$A$1:$I$89,3,0)*0.475*44/12</f>
        <v>7.0971363641413169E-18</v>
      </c>
      <c r="AX157" s="21">
        <f t="shared" si="166"/>
        <v>1.955130493945006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1">
        <f t="shared" si="140"/>
        <v>35.798519897115533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67">
        <f t="shared" si="110"/>
        <v>559.06270548747648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-1.1368683772161603E-13</v>
      </c>
      <c r="O158" s="13">
        <f>N158*VLOOKUP('Données projet'!$B$9,Paramètres!$A$1:$I$89,3,0)*VLOOKUP('Données projet'!$B$9,Paramètres!$A$1:$I$89,5,0)</f>
        <v>-1.0286385077051818E-13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269.19146943657933</v>
      </c>
      <c r="T158" s="59">
        <f t="shared" si="142"/>
        <v>185.94138814570965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</v>
      </c>
      <c r="AA158" s="21">
        <f>EXP(-LN(2)/25)*AA157+(1-EXP(-LN(2)/25))/(LN(2)/25)*Calculateur!V158*Calculateur!X158*VLOOKUP('Données projet'!$B$9,Paramètres!$A$1:$I$89,3,0)*0.475*44/12</f>
        <v>9.7060567890309868E-2</v>
      </c>
      <c r="AB158" s="21">
        <f>EXP(-LN(2)/2)*AB157+(1-EXP(-LN(2)/2))/(LN(2)/2)*V158*Y158*VLOOKUP('Données projet'!$B$9,Paramètres!$A$1:$I$89,3,0)*0.475*44/12</f>
        <v>9.4900863187584737E-19</v>
      </c>
      <c r="AC158" s="22">
        <f t="shared" si="163"/>
        <v>9.7060567890309868E-2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4.5474735088646412E-13</v>
      </c>
      <c r="AJ158" s="13">
        <f>AI158*VLOOKUP('Données projet'!$B$10,Paramètres!$A$1:$I$89,3,0)*VLOOKUP('Données projet'!$B$10,Paramètres!$A$1:$I$89,5,0)</f>
        <v>2.5420376914553347E-13</v>
      </c>
      <c r="AK158" s="13">
        <f t="shared" si="164"/>
        <v>3.4258699088369875E-12</v>
      </c>
      <c r="AL158" s="20">
        <f t="shared" si="165"/>
        <v>6.4094616558195571E-12</v>
      </c>
      <c r="AM158" s="59">
        <f t="shared" si="113"/>
        <v>293.33333333333974</v>
      </c>
      <c r="AN158" s="59">
        <f ca="1">AVERAGE(OFFSET($AM$3,0,0,'Données projet'!$E$10+1,1))-AVERAGE(OFFSET($H$3,0,0,'Données projet'!$E$10+1,1))</f>
        <v>400.34672861351783</v>
      </c>
      <c r="AO158" s="59">
        <f t="shared" si="144"/>
        <v>413.2016163204438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0.86456224706929963</v>
      </c>
      <c r="AV158" s="21">
        <f>EXP(-LN(2)/25)*AV157+(1-EXP(-LN(2)/25))/(LN(2)/25)*Calculateur!AQ158*Calculateur!AS158*VLOOKUP('Données projet'!$B$10,Paramètres!$A$1:$I$89,3,0)*0.475*44/12</f>
        <v>1.043926832479565</v>
      </c>
      <c r="AW158" s="21">
        <f>EXP(-LN(2)/2)*AW157+(1-EXP(-LN(2)/2))/(LN(2)/2)*AQ158*AT158*VLOOKUP('Données projet'!$B$10,Paramètres!$A$1:$I$89,3,0)*0.475*44/12</f>
        <v>5.0184332500899638E-18</v>
      </c>
      <c r="AX158" s="21">
        <f t="shared" si="166"/>
        <v>1.9084890795488647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1">
        <f t="shared" si="140"/>
        <v>36.002518112950014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67">
        <f t="shared" si="110"/>
        <v>560.96669238005484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-1.1368683772161603E-13</v>
      </c>
      <c r="O159" s="13">
        <f>N159*VLOOKUP('Données projet'!$B$9,Paramètres!$A$1:$I$89,3,0)*VLOOKUP('Données projet'!$B$9,Paramètres!$A$1:$I$89,5,0)</f>
        <v>-1.0286385077051818E-13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269.19146943657933</v>
      </c>
      <c r="T159" s="59">
        <f t="shared" si="142"/>
        <v>185.94138814570965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</v>
      </c>
      <c r="AA159" s="21">
        <f>EXP(-LN(2)/25)*AA158+(1-EXP(-LN(2)/25))/(LN(2)/25)*Calculateur!V159*Calculateur!X159*VLOOKUP('Données projet'!$B$9,Paramètres!$A$1:$I$89,3,0)*0.475*44/12</f>
        <v>9.4406441557155912E-2</v>
      </c>
      <c r="AB159" s="21">
        <f>EXP(-LN(2)/2)*AB158+(1-EXP(-LN(2)/2))/(LN(2)/2)*V159*Y159*VLOOKUP('Données projet'!$B$9,Paramètres!$A$1:$I$89,3,0)*0.475*44/12</f>
        <v>6.7105043900397965E-19</v>
      </c>
      <c r="AC159" s="22">
        <f t="shared" si="163"/>
        <v>9.4406441557155912E-2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4.5474735088646412E-13</v>
      </c>
      <c r="AJ159" s="13">
        <f>AI159*VLOOKUP('Données projet'!$B$10,Paramètres!$A$1:$I$89,3,0)*VLOOKUP('Données projet'!$B$10,Paramètres!$A$1:$I$89,5,0)</f>
        <v>2.5420376914553347E-13</v>
      </c>
      <c r="AK159" s="13">
        <f t="shared" si="164"/>
        <v>3.4258699088369875E-12</v>
      </c>
      <c r="AL159" s="20">
        <f t="shared" si="165"/>
        <v>6.4094616558195571E-12</v>
      </c>
      <c r="AM159" s="59">
        <f t="shared" si="113"/>
        <v>293.33333333333974</v>
      </c>
      <c r="AN159" s="59">
        <f ca="1">AVERAGE(OFFSET($AM$3,0,0,'Données projet'!$E$10+1,1))-AVERAGE(OFFSET($H$3,0,0,'Données projet'!$E$10+1,1))</f>
        <v>400.34672861351783</v>
      </c>
      <c r="AO159" s="59">
        <f t="shared" si="144"/>
        <v>413.2016163204438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0.8476087087351718</v>
      </c>
      <c r="AV159" s="21">
        <f>EXP(-LN(2)/25)*AV158+(1-EXP(-LN(2)/25))/(LN(2)/25)*Calculateur!AQ159*Calculateur!AS159*VLOOKUP('Données projet'!$B$10,Paramètres!$A$1:$I$89,3,0)*0.475*44/12</f>
        <v>1.0153805983476851</v>
      </c>
      <c r="AW159" s="21">
        <f>EXP(-LN(2)/2)*AW158+(1-EXP(-LN(2)/2))/(LN(2)/2)*AQ159*AT159*VLOOKUP('Données projet'!$B$10,Paramètres!$A$1:$I$89,3,0)*0.475*44/12</f>
        <v>3.5485681820706584E-18</v>
      </c>
      <c r="AX159" s="21">
        <f t="shared" si="166"/>
        <v>1.8629893070828569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1">
        <f t="shared" si="140"/>
        <v>36.206364170402217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67">
        <f t="shared" si="110"/>
        <v>562.8704142634507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-1.1368683772161603E-13</v>
      </c>
      <c r="O160" s="13">
        <f>N160*VLOOKUP('Données projet'!$B$9,Paramètres!$A$1:$I$89,3,0)*VLOOKUP('Données projet'!$B$9,Paramètres!$A$1:$I$89,5,0)</f>
        <v>-1.0286385077051818E-13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269.19146943657933</v>
      </c>
      <c r="T160" s="59">
        <f t="shared" si="142"/>
        <v>185.94138814570965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</v>
      </c>
      <c r="AA160" s="21">
        <f>EXP(-LN(2)/25)*AA159+(1-EXP(-LN(2)/25))/(LN(2)/25)*Calculateur!V160*Calculateur!X160*VLOOKUP('Données projet'!$B$9,Paramètres!$A$1:$I$89,3,0)*0.475*44/12</f>
        <v>9.1824892448156489E-2</v>
      </c>
      <c r="AB160" s="21">
        <f>EXP(-LN(2)/2)*AB159+(1-EXP(-LN(2)/2))/(LN(2)/2)*V160*Y160*VLOOKUP('Données projet'!$B$9,Paramètres!$A$1:$I$89,3,0)*0.475*44/12</f>
        <v>4.7450431593792369E-19</v>
      </c>
      <c r="AC160" s="22">
        <f t="shared" si="163"/>
        <v>9.1824892448156489E-2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4.5474735088646412E-13</v>
      </c>
      <c r="AJ160" s="13">
        <f>AI160*VLOOKUP('Données projet'!$B$10,Paramètres!$A$1:$I$89,3,0)*VLOOKUP('Données projet'!$B$10,Paramètres!$A$1:$I$89,5,0)</f>
        <v>2.5420376914553347E-13</v>
      </c>
      <c r="AK160" s="13">
        <f t="shared" si="164"/>
        <v>3.4258699088369875E-12</v>
      </c>
      <c r="AL160" s="20">
        <f t="shared" si="165"/>
        <v>6.4094616558195571E-12</v>
      </c>
      <c r="AM160" s="59">
        <f t="shared" si="113"/>
        <v>293.33333333333974</v>
      </c>
      <c r="AN160" s="59">
        <f ca="1">AVERAGE(OFFSET($AM$3,0,0,'Données projet'!$E$10+1,1))-AVERAGE(OFFSET($H$3,0,0,'Données projet'!$E$10+1,1))</f>
        <v>400.34672861351783</v>
      </c>
      <c r="AO160" s="59">
        <f t="shared" si="144"/>
        <v>413.2016163204438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0.83098761894713891</v>
      </c>
      <c r="AV160" s="21">
        <f>EXP(-LN(2)/25)*AV159+(1-EXP(-LN(2)/25))/(LN(2)/25)*Calculateur!AQ160*Calculateur!AS160*VLOOKUP('Données projet'!$B$10,Paramètres!$A$1:$I$89,3,0)*0.475*44/12</f>
        <v>0.98761496248932268</v>
      </c>
      <c r="AW160" s="21">
        <f>EXP(-LN(2)/2)*AW159+(1-EXP(-LN(2)/2))/(LN(2)/2)*AQ160*AT160*VLOOKUP('Données projet'!$B$10,Paramètres!$A$1:$I$89,3,0)*0.475*44/12</f>
        <v>2.5092166250449819E-18</v>
      </c>
      <c r="AX160" s="21">
        <f t="shared" si="166"/>
        <v>1.8186025814364615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1">
        <f t="shared" si="140"/>
        <v>36.410059151057943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67">
        <f t="shared" si="110"/>
        <v>564.77387302142597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-1.1368683772161603E-13</v>
      </c>
      <c r="O161" s="13">
        <f>N161*VLOOKUP('Données projet'!$B$9,Paramètres!$A$1:$I$89,3,0)*VLOOKUP('Données projet'!$B$9,Paramètres!$A$1:$I$89,5,0)</f>
        <v>-1.0286385077051818E-13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269.19146943657933</v>
      </c>
      <c r="T161" s="59">
        <f t="shared" si="142"/>
        <v>185.94138814570965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</v>
      </c>
      <c r="AA161" s="21">
        <f>EXP(-LN(2)/25)*AA160+(1-EXP(-LN(2)/25))/(LN(2)/25)*Calculateur!V161*Calculateur!X161*VLOOKUP('Données projet'!$B$9,Paramètres!$A$1:$I$89,3,0)*0.475*44/12</f>
        <v>8.9313935935300431E-2</v>
      </c>
      <c r="AB161" s="21">
        <f>EXP(-LN(2)/2)*AB160+(1-EXP(-LN(2)/2))/(LN(2)/2)*V161*Y161*VLOOKUP('Données projet'!$B$9,Paramètres!$A$1:$I$89,3,0)*0.475*44/12</f>
        <v>3.3552521950198982E-19</v>
      </c>
      <c r="AC161" s="22">
        <f t="shared" si="163"/>
        <v>8.9313935935300431E-2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4.5474735088646412E-13</v>
      </c>
      <c r="AJ161" s="13">
        <f>AI161*VLOOKUP('Données projet'!$B$10,Paramètres!$A$1:$I$89,3,0)*VLOOKUP('Données projet'!$B$10,Paramètres!$A$1:$I$89,5,0)</f>
        <v>2.5420376914553347E-13</v>
      </c>
      <c r="AK161" s="13">
        <f t="shared" si="164"/>
        <v>3.4258699088369875E-12</v>
      </c>
      <c r="AL161" s="20">
        <f t="shared" si="165"/>
        <v>6.4094616558195571E-12</v>
      </c>
      <c r="AM161" s="59">
        <f t="shared" si="113"/>
        <v>293.33333333333974</v>
      </c>
      <c r="AN161" s="59">
        <f ca="1">AVERAGE(OFFSET($AM$3,0,0,'Données projet'!$E$10+1,1))-AVERAGE(OFFSET($H$3,0,0,'Données projet'!$E$10+1,1))</f>
        <v>400.34672861351783</v>
      </c>
      <c r="AO161" s="59">
        <f t="shared" si="144"/>
        <v>413.2016163204438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0.81469245859198558</v>
      </c>
      <c r="AV161" s="21">
        <f>EXP(-LN(2)/25)*AV160+(1-EXP(-LN(2)/25))/(LN(2)/25)*Calculateur!AQ161*Calculateur!AS161*VLOOKUP('Données projet'!$B$10,Paramètres!$A$1:$I$89,3,0)*0.475*44/12</f>
        <v>0.96060857940363853</v>
      </c>
      <c r="AW161" s="21">
        <f>EXP(-LN(2)/2)*AW160+(1-EXP(-LN(2)/2))/(LN(2)/2)*AQ161*AT161*VLOOKUP('Données projet'!$B$10,Paramètres!$A$1:$I$89,3,0)*0.475*44/12</f>
        <v>1.7742840910353292E-18</v>
      </c>
      <c r="AX161" s="21">
        <f t="shared" si="166"/>
        <v>1.7753010379956242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1">
        <f t="shared" si="140"/>
        <v>36.613604122020263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67">
        <f t="shared" si="110"/>
        <v>566.67707051251875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-1.1368683772161603E-13</v>
      </c>
      <c r="O162" s="13">
        <f>N162*VLOOKUP('Données projet'!$B$9,Paramètres!$A$1:$I$89,3,0)*VLOOKUP('Données projet'!$B$9,Paramètres!$A$1:$I$89,5,0)</f>
        <v>-1.0286385077051818E-13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269.19146943657933</v>
      </c>
      <c r="T162" s="59">
        <f t="shared" si="142"/>
        <v>185.94138814570965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</v>
      </c>
      <c r="AA162" s="21">
        <f>EXP(-LN(2)/25)*AA161+(1-EXP(-LN(2)/25))/(LN(2)/25)*Calculateur!V162*Calculateur!X162*VLOOKUP('Données projet'!$B$9,Paramètres!$A$1:$I$89,3,0)*0.475*44/12</f>
        <v>8.6871641660333884E-2</v>
      </c>
      <c r="AB162" s="21">
        <f>EXP(-LN(2)/2)*AB161+(1-EXP(-LN(2)/2))/(LN(2)/2)*V162*Y162*VLOOKUP('Données projet'!$B$9,Paramètres!$A$1:$I$89,3,0)*0.475*44/12</f>
        <v>2.3725215796896184E-19</v>
      </c>
      <c r="AC162" s="22">
        <f t="shared" si="163"/>
        <v>8.6871641660333884E-2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4.5474735088646412E-13</v>
      </c>
      <c r="AJ162" s="13">
        <f>AI162*VLOOKUP('Données projet'!$B$10,Paramètres!$A$1:$I$89,3,0)*VLOOKUP('Données projet'!$B$10,Paramètres!$A$1:$I$89,5,0)</f>
        <v>2.5420376914553347E-13</v>
      </c>
      <c r="AK162" s="13">
        <f t="shared" si="164"/>
        <v>3.4258699088369875E-12</v>
      </c>
      <c r="AL162" s="20">
        <f t="shared" si="165"/>
        <v>6.4094616558195571E-12</v>
      </c>
      <c r="AM162" s="59">
        <f t="shared" si="113"/>
        <v>293.33333333333974</v>
      </c>
      <c r="AN162" s="59">
        <f ca="1">AVERAGE(OFFSET($AM$3,0,0,'Données projet'!$E$10+1,1))-AVERAGE(OFFSET($H$3,0,0,'Données projet'!$E$10+1,1))</f>
        <v>400.34672861351783</v>
      </c>
      <c r="AO162" s="59">
        <f t="shared" si="144"/>
        <v>413.2016163204438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0.79871683639233038</v>
      </c>
      <c r="AV162" s="21">
        <f>EXP(-LN(2)/25)*AV161+(1-EXP(-LN(2)/25))/(LN(2)/25)*Calculateur!AQ162*Calculateur!AS162*VLOOKUP('Données projet'!$B$10,Paramètres!$A$1:$I$89,3,0)*0.475*44/12</f>
        <v>0.9343406872836364</v>
      </c>
      <c r="AW162" s="21">
        <f>EXP(-LN(2)/2)*AW161+(1-EXP(-LN(2)/2))/(LN(2)/2)*AQ162*AT162*VLOOKUP('Données projet'!$B$10,Paramètres!$A$1:$I$89,3,0)*0.475*44/12</f>
        <v>1.2546083125224909E-18</v>
      </c>
      <c r="AX162" s="21">
        <f t="shared" si="166"/>
        <v>1.7330575236759667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1">
        <f t="shared" si="140"/>
        <v>36.817000136193258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67">
        <f t="shared" si="110"/>
        <v>568.58000857053662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-1.1368683772161603E-13</v>
      </c>
      <c r="O163" s="13">
        <f>N163*VLOOKUP('Données projet'!$B$9,Paramètres!$A$1:$I$89,3,0)*VLOOKUP('Données projet'!$B$9,Paramètres!$A$1:$I$89,5,0)</f>
        <v>-1.0286385077051818E-13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269.19146943657933</v>
      </c>
      <c r="T163" s="59">
        <f t="shared" si="142"/>
        <v>185.94138814570965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</v>
      </c>
      <c r="AA163" s="21">
        <f>EXP(-LN(2)/25)*AA162+(1-EXP(-LN(2)/25))/(LN(2)/25)*Calculateur!V163*Calculateur!X163*VLOOKUP('Données projet'!$B$9,Paramètres!$A$1:$I$89,3,0)*0.475*44/12</f>
        <v>8.4496132050750961E-2</v>
      </c>
      <c r="AB163" s="21">
        <f>EXP(-LN(2)/2)*AB162+(1-EXP(-LN(2)/2))/(LN(2)/2)*V163*Y163*VLOOKUP('Données projet'!$B$9,Paramètres!$A$1:$I$89,3,0)*0.475*44/12</f>
        <v>1.6776260975099491E-19</v>
      </c>
      <c r="AC163" s="22">
        <f t="shared" si="163"/>
        <v>8.4496132050750961E-2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4.5474735088646412E-13</v>
      </c>
      <c r="AJ163" s="13">
        <f>AI163*VLOOKUP('Données projet'!$B$10,Paramètres!$A$1:$I$89,3,0)*VLOOKUP('Données projet'!$B$10,Paramètres!$A$1:$I$89,5,0)</f>
        <v>2.5420376914553347E-13</v>
      </c>
      <c r="AK163" s="13">
        <f t="shared" si="164"/>
        <v>3.4258699088369875E-12</v>
      </c>
      <c r="AL163" s="20">
        <f t="shared" si="165"/>
        <v>6.4094616558195571E-12</v>
      </c>
      <c r="AM163" s="59">
        <f t="shared" si="113"/>
        <v>293.33333333333974</v>
      </c>
      <c r="AN163" s="59">
        <f ca="1">AVERAGE(OFFSET($AM$3,0,0,'Données projet'!$E$10+1,1))-AVERAGE(OFFSET($H$3,0,0,'Données projet'!$E$10+1,1))</f>
        <v>400.34672861351783</v>
      </c>
      <c r="AO163" s="59">
        <f t="shared" si="144"/>
        <v>413.2016163204438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0.78305448639984299</v>
      </c>
      <c r="AV163" s="21">
        <f>EXP(-LN(2)/25)*AV162+(1-EXP(-LN(2)/25))/(LN(2)/25)*Calculateur!AQ163*Calculateur!AS163*VLOOKUP('Données projet'!$B$10,Paramètres!$A$1:$I$89,3,0)*0.475*44/12</f>
        <v>0.90879109205502406</v>
      </c>
      <c r="AW163" s="21">
        <f>EXP(-LN(2)/2)*AW162+(1-EXP(-LN(2)/2))/(LN(2)/2)*AQ163*AT163*VLOOKUP('Données projet'!$B$10,Paramètres!$A$1:$I$89,3,0)*0.475*44/12</f>
        <v>8.8714204551766461E-19</v>
      </c>
      <c r="AX163" s="21">
        <f t="shared" si="166"/>
        <v>1.6918455784548669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1">
        <f t="shared" si="140"/>
        <v>37.020248232558458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67">
        <f t="shared" si="110"/>
        <v>570.48268900503945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-1.1368683772161603E-13</v>
      </c>
      <c r="O164" s="13">
        <f>N164*VLOOKUP('Données projet'!$B$9,Paramètres!$A$1:$I$89,3,0)*VLOOKUP('Données projet'!$B$9,Paramètres!$A$1:$I$89,5,0)</f>
        <v>-1.0286385077051818E-13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269.19146943657933</v>
      </c>
      <c r="T164" s="59">
        <f t="shared" si="142"/>
        <v>185.94138814570965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</v>
      </c>
      <c r="AA164" s="21">
        <f>EXP(-LN(2)/25)*AA163+(1-EXP(-LN(2)/25))/(LN(2)/25)*Calculateur!V164*Calculateur!X164*VLOOKUP('Données projet'!$B$9,Paramètres!$A$1:$I$89,3,0)*0.475*44/12</f>
        <v>8.2185580876364711E-2</v>
      </c>
      <c r="AB164" s="21">
        <f>EXP(-LN(2)/2)*AB163+(1-EXP(-LN(2)/2))/(LN(2)/2)*V164*Y164*VLOOKUP('Données projet'!$B$9,Paramètres!$A$1:$I$89,3,0)*0.475*44/12</f>
        <v>1.1862607898448092E-19</v>
      </c>
      <c r="AC164" s="22">
        <f t="shared" si="163"/>
        <v>8.2185580876364711E-2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4.5474735088646412E-13</v>
      </c>
      <c r="AJ164" s="13">
        <f>AI164*VLOOKUP('Données projet'!$B$10,Paramètres!$A$1:$I$89,3,0)*VLOOKUP('Données projet'!$B$10,Paramètres!$A$1:$I$89,5,0)</f>
        <v>2.5420376914553347E-13</v>
      </c>
      <c r="AK164" s="13">
        <f t="shared" si="164"/>
        <v>3.4258699088369875E-12</v>
      </c>
      <c r="AL164" s="20">
        <f t="shared" si="165"/>
        <v>6.4094616558195571E-12</v>
      </c>
      <c r="AM164" s="59">
        <f t="shared" si="113"/>
        <v>293.33333333333974</v>
      </c>
      <c r="AN164" s="59">
        <f ca="1">AVERAGE(OFFSET($AM$3,0,0,'Données projet'!$E$10+1,1))-AVERAGE(OFFSET($H$3,0,0,'Données projet'!$E$10+1,1))</f>
        <v>400.34672861351783</v>
      </c>
      <c r="AO164" s="59">
        <f t="shared" si="144"/>
        <v>413.2016163204438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0.76769926553761814</v>
      </c>
      <c r="AV164" s="21">
        <f>EXP(-LN(2)/25)*AV163+(1-EXP(-LN(2)/25))/(LN(2)/25)*Calculateur!AQ164*Calculateur!AS164*VLOOKUP('Données projet'!$B$10,Paramètres!$A$1:$I$89,3,0)*0.475*44/12</f>
        <v>0.88394015185153296</v>
      </c>
      <c r="AW164" s="21">
        <f>EXP(-LN(2)/2)*AW163+(1-EXP(-LN(2)/2))/(LN(2)/2)*AQ164*AT164*VLOOKUP('Données projet'!$B$10,Paramètres!$A$1:$I$89,3,0)*0.475*44/12</f>
        <v>6.2730415626124547E-19</v>
      </c>
      <c r="AX164" s="21">
        <f t="shared" si="166"/>
        <v>1.6516394173891511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1">
        <f t="shared" si="140"/>
        <v>37.223349436444416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67">
        <f t="shared" si="110"/>
        <v>572.38511360180746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-1.1368683772161603E-13</v>
      </c>
      <c r="O165" s="13">
        <f>N165*VLOOKUP('Données projet'!$B$9,Paramètres!$A$1:$I$89,3,0)*VLOOKUP('Données projet'!$B$9,Paramètres!$A$1:$I$89,5,0)</f>
        <v>-1.0286385077051818E-13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269.19146943657933</v>
      </c>
      <c r="T165" s="59">
        <f t="shared" si="142"/>
        <v>185.94138814570965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</v>
      </c>
      <c r="AA165" s="21">
        <f>EXP(-LN(2)/25)*AA164+(1-EXP(-LN(2)/25))/(LN(2)/25)*Calculateur!V165*Calculateur!X165*VLOOKUP('Données projet'!$B$9,Paramètres!$A$1:$I$89,3,0)*0.475*44/12</f>
        <v>7.9938211845348661E-2</v>
      </c>
      <c r="AB165" s="21">
        <f>EXP(-LN(2)/2)*AB164+(1-EXP(-LN(2)/2))/(LN(2)/2)*V165*Y165*VLOOKUP('Données projet'!$B$9,Paramètres!$A$1:$I$89,3,0)*0.475*44/12</f>
        <v>8.3881304875497456E-20</v>
      </c>
      <c r="AC165" s="22">
        <f t="shared" si="163"/>
        <v>7.9938211845348661E-2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4.5474735088646412E-13</v>
      </c>
      <c r="AJ165" s="13">
        <f>AI165*VLOOKUP('Données projet'!$B$10,Paramètres!$A$1:$I$89,3,0)*VLOOKUP('Données projet'!$B$10,Paramètres!$A$1:$I$89,5,0)</f>
        <v>2.5420376914553347E-13</v>
      </c>
      <c r="AK165" s="13">
        <f t="shared" si="164"/>
        <v>3.4258699088369875E-12</v>
      </c>
      <c r="AL165" s="20">
        <f t="shared" si="165"/>
        <v>6.4094616558195571E-12</v>
      </c>
      <c r="AM165" s="59">
        <f t="shared" si="113"/>
        <v>293.33333333333974</v>
      </c>
      <c r="AN165" s="59">
        <f ca="1">AVERAGE(OFFSET($AM$3,0,0,'Données projet'!$E$10+1,1))-AVERAGE(OFFSET($H$3,0,0,'Données projet'!$E$10+1,1))</f>
        <v>400.34672861351783</v>
      </c>
      <c r="AO165" s="59">
        <f t="shared" si="144"/>
        <v>413.2016163204438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0.75264515119074149</v>
      </c>
      <c r="AV165" s="21">
        <f>EXP(-LN(2)/25)*AV164+(1-EXP(-LN(2)/25))/(LN(2)/25)*Calculateur!AQ165*Calculateur!AS165*VLOOKUP('Données projet'!$B$10,Paramètres!$A$1:$I$89,3,0)*0.475*44/12</f>
        <v>0.85976876191476048</v>
      </c>
      <c r="AW165" s="21">
        <f>EXP(-LN(2)/2)*AW164+(1-EXP(-LN(2)/2))/(LN(2)/2)*AQ165*AT165*VLOOKUP('Données projet'!$B$10,Paramètres!$A$1:$I$89,3,0)*0.475*44/12</f>
        <v>4.435710227588323E-19</v>
      </c>
      <c r="AX165" s="21">
        <f t="shared" si="166"/>
        <v>1.612413913105502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1">
        <f t="shared" si="140"/>
        <v>37.426304759789126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67">
        <f t="shared" si="110"/>
        <v>574.28728412329951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-1.1368683772161603E-13</v>
      </c>
      <c r="O166" s="13">
        <f>N166*VLOOKUP('Données projet'!$B$9,Paramètres!$A$1:$I$89,3,0)*VLOOKUP('Données projet'!$B$9,Paramètres!$A$1:$I$89,5,0)</f>
        <v>-1.0286385077051818E-13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269.19146943657933</v>
      </c>
      <c r="T166" s="59">
        <f t="shared" si="142"/>
        <v>185.94138814570965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</v>
      </c>
      <c r="AA166" s="21">
        <f>EXP(-LN(2)/25)*AA165+(1-EXP(-LN(2)/25))/(LN(2)/25)*Calculateur!V166*Calculateur!X166*VLOOKUP('Données projet'!$B$9,Paramètres!$A$1:$I$89,3,0)*0.475*44/12</f>
        <v>7.7752297238669749E-2</v>
      </c>
      <c r="AB166" s="21">
        <f>EXP(-LN(2)/2)*AB165+(1-EXP(-LN(2)/2))/(LN(2)/2)*V166*Y166*VLOOKUP('Données projet'!$B$9,Paramètres!$A$1:$I$89,3,0)*0.475*44/12</f>
        <v>5.9313039492240461E-20</v>
      </c>
      <c r="AC166" s="22">
        <f t="shared" si="163"/>
        <v>7.7752297238669749E-2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4.5474735088646412E-13</v>
      </c>
      <c r="AJ166" s="13">
        <f>AI166*VLOOKUP('Données projet'!$B$10,Paramètres!$A$1:$I$89,3,0)*VLOOKUP('Données projet'!$B$10,Paramètres!$A$1:$I$89,5,0)</f>
        <v>2.5420376914553347E-13</v>
      </c>
      <c r="AK166" s="13">
        <f t="shared" si="164"/>
        <v>3.4258699088369875E-12</v>
      </c>
      <c r="AL166" s="20">
        <f t="shared" si="165"/>
        <v>6.4094616558195571E-12</v>
      </c>
      <c r="AM166" s="59">
        <f t="shared" si="113"/>
        <v>293.33333333333974</v>
      </c>
      <c r="AN166" s="59">
        <f ca="1">AVERAGE(OFFSET($AM$3,0,0,'Données projet'!$E$10+1,1))-AVERAGE(OFFSET($H$3,0,0,'Données projet'!$E$10+1,1))</f>
        <v>400.34672861351783</v>
      </c>
      <c r="AO166" s="59">
        <f t="shared" si="144"/>
        <v>413.2016163204438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0.73788623884410409</v>
      </c>
      <c r="AV166" s="21">
        <f>EXP(-LN(2)/25)*AV165+(1-EXP(-LN(2)/25))/(LN(2)/25)*Calculateur!AQ166*Calculateur!AS166*VLOOKUP('Données projet'!$B$10,Paramètres!$A$1:$I$89,3,0)*0.475*44/12</f>
        <v>0.83625833990692722</v>
      </c>
      <c r="AW166" s="21">
        <f>EXP(-LN(2)/2)*AW165+(1-EXP(-LN(2)/2))/(LN(2)/2)*AQ166*AT166*VLOOKUP('Données projet'!$B$10,Paramètres!$A$1:$I$89,3,0)*0.475*44/12</f>
        <v>3.1365207813062274E-19</v>
      </c>
      <c r="AX166" s="21">
        <f t="shared" si="166"/>
        <v>1.5741445787510313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1">
        <f t="shared" si="140"/>
        <v>37.629115201395898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67">
        <f t="shared" si="110"/>
        <v>576.18920230909794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-1.1368683772161603E-13</v>
      </c>
      <c r="O167" s="13">
        <f>N167*VLOOKUP('Données projet'!$B$9,Paramètres!$A$1:$I$89,3,0)*VLOOKUP('Données projet'!$B$9,Paramètres!$A$1:$I$89,5,0)</f>
        <v>-1.0286385077051818E-13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269.19146943657933</v>
      </c>
      <c r="T167" s="59">
        <f t="shared" si="142"/>
        <v>185.94138814570965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</v>
      </c>
      <c r="AA167" s="21">
        <f>EXP(-LN(2)/25)*AA166+(1-EXP(-LN(2)/25))/(LN(2)/25)*Calculateur!V167*Calculateur!X167*VLOOKUP('Données projet'!$B$9,Paramètres!$A$1:$I$89,3,0)*0.475*44/12</f>
        <v>7.5626156581862725E-2</v>
      </c>
      <c r="AB167" s="21">
        <f>EXP(-LN(2)/2)*AB166+(1-EXP(-LN(2)/2))/(LN(2)/2)*V167*Y167*VLOOKUP('Données projet'!$B$9,Paramètres!$A$1:$I$89,3,0)*0.475*44/12</f>
        <v>4.1940652437748728E-20</v>
      </c>
      <c r="AC167" s="22">
        <f t="shared" si="163"/>
        <v>7.5626156581862725E-2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4.5474735088646412E-13</v>
      </c>
      <c r="AJ167" s="13">
        <f>AI167*VLOOKUP('Données projet'!$B$10,Paramètres!$A$1:$I$89,3,0)*VLOOKUP('Données projet'!$B$10,Paramètres!$A$1:$I$89,5,0)</f>
        <v>2.5420376914553347E-13</v>
      </c>
      <c r="AK167" s="13">
        <f t="shared" si="164"/>
        <v>3.4258699088369875E-12</v>
      </c>
      <c r="AL167" s="20">
        <f t="shared" si="165"/>
        <v>6.4094616558195571E-12</v>
      </c>
      <c r="AM167" s="59">
        <f t="shared" si="113"/>
        <v>293.33333333333974</v>
      </c>
      <c r="AN167" s="59">
        <f ca="1">AVERAGE(OFFSET($AM$3,0,0,'Données projet'!$E$10+1,1))-AVERAGE(OFFSET($H$3,0,0,'Données projet'!$E$10+1,1))</f>
        <v>400.34672861351783</v>
      </c>
      <c r="AO167" s="59">
        <f t="shared" si="144"/>
        <v>413.2016163204438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0.72341673976653653</v>
      </c>
      <c r="AV167" s="21">
        <f>EXP(-LN(2)/25)*AV166+(1-EXP(-LN(2)/25))/(LN(2)/25)*Calculateur!AQ167*Calculateur!AS167*VLOOKUP('Données projet'!$B$10,Paramètres!$A$1:$I$89,3,0)*0.475*44/12</f>
        <v>0.8133908116252575</v>
      </c>
      <c r="AW167" s="21">
        <f>EXP(-LN(2)/2)*AW166+(1-EXP(-LN(2)/2))/(LN(2)/2)*AQ167*AT167*VLOOKUP('Données projet'!$B$10,Paramètres!$A$1:$I$89,3,0)*0.475*44/12</f>
        <v>2.2178551137941615E-19</v>
      </c>
      <c r="AX167" s="21">
        <f t="shared" si="166"/>
        <v>1.536807551391794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1">
        <f t="shared" si="140"/>
        <v>37.831781747183037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67">
        <f t="shared" si="110"/>
        <v>578.09086987634385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-1.1368683772161603E-13</v>
      </c>
      <c r="O168" s="13">
        <f>N168*VLOOKUP('Données projet'!$B$9,Paramètres!$A$1:$I$89,3,0)*VLOOKUP('Données projet'!$B$9,Paramètres!$A$1:$I$89,5,0)</f>
        <v>-1.0286385077051818E-13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269.19146943657933</v>
      </c>
      <c r="T168" s="59">
        <f t="shared" si="142"/>
        <v>185.94138814570965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</v>
      </c>
      <c r="AA168" s="21">
        <f>EXP(-LN(2)/25)*AA167+(1-EXP(-LN(2)/25))/(LN(2)/25)*Calculateur!V168*Calculateur!X168*VLOOKUP('Données projet'!$B$9,Paramètres!$A$1:$I$89,3,0)*0.475*44/12</f>
        <v>7.355815535312496E-2</v>
      </c>
      <c r="AB168" s="21">
        <f>EXP(-LN(2)/2)*AB167+(1-EXP(-LN(2)/2))/(LN(2)/2)*V168*Y168*VLOOKUP('Données projet'!$B$9,Paramètres!$A$1:$I$89,3,0)*0.475*44/12</f>
        <v>2.965651974612023E-20</v>
      </c>
      <c r="AC168" s="22">
        <f t="shared" si="163"/>
        <v>7.355815535312496E-2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4.5474735088646412E-13</v>
      </c>
      <c r="AJ168" s="13">
        <f>AI168*VLOOKUP('Données projet'!$B$10,Paramètres!$A$1:$I$89,3,0)*VLOOKUP('Données projet'!$B$10,Paramètres!$A$1:$I$89,5,0)</f>
        <v>2.5420376914553347E-13</v>
      </c>
      <c r="AK168" s="13">
        <f t="shared" si="164"/>
        <v>3.4258699088369875E-12</v>
      </c>
      <c r="AL168" s="20">
        <f t="shared" si="165"/>
        <v>6.4094616558195571E-12</v>
      </c>
      <c r="AM168" s="59">
        <f t="shared" si="113"/>
        <v>293.33333333333974</v>
      </c>
      <c r="AN168" s="59">
        <f ca="1">AVERAGE(OFFSET($AM$3,0,0,'Données projet'!$E$10+1,1))-AVERAGE(OFFSET($H$3,0,0,'Données projet'!$E$10+1,1))</f>
        <v>400.34672861351783</v>
      </c>
      <c r="AO168" s="59">
        <f t="shared" si="144"/>
        <v>413.2016163204438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0.70923097874035712</v>
      </c>
      <c r="AV168" s="21">
        <f>EXP(-LN(2)/25)*AV167+(1-EXP(-LN(2)/25))/(LN(2)/25)*Calculateur!AQ168*Calculateur!AS168*VLOOKUP('Données projet'!$B$10,Paramètres!$A$1:$I$89,3,0)*0.475*44/12</f>
        <v>0.79114859710700114</v>
      </c>
      <c r="AW168" s="21">
        <f>EXP(-LN(2)/2)*AW167+(1-EXP(-LN(2)/2))/(LN(2)/2)*AQ168*AT168*VLOOKUP('Données projet'!$B$10,Paramètres!$A$1:$I$89,3,0)*0.475*44/12</f>
        <v>1.5682603906531137E-19</v>
      </c>
      <c r="AX168" s="21">
        <f t="shared" si="166"/>
        <v>1.5003795758473584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1">
        <f t="shared" si="140"/>
        <v>38.034305370426985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67">
        <f t="shared" si="110"/>
        <v>579.99228852016029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-1.1368683772161603E-13</v>
      </c>
      <c r="O169" s="13">
        <f>N169*VLOOKUP('Données projet'!$B$9,Paramètres!$A$1:$I$89,3,0)*VLOOKUP('Données projet'!$B$9,Paramètres!$A$1:$I$89,5,0)</f>
        <v>-1.0286385077051818E-13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269.19146943657933</v>
      </c>
      <c r="T169" s="59">
        <f t="shared" si="142"/>
        <v>185.94138814570965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</v>
      </c>
      <c r="AA169" s="21">
        <f>EXP(-LN(2)/25)*AA168+(1-EXP(-LN(2)/25))/(LN(2)/25)*Calculateur!V169*Calculateur!X169*VLOOKUP('Données projet'!$B$9,Paramètres!$A$1:$I$89,3,0)*0.475*44/12</f>
        <v>7.1546703726738492E-2</v>
      </c>
      <c r="AB169" s="21">
        <f>EXP(-LN(2)/2)*AB168+(1-EXP(-LN(2)/2))/(LN(2)/2)*V169*Y169*VLOOKUP('Données projet'!$B$9,Paramètres!$A$1:$I$89,3,0)*0.475*44/12</f>
        <v>2.0970326218874364E-20</v>
      </c>
      <c r="AC169" s="22">
        <f t="shared" si="163"/>
        <v>7.1546703726738492E-2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4.5474735088646412E-13</v>
      </c>
      <c r="AJ169" s="13">
        <f>AI169*VLOOKUP('Données projet'!$B$10,Paramètres!$A$1:$I$89,3,0)*VLOOKUP('Données projet'!$B$10,Paramètres!$A$1:$I$89,5,0)</f>
        <v>2.5420376914553347E-13</v>
      </c>
      <c r="AK169" s="13">
        <f t="shared" si="164"/>
        <v>3.4258699088369875E-12</v>
      </c>
      <c r="AL169" s="20">
        <f t="shared" si="165"/>
        <v>6.4094616558195571E-12</v>
      </c>
      <c r="AM169" s="59">
        <f t="shared" si="113"/>
        <v>293.33333333333974</v>
      </c>
      <c r="AN169" s="59">
        <f ca="1">AVERAGE(OFFSET($AM$3,0,0,'Données projet'!$E$10+1,1))-AVERAGE(OFFSET($H$3,0,0,'Données projet'!$E$10+1,1))</f>
        <v>400.34672861351783</v>
      </c>
      <c r="AO169" s="59">
        <f t="shared" si="144"/>
        <v>413.2016163204438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0.69532339183544123</v>
      </c>
      <c r="AV169" s="21">
        <f>EXP(-LN(2)/25)*AV168+(1-EXP(-LN(2)/25))/(LN(2)/25)*Calculateur!AQ169*Calculateur!AS169*VLOOKUP('Données projet'!$B$10,Paramètres!$A$1:$I$89,3,0)*0.475*44/12</f>
        <v>0.76951459711441361</v>
      </c>
      <c r="AW169" s="21">
        <f>EXP(-LN(2)/2)*AW168+(1-EXP(-LN(2)/2))/(LN(2)/2)*AQ169*AT169*VLOOKUP('Données projet'!$B$10,Paramètres!$A$1:$I$89,3,0)*0.475*44/12</f>
        <v>1.1089275568970808E-19</v>
      </c>
      <c r="AX169" s="21">
        <f t="shared" si="166"/>
        <v>1.4648379889498548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1">
        <f t="shared" si="140"/>
        <v>38.23668703199958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67">
        <f t="shared" si="110"/>
        <v>581.89345991406594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-1.1368683772161603E-13</v>
      </c>
      <c r="O170" s="13">
        <f>N170*VLOOKUP('Données projet'!$B$9,Paramètres!$A$1:$I$89,3,0)*VLOOKUP('Données projet'!$B$9,Paramètres!$A$1:$I$89,5,0)</f>
        <v>-1.0286385077051818E-13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269.19146943657933</v>
      </c>
      <c r="T170" s="59">
        <f t="shared" si="142"/>
        <v>185.94138814570965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</v>
      </c>
      <c r="AA170" s="21">
        <f>EXP(-LN(2)/25)*AA169+(1-EXP(-LN(2)/25))/(LN(2)/25)*Calculateur!V170*Calculateur!X170*VLOOKUP('Données projet'!$B$9,Paramètres!$A$1:$I$89,3,0)*0.475*44/12</f>
        <v>6.9590255350853197E-2</v>
      </c>
      <c r="AB170" s="21">
        <f>EXP(-LN(2)/2)*AB169+(1-EXP(-LN(2)/2))/(LN(2)/2)*V170*Y170*VLOOKUP('Données projet'!$B$9,Paramètres!$A$1:$I$89,3,0)*0.475*44/12</f>
        <v>1.4828259873060115E-20</v>
      </c>
      <c r="AC170" s="22">
        <f t="shared" si="163"/>
        <v>6.9590255350853197E-2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4.5474735088646412E-13</v>
      </c>
      <c r="AJ170" s="13">
        <f>AI170*VLOOKUP('Données projet'!$B$10,Paramètres!$A$1:$I$89,3,0)*VLOOKUP('Données projet'!$B$10,Paramètres!$A$1:$I$89,5,0)</f>
        <v>2.5420376914553347E-13</v>
      </c>
      <c r="AK170" s="13">
        <f t="shared" si="164"/>
        <v>3.4258699088369875E-12</v>
      </c>
      <c r="AL170" s="20">
        <f t="shared" si="165"/>
        <v>6.4094616558195571E-12</v>
      </c>
      <c r="AM170" s="59">
        <f t="shared" si="113"/>
        <v>293.33333333333974</v>
      </c>
      <c r="AN170" s="59">
        <f ca="1">AVERAGE(OFFSET($AM$3,0,0,'Données projet'!$E$10+1,1))-AVERAGE(OFFSET($H$3,0,0,'Données projet'!$E$10+1,1))</f>
        <v>400.34672861351783</v>
      </c>
      <c r="AO170" s="59">
        <f t="shared" si="144"/>
        <v>413.2016163204438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0.68168852422694026</v>
      </c>
      <c r="AV170" s="21">
        <f>EXP(-LN(2)/25)*AV169+(1-EXP(-LN(2)/25))/(LN(2)/25)*Calculateur!AQ170*Calculateur!AS170*VLOOKUP('Données projet'!$B$10,Paramètres!$A$1:$I$89,3,0)*0.475*44/12</f>
        <v>0.74847217998930604</v>
      </c>
      <c r="AW170" s="21">
        <f>EXP(-LN(2)/2)*AW169+(1-EXP(-LN(2)/2))/(LN(2)/2)*AQ170*AT170*VLOOKUP('Données projet'!$B$10,Paramètres!$A$1:$I$89,3,0)*0.475*44/12</f>
        <v>7.8413019532655684E-20</v>
      </c>
      <c r="AX170" s="21">
        <f t="shared" si="166"/>
        <v>1.4301607042162463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1">
        <f t="shared" si="140"/>
        <v>38.438927680599591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67">
        <f t="shared" si="110"/>
        <v>583.79438571037758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-1.1368683772161603E-13</v>
      </c>
      <c r="O171" s="13">
        <f>N171*VLOOKUP('Données projet'!$B$9,Paramètres!$A$1:$I$89,3,0)*VLOOKUP('Données projet'!$B$9,Paramètres!$A$1:$I$89,5,0)</f>
        <v>-1.0286385077051818E-13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269.19146943657933</v>
      </c>
      <c r="T171" s="59">
        <f t="shared" si="142"/>
        <v>185.94138814570965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</v>
      </c>
      <c r="AA171" s="21">
        <f>EXP(-LN(2)/25)*AA170+(1-EXP(-LN(2)/25))/(LN(2)/25)*Calculateur!V171*Calculateur!X171*VLOOKUP('Données projet'!$B$9,Paramètres!$A$1:$I$89,3,0)*0.475*44/12</f>
        <v>6.7687306158691632E-2</v>
      </c>
      <c r="AB171" s="21">
        <f>EXP(-LN(2)/2)*AB170+(1-EXP(-LN(2)/2))/(LN(2)/2)*V171*Y171*VLOOKUP('Données projet'!$B$9,Paramètres!$A$1:$I$89,3,0)*0.475*44/12</f>
        <v>1.0485163109437182E-20</v>
      </c>
      <c r="AC171" s="22">
        <f t="shared" si="163"/>
        <v>6.7687306158691632E-2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4.5474735088646412E-13</v>
      </c>
      <c r="AJ171" s="13">
        <f>AI171*VLOOKUP('Données projet'!$B$10,Paramètres!$A$1:$I$89,3,0)*VLOOKUP('Données projet'!$B$10,Paramètres!$A$1:$I$89,5,0)</f>
        <v>2.5420376914553347E-13</v>
      </c>
      <c r="AK171" s="13">
        <f t="shared" si="164"/>
        <v>3.4258699088369875E-12</v>
      </c>
      <c r="AL171" s="20">
        <f t="shared" si="165"/>
        <v>6.4094616558195571E-12</v>
      </c>
      <c r="AM171" s="59">
        <f t="shared" si="113"/>
        <v>293.33333333333974</v>
      </c>
      <c r="AN171" s="59">
        <f ca="1">AVERAGE(OFFSET($AM$3,0,0,'Données projet'!$E$10+1,1))-AVERAGE(OFFSET($H$3,0,0,'Données projet'!$E$10+1,1))</f>
        <v>400.34672861351783</v>
      </c>
      <c r="AO171" s="59">
        <f t="shared" si="144"/>
        <v>413.2016163204438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0.66832102805579396</v>
      </c>
      <c r="AV171" s="21">
        <f>EXP(-LN(2)/25)*AV170+(1-EXP(-LN(2)/25))/(LN(2)/25)*Calculateur!AQ171*Calculateur!AS171*VLOOKUP('Données projet'!$B$10,Paramètres!$A$1:$I$89,3,0)*0.475*44/12</f>
        <v>0.72800516886705713</v>
      </c>
      <c r="AW171" s="21">
        <f>EXP(-LN(2)/2)*AW170+(1-EXP(-LN(2)/2))/(LN(2)/2)*AQ171*AT171*VLOOKUP('Données projet'!$B$10,Paramètres!$A$1:$I$89,3,0)*0.475*44/12</f>
        <v>5.5446377844854038E-20</v>
      </c>
      <c r="AX171" s="21">
        <f t="shared" si="166"/>
        <v>1.3963261969228511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1">
        <f t="shared" si="140"/>
        <v>38.641028252978323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67">
        <f t="shared" si="110"/>
        <v>585.69506754060376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-1.1368683772161603E-13</v>
      </c>
      <c r="O172" s="13">
        <f>N172*VLOOKUP('Données projet'!$B$9,Paramètres!$A$1:$I$89,3,0)*VLOOKUP('Données projet'!$B$9,Paramètres!$A$1:$I$89,5,0)</f>
        <v>-1.0286385077051818E-13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269.19146943657933</v>
      </c>
      <c r="T172" s="59">
        <f t="shared" si="142"/>
        <v>185.94138814570965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</v>
      </c>
      <c r="AA172" s="21">
        <f>EXP(-LN(2)/25)*AA171+(1-EXP(-LN(2)/25))/(LN(2)/25)*Calculateur!V172*Calculateur!X172*VLOOKUP('Données projet'!$B$9,Paramètres!$A$1:$I$89,3,0)*0.475*44/12</f>
        <v>6.5836393212261479E-2</v>
      </c>
      <c r="AB172" s="21">
        <f>EXP(-LN(2)/2)*AB171+(1-EXP(-LN(2)/2))/(LN(2)/2)*V172*Y172*VLOOKUP('Données projet'!$B$9,Paramètres!$A$1:$I$89,3,0)*0.475*44/12</f>
        <v>7.4141299365300576E-21</v>
      </c>
      <c r="AC172" s="22">
        <f t="shared" si="163"/>
        <v>6.5836393212261479E-2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4.5474735088646412E-13</v>
      </c>
      <c r="AJ172" s="13">
        <f>AI172*VLOOKUP('Données projet'!$B$10,Paramètres!$A$1:$I$89,3,0)*VLOOKUP('Données projet'!$B$10,Paramètres!$A$1:$I$89,5,0)</f>
        <v>2.5420376914553347E-13</v>
      </c>
      <c r="AK172" s="13">
        <f t="shared" si="164"/>
        <v>3.4258699088369875E-12</v>
      </c>
      <c r="AL172" s="20">
        <f t="shared" si="165"/>
        <v>6.4094616558195571E-12</v>
      </c>
      <c r="AM172" s="59">
        <f t="shared" si="113"/>
        <v>293.33333333333974</v>
      </c>
      <c r="AN172" s="59">
        <f ca="1">AVERAGE(OFFSET($AM$3,0,0,'Données projet'!$E$10+1,1))-AVERAGE(OFFSET($H$3,0,0,'Données projet'!$E$10+1,1))</f>
        <v>400.34672861351783</v>
      </c>
      <c r="AO172" s="59">
        <f t="shared" si="144"/>
        <v>413.2016163204438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0.65521566033119627</v>
      </c>
      <c r="AV172" s="21">
        <f>EXP(-LN(2)/25)*AV171+(1-EXP(-LN(2)/25))/(LN(2)/25)*Calculateur!AQ172*Calculateur!AS172*VLOOKUP('Données projet'!$B$10,Paramètres!$A$1:$I$89,3,0)*0.475*44/12</f>
        <v>0.70809782924025955</v>
      </c>
      <c r="AW172" s="21">
        <f>EXP(-LN(2)/2)*AW171+(1-EXP(-LN(2)/2))/(LN(2)/2)*AQ172*AT172*VLOOKUP('Données projet'!$B$10,Paramètres!$A$1:$I$89,3,0)*0.475*44/12</f>
        <v>3.9206509766327842E-20</v>
      </c>
      <c r="AX172" s="21">
        <f t="shared" si="166"/>
        <v>1.3633134895714558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1">
        <f t="shared" si="140"/>
        <v>38.842989674159945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67">
        <f t="shared" si="110"/>
        <v>587.5955070158285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-1.1368683772161603E-13</v>
      </c>
      <c r="O173" s="13">
        <f>N173*VLOOKUP('Données projet'!$B$9,Paramètres!$A$1:$I$89,3,0)*VLOOKUP('Données projet'!$B$9,Paramètres!$A$1:$I$89,5,0)</f>
        <v>-1.0286385077051818E-13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269.19146943657933</v>
      </c>
      <c r="T173" s="59">
        <f t="shared" si="142"/>
        <v>185.94138814570965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</v>
      </c>
      <c r="AA173" s="21">
        <f>EXP(-LN(2)/25)*AA172+(1-EXP(-LN(2)/25))/(LN(2)/25)*Calculateur!V173*Calculateur!X173*VLOOKUP('Données projet'!$B$9,Paramètres!$A$1:$I$89,3,0)*0.475*44/12</f>
        <v>6.4036093577686748E-2</v>
      </c>
      <c r="AB173" s="21">
        <f>EXP(-LN(2)/2)*AB172+(1-EXP(-LN(2)/2))/(LN(2)/2)*V173*Y173*VLOOKUP('Données projet'!$B$9,Paramètres!$A$1:$I$89,3,0)*0.475*44/12</f>
        <v>5.242581554718591E-21</v>
      </c>
      <c r="AC173" s="22">
        <f t="shared" si="163"/>
        <v>6.4036093577686748E-2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4.5474735088646412E-13</v>
      </c>
      <c r="AJ173" s="13">
        <f>AI173*VLOOKUP('Données projet'!$B$10,Paramètres!$A$1:$I$89,3,0)*VLOOKUP('Données projet'!$B$10,Paramètres!$A$1:$I$89,5,0)</f>
        <v>2.5420376914553347E-13</v>
      </c>
      <c r="AK173" s="13">
        <f t="shared" si="164"/>
        <v>3.4258699088369875E-12</v>
      </c>
      <c r="AL173" s="20">
        <f t="shared" si="165"/>
        <v>6.4094616558195571E-12</v>
      </c>
      <c r="AM173" s="59">
        <f t="shared" si="113"/>
        <v>293.33333333333974</v>
      </c>
      <c r="AN173" s="59">
        <f ca="1">AVERAGE(OFFSET($AM$3,0,0,'Données projet'!$E$10+1,1))-AVERAGE(OFFSET($H$3,0,0,'Données projet'!$E$10+1,1))</f>
        <v>400.34672861351783</v>
      </c>
      <c r="AO173" s="59">
        <f t="shared" si="144"/>
        <v>413.2016163204438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0.64236728087419293</v>
      </c>
      <c r="AV173" s="21">
        <f>EXP(-LN(2)/25)*AV172+(1-EXP(-LN(2)/25))/(LN(2)/25)*Calculateur!AQ173*Calculateur!AS173*VLOOKUP('Données projet'!$B$10,Paramètres!$A$1:$I$89,3,0)*0.475*44/12</f>
        <v>0.68873485686243818</v>
      </c>
      <c r="AW173" s="21">
        <f>EXP(-LN(2)/2)*AW172+(1-EXP(-LN(2)/2))/(LN(2)/2)*AQ173*AT173*VLOOKUP('Données projet'!$B$10,Paramètres!$A$1:$I$89,3,0)*0.475*44/12</f>
        <v>2.7723188922427019E-20</v>
      </c>
      <c r="AX173" s="21">
        <f t="shared" si="166"/>
        <v>1.331102137736631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1">
        <f t="shared" si="140"/>
        <v>39.044812857656339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67">
        <f t="shared" si="110"/>
        <v>589.49570572708467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-1.1368683772161603E-13</v>
      </c>
      <c r="O174" s="13">
        <f>N174*VLOOKUP('Données projet'!$B$9,Paramètres!$A$1:$I$89,3,0)*VLOOKUP('Données projet'!$B$9,Paramètres!$A$1:$I$89,5,0)</f>
        <v>-1.0286385077051818E-13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269.19146943657933</v>
      </c>
      <c r="T174" s="59">
        <f t="shared" si="142"/>
        <v>185.94138814570965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</v>
      </c>
      <c r="AA174" s="21">
        <f>EXP(-LN(2)/25)*AA173+(1-EXP(-LN(2)/25))/(LN(2)/25)*Calculateur!V174*Calculateur!X174*VLOOKUP('Données projet'!$B$9,Paramètres!$A$1:$I$89,3,0)*0.475*44/12</f>
        <v>6.2285023231293098E-2</v>
      </c>
      <c r="AB174" s="21">
        <f>EXP(-LN(2)/2)*AB173+(1-EXP(-LN(2)/2))/(LN(2)/2)*V174*Y174*VLOOKUP('Données projet'!$B$9,Paramètres!$A$1:$I$89,3,0)*0.475*44/12</f>
        <v>3.7070649682650288E-21</v>
      </c>
      <c r="AC174" s="22">
        <f t="shared" si="163"/>
        <v>6.2285023231293098E-2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4.5474735088646412E-13</v>
      </c>
      <c r="AJ174" s="13">
        <f>AI174*VLOOKUP('Données projet'!$B$10,Paramètres!$A$1:$I$89,3,0)*VLOOKUP('Données projet'!$B$10,Paramètres!$A$1:$I$89,5,0)</f>
        <v>2.5420376914553347E-13</v>
      </c>
      <c r="AK174" s="13">
        <f t="shared" si="164"/>
        <v>3.4258699088369875E-12</v>
      </c>
      <c r="AL174" s="20">
        <f t="shared" si="165"/>
        <v>6.4094616558195571E-12</v>
      </c>
      <c r="AM174" s="59">
        <f t="shared" si="113"/>
        <v>293.33333333333974</v>
      </c>
      <c r="AN174" s="59">
        <f ca="1">AVERAGE(OFFSET($AM$3,0,0,'Données projet'!$E$10+1,1))-AVERAGE(OFFSET($H$3,0,0,'Données projet'!$E$10+1,1))</f>
        <v>400.34672861351783</v>
      </c>
      <c r="AO174" s="59">
        <f t="shared" si="144"/>
        <v>413.2016163204438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0.62977085030160374</v>
      </c>
      <c r="AV174" s="21">
        <f>EXP(-LN(2)/25)*AV173+(1-EXP(-LN(2)/25))/(LN(2)/25)*Calculateur!AQ174*Calculateur!AS174*VLOOKUP('Données projet'!$B$10,Paramètres!$A$1:$I$89,3,0)*0.475*44/12</f>
        <v>0.6699013659825428</v>
      </c>
      <c r="AW174" s="21">
        <f>EXP(-LN(2)/2)*AW173+(1-EXP(-LN(2)/2))/(LN(2)/2)*AQ174*AT174*VLOOKUP('Données projet'!$B$10,Paramètres!$A$1:$I$89,3,0)*0.475*44/12</f>
        <v>1.9603254883163921E-20</v>
      </c>
      <c r="AX174" s="21">
        <f t="shared" si="166"/>
        <v>1.2996722162841465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1">
        <f t="shared" si="140"/>
        <v>39.246498705676842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67">
        <f t="shared" si="110"/>
        <v>591.39566524572035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-1.1368683772161603E-13</v>
      </c>
      <c r="O175" s="13">
        <f>N175*VLOOKUP('Données projet'!$B$9,Paramètres!$A$1:$I$89,3,0)*VLOOKUP('Données projet'!$B$9,Paramètres!$A$1:$I$89,5,0)</f>
        <v>-1.0286385077051818E-13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269.19146943657933</v>
      </c>
      <c r="T175" s="59">
        <f t="shared" si="142"/>
        <v>185.94138814570965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</v>
      </c>
      <c r="AA175" s="21">
        <f>EXP(-LN(2)/25)*AA174+(1-EXP(-LN(2)/25))/(LN(2)/25)*Calculateur!V175*Calculateur!X175*VLOOKUP('Données projet'!$B$9,Paramètres!$A$1:$I$89,3,0)*0.475*44/12</f>
        <v>6.0581835995606369E-2</v>
      </c>
      <c r="AB175" s="21">
        <f>EXP(-LN(2)/2)*AB174+(1-EXP(-LN(2)/2))/(LN(2)/2)*V175*Y175*VLOOKUP('Données projet'!$B$9,Paramètres!$A$1:$I$89,3,0)*0.475*44/12</f>
        <v>2.6212907773592955E-21</v>
      </c>
      <c r="AC175" s="22">
        <f t="shared" si="163"/>
        <v>6.0581835995606369E-2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4.5474735088646412E-13</v>
      </c>
      <c r="AJ175" s="13">
        <f>AI175*VLOOKUP('Données projet'!$B$10,Paramètres!$A$1:$I$89,3,0)*VLOOKUP('Données projet'!$B$10,Paramètres!$A$1:$I$89,5,0)</f>
        <v>2.5420376914553347E-13</v>
      </c>
      <c r="AK175" s="13">
        <f t="shared" si="164"/>
        <v>3.4258699088369875E-12</v>
      </c>
      <c r="AL175" s="20">
        <f t="shared" si="165"/>
        <v>6.4094616558195571E-12</v>
      </c>
      <c r="AM175" s="59">
        <f t="shared" si="113"/>
        <v>293.33333333333974</v>
      </c>
      <c r="AN175" s="59">
        <f ca="1">AVERAGE(OFFSET($AM$3,0,0,'Données projet'!$E$10+1,1))-AVERAGE(OFFSET($H$3,0,0,'Données projet'!$E$10+1,1))</f>
        <v>400.34672861351783</v>
      </c>
      <c r="AO175" s="59">
        <f t="shared" si="144"/>
        <v>413.2016163204438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0.61742142804947908</v>
      </c>
      <c r="AV175" s="21">
        <f>EXP(-LN(2)/25)*AV174+(1-EXP(-LN(2)/25))/(LN(2)/25)*Calculateur!AQ175*Calculateur!AS175*VLOOKUP('Données projet'!$B$10,Paramètres!$A$1:$I$89,3,0)*0.475*44/12</f>
        <v>0.65158287790116842</v>
      </c>
      <c r="AW175" s="21">
        <f>EXP(-LN(2)/2)*AW174+(1-EXP(-LN(2)/2))/(LN(2)/2)*AQ175*AT175*VLOOKUP('Données projet'!$B$10,Paramètres!$A$1:$I$89,3,0)*0.475*44/12</f>
        <v>1.3861594461213509E-20</v>
      </c>
      <c r="AX175" s="21">
        <f t="shared" si="166"/>
        <v>1.2690043059506475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1">
        <f t="shared" si="140"/>
        <v>39.448048109333072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67">
        <f t="shared" si="110"/>
        <v>593.29538712375495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-1.1368683772161603E-13</v>
      </c>
      <c r="O176" s="13">
        <f>N176*VLOOKUP('Données projet'!$B$9,Paramètres!$A$1:$I$89,3,0)*VLOOKUP('Données projet'!$B$9,Paramètres!$A$1:$I$89,5,0)</f>
        <v>-1.0286385077051818E-13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269.19146943657933</v>
      </c>
      <c r="T176" s="59">
        <f t="shared" si="142"/>
        <v>185.94138814570965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</v>
      </c>
      <c r="AA176" s="21">
        <f>EXP(-LN(2)/25)*AA175+(1-EXP(-LN(2)/25))/(LN(2)/25)*Calculateur!V176*Calculateur!X176*VLOOKUP('Données projet'!$B$9,Paramètres!$A$1:$I$89,3,0)*0.475*44/12</f>
        <v>5.892522250444622E-2</v>
      </c>
      <c r="AB176" s="21">
        <f>EXP(-LN(2)/2)*AB175+(1-EXP(-LN(2)/2))/(LN(2)/2)*V176*Y176*VLOOKUP('Données projet'!$B$9,Paramètres!$A$1:$I$89,3,0)*0.475*44/12</f>
        <v>1.8535324841325144E-21</v>
      </c>
      <c r="AC176" s="22">
        <f t="shared" si="163"/>
        <v>5.892522250444622E-2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4.5474735088646412E-13</v>
      </c>
      <c r="AJ176" s="13">
        <f>AI176*VLOOKUP('Données projet'!$B$10,Paramètres!$A$1:$I$89,3,0)*VLOOKUP('Données projet'!$B$10,Paramètres!$A$1:$I$89,5,0)</f>
        <v>2.5420376914553347E-13</v>
      </c>
      <c r="AK176" s="13">
        <f t="shared" si="164"/>
        <v>3.4258699088369875E-12</v>
      </c>
      <c r="AL176" s="20">
        <f t="shared" si="165"/>
        <v>6.4094616558195571E-12</v>
      </c>
      <c r="AM176" s="59">
        <f t="shared" si="113"/>
        <v>293.33333333333974</v>
      </c>
      <c r="AN176" s="59">
        <f ca="1">AVERAGE(OFFSET($AM$3,0,0,'Données projet'!$E$10+1,1))-AVERAGE(OFFSET($H$3,0,0,'Données projet'!$E$10+1,1))</f>
        <v>400.34672861351783</v>
      </c>
      <c r="AO176" s="59">
        <f t="shared" si="144"/>
        <v>413.2016163204438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0.60531417043531477</v>
      </c>
      <c r="AV176" s="21">
        <f>EXP(-LN(2)/25)*AV175+(1-EXP(-LN(2)/25))/(LN(2)/25)*Calculateur!AQ176*Calculateur!AS176*VLOOKUP('Données projet'!$B$10,Paramètres!$A$1:$I$89,3,0)*0.475*44/12</f>
        <v>0.63376530983970658</v>
      </c>
      <c r="AW176" s="21">
        <f>EXP(-LN(2)/2)*AW175+(1-EXP(-LN(2)/2))/(LN(2)/2)*AQ176*AT176*VLOOKUP('Données projet'!$B$10,Paramètres!$A$1:$I$89,3,0)*0.475*44/12</f>
        <v>9.8016274415819605E-21</v>
      </c>
      <c r="AX176" s="21">
        <f t="shared" si="166"/>
        <v>1.2390794802750213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1">
        <f t="shared" si="140"/>
        <v>39.649461948838557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67">
        <f t="shared" si="110"/>
        <v>595.19487289422705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-1.1368683772161603E-13</v>
      </c>
      <c r="O177" s="13">
        <f>N177*VLOOKUP('Données projet'!$B$9,Paramètres!$A$1:$I$89,3,0)*VLOOKUP('Données projet'!$B$9,Paramètres!$A$1:$I$89,5,0)</f>
        <v>-1.0286385077051818E-13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269.19146943657933</v>
      </c>
      <c r="T177" s="59">
        <f t="shared" si="142"/>
        <v>185.94138814570965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</v>
      </c>
      <c r="AA177" s="21">
        <f>EXP(-LN(2)/25)*AA176+(1-EXP(-LN(2)/25))/(LN(2)/25)*Calculateur!V177*Calculateur!X177*VLOOKUP('Données projet'!$B$9,Paramètres!$A$1:$I$89,3,0)*0.475*44/12</f>
        <v>5.731390919631936E-2</v>
      </c>
      <c r="AB177" s="21">
        <f>EXP(-LN(2)/2)*AB176+(1-EXP(-LN(2)/2))/(LN(2)/2)*V177*Y177*VLOOKUP('Données projet'!$B$9,Paramètres!$A$1:$I$89,3,0)*0.475*44/12</f>
        <v>1.3106453886796478E-21</v>
      </c>
      <c r="AC177" s="22">
        <f t="shared" si="163"/>
        <v>5.731390919631936E-2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4.5474735088646412E-13</v>
      </c>
      <c r="AJ177" s="13">
        <f>AI177*VLOOKUP('Données projet'!$B$10,Paramètres!$A$1:$I$89,3,0)*VLOOKUP('Données projet'!$B$10,Paramètres!$A$1:$I$89,5,0)</f>
        <v>2.5420376914553347E-13</v>
      </c>
      <c r="AK177" s="13">
        <f t="shared" si="164"/>
        <v>3.4258699088369875E-12</v>
      </c>
      <c r="AL177" s="20">
        <f t="shared" si="165"/>
        <v>6.4094616558195571E-12</v>
      </c>
      <c r="AM177" s="59">
        <f t="shared" si="113"/>
        <v>293.33333333333974</v>
      </c>
      <c r="AN177" s="59">
        <f ca="1">AVERAGE(OFFSET($AM$3,0,0,'Données projet'!$E$10+1,1))-AVERAGE(OFFSET($H$3,0,0,'Données projet'!$E$10+1,1))</f>
        <v>400.34672861351783</v>
      </c>
      <c r="AO177" s="59">
        <f t="shared" si="144"/>
        <v>413.2016163204438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0.59344432875826625</v>
      </c>
      <c r="AV177" s="21">
        <f>EXP(-LN(2)/25)*AV176+(1-EXP(-LN(2)/25))/(LN(2)/25)*Calculateur!AQ177*Calculateur!AS177*VLOOKUP('Données projet'!$B$10,Paramètres!$A$1:$I$89,3,0)*0.475*44/12</f>
        <v>0.61643496411387066</v>
      </c>
      <c r="AW177" s="21">
        <f>EXP(-LN(2)/2)*AW176+(1-EXP(-LN(2)/2))/(LN(2)/2)*AQ177*AT177*VLOOKUP('Données projet'!$B$10,Paramètres!$A$1:$I$89,3,0)*0.475*44/12</f>
        <v>6.9307972306067547E-21</v>
      </c>
      <c r="AX177" s="21">
        <f t="shared" si="166"/>
        <v>1.2098792928721369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1">
        <f t="shared" si="140"/>
        <v>39.850741093704151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67">
        <f t="shared" si="110"/>
        <v>597.09412407153457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-1.1368683772161603E-13</v>
      </c>
      <c r="O178" s="13">
        <f>N178*VLOOKUP('Données projet'!$B$9,Paramètres!$A$1:$I$89,3,0)*VLOOKUP('Données projet'!$B$9,Paramètres!$A$1:$I$89,5,0)</f>
        <v>-1.0286385077051818E-13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269.19146943657933</v>
      </c>
      <c r="T178" s="59">
        <f t="shared" si="142"/>
        <v>185.94138814570965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</v>
      </c>
      <c r="AA178" s="21">
        <f>EXP(-LN(2)/25)*AA177+(1-EXP(-LN(2)/25))/(LN(2)/25)*Calculateur!V178*Calculateur!X178*VLOOKUP('Données projet'!$B$9,Paramètres!$A$1:$I$89,3,0)*0.475*44/12</f>
        <v>5.5746657335338512E-2</v>
      </c>
      <c r="AB178" s="21">
        <f>EXP(-LN(2)/2)*AB177+(1-EXP(-LN(2)/2))/(LN(2)/2)*V178*Y178*VLOOKUP('Données projet'!$B$9,Paramètres!$A$1:$I$89,3,0)*0.475*44/12</f>
        <v>9.267662420662572E-22</v>
      </c>
      <c r="AC178" s="22">
        <f t="shared" si="163"/>
        <v>5.5746657335338512E-2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4.5474735088646412E-13</v>
      </c>
      <c r="AJ178" s="13">
        <f>AI178*VLOOKUP('Données projet'!$B$10,Paramètres!$A$1:$I$89,3,0)*VLOOKUP('Données projet'!$B$10,Paramètres!$A$1:$I$89,5,0)</f>
        <v>2.5420376914553347E-13</v>
      </c>
      <c r="AK178" s="13">
        <f t="shared" si="164"/>
        <v>3.4258699088369875E-12</v>
      </c>
      <c r="AL178" s="20">
        <f t="shared" si="165"/>
        <v>6.4094616558195571E-12</v>
      </c>
      <c r="AM178" s="59">
        <f t="shared" si="113"/>
        <v>293.33333333333974</v>
      </c>
      <c r="AN178" s="59">
        <f ca="1">AVERAGE(OFFSET($AM$3,0,0,'Données projet'!$E$10+1,1))-AVERAGE(OFFSET($H$3,0,0,'Données projet'!$E$10+1,1))</f>
        <v>400.34672861351783</v>
      </c>
      <c r="AO178" s="59">
        <f t="shared" si="144"/>
        <v>413.2016163204438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0.58180724743661605</v>
      </c>
      <c r="AV178" s="21">
        <f>EXP(-LN(2)/25)*AV177+(1-EXP(-LN(2)/25))/(LN(2)/25)*Calculateur!AQ178*Calculateur!AS178*VLOOKUP('Données projet'!$B$10,Paramètres!$A$1:$I$89,3,0)*0.475*44/12</f>
        <v>0.59957851760327097</v>
      </c>
      <c r="AW178" s="21">
        <f>EXP(-LN(2)/2)*AW177+(1-EXP(-LN(2)/2))/(LN(2)/2)*AQ178*AT178*VLOOKUP('Données projet'!$B$10,Paramètres!$A$1:$I$89,3,0)*0.475*44/12</f>
        <v>4.9008137207909803E-21</v>
      </c>
      <c r="AX178" s="21">
        <f t="shared" si="166"/>
        <v>1.1813857650398871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1">
        <f t="shared" si="140"/>
        <v>40.051886402928353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67">
        <f t="shared" si="110"/>
        <v>598.99314215176662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-1.1368683772161603E-13</v>
      </c>
      <c r="O179" s="13">
        <f>N179*VLOOKUP('Données projet'!$B$9,Paramètres!$A$1:$I$89,3,0)*VLOOKUP('Données projet'!$B$9,Paramètres!$A$1:$I$89,5,0)</f>
        <v>-1.0286385077051818E-13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269.19146943657933</v>
      </c>
      <c r="T179" s="59">
        <f t="shared" si="142"/>
        <v>185.94138814570965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</v>
      </c>
      <c r="AA179" s="21">
        <f>EXP(-LN(2)/25)*AA178+(1-EXP(-LN(2)/25))/(LN(2)/25)*Calculateur!V179*Calculateur!X179*VLOOKUP('Données projet'!$B$9,Paramètres!$A$1:$I$89,3,0)*0.475*44/12</f>
        <v>5.4222262058914381E-2</v>
      </c>
      <c r="AB179" s="21">
        <f>EXP(-LN(2)/2)*AB178+(1-EXP(-LN(2)/2))/(LN(2)/2)*V179*Y179*VLOOKUP('Données projet'!$B$9,Paramètres!$A$1:$I$89,3,0)*0.475*44/12</f>
        <v>6.5532269433982388E-22</v>
      </c>
      <c r="AC179" s="22">
        <f t="shared" si="163"/>
        <v>5.4222262058914381E-2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4.5474735088646412E-13</v>
      </c>
      <c r="AJ179" s="13">
        <f>AI179*VLOOKUP('Données projet'!$B$10,Paramètres!$A$1:$I$89,3,0)*VLOOKUP('Données projet'!$B$10,Paramètres!$A$1:$I$89,5,0)</f>
        <v>2.5420376914553347E-13</v>
      </c>
      <c r="AK179" s="13">
        <f t="shared" si="164"/>
        <v>3.4258699088369875E-12</v>
      </c>
      <c r="AL179" s="20">
        <f t="shared" si="165"/>
        <v>6.4094616558195571E-12</v>
      </c>
      <c r="AM179" s="59">
        <f t="shared" si="113"/>
        <v>293.33333333333974</v>
      </c>
      <c r="AN179" s="59">
        <f ca="1">AVERAGE(OFFSET($AM$3,0,0,'Données projet'!$E$10+1,1))-AVERAGE(OFFSET($H$3,0,0,'Données projet'!$E$10+1,1))</f>
        <v>400.34672861351783</v>
      </c>
      <c r="AO179" s="59">
        <f t="shared" si="144"/>
        <v>413.2016163204438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0.57039836218176465</v>
      </c>
      <c r="AV179" s="21">
        <f>EXP(-LN(2)/25)*AV178+(1-EXP(-LN(2)/25))/(LN(2)/25)*Calculateur!AQ179*Calculateur!AS179*VLOOKUP('Données projet'!$B$10,Paramètres!$A$1:$I$89,3,0)*0.475*44/12</f>
        <v>0.58318301150894558</v>
      </c>
      <c r="AW179" s="21">
        <f>EXP(-LN(2)/2)*AW178+(1-EXP(-LN(2)/2))/(LN(2)/2)*AQ179*AT179*VLOOKUP('Données projet'!$B$10,Paramètres!$A$1:$I$89,3,0)*0.475*44/12</f>
        <v>3.4653986153033774E-21</v>
      </c>
      <c r="AX179" s="21">
        <f t="shared" si="166"/>
        <v>1.1535813736907103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1">
        <f t="shared" si="140"/>
        <v>40.252898725183421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67">
        <f t="shared" si="110"/>
        <v>600.89192861302752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-1.1368683772161603E-13</v>
      </c>
      <c r="O180" s="13">
        <f>N180*VLOOKUP('Données projet'!$B$9,Paramètres!$A$1:$I$89,3,0)*VLOOKUP('Données projet'!$B$9,Paramètres!$A$1:$I$89,5,0)</f>
        <v>-1.0286385077051818E-13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269.19146943657933</v>
      </c>
      <c r="T180" s="59">
        <f t="shared" si="142"/>
        <v>185.94138814570965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</v>
      </c>
      <c r="AA180" s="21">
        <f>EXP(-LN(2)/25)*AA179+(1-EXP(-LN(2)/25))/(LN(2)/25)*Calculateur!V180*Calculateur!X180*VLOOKUP('Données projet'!$B$9,Paramètres!$A$1:$I$89,3,0)*0.475*44/12</f>
        <v>5.273955145148853E-2</v>
      </c>
      <c r="AB180" s="21">
        <f>EXP(-LN(2)/2)*AB179+(1-EXP(-LN(2)/2))/(LN(2)/2)*V180*Y180*VLOOKUP('Données projet'!$B$9,Paramètres!$A$1:$I$89,3,0)*0.475*44/12</f>
        <v>4.633831210331286E-22</v>
      </c>
      <c r="AC180" s="22">
        <f t="shared" si="163"/>
        <v>5.273955145148853E-2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4.5474735088646412E-13</v>
      </c>
      <c r="AJ180" s="13">
        <f>AI180*VLOOKUP('Données projet'!$B$10,Paramètres!$A$1:$I$89,3,0)*VLOOKUP('Données projet'!$B$10,Paramètres!$A$1:$I$89,5,0)</f>
        <v>2.5420376914553347E-13</v>
      </c>
      <c r="AK180" s="13">
        <f t="shared" si="164"/>
        <v>3.4258699088369875E-12</v>
      </c>
      <c r="AL180" s="20">
        <f t="shared" si="165"/>
        <v>6.4094616558195571E-12</v>
      </c>
      <c r="AM180" s="59">
        <f t="shared" si="113"/>
        <v>293.33333333333974</v>
      </c>
      <c r="AN180" s="59">
        <f ca="1">AVERAGE(OFFSET($AM$3,0,0,'Données projet'!$E$10+1,1))-AVERAGE(OFFSET($H$3,0,0,'Données projet'!$E$10+1,1))</f>
        <v>400.34672861351783</v>
      </c>
      <c r="AO180" s="59">
        <f t="shared" si="144"/>
        <v>413.2016163204438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0.55921319820802806</v>
      </c>
      <c r="AV180" s="21">
        <f>EXP(-LN(2)/25)*AV179+(1-EXP(-LN(2)/25))/(LN(2)/25)*Calculateur!AQ180*Calculateur!AS180*VLOOKUP('Données projet'!$B$10,Paramètres!$A$1:$I$89,3,0)*0.475*44/12</f>
        <v>0.56723584139097172</v>
      </c>
      <c r="AW180" s="21">
        <f>EXP(-LN(2)/2)*AW179+(1-EXP(-LN(2)/2))/(LN(2)/2)*AQ180*AT180*VLOOKUP('Données projet'!$B$10,Paramètres!$A$1:$I$89,3,0)*0.475*44/12</f>
        <v>2.4504068603954901E-21</v>
      </c>
      <c r="AX180" s="21">
        <f t="shared" si="166"/>
        <v>1.1264490395989997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1">
        <f t="shared" si="140"/>
        <v>40.45377889899725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67">
        <f t="shared" si="110"/>
        <v>602.79048491575327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-1.1368683772161603E-13</v>
      </c>
      <c r="O181" s="13">
        <f>N181*VLOOKUP('Données projet'!$B$9,Paramètres!$A$1:$I$89,3,0)*VLOOKUP('Données projet'!$B$9,Paramètres!$A$1:$I$89,5,0)</f>
        <v>-1.0286385077051818E-13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269.19146943657933</v>
      </c>
      <c r="T181" s="59">
        <f t="shared" si="142"/>
        <v>185.94138814570965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</v>
      </c>
      <c r="AA181" s="21">
        <f>EXP(-LN(2)/25)*AA180+(1-EXP(-LN(2)/25))/(LN(2)/25)*Calculateur!V181*Calculateur!X181*VLOOKUP('Données projet'!$B$9,Paramètres!$A$1:$I$89,3,0)*0.475*44/12</f>
        <v>5.1297385643595102E-2</v>
      </c>
      <c r="AB181" s="21">
        <f>EXP(-LN(2)/2)*AB180+(1-EXP(-LN(2)/2))/(LN(2)/2)*V181*Y181*VLOOKUP('Données projet'!$B$9,Paramètres!$A$1:$I$89,3,0)*0.475*44/12</f>
        <v>3.2766134716991194E-22</v>
      </c>
      <c r="AC181" s="22">
        <f t="shared" si="163"/>
        <v>5.1297385643595102E-2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4.5474735088646412E-13</v>
      </c>
      <c r="AJ181" s="13">
        <f>AI181*VLOOKUP('Données projet'!$B$10,Paramètres!$A$1:$I$89,3,0)*VLOOKUP('Données projet'!$B$10,Paramètres!$A$1:$I$89,5,0)</f>
        <v>2.5420376914553347E-13</v>
      </c>
      <c r="AK181" s="13">
        <f t="shared" si="164"/>
        <v>3.4258699088369875E-12</v>
      </c>
      <c r="AL181" s="20">
        <f t="shared" si="165"/>
        <v>6.4094616558195571E-12</v>
      </c>
      <c r="AM181" s="59">
        <f t="shared" si="113"/>
        <v>293.33333333333974</v>
      </c>
      <c r="AN181" s="59">
        <f ca="1">AVERAGE(OFFSET($AM$3,0,0,'Données projet'!$E$10+1,1))-AVERAGE(OFFSET($H$3,0,0,'Données projet'!$E$10+1,1))</f>
        <v>400.34672861351783</v>
      </c>
      <c r="AO181" s="59">
        <f t="shared" si="144"/>
        <v>413.2016163204438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0.54824736847754008</v>
      </c>
      <c r="AV181" s="21">
        <f>EXP(-LN(2)/25)*AV180+(1-EXP(-LN(2)/25))/(LN(2)/25)*Calculateur!AQ181*Calculateur!AS181*VLOOKUP('Données projet'!$B$10,Paramètres!$A$1:$I$89,3,0)*0.475*44/12</f>
        <v>0.55172474747849909</v>
      </c>
      <c r="AW181" s="21">
        <f>EXP(-LN(2)/2)*AW180+(1-EXP(-LN(2)/2))/(LN(2)/2)*AQ181*AT181*VLOOKUP('Données projet'!$B$10,Paramètres!$A$1:$I$89,3,0)*0.475*44/12</f>
        <v>1.7326993076516887E-21</v>
      </c>
      <c r="AX181" s="21">
        <f t="shared" si="166"/>
        <v>1.0999721159560392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1">
        <f t="shared" si="140"/>
        <v>40.654527752930711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67">
        <f t="shared" si="110"/>
        <v>604.6888125030207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-1.1368683772161603E-13</v>
      </c>
      <c r="O182" s="13">
        <f>N182*VLOOKUP('Données projet'!$B$9,Paramètres!$A$1:$I$89,3,0)*VLOOKUP('Données projet'!$B$9,Paramètres!$A$1:$I$89,5,0)</f>
        <v>-1.0286385077051818E-13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269.19146943657933</v>
      </c>
      <c r="T182" s="59">
        <f t="shared" si="142"/>
        <v>185.94138814570965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</v>
      </c>
      <c r="AA182" s="21">
        <f>EXP(-LN(2)/25)*AA181+(1-EXP(-LN(2)/25))/(LN(2)/25)*Calculateur!V182*Calculateur!X182*VLOOKUP('Données projet'!$B$9,Paramètres!$A$1:$I$89,3,0)*0.475*44/12</f>
        <v>4.9894655935558724E-2</v>
      </c>
      <c r="AB182" s="21">
        <f>EXP(-LN(2)/2)*AB181+(1-EXP(-LN(2)/2))/(LN(2)/2)*V182*Y182*VLOOKUP('Données projet'!$B$9,Paramètres!$A$1:$I$89,3,0)*0.475*44/12</f>
        <v>2.316915605165643E-22</v>
      </c>
      <c r="AC182" s="22">
        <f t="shared" si="163"/>
        <v>4.9894655935558724E-2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4.5474735088646412E-13</v>
      </c>
      <c r="AJ182" s="13">
        <f>AI182*VLOOKUP('Données projet'!$B$10,Paramètres!$A$1:$I$89,3,0)*VLOOKUP('Données projet'!$B$10,Paramètres!$A$1:$I$89,5,0)</f>
        <v>2.5420376914553347E-13</v>
      </c>
      <c r="AK182" s="13">
        <f t="shared" si="164"/>
        <v>3.4258699088369875E-12</v>
      </c>
      <c r="AL182" s="20">
        <f t="shared" si="165"/>
        <v>6.4094616558195571E-12</v>
      </c>
      <c r="AM182" s="59">
        <f t="shared" si="113"/>
        <v>293.33333333333974</v>
      </c>
      <c r="AN182" s="59">
        <f ca="1">AVERAGE(OFFSET($AM$3,0,0,'Données projet'!$E$10+1,1))-AVERAGE(OFFSET($H$3,0,0,'Données projet'!$E$10+1,1))</f>
        <v>400.34672861351783</v>
      </c>
      <c r="AO182" s="59">
        <f t="shared" si="144"/>
        <v>413.2016163204438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0.53749657197957124</v>
      </c>
      <c r="AV182" s="21">
        <f>EXP(-LN(2)/25)*AV181+(1-EXP(-LN(2)/25))/(LN(2)/25)*Calculateur!AQ182*Calculateur!AS182*VLOOKUP('Données projet'!$B$10,Paramètres!$A$1:$I$89,3,0)*0.475*44/12</f>
        <v>0.53663780524475602</v>
      </c>
      <c r="AW182" s="21">
        <f>EXP(-LN(2)/2)*AW181+(1-EXP(-LN(2)/2))/(LN(2)/2)*AQ182*AT182*VLOOKUP('Données projet'!$B$10,Paramètres!$A$1:$I$89,3,0)*0.475*44/12</f>
        <v>1.2252034301977451E-21</v>
      </c>
      <c r="AX182" s="21">
        <f t="shared" si="166"/>
        <v>1.0741343772243273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1">
        <f t="shared" si="140"/>
        <v>40.855146105751388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67">
        <f t="shared" si="110"/>
        <v>606.58691280085009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-1.1368683772161603E-13</v>
      </c>
      <c r="O183" s="13">
        <f>N183*VLOOKUP('Données projet'!$B$9,Paramètres!$A$1:$I$89,3,0)*VLOOKUP('Données projet'!$B$9,Paramètres!$A$1:$I$89,5,0)</f>
        <v>-1.0286385077051818E-13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269.19146943657933</v>
      </c>
      <c r="T183" s="59">
        <f t="shared" si="142"/>
        <v>185.94138814570965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</v>
      </c>
      <c r="AA183" s="21">
        <f>EXP(-LN(2)/25)*AA182+(1-EXP(-LN(2)/25))/(LN(2)/25)*Calculateur!V183*Calculateur!X183*VLOOKUP('Données projet'!$B$9,Paramètres!$A$1:$I$89,3,0)*0.475*44/12</f>
        <v>4.8530283945154948E-2</v>
      </c>
      <c r="AB183" s="21">
        <f>EXP(-LN(2)/2)*AB182+(1-EXP(-LN(2)/2))/(LN(2)/2)*V183*Y183*VLOOKUP('Données projet'!$B$9,Paramètres!$A$1:$I$89,3,0)*0.475*44/12</f>
        <v>1.6383067358495597E-22</v>
      </c>
      <c r="AC183" s="22">
        <f t="shared" si="163"/>
        <v>4.8530283945154948E-2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4.5474735088646412E-13</v>
      </c>
      <c r="AJ183" s="13">
        <f>AI183*VLOOKUP('Données projet'!$B$10,Paramètres!$A$1:$I$89,3,0)*VLOOKUP('Données projet'!$B$10,Paramètres!$A$1:$I$89,5,0)</f>
        <v>2.5420376914553347E-13</v>
      </c>
      <c r="AK183" s="13">
        <f t="shared" si="164"/>
        <v>3.4258699088369875E-12</v>
      </c>
      <c r="AL183" s="20">
        <f t="shared" si="165"/>
        <v>6.4094616558195571E-12</v>
      </c>
      <c r="AM183" s="59">
        <f t="shared" si="113"/>
        <v>293.33333333333974</v>
      </c>
      <c r="AN183" s="59">
        <f ca="1">AVERAGE(OFFSET($AM$3,0,0,'Données projet'!$E$10+1,1))-AVERAGE(OFFSET($H$3,0,0,'Données projet'!$E$10+1,1))</f>
        <v>400.34672861351783</v>
      </c>
      <c r="AO183" s="59">
        <f t="shared" si="144"/>
        <v>413.2016163204438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0.52695659204358913</v>
      </c>
      <c r="AV183" s="21">
        <f>EXP(-LN(2)/25)*AV182+(1-EXP(-LN(2)/25))/(LN(2)/25)*Calculateur!AQ183*Calculateur!AS183*VLOOKUP('Données projet'!$B$10,Paramètres!$A$1:$I$89,3,0)*0.475*44/12</f>
        <v>0.52196341623978249</v>
      </c>
      <c r="AW183" s="21">
        <f>EXP(-LN(2)/2)*AW182+(1-EXP(-LN(2)/2))/(LN(2)/2)*AQ183*AT183*VLOOKUP('Données projet'!$B$10,Paramètres!$A$1:$I$89,3,0)*0.475*44/12</f>
        <v>8.6634965382584434E-22</v>
      </c>
      <c r="AX183" s="21">
        <f t="shared" si="166"/>
        <v>1.0489200082833716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1">
        <f t="shared" si="140"/>
        <v>41.055634766602871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67">
        <f t="shared" si="110"/>
        <v>608.48478721849972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-1.1368683772161603E-13</v>
      </c>
      <c r="O184" s="13">
        <f>N184*VLOOKUP('Données projet'!$B$9,Paramètres!$A$1:$I$89,3,0)*VLOOKUP('Données projet'!$B$9,Paramètres!$A$1:$I$89,5,0)</f>
        <v>-1.0286385077051818E-13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269.19146943657933</v>
      </c>
      <c r="T184" s="59">
        <f t="shared" si="142"/>
        <v>185.94138814570965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</v>
      </c>
      <c r="AA184" s="21">
        <f>EXP(-LN(2)/25)*AA183+(1-EXP(-LN(2)/25))/(LN(2)/25)*Calculateur!V184*Calculateur!X184*VLOOKUP('Données projet'!$B$9,Paramètres!$A$1:$I$89,3,0)*0.475*44/12</f>
        <v>4.720322077857797E-2</v>
      </c>
      <c r="AB184" s="21">
        <f>EXP(-LN(2)/2)*AB183+(1-EXP(-LN(2)/2))/(LN(2)/2)*V184*Y184*VLOOKUP('Données projet'!$B$9,Paramètres!$A$1:$I$89,3,0)*0.475*44/12</f>
        <v>1.1584578025828215E-22</v>
      </c>
      <c r="AC184" s="22">
        <f t="shared" si="163"/>
        <v>4.720322077857797E-2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4.5474735088646412E-13</v>
      </c>
      <c r="AJ184" s="13">
        <f>AI184*VLOOKUP('Données projet'!$B$10,Paramètres!$A$1:$I$89,3,0)*VLOOKUP('Données projet'!$B$10,Paramètres!$A$1:$I$89,5,0)</f>
        <v>2.5420376914553347E-13</v>
      </c>
      <c r="AK184" s="13">
        <f t="shared" si="164"/>
        <v>3.4258699088369875E-12</v>
      </c>
      <c r="AL184" s="20">
        <f t="shared" si="165"/>
        <v>6.4094616558195571E-12</v>
      </c>
      <c r="AM184" s="59">
        <f t="shared" si="113"/>
        <v>293.33333333333974</v>
      </c>
      <c r="AN184" s="59">
        <f ca="1">AVERAGE(OFFSET($AM$3,0,0,'Données projet'!$E$10+1,1))-AVERAGE(OFFSET($H$3,0,0,'Données projet'!$E$10+1,1))</f>
        <v>400.34672861351783</v>
      </c>
      <c r="AO184" s="59">
        <f t="shared" si="144"/>
        <v>413.2016163204438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0.51662329468539869</v>
      </c>
      <c r="AV184" s="21">
        <f>EXP(-LN(2)/25)*AV183+(1-EXP(-LN(2)/25))/(LN(2)/25)*Calculateur!AQ184*Calculateur!AS184*VLOOKUP('Données projet'!$B$10,Paramètres!$A$1:$I$89,3,0)*0.475*44/12</f>
        <v>0.50769029917384256</v>
      </c>
      <c r="AW184" s="21">
        <f>EXP(-LN(2)/2)*AW183+(1-EXP(-LN(2)/2))/(LN(2)/2)*AQ184*AT184*VLOOKUP('Données projet'!$B$10,Paramètres!$A$1:$I$89,3,0)*0.475*44/12</f>
        <v>6.1260171509887253E-22</v>
      </c>
      <c r="AX184" s="21">
        <f t="shared" si="166"/>
        <v>1.0243135938592411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1">
        <f t="shared" si="140"/>
        <v>41.255994535170444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67">
        <f t="shared" si="110"/>
        <v>610.38243714875489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-1.1368683772161603E-13</v>
      </c>
      <c r="O185" s="13">
        <f>N185*VLOOKUP('Données projet'!$B$9,Paramètres!$A$1:$I$89,3,0)*VLOOKUP('Données projet'!$B$9,Paramètres!$A$1:$I$89,5,0)</f>
        <v>-1.0286385077051818E-13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269.19146943657933</v>
      </c>
      <c r="T185" s="59">
        <f t="shared" si="142"/>
        <v>185.94138814570965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</v>
      </c>
      <c r="AA185" s="21">
        <f>EXP(-LN(2)/25)*AA184+(1-EXP(-LN(2)/25))/(LN(2)/25)*Calculateur!V185*Calculateur!X185*VLOOKUP('Données projet'!$B$9,Paramètres!$A$1:$I$89,3,0)*0.475*44/12</f>
        <v>4.5912446224078259E-2</v>
      </c>
      <c r="AB185" s="21">
        <f>EXP(-LN(2)/2)*AB184+(1-EXP(-LN(2)/2))/(LN(2)/2)*V185*Y185*VLOOKUP('Données projet'!$B$9,Paramètres!$A$1:$I$89,3,0)*0.475*44/12</f>
        <v>8.1915336792477985E-23</v>
      </c>
      <c r="AC185" s="22">
        <f t="shared" si="163"/>
        <v>4.5912446224078259E-2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4.5474735088646412E-13</v>
      </c>
      <c r="AJ185" s="13">
        <f>AI185*VLOOKUP('Données projet'!$B$10,Paramètres!$A$1:$I$89,3,0)*VLOOKUP('Données projet'!$B$10,Paramètres!$A$1:$I$89,5,0)</f>
        <v>2.5420376914553347E-13</v>
      </c>
      <c r="AK185" s="13">
        <f t="shared" si="164"/>
        <v>3.4258699088369875E-12</v>
      </c>
      <c r="AL185" s="20">
        <f t="shared" si="165"/>
        <v>6.4094616558195571E-12</v>
      </c>
      <c r="AM185" s="59">
        <f t="shared" si="113"/>
        <v>293.33333333333974</v>
      </c>
      <c r="AN185" s="59">
        <f ca="1">AVERAGE(OFFSET($AM$3,0,0,'Données projet'!$E$10+1,1))-AVERAGE(OFFSET($H$3,0,0,'Données projet'!$E$10+1,1))</f>
        <v>400.34672861351783</v>
      </c>
      <c r="AO185" s="59">
        <f t="shared" si="144"/>
        <v>413.2016163204438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0.50649262698571329</v>
      </c>
      <c r="AV185" s="21">
        <f>EXP(-LN(2)/25)*AV184+(1-EXP(-LN(2)/25))/(LN(2)/25)*Calculateur!AQ185*Calculateur!AS185*VLOOKUP('Données projet'!$B$10,Paramètres!$A$1:$I$89,3,0)*0.475*44/12</f>
        <v>0.49380748124466134</v>
      </c>
      <c r="AW185" s="21">
        <f>EXP(-LN(2)/2)*AW184+(1-EXP(-LN(2)/2))/(LN(2)/2)*AQ185*AT185*VLOOKUP('Données projet'!$B$10,Paramètres!$A$1:$I$89,3,0)*0.475*44/12</f>
        <v>4.3317482691292217E-22</v>
      </c>
      <c r="AX185" s="21">
        <f t="shared" si="166"/>
        <v>1.0003001082303746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1">
        <f t="shared" si="140"/>
        <v>41.456226201843137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67">
        <f t="shared" si="110"/>
        <v>612.27986396820972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-1.1368683772161603E-13</v>
      </c>
      <c r="O186" s="13">
        <f>N186*VLOOKUP('Données projet'!$B$9,Paramètres!$A$1:$I$89,3,0)*VLOOKUP('Données projet'!$B$9,Paramètres!$A$1:$I$89,5,0)</f>
        <v>-1.0286385077051818E-13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269.19146943657933</v>
      </c>
      <c r="T186" s="59">
        <f t="shared" si="142"/>
        <v>185.94138814570965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</v>
      </c>
      <c r="AA186" s="21">
        <f>EXP(-LN(2)/25)*AA185+(1-EXP(-LN(2)/25))/(LN(2)/25)*Calculateur!V186*Calculateur!X186*VLOOKUP('Données projet'!$B$9,Paramètres!$A$1:$I$89,3,0)*0.475*44/12</f>
        <v>4.4656967967650223E-2</v>
      </c>
      <c r="AB186" s="21">
        <f>EXP(-LN(2)/2)*AB185+(1-EXP(-LN(2)/2))/(LN(2)/2)*V186*Y186*VLOOKUP('Données projet'!$B$9,Paramètres!$A$1:$I$89,3,0)*0.475*44/12</f>
        <v>5.7922890129141075E-23</v>
      </c>
      <c r="AC186" s="22">
        <f t="shared" si="163"/>
        <v>4.4656967967650223E-2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4.5474735088646412E-13</v>
      </c>
      <c r="AJ186" s="13">
        <f>AI186*VLOOKUP('Données projet'!$B$10,Paramètres!$A$1:$I$89,3,0)*VLOOKUP('Données projet'!$B$10,Paramètres!$A$1:$I$89,5,0)</f>
        <v>2.5420376914553347E-13</v>
      </c>
      <c r="AK186" s="13">
        <f t="shared" si="164"/>
        <v>3.4258699088369875E-12</v>
      </c>
      <c r="AL186" s="20">
        <f t="shared" si="165"/>
        <v>6.4094616558195571E-12</v>
      </c>
      <c r="AM186" s="59">
        <f t="shared" si="113"/>
        <v>293.33333333333974</v>
      </c>
      <c r="AN186" s="59">
        <f ca="1">AVERAGE(OFFSET($AM$3,0,0,'Données projet'!$E$10+1,1))-AVERAGE(OFFSET($H$3,0,0,'Données projet'!$E$10+1,1))</f>
        <v>400.34672861351783</v>
      </c>
      <c r="AO186" s="59">
        <f t="shared" si="144"/>
        <v>413.2016163204438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0.49656061550052161</v>
      </c>
      <c r="AV186" s="21">
        <f>EXP(-LN(2)/25)*AV185+(1-EXP(-LN(2)/25))/(LN(2)/25)*Calculateur!AQ186*Calculateur!AS186*VLOOKUP('Données projet'!$B$10,Paramètres!$A$1:$I$89,3,0)*0.475*44/12</f>
        <v>0.48030428970181926</v>
      </c>
      <c r="AW186" s="21">
        <f>EXP(-LN(2)/2)*AW185+(1-EXP(-LN(2)/2))/(LN(2)/2)*AQ186*AT186*VLOOKUP('Données projet'!$B$10,Paramètres!$A$1:$I$89,3,0)*0.475*44/12</f>
        <v>3.0630085754943627E-22</v>
      </c>
      <c r="AX186" s="21">
        <f t="shared" si="166"/>
        <v>0.97686490520234082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1">
        <f t="shared" si="140"/>
        <v>41.656330547871768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67">
        <f t="shared" si="110"/>
        <v>614.17706903754288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-1.1368683772161603E-13</v>
      </c>
      <c r="O187" s="13">
        <f>N187*VLOOKUP('Données projet'!$B$9,Paramètres!$A$1:$I$89,3,0)*VLOOKUP('Données projet'!$B$9,Paramètres!$A$1:$I$89,5,0)</f>
        <v>-1.0286385077051818E-13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269.19146943657933</v>
      </c>
      <c r="T187" s="59">
        <f t="shared" si="142"/>
        <v>185.94138814570965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</v>
      </c>
      <c r="AA187" s="21">
        <f>EXP(-LN(2)/25)*AA186+(1-EXP(-LN(2)/25))/(LN(2)/25)*Calculateur!V187*Calculateur!X187*VLOOKUP('Données projet'!$B$9,Paramètres!$A$1:$I$89,3,0)*0.475*44/12</f>
        <v>4.3435820830166949E-2</v>
      </c>
      <c r="AB187" s="21">
        <f>EXP(-LN(2)/2)*AB186+(1-EXP(-LN(2)/2))/(LN(2)/2)*V187*Y187*VLOOKUP('Données projet'!$B$9,Paramètres!$A$1:$I$89,3,0)*0.475*44/12</f>
        <v>4.0957668396238992E-23</v>
      </c>
      <c r="AC187" s="22">
        <f t="shared" si="163"/>
        <v>4.3435820830166949E-2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4.5474735088646412E-13</v>
      </c>
      <c r="AJ187" s="13">
        <f>AI187*VLOOKUP('Données projet'!$B$10,Paramètres!$A$1:$I$89,3,0)*VLOOKUP('Données projet'!$B$10,Paramètres!$A$1:$I$89,5,0)</f>
        <v>2.5420376914553347E-13</v>
      </c>
      <c r="AK187" s="13">
        <f t="shared" si="164"/>
        <v>3.4258699088369875E-12</v>
      </c>
      <c r="AL187" s="20">
        <f t="shared" si="165"/>
        <v>6.4094616558195571E-12</v>
      </c>
      <c r="AM187" s="59">
        <f t="shared" si="113"/>
        <v>293.33333333333974</v>
      </c>
      <c r="AN187" s="59">
        <f ca="1">AVERAGE(OFFSET($AM$3,0,0,'Données projet'!$E$10+1,1))-AVERAGE(OFFSET($H$3,0,0,'Données projet'!$E$10+1,1))</f>
        <v>400.34672861351783</v>
      </c>
      <c r="AO187" s="59">
        <f t="shared" si="144"/>
        <v>413.2016163204438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0.48682336470262572</v>
      </c>
      <c r="AV187" s="21">
        <f>EXP(-LN(2)/25)*AV186+(1-EXP(-LN(2)/25))/(LN(2)/25)*Calculateur!AQ187*Calculateur!AS187*VLOOKUP('Données projet'!$B$10,Paramètres!$A$1:$I$89,3,0)*0.475*44/12</f>
        <v>0.4671703436418182</v>
      </c>
      <c r="AW187" s="21">
        <f>EXP(-LN(2)/2)*AW186+(1-EXP(-LN(2)/2))/(LN(2)/2)*AQ187*AT187*VLOOKUP('Données projet'!$B$10,Paramètres!$A$1:$I$89,3,0)*0.475*44/12</f>
        <v>2.1658741345646109E-22</v>
      </c>
      <c r="AX187" s="21">
        <f t="shared" si="166"/>
        <v>0.95399370834444386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1">
        <f t="shared" si="140"/>
        <v>41.856308345523843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67">
        <f t="shared" si="110"/>
        <v>616.07405370178697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-1.1368683772161603E-13</v>
      </c>
      <c r="O188" s="13">
        <f>N188*VLOOKUP('Données projet'!$B$9,Paramètres!$A$1:$I$89,3,0)*VLOOKUP('Données projet'!$B$9,Paramètres!$A$1:$I$89,5,0)</f>
        <v>-1.0286385077051818E-13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269.19146943657933</v>
      </c>
      <c r="T188" s="59">
        <f t="shared" si="142"/>
        <v>185.94138814570965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</v>
      </c>
      <c r="AA188" s="21">
        <f>EXP(-LN(2)/25)*AA187+(1-EXP(-LN(2)/25))/(LN(2)/25)*Calculateur!V188*Calculateur!X188*VLOOKUP('Données projet'!$B$9,Paramètres!$A$1:$I$89,3,0)*0.475*44/12</f>
        <v>4.2248066025375487E-2</v>
      </c>
      <c r="AB188" s="21">
        <f>EXP(-LN(2)/2)*AB187+(1-EXP(-LN(2)/2))/(LN(2)/2)*V188*Y188*VLOOKUP('Données projet'!$B$9,Paramètres!$A$1:$I$89,3,0)*0.475*44/12</f>
        <v>2.8961445064570538E-23</v>
      </c>
      <c r="AC188" s="22">
        <f t="shared" si="163"/>
        <v>4.2248066025375487E-2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4.5474735088646412E-13</v>
      </c>
      <c r="AJ188" s="13">
        <f>AI188*VLOOKUP('Données projet'!$B$10,Paramètres!$A$1:$I$89,3,0)*VLOOKUP('Données projet'!$B$10,Paramètres!$A$1:$I$89,5,0)</f>
        <v>2.5420376914553347E-13</v>
      </c>
      <c r="AK188" s="13">
        <f t="shared" si="164"/>
        <v>3.4258699088369875E-12</v>
      </c>
      <c r="AL188" s="20">
        <f t="shared" si="165"/>
        <v>6.4094616558195571E-12</v>
      </c>
      <c r="AM188" s="59">
        <f t="shared" si="113"/>
        <v>293.33333333333974</v>
      </c>
      <c r="AN188" s="59">
        <f ca="1">AVERAGE(OFFSET($AM$3,0,0,'Données projet'!$E$10+1,1))-AVERAGE(OFFSET($H$3,0,0,'Données projet'!$E$10+1,1))</f>
        <v>400.34672861351783</v>
      </c>
      <c r="AO188" s="59">
        <f t="shared" si="144"/>
        <v>413.2016163204438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0.47727705545374</v>
      </c>
      <c r="AV188" s="21">
        <f>EXP(-LN(2)/25)*AV187+(1-EXP(-LN(2)/25))/(LN(2)/25)*Calculateur!AQ188*Calculateur!AS188*VLOOKUP('Données projet'!$B$10,Paramètres!$A$1:$I$89,3,0)*0.475*44/12</f>
        <v>0.45439554602751203</v>
      </c>
      <c r="AW188" s="21">
        <f>EXP(-LN(2)/2)*AW187+(1-EXP(-LN(2)/2))/(LN(2)/2)*AQ188*AT188*VLOOKUP('Données projet'!$B$10,Paramètres!$A$1:$I$89,3,0)*0.475*44/12</f>
        <v>1.5315042877471813E-22</v>
      </c>
      <c r="AX188" s="21">
        <f t="shared" si="166"/>
        <v>0.93167260148125197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1">
        <f t="shared" si="140"/>
        <v>42.056160358234798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67">
        <f t="shared" si="110"/>
        <v>617.97081929059186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-1.1368683772161603E-13</v>
      </c>
      <c r="O189" s="13">
        <f>N189*VLOOKUP('Données projet'!$B$9,Paramètres!$A$1:$I$89,3,0)*VLOOKUP('Données projet'!$B$9,Paramètres!$A$1:$I$89,5,0)</f>
        <v>-1.0286385077051818E-13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269.19146943657933</v>
      </c>
      <c r="T189" s="59">
        <f t="shared" si="142"/>
        <v>185.94138814570965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</v>
      </c>
      <c r="AA189" s="21">
        <f>EXP(-LN(2)/25)*AA188+(1-EXP(-LN(2)/25))/(LN(2)/25)*Calculateur!V189*Calculateur!X189*VLOOKUP('Données projet'!$B$9,Paramètres!$A$1:$I$89,3,0)*0.475*44/12</f>
        <v>4.1092790438182362E-2</v>
      </c>
      <c r="AB189" s="21">
        <f>EXP(-LN(2)/2)*AB188+(1-EXP(-LN(2)/2))/(LN(2)/2)*V189*Y189*VLOOKUP('Données projet'!$B$9,Paramètres!$A$1:$I$89,3,0)*0.475*44/12</f>
        <v>2.0478834198119496E-23</v>
      </c>
      <c r="AC189" s="22">
        <f t="shared" si="163"/>
        <v>4.1092790438182362E-2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4.5474735088646412E-13</v>
      </c>
      <c r="AJ189" s="13">
        <f>AI189*VLOOKUP('Données projet'!$B$10,Paramètres!$A$1:$I$89,3,0)*VLOOKUP('Données projet'!$B$10,Paramètres!$A$1:$I$89,5,0)</f>
        <v>2.5420376914553347E-13</v>
      </c>
      <c r="AK189" s="13">
        <f t="shared" si="164"/>
        <v>3.4258699088369875E-12</v>
      </c>
      <c r="AL189" s="20">
        <f t="shared" si="165"/>
        <v>6.4094616558195571E-12</v>
      </c>
      <c r="AM189" s="59">
        <f t="shared" si="113"/>
        <v>293.33333333333974</v>
      </c>
      <c r="AN189" s="59">
        <f ca="1">AVERAGE(OFFSET($AM$3,0,0,'Données projet'!$E$10+1,1))-AVERAGE(OFFSET($H$3,0,0,'Données projet'!$E$10+1,1))</f>
        <v>400.34672861351783</v>
      </c>
      <c r="AO189" s="59">
        <f t="shared" si="144"/>
        <v>413.2016163204438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0.46791794350655125</v>
      </c>
      <c r="AV189" s="21">
        <f>EXP(-LN(2)/25)*AV188+(1-EXP(-LN(2)/25))/(LN(2)/25)*Calculateur!AQ189*Calculateur!AS189*VLOOKUP('Données projet'!$B$10,Paramètres!$A$1:$I$89,3,0)*0.475*44/12</f>
        <v>0.44197007592576648</v>
      </c>
      <c r="AW189" s="21">
        <f>EXP(-LN(2)/2)*AW188+(1-EXP(-LN(2)/2))/(LN(2)/2)*AQ189*AT189*VLOOKUP('Données projet'!$B$10,Paramètres!$A$1:$I$89,3,0)*0.475*44/12</f>
        <v>1.0829370672823054E-22</v>
      </c>
      <c r="AX189" s="21">
        <f t="shared" si="166"/>
        <v>0.90988801943231779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1">
        <f t="shared" si="140"/>
        <v>42.255887340755834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67">
        <f t="shared" si="110"/>
        <v>619.86736711848266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-1.1368683772161603E-13</v>
      </c>
      <c r="O190" s="13">
        <f>N190*VLOOKUP('Données projet'!$B$9,Paramètres!$A$1:$I$89,3,0)*VLOOKUP('Données projet'!$B$9,Paramètres!$A$1:$I$89,5,0)</f>
        <v>-1.0286385077051818E-13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269.19146943657933</v>
      </c>
      <c r="T190" s="59">
        <f t="shared" si="142"/>
        <v>185.94138814570965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</v>
      </c>
      <c r="AA190" s="21">
        <f>EXP(-LN(2)/25)*AA189+(1-EXP(-LN(2)/25))/(LN(2)/25)*Calculateur!V190*Calculateur!X190*VLOOKUP('Données projet'!$B$9,Paramètres!$A$1:$I$89,3,0)*0.475*44/12</f>
        <v>3.9969105922674338E-2</v>
      </c>
      <c r="AB190" s="21">
        <f>EXP(-LN(2)/2)*AB189+(1-EXP(-LN(2)/2))/(LN(2)/2)*V190*Y190*VLOOKUP('Données projet'!$B$9,Paramètres!$A$1:$I$89,3,0)*0.475*44/12</f>
        <v>1.4480722532285269E-23</v>
      </c>
      <c r="AC190" s="22">
        <f t="shared" si="163"/>
        <v>3.9969105922674338E-2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4.5474735088646412E-13</v>
      </c>
      <c r="AJ190" s="13">
        <f>AI190*VLOOKUP('Données projet'!$B$10,Paramètres!$A$1:$I$89,3,0)*VLOOKUP('Données projet'!$B$10,Paramètres!$A$1:$I$89,5,0)</f>
        <v>2.5420376914553347E-13</v>
      </c>
      <c r="AK190" s="13">
        <f t="shared" si="164"/>
        <v>3.4258699088369875E-12</v>
      </c>
      <c r="AL190" s="20">
        <f t="shared" si="165"/>
        <v>6.4094616558195571E-12</v>
      </c>
      <c r="AM190" s="59">
        <f t="shared" si="113"/>
        <v>293.33333333333974</v>
      </c>
      <c r="AN190" s="59">
        <f ca="1">AVERAGE(OFFSET($AM$3,0,0,'Données projet'!$E$10+1,1))-AVERAGE(OFFSET($H$3,0,0,'Données projet'!$E$10+1,1))</f>
        <v>400.34672861351783</v>
      </c>
      <c r="AO190" s="59">
        <f t="shared" si="144"/>
        <v>413.2016163204438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0.45874235803615221</v>
      </c>
      <c r="AV190" s="21">
        <f>EXP(-LN(2)/25)*AV189+(1-EXP(-LN(2)/25))/(LN(2)/25)*Calculateur!AQ190*Calculateur!AS190*VLOOKUP('Données projet'!$B$10,Paramètres!$A$1:$I$89,3,0)*0.475*44/12</f>
        <v>0.42988438095738024</v>
      </c>
      <c r="AW190" s="21">
        <f>EXP(-LN(2)/2)*AW189+(1-EXP(-LN(2)/2))/(LN(2)/2)*AQ190*AT190*VLOOKUP('Données projet'!$B$10,Paramètres!$A$1:$I$89,3,0)*0.475*44/12</f>
        <v>7.6575214387359067E-23</v>
      </c>
      <c r="AX190" s="21">
        <f t="shared" si="166"/>
        <v>0.88862673899353251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1">
        <f t="shared" si="140"/>
        <v>42.455490039298816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67">
        <f t="shared" si="110"/>
        <v>621.7636984851116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-1.1368683772161603E-13</v>
      </c>
      <c r="O191" s="13">
        <f>N191*VLOOKUP('Données projet'!$B$9,Paramètres!$A$1:$I$89,3,0)*VLOOKUP('Données projet'!$B$9,Paramètres!$A$1:$I$89,5,0)</f>
        <v>-1.0286385077051818E-13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269.19146943657933</v>
      </c>
      <c r="T191" s="59">
        <f t="shared" si="142"/>
        <v>185.94138814570965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</v>
      </c>
      <c r="AA191" s="21">
        <f>EXP(-LN(2)/25)*AA190+(1-EXP(-LN(2)/25))/(LN(2)/25)*Calculateur!V191*Calculateur!X191*VLOOKUP('Données projet'!$B$9,Paramètres!$A$1:$I$89,3,0)*0.475*44/12</f>
        <v>3.8876148619334881E-2</v>
      </c>
      <c r="AB191" s="21">
        <f>EXP(-LN(2)/2)*AB190+(1-EXP(-LN(2)/2))/(LN(2)/2)*V191*Y191*VLOOKUP('Données projet'!$B$9,Paramètres!$A$1:$I$89,3,0)*0.475*44/12</f>
        <v>1.0239417099059748E-23</v>
      </c>
      <c r="AC191" s="22">
        <f t="shared" si="163"/>
        <v>3.8876148619334881E-2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4.5474735088646412E-13</v>
      </c>
      <c r="AJ191" s="13">
        <f>AI191*VLOOKUP('Données projet'!$B$10,Paramètres!$A$1:$I$89,3,0)*VLOOKUP('Données projet'!$B$10,Paramètres!$A$1:$I$89,5,0)</f>
        <v>2.5420376914553347E-13</v>
      </c>
      <c r="AK191" s="13">
        <f t="shared" si="164"/>
        <v>3.4258699088369875E-12</v>
      </c>
      <c r="AL191" s="20">
        <f t="shared" si="165"/>
        <v>6.4094616558195571E-12</v>
      </c>
      <c r="AM191" s="59">
        <f t="shared" si="113"/>
        <v>293.33333333333974</v>
      </c>
      <c r="AN191" s="59">
        <f ca="1">AVERAGE(OFFSET($AM$3,0,0,'Données projet'!$E$10+1,1))-AVERAGE(OFFSET($H$3,0,0,'Données projet'!$E$10+1,1))</f>
        <v>400.34672861351783</v>
      </c>
      <c r="AO191" s="59">
        <f t="shared" si="144"/>
        <v>413.2016163204438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0.44974670020027319</v>
      </c>
      <c r="AV191" s="21">
        <f>EXP(-LN(2)/25)*AV190+(1-EXP(-LN(2)/25))/(LN(2)/25)*Calculateur!AQ191*Calculateur!AS191*VLOOKUP('Données projet'!$B$10,Paramètres!$A$1:$I$89,3,0)*0.475*44/12</f>
        <v>0.41812916995346361</v>
      </c>
      <c r="AW191" s="21">
        <f>EXP(-LN(2)/2)*AW190+(1-EXP(-LN(2)/2))/(LN(2)/2)*AQ191*AT191*VLOOKUP('Données projet'!$B$10,Paramètres!$A$1:$I$89,3,0)*0.475*44/12</f>
        <v>5.4146853364115271E-23</v>
      </c>
      <c r="AX191" s="21">
        <f t="shared" si="166"/>
        <v>0.86787587015373679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1">
        <f t="shared" si="140"/>
        <v>42.65496919167748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67">
        <f t="shared" si="110"/>
        <v>623.65981467550444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-1.1368683772161603E-13</v>
      </c>
      <c r="O192" s="13">
        <f>N192*VLOOKUP('Données projet'!$B$9,Paramètres!$A$1:$I$89,3,0)*VLOOKUP('Données projet'!$B$9,Paramètres!$A$1:$I$89,5,0)</f>
        <v>-1.0286385077051818E-13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269.19146943657933</v>
      </c>
      <c r="T192" s="59">
        <f t="shared" si="142"/>
        <v>185.94138814570965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</v>
      </c>
      <c r="AA192" s="21">
        <f>EXP(-LN(2)/25)*AA191+(1-EXP(-LN(2)/25))/(LN(2)/25)*Calculateur!V192*Calculateur!X192*VLOOKUP('Données projet'!$B$9,Paramètres!$A$1:$I$89,3,0)*0.475*44/12</f>
        <v>3.7813078290931362E-2</v>
      </c>
      <c r="AB192" s="21">
        <f>EXP(-LN(2)/2)*AB191+(1-EXP(-LN(2)/2))/(LN(2)/2)*V192*Y192*VLOOKUP('Données projet'!$B$9,Paramètres!$A$1:$I$89,3,0)*0.475*44/12</f>
        <v>7.2403612661426344E-24</v>
      </c>
      <c r="AC192" s="22">
        <f t="shared" si="163"/>
        <v>3.7813078290931362E-2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4.5474735088646412E-13</v>
      </c>
      <c r="AJ192" s="13">
        <f>AI192*VLOOKUP('Données projet'!$B$10,Paramètres!$A$1:$I$89,3,0)*VLOOKUP('Données projet'!$B$10,Paramètres!$A$1:$I$89,5,0)</f>
        <v>2.5420376914553347E-13</v>
      </c>
      <c r="AK192" s="13">
        <f t="shared" si="164"/>
        <v>3.4258699088369875E-12</v>
      </c>
      <c r="AL192" s="20">
        <f t="shared" si="165"/>
        <v>6.4094616558195571E-12</v>
      </c>
      <c r="AM192" s="59">
        <f t="shared" si="113"/>
        <v>293.33333333333974</v>
      </c>
      <c r="AN192" s="59">
        <f ca="1">AVERAGE(OFFSET($AM$3,0,0,'Données projet'!$E$10+1,1))-AVERAGE(OFFSET($H$3,0,0,'Données projet'!$E$10+1,1))</f>
        <v>400.34672861351783</v>
      </c>
      <c r="AO192" s="59">
        <f t="shared" si="144"/>
        <v>413.2016163204438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0.44092744172774628</v>
      </c>
      <c r="AV192" s="21">
        <f>EXP(-LN(2)/25)*AV191+(1-EXP(-LN(2)/25))/(LN(2)/25)*Calculateur!AQ192*Calculateur!AS192*VLOOKUP('Données projet'!$B$10,Paramètres!$A$1:$I$89,3,0)*0.475*44/12</f>
        <v>0.40669540581262875</v>
      </c>
      <c r="AW192" s="21">
        <f>EXP(-LN(2)/2)*AW191+(1-EXP(-LN(2)/2))/(LN(2)/2)*AQ192*AT192*VLOOKUP('Données projet'!$B$10,Paramètres!$A$1:$I$89,3,0)*0.475*44/12</f>
        <v>3.8287607193679533E-23</v>
      </c>
      <c r="AX192" s="21">
        <f t="shared" si="166"/>
        <v>0.84762284754037509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1">
        <f t="shared" si="140"/>
        <v>42.8543255274462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67">
        <f t="shared" si="110"/>
        <v>625.55571696030165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-1.1368683772161603E-13</v>
      </c>
      <c r="O193" s="13">
        <f>N193*VLOOKUP('Données projet'!$B$9,Paramètres!$A$1:$I$89,3,0)*VLOOKUP('Données projet'!$B$9,Paramètres!$A$1:$I$89,5,0)</f>
        <v>-1.0286385077051818E-13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269.19146943657933</v>
      </c>
      <c r="T193" s="59">
        <f t="shared" si="142"/>
        <v>185.94138814570965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</v>
      </c>
      <c r="AA193" s="21">
        <f>EXP(-LN(2)/25)*AA192+(1-EXP(-LN(2)/25))/(LN(2)/25)*Calculateur!V193*Calculateur!X193*VLOOKUP('Données projet'!$B$9,Paramètres!$A$1:$I$89,3,0)*0.475*44/12</f>
        <v>3.677907767656248E-2</v>
      </c>
      <c r="AB193" s="21">
        <f>EXP(-LN(2)/2)*AB192+(1-EXP(-LN(2)/2))/(LN(2)/2)*V193*Y193*VLOOKUP('Données projet'!$B$9,Paramètres!$A$1:$I$89,3,0)*0.475*44/12</f>
        <v>5.119708549529874E-24</v>
      </c>
      <c r="AC193" s="22">
        <f t="shared" si="163"/>
        <v>3.677907767656248E-2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4.5474735088646412E-13</v>
      </c>
      <c r="AJ193" s="13">
        <f>AI193*VLOOKUP('Données projet'!$B$10,Paramètres!$A$1:$I$89,3,0)*VLOOKUP('Données projet'!$B$10,Paramètres!$A$1:$I$89,5,0)</f>
        <v>2.5420376914553347E-13</v>
      </c>
      <c r="AK193" s="13">
        <f t="shared" si="164"/>
        <v>3.4258699088369875E-12</v>
      </c>
      <c r="AL193" s="20">
        <f t="shared" si="165"/>
        <v>6.4094616558195571E-12</v>
      </c>
      <c r="AM193" s="59">
        <f t="shared" si="113"/>
        <v>293.33333333333974</v>
      </c>
      <c r="AN193" s="59">
        <f ca="1">AVERAGE(OFFSET($AM$3,0,0,'Données projet'!$E$10+1,1))-AVERAGE(OFFSET($H$3,0,0,'Données projet'!$E$10+1,1))</f>
        <v>400.34672861351783</v>
      </c>
      <c r="AO193" s="59">
        <f t="shared" si="144"/>
        <v>413.2016163204438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0.43228112353464909</v>
      </c>
      <c r="AV193" s="21">
        <f>EXP(-LN(2)/25)*AV192+(1-EXP(-LN(2)/25))/(LN(2)/25)*Calculateur!AQ193*Calculateur!AS193*VLOOKUP('Données projet'!$B$10,Paramètres!$A$1:$I$89,3,0)*0.475*44/12</f>
        <v>0.39557429855350057</v>
      </c>
      <c r="AW193" s="21">
        <f>EXP(-LN(2)/2)*AW192+(1-EXP(-LN(2)/2))/(LN(2)/2)*AQ193*AT193*VLOOKUP('Données projet'!$B$10,Paramètres!$A$1:$I$89,3,0)*0.475*44/12</f>
        <v>2.7073426682057636E-23</v>
      </c>
      <c r="AX193" s="21">
        <f t="shared" si="166"/>
        <v>0.82785542208814966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1">
        <f t="shared" si="140"/>
        <v>43.053559768035143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67">
        <f t="shared" si="110"/>
        <v>627.45140659599406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-1.1368683772161603E-13</v>
      </c>
      <c r="O194" s="13">
        <f>N194*VLOOKUP('Données projet'!$B$9,Paramètres!$A$1:$I$89,3,0)*VLOOKUP('Données projet'!$B$9,Paramètres!$A$1:$I$89,5,0)</f>
        <v>-1.0286385077051818E-13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269.19146943657933</v>
      </c>
      <c r="T194" s="59">
        <f t="shared" si="142"/>
        <v>185.94138814570965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</v>
      </c>
      <c r="AA194" s="21">
        <f>EXP(-LN(2)/25)*AA193+(1-EXP(-LN(2)/25))/(LN(2)/25)*Calculateur!V194*Calculateur!X194*VLOOKUP('Données projet'!$B$9,Paramètres!$A$1:$I$89,3,0)*0.475*44/12</f>
        <v>3.5773351863369246E-2</v>
      </c>
      <c r="AB194" s="21">
        <f>EXP(-LN(2)/2)*AB193+(1-EXP(-LN(2)/2))/(LN(2)/2)*V194*Y194*VLOOKUP('Données projet'!$B$9,Paramètres!$A$1:$I$89,3,0)*0.475*44/12</f>
        <v>3.6201806330713172E-24</v>
      </c>
      <c r="AC194" s="22">
        <f t="shared" si="163"/>
        <v>3.5773351863369246E-2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4.5474735088646412E-13</v>
      </c>
      <c r="AJ194" s="13">
        <f>AI194*VLOOKUP('Données projet'!$B$10,Paramètres!$A$1:$I$89,3,0)*VLOOKUP('Données projet'!$B$10,Paramètres!$A$1:$I$89,5,0)</f>
        <v>2.5420376914553347E-13</v>
      </c>
      <c r="AK194" s="13">
        <f t="shared" si="164"/>
        <v>3.4258699088369875E-12</v>
      </c>
      <c r="AL194" s="20">
        <f t="shared" si="165"/>
        <v>6.4094616558195571E-12</v>
      </c>
      <c r="AM194" s="59">
        <f t="shared" si="113"/>
        <v>293.33333333333974</v>
      </c>
      <c r="AN194" s="59">
        <f ca="1">AVERAGE(OFFSET($AM$3,0,0,'Données projet'!$E$10+1,1))-AVERAGE(OFFSET($H$3,0,0,'Données projet'!$E$10+1,1))</f>
        <v>400.34672861351783</v>
      </c>
      <c r="AO194" s="59">
        <f t="shared" si="144"/>
        <v>413.2016163204438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0.42380435436758518</v>
      </c>
      <c r="AV194" s="21">
        <f>EXP(-LN(2)/25)*AV193+(1-EXP(-LN(2)/25))/(LN(2)/25)*Calculateur!AQ194*Calculateur!AS194*VLOOKUP('Données projet'!$B$10,Paramètres!$A$1:$I$89,3,0)*0.475*44/12</f>
        <v>0.38475729855720681</v>
      </c>
      <c r="AW194" s="21">
        <f>EXP(-LN(2)/2)*AW193+(1-EXP(-LN(2)/2))/(LN(2)/2)*AQ194*AT194*VLOOKUP('Données projet'!$B$10,Paramètres!$A$1:$I$89,3,0)*0.475*44/12</f>
        <v>1.9143803596839767E-23</v>
      </c>
      <c r="AX194" s="21">
        <f t="shared" si="166"/>
        <v>0.80856165292479198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1">
        <f t="shared" si="140"/>
        <v>43.252672626882983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67">
        <f t="shared" si="110"/>
        <v>629.34688482515401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-1.1368683772161603E-13</v>
      </c>
      <c r="O195" s="13">
        <f>N195*VLOOKUP('Données projet'!$B$9,Paramètres!$A$1:$I$89,3,0)*VLOOKUP('Données projet'!$B$9,Paramètres!$A$1:$I$89,5,0)</f>
        <v>-1.0286385077051818E-13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269.19146943657933</v>
      </c>
      <c r="T195" s="59">
        <f t="shared" si="142"/>
        <v>185.94138814570965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</v>
      </c>
      <c r="AA195" s="21">
        <f>EXP(-LN(2)/25)*AA194+(1-EXP(-LN(2)/25))/(LN(2)/25)*Calculateur!V195*Calculateur!X195*VLOOKUP('Données projet'!$B$9,Paramètres!$A$1:$I$89,3,0)*0.475*44/12</f>
        <v>3.4795127675426599E-2</v>
      </c>
      <c r="AB195" s="21">
        <f>EXP(-LN(2)/2)*AB194+(1-EXP(-LN(2)/2))/(LN(2)/2)*V195*Y195*VLOOKUP('Données projet'!$B$9,Paramètres!$A$1:$I$89,3,0)*0.475*44/12</f>
        <v>2.559854274764937E-24</v>
      </c>
      <c r="AC195" s="22">
        <f t="shared" si="163"/>
        <v>3.4795127675426599E-2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4.5474735088646412E-13</v>
      </c>
      <c r="AJ195" s="13">
        <f>AI195*VLOOKUP('Données projet'!$B$10,Paramètres!$A$1:$I$89,3,0)*VLOOKUP('Données projet'!$B$10,Paramètres!$A$1:$I$89,5,0)</f>
        <v>2.5420376914553347E-13</v>
      </c>
      <c r="AK195" s="13">
        <f t="shared" si="164"/>
        <v>3.4258699088369875E-12</v>
      </c>
      <c r="AL195" s="20">
        <f t="shared" si="165"/>
        <v>6.4094616558195571E-12</v>
      </c>
      <c r="AM195" s="59">
        <f t="shared" si="113"/>
        <v>293.33333333333974</v>
      </c>
      <c r="AN195" s="59">
        <f ca="1">AVERAGE(OFFSET($AM$3,0,0,'Données projet'!$E$10+1,1))-AVERAGE(OFFSET($H$3,0,0,'Données projet'!$E$10+1,1))</f>
        <v>400.34672861351783</v>
      </c>
      <c r="AO195" s="59">
        <f t="shared" si="144"/>
        <v>413.2016163204438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0.41549380947356873</v>
      </c>
      <c r="AV195" s="21">
        <f>EXP(-LN(2)/25)*AV194+(1-EXP(-LN(2)/25))/(LN(2)/25)*Calculateur!AQ195*Calculateur!AS195*VLOOKUP('Données projet'!$B$10,Paramètres!$A$1:$I$89,3,0)*0.475*44/12</f>
        <v>0.37423608999465302</v>
      </c>
      <c r="AW195" s="21">
        <f>EXP(-LN(2)/2)*AW194+(1-EXP(-LN(2)/2))/(LN(2)/2)*AQ195*AT195*VLOOKUP('Données projet'!$B$10,Paramètres!$A$1:$I$89,3,0)*0.475*44/12</f>
        <v>1.3536713341028818E-23</v>
      </c>
      <c r="AX195" s="21">
        <f t="shared" si="166"/>
        <v>0.78972989946822181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1">
        <f t="shared" si="140"/>
        <v>43.451664809566452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67">
        <f t="shared" ref="H196:H203" si="192">(B196+E196+F196)*44/12+(C196+D196)*0.475*44/12</f>
        <v>631.24215287666095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-1.1368683772161603E-13</v>
      </c>
      <c r="O196" s="13">
        <f>N196*VLOOKUP('Données projet'!$B$9,Paramètres!$A$1:$I$89,3,0)*VLOOKUP('Données projet'!$B$9,Paramètres!$A$1:$I$89,5,0)</f>
        <v>-1.0286385077051818E-13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269.19146943657933</v>
      </c>
      <c r="T196" s="59">
        <f t="shared" si="142"/>
        <v>185.94138814570965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</v>
      </c>
      <c r="AA196" s="21">
        <f>EXP(-LN(2)/25)*AA195+(1-EXP(-LN(2)/25))/(LN(2)/25)*Calculateur!V196*Calculateur!X196*VLOOKUP('Données projet'!$B$9,Paramètres!$A$1:$I$89,3,0)*0.475*44/12</f>
        <v>3.3843653079345816E-2</v>
      </c>
      <c r="AB196" s="21">
        <f>EXP(-LN(2)/2)*AB195+(1-EXP(-LN(2)/2))/(LN(2)/2)*V196*Y196*VLOOKUP('Données projet'!$B$9,Paramètres!$A$1:$I$89,3,0)*0.475*44/12</f>
        <v>1.8100903165356586E-24</v>
      </c>
      <c r="AC196" s="22">
        <f t="shared" si="163"/>
        <v>3.3843653079345816E-2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4.5474735088646412E-13</v>
      </c>
      <c r="AJ196" s="13">
        <f>AI196*VLOOKUP('Données projet'!$B$10,Paramètres!$A$1:$I$89,3,0)*VLOOKUP('Données projet'!$B$10,Paramètres!$A$1:$I$89,5,0)</f>
        <v>2.5420376914553347E-13</v>
      </c>
      <c r="AK196" s="13">
        <f t="shared" si="164"/>
        <v>3.4258699088369875E-12</v>
      </c>
      <c r="AL196" s="20">
        <f t="shared" si="165"/>
        <v>6.4094616558195571E-12</v>
      </c>
      <c r="AM196" s="59">
        <f t="shared" ref="AM196:AM203" si="193">AL196+(AD196+AE196)*44/12</f>
        <v>293.33333333333974</v>
      </c>
      <c r="AN196" s="59">
        <f ca="1">AVERAGE(OFFSET($AM$3,0,0,'Données projet'!$E$10+1,1))-AVERAGE(OFFSET($H$3,0,0,'Données projet'!$E$10+1,1))</f>
        <v>400.34672861351783</v>
      </c>
      <c r="AO196" s="59">
        <f t="shared" si="144"/>
        <v>413.2016163204438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0.40734622929599207</v>
      </c>
      <c r="AV196" s="21">
        <f>EXP(-LN(2)/25)*AV195+(1-EXP(-LN(2)/25))/(LN(2)/25)*Calculateur!AQ196*Calculateur!AS196*VLOOKUP('Données projet'!$B$10,Paramètres!$A$1:$I$89,3,0)*0.475*44/12</f>
        <v>0.36400258443352856</v>
      </c>
      <c r="AW196" s="21">
        <f>EXP(-LN(2)/2)*AW195+(1-EXP(-LN(2)/2))/(LN(2)/2)*AQ196*AT196*VLOOKUP('Données projet'!$B$10,Paramètres!$A$1:$I$89,3,0)*0.475*44/12</f>
        <v>9.5719017984198833E-24</v>
      </c>
      <c r="AX196" s="21">
        <f t="shared" si="166"/>
        <v>0.77134881372952058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1">
        <f t="shared" ref="D197:D203" si="202">IFERROR(EXP(-1.0587+0.8836*LN(C197)+0.284),0)</f>
        <v>43.650537013927277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67">
        <f t="shared" si="192"/>
        <v>633.13721196592269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-1.1368683772161603E-13</v>
      </c>
      <c r="O197" s="13">
        <f>N197*VLOOKUP('Données projet'!$B$9,Paramètres!$A$1:$I$89,3,0)*VLOOKUP('Données projet'!$B$9,Paramètres!$A$1:$I$89,5,0)</f>
        <v>-1.0286385077051818E-13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269.19146943657933</v>
      </c>
      <c r="T197" s="59">
        <f t="shared" ref="T197:T203" si="204">$T$3</f>
        <v>185.94138814570965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</v>
      </c>
      <c r="AA197" s="21">
        <f>EXP(-LN(2)/25)*AA196+(1-EXP(-LN(2)/25))/(LN(2)/25)*Calculateur!V197*Calculateur!X197*VLOOKUP('Données projet'!$B$9,Paramètres!$A$1:$I$89,3,0)*0.475*44/12</f>
        <v>3.291819660613074E-2</v>
      </c>
      <c r="AB197" s="21">
        <f>EXP(-LN(2)/2)*AB196+(1-EXP(-LN(2)/2))/(LN(2)/2)*V197*Y197*VLOOKUP('Données projet'!$B$9,Paramètres!$A$1:$I$89,3,0)*0.475*44/12</f>
        <v>1.2799271373824685E-24</v>
      </c>
      <c r="AC197" s="22">
        <f t="shared" si="163"/>
        <v>3.291819660613074E-2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4.5474735088646412E-13</v>
      </c>
      <c r="AJ197" s="13">
        <f>AI197*VLOOKUP('Données projet'!$B$10,Paramètres!$A$1:$I$89,3,0)*VLOOKUP('Données projet'!$B$10,Paramètres!$A$1:$I$89,5,0)</f>
        <v>2.5420376914553347E-13</v>
      </c>
      <c r="AK197" s="13">
        <f t="shared" si="164"/>
        <v>3.4258699088369875E-12</v>
      </c>
      <c r="AL197" s="20">
        <f t="shared" si="165"/>
        <v>6.4094616558195571E-12</v>
      </c>
      <c r="AM197" s="59">
        <f t="shared" si="193"/>
        <v>293.33333333333974</v>
      </c>
      <c r="AN197" s="59">
        <f ca="1">AVERAGE(OFFSET($AM$3,0,0,'Données projet'!$E$10+1,1))-AVERAGE(OFFSET($H$3,0,0,'Données projet'!$E$10+1,1))</f>
        <v>400.34672861351783</v>
      </c>
      <c r="AO197" s="59">
        <f t="shared" ref="AO197:AO203" si="205">$AO$3</f>
        <v>413.2016163204438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0.39935841819616447</v>
      </c>
      <c r="AV197" s="21">
        <f>EXP(-LN(2)/25)*AV196+(1-EXP(-LN(2)/25))/(LN(2)/25)*Calculateur!AQ197*Calculateur!AS197*VLOOKUP('Données projet'!$B$10,Paramètres!$A$1:$I$89,3,0)*0.475*44/12</f>
        <v>0.35404891462012977</v>
      </c>
      <c r="AW197" s="21">
        <f>EXP(-LN(2)/2)*AW196+(1-EXP(-LN(2)/2))/(LN(2)/2)*AQ197*AT197*VLOOKUP('Données projet'!$B$10,Paramètres!$A$1:$I$89,3,0)*0.475*44/12</f>
        <v>6.7683566705144089E-24</v>
      </c>
      <c r="AX197" s="21">
        <f t="shared" si="166"/>
        <v>0.75340733281629424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1">
        <f t="shared" si="202"/>
        <v>43.849289930196555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67">
        <f t="shared" si="192"/>
        <v>635.0320632950918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-1.1368683772161603E-13</v>
      </c>
      <c r="O198" s="13">
        <f>N198*VLOOKUP('Données projet'!$B$9,Paramètres!$A$1:$I$89,3,0)*VLOOKUP('Données projet'!$B$9,Paramètres!$A$1:$I$89,5,0)</f>
        <v>-1.0286385077051818E-13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269.19146943657933</v>
      </c>
      <c r="T198" s="59">
        <f t="shared" si="204"/>
        <v>185.94138814570965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</v>
      </c>
      <c r="AA198" s="21">
        <f>EXP(-LN(2)/25)*AA197+(1-EXP(-LN(2)/25))/(LN(2)/25)*Calculateur!V198*Calculateur!X198*VLOOKUP('Données projet'!$B$9,Paramètres!$A$1:$I$89,3,0)*0.475*44/12</f>
        <v>3.2018046788843374E-2</v>
      </c>
      <c r="AB198" s="21">
        <f>EXP(-LN(2)/2)*AB197+(1-EXP(-LN(2)/2))/(LN(2)/2)*V198*Y198*VLOOKUP('Données projet'!$B$9,Paramètres!$A$1:$I$89,3,0)*0.475*44/12</f>
        <v>9.050451582678293E-25</v>
      </c>
      <c r="AC198" s="22">
        <f t="shared" si="163"/>
        <v>3.2018046788843374E-2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4.5474735088646412E-13</v>
      </c>
      <c r="AJ198" s="13">
        <f>AI198*VLOOKUP('Données projet'!$B$10,Paramètres!$A$1:$I$89,3,0)*VLOOKUP('Données projet'!$B$10,Paramètres!$A$1:$I$89,5,0)</f>
        <v>2.5420376914553347E-13</v>
      </c>
      <c r="AK198" s="13">
        <f t="shared" si="164"/>
        <v>3.4258699088369875E-12</v>
      </c>
      <c r="AL198" s="20">
        <f t="shared" si="165"/>
        <v>6.4094616558195571E-12</v>
      </c>
      <c r="AM198" s="59">
        <f t="shared" si="193"/>
        <v>293.33333333333974</v>
      </c>
      <c r="AN198" s="59">
        <f ca="1">AVERAGE(OFFSET($AM$3,0,0,'Données projet'!$E$10+1,1))-AVERAGE(OFFSET($H$3,0,0,'Données projet'!$E$10+1,1))</f>
        <v>400.34672861351783</v>
      </c>
      <c r="AO198" s="59">
        <f t="shared" si="205"/>
        <v>413.2016163204438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0.39152724319992083</v>
      </c>
      <c r="AV198" s="21">
        <f>EXP(-LN(2)/25)*AV197+(1-EXP(-LN(2)/25))/(LN(2)/25)*Calculateur!AQ198*Calculateur!AS198*VLOOKUP('Données projet'!$B$10,Paramètres!$A$1:$I$89,3,0)*0.475*44/12</f>
        <v>0.34436742843121909</v>
      </c>
      <c r="AW198" s="21">
        <f>EXP(-LN(2)/2)*AW197+(1-EXP(-LN(2)/2))/(LN(2)/2)*AQ198*AT198*VLOOKUP('Données projet'!$B$10,Paramètres!$A$1:$I$89,3,0)*0.475*44/12</f>
        <v>4.7859508992099417E-24</v>
      </c>
      <c r="AX198" s="21">
        <f t="shared" si="166"/>
        <v>0.73589467163113986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1">
        <f t="shared" si="202"/>
        <v>44.047924241116036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67">
        <f t="shared" si="192"/>
        <v>636.92670805327657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-1.1368683772161603E-13</v>
      </c>
      <c r="O199" s="13">
        <f>N199*VLOOKUP('Données projet'!$B$9,Paramètres!$A$1:$I$89,3,0)*VLOOKUP('Données projet'!$B$9,Paramètres!$A$1:$I$89,5,0)</f>
        <v>-1.0286385077051818E-13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269.19146943657933</v>
      </c>
      <c r="T199" s="59">
        <f t="shared" si="204"/>
        <v>185.94138814570965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</v>
      </c>
      <c r="AA199" s="21">
        <f>EXP(-LN(2)/25)*AA198+(1-EXP(-LN(2)/25))/(LN(2)/25)*Calculateur!V199*Calculateur!X199*VLOOKUP('Données projet'!$B$9,Paramètres!$A$1:$I$89,3,0)*0.475*44/12</f>
        <v>3.1142511615646549E-2</v>
      </c>
      <c r="AB199" s="21">
        <f>EXP(-LN(2)/2)*AB198+(1-EXP(-LN(2)/2))/(LN(2)/2)*V199*Y199*VLOOKUP('Données projet'!$B$9,Paramètres!$A$1:$I$89,3,0)*0.475*44/12</f>
        <v>6.3996356869123425E-25</v>
      </c>
      <c r="AC199" s="22">
        <f t="shared" si="163"/>
        <v>3.1142511615646549E-2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4.5474735088646412E-13</v>
      </c>
      <c r="AJ199" s="13">
        <f>AI199*VLOOKUP('Données projet'!$B$10,Paramètres!$A$1:$I$89,3,0)*VLOOKUP('Données projet'!$B$10,Paramètres!$A$1:$I$89,5,0)</f>
        <v>2.5420376914553347E-13</v>
      </c>
      <c r="AK199" s="13">
        <f t="shared" si="164"/>
        <v>3.4258699088369875E-12</v>
      </c>
      <c r="AL199" s="20">
        <f t="shared" si="165"/>
        <v>6.4094616558195571E-12</v>
      </c>
      <c r="AM199" s="59">
        <f t="shared" si="193"/>
        <v>293.33333333333974</v>
      </c>
      <c r="AN199" s="59">
        <f ca="1">AVERAGE(OFFSET($AM$3,0,0,'Données projet'!$E$10+1,1))-AVERAGE(OFFSET($H$3,0,0,'Données projet'!$E$10+1,1))</f>
        <v>400.34672861351783</v>
      </c>
      <c r="AO199" s="59">
        <f t="shared" si="205"/>
        <v>413.2016163204438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0.3838496327688084</v>
      </c>
      <c r="AV199" s="21">
        <f>EXP(-LN(2)/25)*AV198+(1-EXP(-LN(2)/25))/(LN(2)/25)*Calculateur!AQ199*Calculateur!AS199*VLOOKUP('Données projet'!$B$10,Paramètres!$A$1:$I$89,3,0)*0.475*44/12</f>
        <v>0.3349506829912714</v>
      </c>
      <c r="AW199" s="21">
        <f>EXP(-LN(2)/2)*AW198+(1-EXP(-LN(2)/2))/(LN(2)/2)*AQ199*AT199*VLOOKUP('Données projet'!$B$10,Paramètres!$A$1:$I$89,3,0)*0.475*44/12</f>
        <v>3.3841783352572045E-24</v>
      </c>
      <c r="AX199" s="21">
        <f t="shared" si="166"/>
        <v>0.71880031576007974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1">
        <f t="shared" si="202"/>
        <v>44.246440622057428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67">
        <f t="shared" si="192"/>
        <v>638.82114741674945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-1.1368683772161603E-13</v>
      </c>
      <c r="O200" s="13">
        <f>N200*VLOOKUP('Données projet'!$B$9,Paramètres!$A$1:$I$89,3,0)*VLOOKUP('Données projet'!$B$9,Paramètres!$A$1:$I$89,5,0)</f>
        <v>-1.0286385077051818E-13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269.19146943657933</v>
      </c>
      <c r="T200" s="59">
        <f t="shared" si="204"/>
        <v>185.94138814570965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</v>
      </c>
      <c r="AA200" s="21">
        <f>EXP(-LN(2)/25)*AA199+(1-EXP(-LN(2)/25))/(LN(2)/25)*Calculateur!V200*Calculateur!X200*VLOOKUP('Données projet'!$B$9,Paramètres!$A$1:$I$89,3,0)*0.475*44/12</f>
        <v>3.0290917997803184E-2</v>
      </c>
      <c r="AB200" s="21">
        <f>EXP(-LN(2)/2)*AB199+(1-EXP(-LN(2)/2))/(LN(2)/2)*V200*Y200*VLOOKUP('Données projet'!$B$9,Paramètres!$A$1:$I$89,3,0)*0.475*44/12</f>
        <v>4.5252257913391465E-25</v>
      </c>
      <c r="AC200" s="22">
        <f t="shared" si="163"/>
        <v>3.0290917997803184E-2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4.5474735088646412E-13</v>
      </c>
      <c r="AJ200" s="13">
        <f>AI200*VLOOKUP('Données projet'!$B$10,Paramètres!$A$1:$I$89,3,0)*VLOOKUP('Données projet'!$B$10,Paramètres!$A$1:$I$89,5,0)</f>
        <v>2.5420376914553347E-13</v>
      </c>
      <c r="AK200" s="13">
        <f t="shared" si="164"/>
        <v>3.4258699088369875E-12</v>
      </c>
      <c r="AL200" s="20">
        <f t="shared" si="165"/>
        <v>6.4094616558195571E-12</v>
      </c>
      <c r="AM200" s="59">
        <f t="shared" si="193"/>
        <v>293.33333333333974</v>
      </c>
      <c r="AN200" s="59">
        <f ca="1">AVERAGE(OFFSET($AM$3,0,0,'Données projet'!$E$10+1,1))-AVERAGE(OFFSET($H$3,0,0,'Données projet'!$E$10+1,1))</f>
        <v>400.34672861351783</v>
      </c>
      <c r="AO200" s="59">
        <f t="shared" si="205"/>
        <v>413.2016163204438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0.37632257559537013</v>
      </c>
      <c r="AV200" s="21">
        <f>EXP(-LN(2)/25)*AV199+(1-EXP(-LN(2)/25))/(LN(2)/25)*Calculateur!AQ200*Calculateur!AS200*VLOOKUP('Données projet'!$B$10,Paramètres!$A$1:$I$89,3,0)*0.475*44/12</f>
        <v>0.32579143895058421</v>
      </c>
      <c r="AW200" s="21">
        <f>EXP(-LN(2)/2)*AW199+(1-EXP(-LN(2)/2))/(LN(2)/2)*AQ200*AT200*VLOOKUP('Données projet'!$B$10,Paramètres!$A$1:$I$89,3,0)*0.475*44/12</f>
        <v>2.3929754496049708E-24</v>
      </c>
      <c r="AX200" s="21">
        <f t="shared" si="166"/>
        <v>0.70211401454595435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1">
        <f t="shared" si="202"/>
        <v>44.44483974113885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67">
        <f t="shared" si="192"/>
        <v>640.71538254914947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-1.1368683772161603E-13</v>
      </c>
      <c r="O201" s="13">
        <f>N201*VLOOKUP('Données projet'!$B$9,Paramètres!$A$1:$I$89,3,0)*VLOOKUP('Données projet'!$B$9,Paramètres!$A$1:$I$89,5,0)</f>
        <v>-1.0286385077051818E-13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269.19146943657933</v>
      </c>
      <c r="T201" s="59">
        <f t="shared" si="204"/>
        <v>185.94138814570965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</v>
      </c>
      <c r="AA201" s="21">
        <f>EXP(-LN(2)/25)*AA200+(1-EXP(-LN(2)/25))/(LN(2)/25)*Calculateur!V201*Calculateur!X201*VLOOKUP('Données projet'!$B$9,Paramètres!$A$1:$I$89,3,0)*0.475*44/12</f>
        <v>2.946261125222311E-2</v>
      </c>
      <c r="AB201" s="21">
        <f>EXP(-LN(2)/2)*AB200+(1-EXP(-LN(2)/2))/(LN(2)/2)*V201*Y201*VLOOKUP('Données projet'!$B$9,Paramètres!$A$1:$I$89,3,0)*0.475*44/12</f>
        <v>3.1998178434561713E-25</v>
      </c>
      <c r="AC201" s="22">
        <f t="shared" si="163"/>
        <v>2.946261125222311E-2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4.5474735088646412E-13</v>
      </c>
      <c r="AJ201" s="13">
        <f>AI201*VLOOKUP('Données projet'!$B$10,Paramètres!$A$1:$I$89,3,0)*VLOOKUP('Données projet'!$B$10,Paramètres!$A$1:$I$89,5,0)</f>
        <v>2.5420376914553347E-13</v>
      </c>
      <c r="AK201" s="13">
        <f t="shared" si="164"/>
        <v>3.4258699088369875E-12</v>
      </c>
      <c r="AL201" s="20">
        <f t="shared" si="165"/>
        <v>6.4094616558195571E-12</v>
      </c>
      <c r="AM201" s="59">
        <f t="shared" si="193"/>
        <v>293.33333333333974</v>
      </c>
      <c r="AN201" s="59">
        <f ca="1">AVERAGE(OFFSET($AM$3,0,0,'Données projet'!$E$10+1,1))-AVERAGE(OFFSET($H$3,0,0,'Données projet'!$E$10+1,1))</f>
        <v>400.34672861351783</v>
      </c>
      <c r="AO201" s="59">
        <f t="shared" si="205"/>
        <v>413.2016163204438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0.36894311942205144</v>
      </c>
      <c r="AV201" s="21">
        <f>EXP(-LN(2)/25)*AV200+(1-EXP(-LN(2)/25))/(LN(2)/25)*Calculateur!AQ201*Calculateur!AS201*VLOOKUP('Données projet'!$B$10,Paramètres!$A$1:$I$89,3,0)*0.475*44/12</f>
        <v>0.31688265491985329</v>
      </c>
      <c r="AW201" s="21">
        <f>EXP(-LN(2)/2)*AW200+(1-EXP(-LN(2)/2))/(LN(2)/2)*AQ201*AT201*VLOOKUP('Données projet'!$B$10,Paramètres!$A$1:$I$89,3,0)*0.475*44/12</f>
        <v>1.6920891676286022E-24</v>
      </c>
      <c r="AX201" s="21">
        <f t="shared" si="166"/>
        <v>0.68582577434190473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1">
        <f t="shared" si="202"/>
        <v>44.643122259339037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67">
        <f t="shared" si="192"/>
        <v>642.60941460168146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-1.1368683772161603E-13</v>
      </c>
      <c r="O202" s="13">
        <f>N202*VLOOKUP('Données projet'!$B$9,Paramètres!$A$1:$I$89,3,0)*VLOOKUP('Données projet'!$B$9,Paramètres!$A$1:$I$89,5,0)</f>
        <v>-1.0286385077051818E-13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269.19146943657933</v>
      </c>
      <c r="T202" s="59">
        <f t="shared" si="204"/>
        <v>185.94138814570965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</v>
      </c>
      <c r="AA202" s="21">
        <f>EXP(-LN(2)/25)*AA201+(1-EXP(-LN(2)/25))/(LN(2)/25)*Calculateur!V202*Calculateur!X202*VLOOKUP('Données projet'!$B$9,Paramètres!$A$1:$I$89,3,0)*0.475*44/12</f>
        <v>2.865695459815968E-2</v>
      </c>
      <c r="AB202" s="21">
        <f>EXP(-LN(2)/2)*AB201+(1-EXP(-LN(2)/2))/(LN(2)/2)*V202*Y202*VLOOKUP('Données projet'!$B$9,Paramètres!$A$1:$I$89,3,0)*0.475*44/12</f>
        <v>2.2626128956695732E-25</v>
      </c>
      <c r="AC202" s="22">
        <f t="shared" si="163"/>
        <v>2.865695459815968E-2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4.5474735088646412E-13</v>
      </c>
      <c r="AJ202" s="13">
        <f>AI202*VLOOKUP('Données projet'!$B$10,Paramètres!$A$1:$I$89,3,0)*VLOOKUP('Données projet'!$B$10,Paramètres!$A$1:$I$89,5,0)</f>
        <v>2.5420376914553347E-13</v>
      </c>
      <c r="AK202" s="13">
        <f t="shared" si="164"/>
        <v>3.4258699088369875E-12</v>
      </c>
      <c r="AL202" s="20">
        <f t="shared" si="165"/>
        <v>6.4094616558195571E-12</v>
      </c>
      <c r="AM202" s="59">
        <f t="shared" si="193"/>
        <v>293.33333333333974</v>
      </c>
      <c r="AN202" s="59">
        <f ca="1">AVERAGE(OFFSET($AM$3,0,0,'Données projet'!$E$10+1,1))-AVERAGE(OFFSET($H$3,0,0,'Données projet'!$E$10+1,1))</f>
        <v>400.34672861351783</v>
      </c>
      <c r="AO202" s="59">
        <f t="shared" si="205"/>
        <v>413.2016163204438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0.36170836988326766</v>
      </c>
      <c r="AV202" s="21">
        <f>EXP(-LN(2)/25)*AV201+(1-EXP(-LN(2)/25))/(LN(2)/25)*Calculateur!AQ202*Calculateur!AS202*VLOOKUP('Données projet'!$B$10,Paramètres!$A$1:$I$89,3,0)*0.475*44/12</f>
        <v>0.30821748205693533</v>
      </c>
      <c r="AW202" s="21">
        <f>EXP(-LN(2)/2)*AW201+(1-EXP(-LN(2)/2))/(LN(2)/2)*AQ202*AT202*VLOOKUP('Données projet'!$B$10,Paramètres!$A$1:$I$89,3,0)*0.475*44/12</f>
        <v>1.1964877248024854E-24</v>
      </c>
      <c r="AX202" s="21">
        <f t="shared" si="166"/>
        <v>0.66992585194020293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1">
        <f t="shared" si="202"/>
        <v>44.841288830609059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67">
        <f t="shared" si="192"/>
        <v>644.5032447133101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-1.1368683772161603E-13</v>
      </c>
      <c r="O203" s="13">
        <f>N203*VLOOKUP('Données projet'!$B$9,Paramètres!$A$1:$I$89,3,0)*VLOOKUP('Données projet'!$B$9,Paramètres!$A$1:$I$89,5,0)</f>
        <v>-1.0286385077051818E-13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269.19146943657933</v>
      </c>
      <c r="T203" s="59">
        <f t="shared" si="204"/>
        <v>185.94138814570965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</v>
      </c>
      <c r="AA203" s="21">
        <f>EXP(-LN(2)/25)*AA202+(1-EXP(-LN(2)/25))/(LN(2)/25)*Calculateur!V203*Calculateur!X203*VLOOKUP('Données projet'!$B$9,Paramètres!$A$1:$I$89,3,0)*0.475*44/12</f>
        <v>2.7873328667669256E-2</v>
      </c>
      <c r="AB203" s="21">
        <f>EXP(-LN(2)/2)*AB202+(1-EXP(-LN(2)/2))/(LN(2)/2)*V203*Y203*VLOOKUP('Données projet'!$B$9,Paramètres!$A$1:$I$89,3,0)*0.475*44/12</f>
        <v>1.5999089217280856E-25</v>
      </c>
      <c r="AC203" s="22">
        <f t="shared" si="163"/>
        <v>2.7873328667669256E-2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4.5474735088646412E-13</v>
      </c>
      <c r="AJ203" s="13">
        <f>AI203*VLOOKUP('Données projet'!$B$10,Paramètres!$A$1:$I$89,3,0)*VLOOKUP('Données projet'!$B$10,Paramètres!$A$1:$I$89,5,0)</f>
        <v>2.5420376914553347E-13</v>
      </c>
      <c r="AK203" s="13">
        <f t="shared" si="164"/>
        <v>3.4258699088369875E-12</v>
      </c>
      <c r="AL203" s="20">
        <f t="shared" si="165"/>
        <v>6.4094616558195571E-12</v>
      </c>
      <c r="AM203" s="59">
        <f t="shared" si="193"/>
        <v>293.33333333333974</v>
      </c>
      <c r="AN203" s="59">
        <f ca="1">AVERAGE(OFFSET($AM$3,0,0,'Données projet'!$E$10+1,1))-AVERAGE(OFFSET($H$3,0,0,'Données projet'!$E$10+1,1))</f>
        <v>400.34672861351783</v>
      </c>
      <c r="AO203" s="59">
        <f t="shared" si="205"/>
        <v>413.2016163204438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0.35461548937017795</v>
      </c>
      <c r="AV203" s="21">
        <f>EXP(-LN(2)/25)*AV202+(1-EXP(-LN(2)/25))/(LN(2)/25)*Calculateur!AQ203*Calculateur!AS203*VLOOKUP('Données projet'!$B$10,Paramètres!$A$1:$I$89,3,0)*0.475*44/12</f>
        <v>0.29978925880163548</v>
      </c>
      <c r="AW203" s="21">
        <f>EXP(-LN(2)/2)*AW202+(1-EXP(-LN(2)/2))/(LN(2)/2)*AQ203*AT203*VLOOKUP('Données projet'!$B$10,Paramètres!$A$1:$I$89,3,0)*0.475*44/12</f>
        <v>8.4604458381430112E-25</v>
      </c>
      <c r="AX203" s="21">
        <f t="shared" si="166"/>
        <v>0.65440474817181338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1.2054868146447177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1.3492828476735632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>
      <c r="A93" s="122" t="s">
        <v>208</v>
      </c>
    </row>
    <row r="94" spans="1:14">
      <c r="A94" s="122" t="s">
        <v>209</v>
      </c>
    </row>
    <row r="95" spans="1:14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M1" zoomScale="90" zoomScaleNormal="90" workbookViewId="0">
      <selection activeCell="C8" sqref="C8"/>
    </sheetView>
  </sheetViews>
  <sheetFormatPr baseColWidth="10" defaultColWidth="11.44140625" defaultRowHeight="14.4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>
      <c r="A6" s="145" t="str">
        <f>IF('Données projet'!$B$9="","",'Données projet'!$B$9)</f>
        <v>Chêne sessile</v>
      </c>
      <c r="B6" s="146">
        <f>'Données projet'!D9</f>
        <v>4.319</v>
      </c>
      <c r="C6" s="147">
        <f ca="1">IF(OR('Données projet'!B9="",'Données projet'!C9="",'Données projet'!C9=0%),0,Calculateur!S3)</f>
        <v>269.19146943657933</v>
      </c>
      <c r="D6" s="147">
        <f>IF(OR('Données projet'!B9="",'Données projet'!C9="",'Données projet'!C9=0%),0,Calculateur!T3)</f>
        <v>185.94138814570965</v>
      </c>
      <c r="E6" s="147">
        <f ca="1">MIN(C6,D6)</f>
        <v>185.94138814570965</v>
      </c>
      <c r="F6" s="147">
        <f ca="1">E6*B6</f>
        <v>803.08085540131992</v>
      </c>
      <c r="G6" s="147">
        <f ca="1">F6*(100%-'Données projet'!$C$24)*(100%-'Données projet'!$C$25)*(100%-'Données projet'!$C$26)*(100%-'Données projet'!$C$27)</f>
        <v>650.4954928750692</v>
      </c>
      <c r="H6" s="148">
        <f>IF(OR('Données projet'!B9="",'Données projet'!C9="",'Données projet'!C9=0%),0,AVERAGE(Calculateur!$AC$3:$AC$33)*B6)</f>
        <v>1.2950432371051703</v>
      </c>
      <c r="I6" s="149">
        <f>H6*(100%-'Données projet'!$C$24)*(100%-'Données projet'!$C$25)*(100%-'Données projet'!$C$26)*(100%-'Données projet'!$C$27)</f>
        <v>1.0489850220551882</v>
      </c>
      <c r="J6" s="150">
        <f>IF(OR('Données projet'!B9="",'Données projet'!C9="",'Données projet'!C9=0%),0,SUM(Calculateur!$V$3:$V$33)*VLOOKUP('Données projet'!$B$9,Paramètres!$A$1:$I$89,9,0)*B6)</f>
        <v>31.312750000000001</v>
      </c>
      <c r="K6" s="151">
        <f>J6*(100%-'Données projet'!$C$24)*(100%-'Données projet'!$C$25)*(100%-'Données projet'!$C$26)*(100%-'Données projet'!$C$27)</f>
        <v>25.363327500000004</v>
      </c>
      <c r="L6" s="152">
        <f ca="1">G6+I6+K6</f>
        <v>676.90780539712432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>
      <c r="A7" s="153" t="str">
        <f>IF('Données projet'!$B$10="","",'Données projet'!$B$10)</f>
        <v>Douglas</v>
      </c>
      <c r="B7" s="154">
        <f>'Données projet'!D10</f>
        <v>0.61699999999999999</v>
      </c>
      <c r="C7" s="147">
        <f ca="1">IF(OR('Données projet'!B10="",'Données projet'!C10="",'Données projet'!C10=0%),0,Calculateur!AN3)</f>
        <v>400.34672861351783</v>
      </c>
      <c r="D7" s="147">
        <f>IF(OR('Données projet'!B10="",'Données projet'!C10="",'Données projet'!C10=0%),0,Calculateur!AO3)</f>
        <v>413.2016163204438</v>
      </c>
      <c r="E7" s="147">
        <f t="shared" ref="E7:E15" ca="1" si="0">MIN(C7,D7)</f>
        <v>400.34672861351783</v>
      </c>
      <c r="F7" s="147">
        <f t="shared" ref="F7:F15" ca="1" si="1">E7*B7</f>
        <v>247.01393155454051</v>
      </c>
      <c r="G7" s="147">
        <f ca="1">F7*(100%-'Données projet'!$C$24)*(100%-'Données projet'!$C$25)*(100%-'Données projet'!$C$26)*(100%-'Données projet'!$C$27)</f>
        <v>200.08128455917782</v>
      </c>
      <c r="H7" s="155">
        <f>IF(OR('Données projet'!B10="",'Données projet'!C10="",'Données projet'!C10=0%),0,AVERAGE(Calculateur!$AX$3:$AX$33)*B7)</f>
        <v>6.2779448127364494</v>
      </c>
      <c r="I7" s="149">
        <f>H7*(100%-'Données projet'!$C$24)*(100%-'Données projet'!$C$25)*(100%-'Données projet'!$C$26)*(100%-'Données projet'!$C$27)</f>
        <v>5.0851352983165246</v>
      </c>
      <c r="J7" s="150">
        <f>IF(OR('Données projet'!B10="",'Données projet'!C10="",'Données projet'!C10=0%),0,SUM(Calculateur!$AQ$3:$AQ$33)*VLOOKUP('Données projet'!$B$10,Paramètres!$A$1:$I$89,9,0)*B7)</f>
        <v>55.7151</v>
      </c>
      <c r="K7" s="151">
        <f>J7*(100%-'Données projet'!$C$24)*(100%-'Données projet'!$C$25)*(100%-'Données projet'!$C$26)*(100%-'Données projet'!$C$27)</f>
        <v>45.129231000000004</v>
      </c>
      <c r="L7" s="152">
        <f t="shared" ref="L7:L15" ca="1" si="2">G7+I7+K7</f>
        <v>250.29565085749434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>
      <c r="A8" s="153" t="str">
        <f>IF('Données projet'!$B$11="","",'Données projet'!$B$11)</f>
        <v/>
      </c>
      <c r="B8" s="154">
        <f>'Données projet'!D11</f>
        <v>0.61699999999999999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>
      <c r="A9" s="153" t="str">
        <f>IF('Données projet'!$B$12="","",'Données projet'!$B$12)</f>
        <v/>
      </c>
      <c r="B9" s="154">
        <f>'Données projet'!D12</f>
        <v>0.61699999999999999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>
      <c r="A16" s="209"/>
      <c r="B16" s="213"/>
      <c r="C16" s="214"/>
      <c r="D16" s="23"/>
      <c r="E16" s="23"/>
      <c r="F16" s="165">
        <f t="shared" ref="F16:L16" ca="1" si="3">SUM(F6:F15)</f>
        <v>1050.0947869558604</v>
      </c>
      <c r="G16" s="166">
        <f t="shared" ca="1" si="3"/>
        <v>850.57677743424699</v>
      </c>
      <c r="H16" s="167">
        <f t="shared" si="3"/>
        <v>7.5729880498416193</v>
      </c>
      <c r="I16" s="167">
        <f t="shared" si="3"/>
        <v>6.1341203203717125</v>
      </c>
      <c r="J16" s="168">
        <f t="shared" si="3"/>
        <v>87.027850000000001</v>
      </c>
      <c r="K16" s="168">
        <f t="shared" si="3"/>
        <v>70.492558500000001</v>
      </c>
      <c r="L16" s="169">
        <f t="shared" ca="1" si="3"/>
        <v>927.20345625461869</v>
      </c>
      <c r="M16" s="23">
        <f ca="1">L16*0.9</f>
        <v>834.48311062915684</v>
      </c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>
      <c r="A21" s="170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>
      <c r="A39" s="170" t="str">
        <f>A7</f>
        <v>Douglas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K17" zoomScale="80" zoomScaleNormal="80" workbookViewId="0">
      <selection activeCell="T25" sqref="T25:V25"/>
    </sheetView>
  </sheetViews>
  <sheetFormatPr baseColWidth="10" defaultColWidth="11.44140625" defaultRowHeight="14.4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sessile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-2006.5891294373819</v>
      </c>
      <c r="U10" s="178">
        <f>'Données projet'!D9</f>
        <v>4.319</v>
      </c>
      <c r="V10" s="177">
        <f>U10*T10</f>
        <v>-8666.4584500400524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Douglas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5676.9248990243277</v>
      </c>
      <c r="U11" s="178">
        <f>'Données projet'!D10</f>
        <v>0.61699999999999999</v>
      </c>
      <c r="V11" s="177">
        <f t="shared" ref="V11" si="0">U11*T11</f>
        <v>3502.6626626980101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0.61699999999999999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0.61699999999999999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>
      <c r="A14" s="46" t="s">
        <v>165</v>
      </c>
      <c r="B14" s="174" t="str">
        <f>IF('Données projet'!$B$9="","",'Données projet'!$B$9)</f>
        <v>Chêne sessile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>
        <v>60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>
      <c r="A17" s="49">
        <v>0</v>
      </c>
      <c r="B17" s="199" t="s">
        <v>132</v>
      </c>
      <c r="C17" s="198" t="s">
        <v>132</v>
      </c>
      <c r="D17" s="197" t="s">
        <v>132</v>
      </c>
      <c r="E17" s="193">
        <f>2907*1.12</f>
        <v>3255.84</v>
      </c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60.000000000000057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>
        <v>23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1380.0000000000014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0</v>
      </c>
      <c r="I20" s="191">
        <f>1150*1.12</f>
        <v>1288.0000000000002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0</v>
      </c>
      <c r="I21" s="191">
        <f>4214*1.12</f>
        <v>4719.68</v>
      </c>
      <c r="J21" s="1" t="s">
        <v>325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1</v>
      </c>
      <c r="I22" s="191">
        <f>550*1.12</f>
        <v>616.00000000000011</v>
      </c>
      <c r="J22" s="1" t="s">
        <v>324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>
      <c r="A23" s="180">
        <f>'Données projet'!A36</f>
        <v>20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>
        <v>3</v>
      </c>
      <c r="I23" s="191">
        <f>600*1.12</f>
        <v>672.00000000000011</v>
      </c>
      <c r="J23" s="1" t="s">
        <v>324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-53105.98756314753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>
      <c r="A24" s="180">
        <f>'Données projet'!A37</f>
        <v>30</v>
      </c>
      <c r="B24" s="181">
        <f>'Données projet'!D37</f>
        <v>29</v>
      </c>
      <c r="C24" s="193">
        <v>22</v>
      </c>
      <c r="D24" s="182">
        <f t="shared" ref="D24:D42" si="2">B24*C24</f>
        <v>638</v>
      </c>
      <c r="E24" s="193"/>
      <c r="F24" s="233"/>
      <c r="H24" s="190">
        <v>5</v>
      </c>
      <c r="I24" s="191">
        <f>650*1.12</f>
        <v>728.00000000000011</v>
      </c>
      <c r="J24" s="1" t="s">
        <v>324</v>
      </c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606.99738990718811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>
      <c r="A25" s="180">
        <f>'Données projet'!A38</f>
        <v>40</v>
      </c>
      <c r="B25" s="181">
        <f>'Données projet'!D38</f>
        <v>42</v>
      </c>
      <c r="C25" s="193">
        <v>22</v>
      </c>
      <c r="D25" s="182">
        <f t="shared" si="2"/>
        <v>924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299">
        <f ca="1">T23-T24</f>
        <v>-53712.984953054714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>
      <c r="A26" s="180">
        <f>'Données projet'!A39</f>
        <v>50</v>
      </c>
      <c r="B26" s="181">
        <f>'Données projet'!D39</f>
        <v>42</v>
      </c>
      <c r="C26" s="193">
        <v>22</v>
      </c>
      <c r="D26" s="182">
        <f t="shared" si="2"/>
        <v>924</v>
      </c>
      <c r="E26" s="193"/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>
      <c r="A27" s="180">
        <f>'Données projet'!A40</f>
        <v>60</v>
      </c>
      <c r="B27" s="181">
        <f>'Données projet'!D40</f>
        <v>42</v>
      </c>
      <c r="C27" s="193">
        <v>35</v>
      </c>
      <c r="D27" s="182">
        <f t="shared" si="2"/>
        <v>1470</v>
      </c>
      <c r="E27" s="193"/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>
      <c r="A28" s="180">
        <f>'Données projet'!A41</f>
        <v>70</v>
      </c>
      <c r="B28" s="181">
        <f>'Données projet'!D41</f>
        <v>42</v>
      </c>
      <c r="C28" s="193">
        <v>50</v>
      </c>
      <c r="D28" s="182">
        <f t="shared" si="2"/>
        <v>2100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>
      <c r="A29" s="180">
        <f>'Données projet'!A42</f>
        <v>80</v>
      </c>
      <c r="B29" s="181">
        <f>'Données projet'!D42</f>
        <v>42</v>
      </c>
      <c r="C29" s="193">
        <v>80</v>
      </c>
      <c r="D29" s="182">
        <f t="shared" si="2"/>
        <v>3360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>
      <c r="A30" s="180">
        <f>'Données projet'!A43</f>
        <v>90</v>
      </c>
      <c r="B30" s="181">
        <f>'Données projet'!D43</f>
        <v>42</v>
      </c>
      <c r="C30" s="193">
        <v>110</v>
      </c>
      <c r="D30" s="182">
        <f t="shared" si="2"/>
        <v>4620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>
      <c r="A31" s="180">
        <f>'Données projet'!A44</f>
        <v>100</v>
      </c>
      <c r="B31" s="181">
        <f>'Données projet'!D44</f>
        <v>42</v>
      </c>
      <c r="C31" s="193">
        <v>140</v>
      </c>
      <c r="D31" s="182">
        <f t="shared" si="2"/>
        <v>5880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>
      <c r="A32" s="180">
        <f>'Données projet'!A45</f>
        <v>110</v>
      </c>
      <c r="B32" s="181">
        <f>'Données projet'!D45</f>
        <v>39</v>
      </c>
      <c r="C32" s="193">
        <v>160</v>
      </c>
      <c r="D32" s="182">
        <f t="shared" si="2"/>
        <v>6240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>
      <c r="A33" s="180">
        <f>'Données projet'!A46</f>
        <v>120</v>
      </c>
      <c r="B33" s="181">
        <f>'Données projet'!D46</f>
        <v>303</v>
      </c>
      <c r="C33" s="193">
        <v>200</v>
      </c>
      <c r="D33" s="182">
        <f t="shared" si="2"/>
        <v>60600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>
      <c r="A45" s="46" t="s">
        <v>166</v>
      </c>
      <c r="B45" s="174" t="str">
        <f>IF('Données projet'!$B$10="","",'Données projet'!$B$10)</f>
        <v>Douglas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>
      <c r="A48" s="49">
        <v>0</v>
      </c>
      <c r="B48" s="199" t="s">
        <v>132</v>
      </c>
      <c r="C48" s="198" t="s">
        <v>132</v>
      </c>
      <c r="D48" s="197" t="s">
        <v>132</v>
      </c>
      <c r="E48" s="193">
        <f>269*1.12</f>
        <v>301.28000000000003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>
      <c r="A54" s="180">
        <f>'Données projet'!A62</f>
        <v>10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>
      <c r="A55" s="180">
        <f>'Données projet'!A63</f>
        <v>20</v>
      </c>
      <c r="B55" s="181">
        <f>'Données projet'!D63</f>
        <v>84</v>
      </c>
      <c r="C55" s="191">
        <v>20</v>
      </c>
      <c r="D55" s="179">
        <f t="shared" ref="D55:D73" si="4">B55*C55</f>
        <v>1680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>
      <c r="A56" s="180">
        <f>'Données projet'!A64</f>
        <v>30</v>
      </c>
      <c r="B56" s="181">
        <f>'Données projet'!D64</f>
        <v>126</v>
      </c>
      <c r="C56" s="191">
        <v>45</v>
      </c>
      <c r="D56" s="179">
        <f t="shared" si="4"/>
        <v>5670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>
      <c r="A57" s="180">
        <f>'Données projet'!A65</f>
        <v>40</v>
      </c>
      <c r="B57" s="181">
        <f>'Données projet'!D65</f>
        <v>126</v>
      </c>
      <c r="C57" s="191">
        <v>62</v>
      </c>
      <c r="D57" s="179">
        <f t="shared" si="4"/>
        <v>7812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>
      <c r="A58" s="180">
        <f>'Données projet'!A66</f>
        <v>50</v>
      </c>
      <c r="B58" s="181">
        <f>'Données projet'!D66</f>
        <v>119</v>
      </c>
      <c r="C58" s="191">
        <v>65</v>
      </c>
      <c r="D58" s="179">
        <f t="shared" si="4"/>
        <v>7735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>
      <c r="A59" s="180">
        <f>'Données projet'!A67</f>
        <v>60</v>
      </c>
      <c r="B59" s="181">
        <f>'Données projet'!D67</f>
        <v>90</v>
      </c>
      <c r="C59" s="191">
        <v>67</v>
      </c>
      <c r="D59" s="179">
        <f t="shared" si="4"/>
        <v>6030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>
      <c r="A60" s="180">
        <f>'Données projet'!A68</f>
        <v>70</v>
      </c>
      <c r="B60" s="181">
        <f>'Données projet'!D68</f>
        <v>75</v>
      </c>
      <c r="C60" s="191">
        <v>70</v>
      </c>
      <c r="D60" s="179">
        <f t="shared" si="4"/>
        <v>5250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>
      <c r="A61" s="180">
        <f>'Données projet'!A69</f>
        <v>80</v>
      </c>
      <c r="B61" s="181">
        <f>'Données projet'!D69</f>
        <v>719</v>
      </c>
      <c r="C61" s="191">
        <v>75</v>
      </c>
      <c r="D61" s="179">
        <f t="shared" si="4"/>
        <v>53925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>
      <c r="A79" s="49">
        <v>0</v>
      </c>
      <c r="B79" s="199" t="s">
        <v>132</v>
      </c>
      <c r="C79" s="198" t="s">
        <v>132</v>
      </c>
      <c r="D79" s="197" t="s">
        <v>132</v>
      </c>
      <c r="E79" s="193">
        <f>368*1.12</f>
        <v>412.16</v>
      </c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0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0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0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0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0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0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0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0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>
        <f>IF(O103+1&lt;=MIN('Données projet'!$E$9:$E$18),O103+1,"STOP")</f>
        <v>71</v>
      </c>
      <c r="P104" s="185">
        <f t="shared" si="7"/>
        <v>0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>
        <f>IF(O104+1&lt;=MIN('Données projet'!$E$9:$E$18),O104+1,"STOP")</f>
        <v>72</v>
      </c>
      <c r="P105" s="185">
        <f t="shared" si="7"/>
        <v>0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>
        <f>IF(O105+1&lt;=MIN('Données projet'!$E$9:$E$18),O105+1,"STOP")</f>
        <v>73</v>
      </c>
      <c r="P106" s="185">
        <f t="shared" si="7"/>
        <v>0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>
        <f>IF(O106+1&lt;=MIN('Données projet'!$E$9:$E$18),O106+1,"STOP")</f>
        <v>74</v>
      </c>
      <c r="P107" s="185">
        <f t="shared" si="7"/>
        <v>0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>
        <f>IF(O107+1&lt;=MIN('Données projet'!$E$9:$E$18),O107+1,"STOP")</f>
        <v>75</v>
      </c>
      <c r="P108" s="185">
        <f t="shared" si="7"/>
        <v>0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>
        <f>IF(O108+1&lt;=MIN('Données projet'!$E$9:$E$18),O108+1,"STOP")</f>
        <v>76</v>
      </c>
      <c r="P109" s="185">
        <f t="shared" si="7"/>
        <v>0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f>368*1.12</f>
        <v>412.16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>
        <f>IF(O109+1&lt;=MIN('Données projet'!$E$9:$E$18),O109+1,"STOP")</f>
        <v>77</v>
      </c>
      <c r="P110" s="185">
        <f t="shared" si="7"/>
        <v>0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>
        <f>IF(O110+1&lt;=MIN('Données projet'!$E$9:$E$18),O110+1,"STOP")</f>
        <v>78</v>
      </c>
      <c r="P111" s="185">
        <f t="shared" si="7"/>
        <v>0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>
        <f>IF(O111+1&lt;=MIN('Données projet'!$E$9:$E$18),O111+1,"STOP")</f>
        <v>79</v>
      </c>
      <c r="P112" s="185">
        <f t="shared" si="7"/>
        <v>0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>
        <f>IF(O112+1&lt;=MIN('Données projet'!$E$9:$E$18),O112+1,"STOP")</f>
        <v>80</v>
      </c>
      <c r="P113" s="185">
        <f t="shared" si="7"/>
        <v>0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str">
        <f>IF(O113+1&lt;=MIN('Données projet'!$E$9:$E$18),O113+1,"STOP")</f>
        <v>STOP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06D02EFB7524E92A31806A20933C4" ma:contentTypeVersion="16" ma:contentTypeDescription="Crée un document." ma:contentTypeScope="" ma:versionID="0e9e021c327d8551a1f55b1299a1ead0">
  <xsd:schema xmlns:xsd="http://www.w3.org/2001/XMLSchema" xmlns:xs="http://www.w3.org/2001/XMLSchema" xmlns:p="http://schemas.microsoft.com/office/2006/metadata/properties" xmlns:ns2="7f778677-e8d3-4866-966d-dd352b4d4b95" xmlns:ns3="655929c3-d7c5-4e51-b5f8-f25933e16e57" targetNamespace="http://schemas.microsoft.com/office/2006/metadata/properties" ma:root="true" ma:fieldsID="2136bc5999714f027c7596c726032f96" ns2:_="" ns3:_="">
    <xsd:import namespace="7f778677-e8d3-4866-966d-dd352b4d4b95"/>
    <xsd:import namespace="655929c3-d7c5-4e51-b5f8-f25933e16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778677-e8d3-4866-966d-dd352b4d4b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c31a7892-0253-4b23-af1e-d16b272054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929c3-d7c5-4e51-b5f8-f25933e16e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035bd7a-0690-4dae-a8f1-713ab1cfbd47}" ma:internalName="TaxCatchAll" ma:showField="CatchAllData" ma:web="655929c3-d7c5-4e51-b5f8-f25933e16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CB8604-1778-4425-9497-BFC15C0CA2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25F396-F520-4214-B137-FFBC1F0B94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778677-e8d3-4866-966d-dd352b4d4b95"/>
    <ds:schemaRef ds:uri="655929c3-d7c5-4e51-b5f8-f25933e16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Jean de LA TULLAYE</cp:lastModifiedBy>
  <dcterms:created xsi:type="dcterms:W3CDTF">2021-02-01T08:22:39Z</dcterms:created>
  <dcterms:modified xsi:type="dcterms:W3CDTF">2024-05-31T10:32:15Z</dcterms:modified>
</cp:coreProperties>
</file>