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4-2025/GUILLOUET-NELLO (La Harmoye) - 15902023 LE/"/>
    </mc:Choice>
  </mc:AlternateContent>
  <xr:revisionPtr revIDLastSave="127" documentId="13_ncr:1_{91C62E09-7A97-40C6-8A6D-8C8B5668C142}" xr6:coauthVersionLast="47" xr6:coauthVersionMax="47" xr10:uidLastSave="{30226203-FF84-403B-A745-42B44E30D5A3}"/>
  <bookViews>
    <workbookView xWindow="-28920" yWindow="7515" windowWidth="29040" windowHeight="1572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6" l="1"/>
  <c r="I23" i="6"/>
  <c r="I21" i="6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FR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W7" i="2"/>
  <c r="EV7" i="2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HI78" i="2"/>
  <c r="EW78" i="2"/>
  <c r="EV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W85" i="2" s="1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I130" i="2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G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DH156" i="2"/>
  <c r="EX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FS161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C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H185" i="2" l="1"/>
  <c r="HG185" i="2"/>
  <c r="EA185" i="2"/>
  <c r="EV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B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66" i="2" a="1"/>
  <c r="EI166" i="2" s="1"/>
  <c r="EI106" i="2" a="1"/>
  <c r="EI106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196" i="2" a="1"/>
  <c r="FY196" i="2" s="1"/>
  <c r="FY30" i="2" a="1"/>
  <c r="FY30" i="2" s="1"/>
  <c r="FY142" i="2" a="1"/>
  <c r="FY142" i="2" s="1"/>
  <c r="FD188" i="2" a="1"/>
  <c r="FD188" i="2" s="1"/>
  <c r="FD48" i="2" a="1"/>
  <c r="FD48" i="2" s="1"/>
  <c r="FD189" i="2" a="1"/>
  <c r="FD189" i="2" s="1"/>
  <c r="FD167" i="2" a="1"/>
  <c r="FD167" i="2" s="1"/>
  <c r="FD159" i="2" a="1"/>
  <c r="FD159" i="2" s="1"/>
  <c r="FD160" i="2" a="1"/>
  <c r="FD160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63" i="2" l="1" a="1"/>
  <c r="AH163" i="2" s="1"/>
  <c r="AH62" i="2" a="1"/>
  <c r="AH62" i="2" s="1"/>
  <c r="AH199" i="2" a="1"/>
  <c r="AH199" i="2" s="1"/>
  <c r="AH166" i="2" a="1"/>
  <c r="AH166" i="2" s="1"/>
  <c r="AH19" i="2" a="1"/>
  <c r="AH19" i="2" s="1"/>
  <c r="AH92" i="2" a="1"/>
  <c r="AH92" i="2" s="1"/>
  <c r="AH90" i="2" a="1"/>
  <c r="AH90" i="2" s="1"/>
  <c r="FD107" i="2" a="1"/>
  <c r="FD107" i="2" s="1"/>
  <c r="FD44" i="2" a="1"/>
  <c r="FD44" i="2" s="1"/>
  <c r="FY42" i="2" a="1"/>
  <c r="FY42" i="2" s="1"/>
  <c r="EI153" i="2" a="1"/>
  <c r="EI153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HG203" i="2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EI178" i="2" a="1"/>
  <c r="EI178" i="2" s="1"/>
  <c r="EI198" i="2" a="1"/>
  <c r="EI198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EI145" i="2" a="1"/>
  <c r="EI145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EI162" i="2" a="1"/>
  <c r="EI162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Y86" i="2" a="1"/>
  <c r="FY86" i="2" s="1"/>
  <c r="EI150" i="2" a="1"/>
  <c r="EI150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FD137" i="2" a="1"/>
  <c r="FD137" i="2" s="1"/>
  <c r="FD14" i="2" a="1"/>
  <c r="FD14" i="2" s="1"/>
  <c r="FY80" i="2" a="1"/>
  <c r="FY80" i="2" s="1"/>
  <c r="FY58" i="2" a="1"/>
  <c r="FY58" i="2" s="1"/>
  <c r="EI29" i="2" a="1"/>
  <c r="EI29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I188" i="2" l="1"/>
  <c r="BI47" i="2"/>
  <c r="BI81" i="2"/>
  <c r="BI71" i="2"/>
  <c r="BI89" i="2"/>
  <c r="BI54" i="2"/>
  <c r="BI42" i="2"/>
  <c r="BI130" i="2"/>
  <c r="BI155" i="2"/>
  <c r="BI129" i="2"/>
  <c r="BI107" i="2"/>
  <c r="BI20" i="2"/>
  <c r="BI175" i="2"/>
  <c r="BI163" i="2"/>
  <c r="BI31" i="2"/>
  <c r="BI179" i="2"/>
  <c r="BI84" i="2"/>
  <c r="BI60" i="2"/>
  <c r="BI12" i="2"/>
  <c r="BI98" i="2"/>
  <c r="BI22" i="2"/>
  <c r="BI49" i="2"/>
  <c r="BI56" i="2"/>
  <c r="BI53" i="2"/>
  <c r="BI154" i="2"/>
  <c r="BI50" i="2"/>
  <c r="BI183" i="2"/>
  <c r="BI124" i="2"/>
  <c r="BI8" i="2"/>
  <c r="BI137" i="2"/>
  <c r="BI59" i="2"/>
  <c r="BI36" i="2"/>
  <c r="BI37" i="2"/>
  <c r="BI116" i="2"/>
  <c r="BI96" i="2"/>
  <c r="BI18" i="2"/>
  <c r="BI32" i="2"/>
  <c r="BI190" i="2"/>
  <c r="BI4" i="2"/>
  <c r="BI161" i="2"/>
  <c r="BI104" i="2"/>
  <c r="BI103" i="2"/>
  <c r="BI29" i="2"/>
  <c r="BI61" i="2"/>
  <c r="BI170" i="2"/>
  <c r="BI165" i="2"/>
  <c r="BI85" i="2"/>
  <c r="BI14" i="2"/>
  <c r="BI171" i="2"/>
  <c r="BI195" i="2"/>
  <c r="BI126" i="2"/>
  <c r="BI68" i="2"/>
  <c r="BI119" i="2"/>
  <c r="BI127" i="2"/>
  <c r="BI67" i="2"/>
  <c r="BI169" i="2"/>
  <c r="BI157" i="2"/>
  <c r="BI200" i="2"/>
  <c r="BI97" i="2"/>
  <c r="BI90" i="2"/>
  <c r="BI24" i="2"/>
  <c r="BI48" i="2"/>
  <c r="BI166" i="2"/>
  <c r="BI135" i="2"/>
  <c r="BI45" i="2"/>
  <c r="BI44" i="2"/>
  <c r="BI202" i="2"/>
  <c r="BI173" i="2"/>
  <c r="BI193" i="2"/>
  <c r="BI153" i="2"/>
  <c r="BI55" i="2"/>
  <c r="BI140" i="2"/>
  <c r="BI136" i="2"/>
  <c r="BI100" i="2"/>
  <c r="BI62" i="2"/>
  <c r="BI34" i="2"/>
  <c r="BI69" i="2"/>
  <c r="BI146" i="2"/>
  <c r="BI28" i="2"/>
  <c r="BI147" i="2"/>
  <c r="BI134" i="2"/>
  <c r="BI110" i="2"/>
  <c r="BI83" i="2"/>
  <c r="BI17" i="2"/>
  <c r="BI30" i="2"/>
  <c r="BI93" i="2"/>
  <c r="BI197" i="2"/>
  <c r="BI123" i="2"/>
  <c r="BI101" i="2"/>
  <c r="BI57" i="2"/>
  <c r="BI149" i="2"/>
  <c r="BI74" i="2"/>
  <c r="BI25" i="2"/>
  <c r="BI112" i="2"/>
  <c r="BI142" i="2"/>
  <c r="BI151" i="2"/>
  <c r="BI167" i="2"/>
  <c r="BI164" i="2"/>
  <c r="BI194" i="2"/>
  <c r="BI174" i="2"/>
  <c r="BI117" i="2"/>
  <c r="BI187" i="2"/>
  <c r="BI87" i="2"/>
  <c r="BI159" i="2"/>
  <c r="BI141" i="2"/>
  <c r="BI143" i="2"/>
  <c r="BI9" i="2"/>
  <c r="BI15" i="2"/>
  <c r="BI160" i="2"/>
  <c r="BI196" i="2"/>
  <c r="BI43" i="2"/>
  <c r="BI121" i="2"/>
  <c r="BI88" i="2"/>
  <c r="BI7" i="2"/>
  <c r="BI38" i="2"/>
  <c r="BI192" i="2"/>
  <c r="BI162" i="2"/>
  <c r="BI189" i="2"/>
  <c r="BI184" i="2"/>
  <c r="BI128" i="2"/>
  <c r="BI35" i="2"/>
  <c r="BI65" i="2"/>
  <c r="BI19" i="2"/>
  <c r="BI27" i="2"/>
  <c r="BI106" i="2"/>
  <c r="BI105" i="2"/>
  <c r="BI58" i="2"/>
  <c r="BI39" i="2"/>
  <c r="BI185" i="2"/>
  <c r="BI79" i="2"/>
  <c r="BI201" i="2"/>
  <c r="BI120" i="2"/>
  <c r="BI16" i="2"/>
  <c r="BI41" i="2"/>
  <c r="BI75" i="2"/>
  <c r="BI122" i="2"/>
  <c r="BI108" i="2"/>
  <c r="BI158" i="2"/>
  <c r="BI144" i="2"/>
  <c r="BI6" i="2"/>
  <c r="BI203" i="2"/>
  <c r="BI80" i="2"/>
  <c r="BI118" i="2"/>
  <c r="BI77" i="2"/>
  <c r="BI13" i="2"/>
  <c r="BI148" i="2"/>
  <c r="BI40" i="2"/>
  <c r="BI26" i="2"/>
  <c r="BI95" i="2"/>
  <c r="BI23" i="2"/>
  <c r="BI133" i="2"/>
  <c r="BI51" i="2"/>
  <c r="BI186" i="2"/>
  <c r="BI168" i="2"/>
  <c r="BI11" i="2"/>
  <c r="BI111" i="2"/>
  <c r="BI72" i="2"/>
  <c r="BI139" i="2"/>
  <c r="BI113" i="2"/>
  <c r="BI78" i="2"/>
  <c r="BI64" i="2"/>
  <c r="BI94" i="2"/>
  <c r="BI70" i="2"/>
  <c r="BI181" i="2"/>
  <c r="BI73" i="2"/>
  <c r="BI132" i="2"/>
  <c r="BI10" i="2"/>
  <c r="BI114" i="2"/>
  <c r="BI138" i="2"/>
  <c r="BI150" i="2"/>
  <c r="BI46" i="2"/>
  <c r="BI199" i="2"/>
  <c r="BI102" i="2"/>
  <c r="BI198" i="2"/>
  <c r="BI63" i="2"/>
  <c r="BI176" i="2"/>
  <c r="BI156" i="2"/>
  <c r="BI115" i="2"/>
  <c r="BI172" i="2"/>
  <c r="BI131" i="2"/>
  <c r="BI66" i="2"/>
  <c r="BI21" i="2"/>
  <c r="BI91" i="2"/>
  <c r="BI92" i="2"/>
  <c r="BI178" i="2"/>
  <c r="BI33" i="2"/>
  <c r="BI3" i="2"/>
  <c r="C8" i="4" s="1"/>
  <c r="E8" i="4" s="1"/>
  <c r="F8" i="4" s="1"/>
  <c r="G8" i="4" s="1"/>
  <c r="L8" i="4" s="1"/>
  <c r="BI5" i="2"/>
  <c r="BI99" i="2"/>
  <c r="BI125" i="2"/>
  <c r="BI152" i="2"/>
  <c r="BI76" i="2"/>
  <c r="BI52" i="2"/>
  <c r="BI182" i="2"/>
  <c r="BI82" i="2"/>
  <c r="BI177" i="2"/>
  <c r="BI145" i="2"/>
  <c r="BI86" i="2"/>
  <c r="BI191" i="2"/>
  <c r="BI109" i="2"/>
  <c r="BI180" i="2"/>
  <c r="BF129" i="2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<sst xmlns="http://schemas.openxmlformats.org/spreadsheetml/2006/main" count="1175" uniqueCount="327">
  <si>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</si>
  <si>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</si>
  <si>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</si>
  <si>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</si>
  <si>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</si>
  <si>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</si>
  <si>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</si>
  <si>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</si>
  <si>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</si>
  <si>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</si>
  <si>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</si>
  <si>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</si>
  <si>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</si>
  <si>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</si>
  <si>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</si>
  <si>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</si>
  <si>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</si>
  <si>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</si>
  <si>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</si>
  <si>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</si>
  <si>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</si>
  <si>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</si>
  <si>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</si>
  <si>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</si>
  <si>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</si>
  <si>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</si>
  <si>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</si>
  <si>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</si>
  <si>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</si>
  <si>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</si>
  <si>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</si>
  <si>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</si>
  <si>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</si>
  <si>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</si>
  <si>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</si>
  <si>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</si>
  <si>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</si>
  <si>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</si>
  <si>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</si>
  <si>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</si>
  <si>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</si>
  <si>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</si>
  <si>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</si>
  <si>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</si>
  <si>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</si>
  <si>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</si>
  <si>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</si>
  <si>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</si>
  <si>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</si>
  <si>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</si>
  <si>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</si>
  <si>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</si>
  <si>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</si>
  <si>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</si>
  <si>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</si>
  <si>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</si>
  <si>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</si>
  <si>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</si>
  <si>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</si>
  <si>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</si>
  <si>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</si>
  <si>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</si>
  <si>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</si>
  <si>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</si>
  <si>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</si>
  <si>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</si>
  <si>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</si>
  <si>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</si>
  <si>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</si>
  <si>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</si>
  <si>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</si>
  <si>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</si>
  <si>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</si>
  <si>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</si>
  <si>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</si>
  <si>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</si>
  <si>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</si>
  <si>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</si>
  <si>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</si>
  <si>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</si>
  <si>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</si>
  <si>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</si>
  <si>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</si>
  <si>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</si>
  <si>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</si>
  <si>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</si>
  <si>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</si>
  <si>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</si>
  <si>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</si>
  <si>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</si>
  <si>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</si>
  <si>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</si>
  <si>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</si>
  <si>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</si>
  <si>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</si>
  <si>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</si>
  <si>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</si>
  <si>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</si>
  <si>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</si>
  <si>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</si>
  <si>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</si>
  <si>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</si>
  <si>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</si>
  <si>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</si>
  <si>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</si>
  <si>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</si>
  <si>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</si>
  <si>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</si>
  <si>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</si>
  <si>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</si>
  <si>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</si>
  <si>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</si>
  <si>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</si>
  <si>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</si>
  <si>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</si>
  <si>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</si>
  <si>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</si>
  <si>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</si>
  <si>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</si>
  <si>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</si>
  <si>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</si>
  <si>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</si>
  <si>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</si>
  <si>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</si>
  <si>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</si>
  <si>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</si>
  <si>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</si>
  <si>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</si>
  <si>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</si>
  <si>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</si>
  <si>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</si>
  <si>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</si>
  <si>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</si>
  <si>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</si>
  <si>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</si>
  <si>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</si>
  <si>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</si>
  <si>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</si>
  <si>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</si>
  <si>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</si>
  <si>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</si>
  <si>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</si>
  <si>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</si>
  <si>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</si>
  <si>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</si>
  <si>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</si>
  <si>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</si>
  <si>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</si>
  <si>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</si>
  <si>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</si>
  <si>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</si>
  <si>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</si>
  <si>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</si>
  <si>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</si>
  <si>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</si>
  <si>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</si>
  <si>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</si>
  <si>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</si>
  <si>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</si>
  <si>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</si>
  <si>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</si>
  <si>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</si>
  <si>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</si>
  <si>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</si>
  <si>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</si>
  <si>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</si>
  <si>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</si>
  <si>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</si>
  <si>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</si>
  <si>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</si>
  <si>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</si>
  <si>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</si>
  <si>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</si>
  <si>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</si>
  <si>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</si>
  <si>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</si>
  <si>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</si>
  <si>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</si>
  <si>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</si>
  <si>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</si>
  <si>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</si>
  <si>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</si>
  <si>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</si>
  <si>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</si>
  <si>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</si>
  <si>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</si>
  <si>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</si>
  <si>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</si>
  <si>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</si>
  <si>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</si>
  <si>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</si>
  <si>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</si>
  <si>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</si>
  <si>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</si>
  <si>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</si>
  <si>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</si>
  <si>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</si>
  <si>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</si>
  <si>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</si>
  <si>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</si>
  <si>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</si>
  <si>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</si>
  <si>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</si>
  <si>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</si>
  <si>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</si>
  <si>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</si>
  <si>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</si>
  <si>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</si>
  <si>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</si>
  <si>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</si>
  <si>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</si>
  <si>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</si>
  <si>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</si>
  <si>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</si>
  <si>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</si>
  <si>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</si>
  <si>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</si>
  <si>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</si>
  <si>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</si>
  <si>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</si>
  <si>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</si>
  <si>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</si>
  <si>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</si>
  <si>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</si>
  <si>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</si>
  <si>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</si>
  <si>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</si>
  <si>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</si>
  <si>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</si>
  <si>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</si>
  <si>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</si>
  <si>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</si>
  <si>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</si>
  <si>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</si>
  <si>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</si>
  <si>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</si>
  <si>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</si>
  <si>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</si>
  <si>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</si>
  <si>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</si>
  <si>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</si>
  <si>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</si>
  <si>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</si>
  <si>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</si>
  <si>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</si>
  <si>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</si>
  <si>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</si>
  <si>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</si>
  <si>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</si>
  <si>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</si>
  <si>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</si>
  <si>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</si>
  <si>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</si>
  <si>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</si>
  <si>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</si>
  <si>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</si>
  <si>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</si>
  <si>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</si>
  <si>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</si>
  <si>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</si>
  <si>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</si>
  <si>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</si>
  <si>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</si>
  <si>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</si>
  <si>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</si>
  <si>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</si>
  <si>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</si>
  <si>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</si>
  <si>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</si>
  <si>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</si>
  <si>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</si>
  <si>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</si>
  <si>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</si>
  <si>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</si>
  <si>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</si>
  <si>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</si>
  <si>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</si>
  <si>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</si>
  <si>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</si>
  <si>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</si>
  <si>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</si>
  <si>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</si>
  <si>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</si>
  <si>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</si>
  <si>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</si>
  <si>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</si>
  <si>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</si>
  <si>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</si>
  <si>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</si>
  <si>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</si>
  <si>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</si>
  <si>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</si>
  <si>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</si>
  <si>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</si>
  <si>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</si>
  <si>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</si>
  <si>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</si>
  <si>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</si>
  <si>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</si>
  <si>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</si>
  <si>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</si>
  <si>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</si>
  <si>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</si>
  <si>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</si>
  <si>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</si>
  <si>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</si>
  <si>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</si>
  <si>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</si>
  <si>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</si>
  <si>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</si>
  <si>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</si>
  <si>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</si>
  <si>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</si>
  <si>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</si>
  <si>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</si>
  <si>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</si>
  <si>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</si>
  <si>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</si>
  <si>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</si>
  <si>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</si>
  <si>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</si>
  <si>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</si>
  <si>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</si>
  <si>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</si>
  <si>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F1</t>
  </si>
  <si>
    <t>ONF_DOU_F1</t>
  </si>
  <si>
    <t>ONF_EPC_F1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</si>
</sst>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68" fontId="0" fillId="0" borderId="0" xfId="0" applyNumberFormat="1" applyProtection="1"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1.5182514281691633</c:v>
                </c:pt>
                <c:pt idx="2">
                  <c:v>1.8813042771297166</c:v>
                </c:pt>
                <c:pt idx="3">
                  <c:v>2.3315156735810616</c:v>
                </c:pt>
                <c:pt idx="4">
                  <c:v>2.8898878905301597</c:v>
                </c:pt>
                <c:pt idx="5">
                  <c:v>3.5825016989448226</c:v>
                </c:pt>
                <c:pt idx="6">
                  <c:v>4.4417483663876123</c:v>
                </c:pt>
                <c:pt idx="7">
                  <c:v>5.5078614224413203</c:v>
                </c:pt>
                <c:pt idx="8">
                  <c:v>6.830821329862121</c:v>
                </c:pt>
                <c:pt idx="9">
                  <c:v>8.4727240900450216</c:v>
                </c:pt>
                <c:pt idx="10">
                  <c:v>10.510727086779148</c:v>
                </c:pt>
                <c:pt idx="11">
                  <c:v>13.040713210811502</c:v>
                </c:pt>
                <c:pt idx="12">
                  <c:v>16.181848851997469</c:v>
                </c:pt>
                <c:pt idx="13">
                  <c:v>20.082254368901324</c:v>
                </c:pt>
                <c:pt idx="14">
                  <c:v>24.926059232773596</c:v>
                </c:pt>
                <c:pt idx="15">
                  <c:v>30.942180792713575</c:v>
                </c:pt>
                <c:pt idx="16">
                  <c:v>38.415248760794668</c:v>
                </c:pt>
                <c:pt idx="17">
                  <c:v>47.699201107753105</c:v>
                </c:pt>
                <c:pt idx="18">
                  <c:v>59.234206124903181</c:v>
                </c:pt>
                <c:pt idx="19">
                  <c:v>73.567726221111101</c:v>
                </c:pt>
                <c:pt idx="20">
                  <c:v>91.380739407926583</c:v>
                </c:pt>
                <c:pt idx="21">
                  <c:v>113.52038413494741</c:v>
                </c:pt>
                <c:pt idx="22">
                  <c:v>141.04060433250581</c:v>
                </c:pt>
                <c:pt idx="23">
                  <c:v>175.25275936402315</c:v>
                </c:pt>
                <c:pt idx="24">
                  <c:v>217.78864699540884</c:v>
                </c:pt>
                <c:pt idx="25">
                  <c:v>270.67899003474764</c:v>
                </c:pt>
                <c:pt idx="26">
                  <c:v>228.6849145203789</c:v>
                </c:pt>
                <c:pt idx="27">
                  <c:v>255.16288849345469</c:v>
                </c:pt>
                <c:pt idx="28">
                  <c:v>281.57867002603558</c:v>
                </c:pt>
                <c:pt idx="29">
                  <c:v>307.93891108415613</c:v>
                </c:pt>
                <c:pt idx="30">
                  <c:v>334.24903130109891</c:v>
                </c:pt>
                <c:pt idx="31">
                  <c:v>263.54378668805236</c:v>
                </c:pt>
                <c:pt idx="32">
                  <c:v>289.21102227953151</c:v>
                </c:pt>
                <c:pt idx="33">
                  <c:v>314.82734294255977</c:v>
                </c:pt>
                <c:pt idx="34">
                  <c:v>340.39747104348038</c:v>
                </c:pt>
                <c:pt idx="35">
                  <c:v>365.92536159956353</c:v>
                </c:pt>
                <c:pt idx="36">
                  <c:v>391.41437292720633</c:v>
                </c:pt>
                <c:pt idx="37">
                  <c:v>320.26655112552652</c:v>
                </c:pt>
                <c:pt idx="38">
                  <c:v>344.68160257580894</c:v>
                </c:pt>
                <c:pt idx="39">
                  <c:v>369.05867327304577</c:v>
                </c:pt>
                <c:pt idx="40">
                  <c:v>393.40062262207965</c:v>
                </c:pt>
                <c:pt idx="41">
                  <c:v>417.70992747095852</c:v>
                </c:pt>
                <c:pt idx="42">
                  <c:v>441.98875303459999</c:v>
                </c:pt>
                <c:pt idx="43">
                  <c:v>375.3667818369284</c:v>
                </c:pt>
                <c:pt idx="44">
                  <c:v>398.24576331171608</c:v>
                </c:pt>
                <c:pt idx="45">
                  <c:v>421.0962921241665</c:v>
                </c:pt>
                <c:pt idx="46">
                  <c:v>443.92012811747759</c:v>
                </c:pt>
                <c:pt idx="47">
                  <c:v>466.71883553314319</c:v>
                </c:pt>
                <c:pt idx="48">
                  <c:v>489.49381343851854</c:v>
                </c:pt>
                <c:pt idx="49">
                  <c:v>410.50878985003595</c:v>
                </c:pt>
                <c:pt idx="50">
                  <c:v>431.26467384907232</c:v>
                </c:pt>
                <c:pt idx="51">
                  <c:v>451.99910470791389</c:v>
                </c:pt>
                <c:pt idx="52">
                  <c:v>472.71320428679377</c:v>
                </c:pt>
                <c:pt idx="53">
                  <c:v>493.40798817360161</c:v>
                </c:pt>
                <c:pt idx="54">
                  <c:v>514.0843798766158</c:v>
                </c:pt>
                <c:pt idx="55">
                  <c:v>534.74322261581869</c:v>
                </c:pt>
                <c:pt idx="56">
                  <c:v>455.24590877264626</c:v>
                </c:pt>
                <c:pt idx="57">
                  <c:v>473.91405697620968</c:v>
                </c:pt>
                <c:pt idx="58">
                  <c:v>492.56656009933141</c:v>
                </c:pt>
                <c:pt idx="59">
                  <c:v>511.20409360450321</c:v>
                </c:pt>
                <c:pt idx="60">
                  <c:v>529.827279716622</c:v>
                </c:pt>
                <c:pt idx="61">
                  <c:v>548.43669338097345</c:v>
                </c:pt>
                <c:pt idx="62">
                  <c:v>567.03286737085307</c:v>
                </c:pt>
                <c:pt idx="63">
                  <c:v>463.17069447403583</c:v>
                </c:pt>
                <c:pt idx="64">
                  <c:v>479.27244738158629</c:v>
                </c:pt>
                <c:pt idx="65">
                  <c:v>495.36270374168151</c:v>
                </c:pt>
                <c:pt idx="66">
                  <c:v>511.44188940622371</c:v>
                </c:pt>
                <c:pt idx="67">
                  <c:v>527.51040127887734</c:v>
                </c:pt>
                <c:pt idx="68">
                  <c:v>543.56861012293768</c:v>
                </c:pt>
                <c:pt idx="69">
                  <c:v>559.61686302026772</c:v>
                </c:pt>
                <c:pt idx="70">
                  <c:v>462.34125373992356</c:v>
                </c:pt>
                <c:pt idx="71">
                  <c:v>476.17593607268441</c:v>
                </c:pt>
                <c:pt idx="72">
                  <c:v>490.0020702261159</c:v>
                </c:pt>
                <c:pt idx="73">
                  <c:v>503.81993132429062</c:v>
                </c:pt>
                <c:pt idx="74">
                  <c:v>517.62977817310423</c:v>
                </c:pt>
                <c:pt idx="75">
                  <c:v>531.43185464676549</c:v>
                </c:pt>
                <c:pt idx="76">
                  <c:v>545.22639092279428</c:v>
                </c:pt>
                <c:pt idx="77">
                  <c:v>559.0136045855719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1.5402991777093815</c:v>
                </c:pt>
                <c:pt idx="2">
                  <c:v>2.0458989785795842</c:v>
                </c:pt>
                <c:pt idx="3">
                  <c:v>2.7181595384612329</c:v>
                </c:pt>
                <c:pt idx="4">
                  <c:v>3.6122347507936845</c:v>
                </c:pt>
                <c:pt idx="5">
                  <c:v>4.8015983116945398</c:v>
                </c:pt>
                <c:pt idx="6">
                  <c:v>6.3841496145922827</c:v>
                </c:pt>
                <c:pt idx="7">
                  <c:v>8.4903611154916714</c:v>
                </c:pt>
                <c:pt idx="8">
                  <c:v>11.294151687552558</c:v>
                </c:pt>
                <c:pt idx="9">
                  <c:v>15.027400607869318</c:v>
                </c:pt>
                <c:pt idx="10">
                  <c:v>19.999324490645396</c:v>
                </c:pt>
                <c:pt idx="11">
                  <c:v>26.622350886774839</c:v>
                </c:pt>
                <c:pt idx="12">
                  <c:v>35.446672457856508</c:v>
                </c:pt>
                <c:pt idx="13">
                  <c:v>47.206401513744773</c:v>
                </c:pt>
                <c:pt idx="14">
                  <c:v>62.881229073111903</c:v>
                </c:pt>
                <c:pt idx="15">
                  <c:v>83.778809535653863</c:v>
                </c:pt>
                <c:pt idx="16">
                  <c:v>111.64485410321275</c:v>
                </c:pt>
                <c:pt idx="17">
                  <c:v>148.81027397750384</c:v>
                </c:pt>
                <c:pt idx="18">
                  <c:v>198.38786993528757</c:v>
                </c:pt>
                <c:pt idx="19">
                  <c:v>152.47780907469669</c:v>
                </c:pt>
                <c:pt idx="20">
                  <c:v>178.32117665094589</c:v>
                </c:pt>
                <c:pt idx="21">
                  <c:v>204.07662786950797</c:v>
                </c:pt>
                <c:pt idx="22">
                  <c:v>229.75682733863275</c:v>
                </c:pt>
                <c:pt idx="23">
                  <c:v>255.37137010905761</c:v>
                </c:pt>
                <c:pt idx="24">
                  <c:v>280.9277662379219</c:v>
                </c:pt>
                <c:pt idx="25">
                  <c:v>259.50351184018757</c:v>
                </c:pt>
                <c:pt idx="26">
                  <c:v>286.84537761998365</c:v>
                </c:pt>
                <c:pt idx="27">
                  <c:v>314.12893865232496</c:v>
                </c:pt>
                <c:pt idx="28">
                  <c:v>341.35996724823184</c:v>
                </c:pt>
                <c:pt idx="29">
                  <c:v>368.54323956661483</c:v>
                </c:pt>
                <c:pt idx="30">
                  <c:v>395.68276987567407</c:v>
                </c:pt>
                <c:pt idx="31">
                  <c:v>346.37943968673511</c:v>
                </c:pt>
                <c:pt idx="32">
                  <c:v>373.40676235352817</c:v>
                </c:pt>
                <c:pt idx="33">
                  <c:v>400.39146274660533</c:v>
                </c:pt>
                <c:pt idx="34">
                  <c:v>427.33681430644657</c:v>
                </c:pt>
                <c:pt idx="35">
                  <c:v>454.24564426398416</c:v>
                </c:pt>
                <c:pt idx="36">
                  <c:v>481.12041783246832</c:v>
                </c:pt>
                <c:pt idx="37">
                  <c:v>426.8843524707558</c:v>
                </c:pt>
                <c:pt idx="38">
                  <c:v>453.26215142112443</c:v>
                </c:pt>
                <c:pt idx="39">
                  <c:v>479.60714684196643</c:v>
                </c:pt>
                <c:pt idx="40">
                  <c:v>505.92139195663117</c:v>
                </c:pt>
                <c:pt idx="41">
                  <c:v>532.20670919099632</c:v>
                </c:pt>
                <c:pt idx="42">
                  <c:v>558.46472646287225</c:v>
                </c:pt>
                <c:pt idx="43">
                  <c:v>498.4214454972211</c:v>
                </c:pt>
                <c:pt idx="44">
                  <c:v>523.79202991456953</c:v>
                </c:pt>
                <c:pt idx="45">
                  <c:v>549.13673148144449</c:v>
                </c:pt>
                <c:pt idx="46">
                  <c:v>574.45691139960729</c:v>
                </c:pt>
                <c:pt idx="47">
                  <c:v>599.75380122529612</c:v>
                </c:pt>
                <c:pt idx="48">
                  <c:v>625.02852027354459</c:v>
                </c:pt>
                <c:pt idx="49">
                  <c:v>554.3920157954966</c:v>
                </c:pt>
                <c:pt idx="50">
                  <c:v>578.40838233474415</c:v>
                </c:pt>
                <c:pt idx="51">
                  <c:v>602.40395282975851</c:v>
                </c:pt>
                <c:pt idx="52">
                  <c:v>626.37967122906241</c:v>
                </c:pt>
                <c:pt idx="53">
                  <c:v>650.33640341017087</c:v>
                </c:pt>
                <c:pt idx="54">
                  <c:v>674.27494633198023</c:v>
                </c:pt>
                <c:pt idx="55">
                  <c:v>4.0228505074329168E-12</c:v>
                </c:pt>
                <c:pt idx="56">
                  <c:v>4.0228505074329168E-12</c:v>
                </c:pt>
                <c:pt idx="57">
                  <c:v>4.0228505074329168E-12</c:v>
                </c:pt>
                <c:pt idx="58">
                  <c:v>4.0228505074329168E-12</c:v>
                </c:pt>
                <c:pt idx="59">
                  <c:v>4.0228505074329168E-12</c:v>
                </c:pt>
                <c:pt idx="60">
                  <c:v>4.0228505074329168E-12</c:v>
                </c:pt>
                <c:pt idx="61">
                  <c:v>4.0228505074329168E-12</c:v>
                </c:pt>
                <c:pt idx="62">
                  <c:v>4.0228505074329168E-12</c:v>
                </c:pt>
                <c:pt idx="63">
                  <c:v>4.0228505074329168E-12</c:v>
                </c:pt>
                <c:pt idx="64">
                  <c:v>4.0228505074329168E-12</c:v>
                </c:pt>
                <c:pt idx="65">
                  <c:v>4.0228505074329168E-12</c:v>
                </c:pt>
                <c:pt idx="66">
                  <c:v>4.0228505074329168E-12</c:v>
                </c:pt>
                <c:pt idx="67">
                  <c:v>4.0228505074329168E-12</c:v>
                </c:pt>
                <c:pt idx="68">
                  <c:v>4.0228505074329168E-12</c:v>
                </c:pt>
                <c:pt idx="69">
                  <c:v>4.0228505074329168E-12</c:v>
                </c:pt>
                <c:pt idx="70">
                  <c:v>4.0228505074329168E-12</c:v>
                </c:pt>
                <c:pt idx="71">
                  <c:v>4.0228505074329168E-12</c:v>
                </c:pt>
                <c:pt idx="72">
                  <c:v>4.0228505074329168E-12</c:v>
                </c:pt>
                <c:pt idx="73">
                  <c:v>4.0228505074329168E-12</c:v>
                </c:pt>
                <c:pt idx="74">
                  <c:v>4.0228505074329168E-12</c:v>
                </c:pt>
                <c:pt idx="75">
                  <c:v>4.0228505074329168E-12</c:v>
                </c:pt>
                <c:pt idx="76">
                  <c:v>4.0228505074329168E-12</c:v>
                </c:pt>
                <c:pt idx="77">
                  <c:v>4.0228505074329168E-12</c:v>
                </c:pt>
                <c:pt idx="78">
                  <c:v>4.0228505074329168E-12</c:v>
                </c:pt>
                <c:pt idx="79">
                  <c:v>4.0228505074329168E-12</c:v>
                </c:pt>
                <c:pt idx="80">
                  <c:v>4.0228505074329168E-12</c:v>
                </c:pt>
                <c:pt idx="81">
                  <c:v>4.0228505074329168E-12</c:v>
                </c:pt>
                <c:pt idx="82">
                  <c:v>4.0228505074329168E-12</c:v>
                </c:pt>
                <c:pt idx="83">
                  <c:v>4.0228505074329168E-12</c:v>
                </c:pt>
                <c:pt idx="84">
                  <c:v>4.0228505074329168E-12</c:v>
                </c:pt>
                <c:pt idx="85">
                  <c:v>4.0228505074329168E-12</c:v>
                </c:pt>
                <c:pt idx="86">
                  <c:v>4.0228505074329168E-12</c:v>
                </c:pt>
                <c:pt idx="87">
                  <c:v>4.0228505074329168E-12</c:v>
                </c:pt>
                <c:pt idx="88">
                  <c:v>4.0228505074329168E-12</c:v>
                </c:pt>
                <c:pt idx="89">
                  <c:v>4.0228505074329168E-12</c:v>
                </c:pt>
                <c:pt idx="90">
                  <c:v>4.0228505074329168E-12</c:v>
                </c:pt>
                <c:pt idx="91">
                  <c:v>4.0228505074329168E-12</c:v>
                </c:pt>
                <c:pt idx="92">
                  <c:v>4.0228505074329168E-12</c:v>
                </c:pt>
                <c:pt idx="93">
                  <c:v>4.0228505074329168E-12</c:v>
                </c:pt>
                <c:pt idx="94">
                  <c:v>4.0228505074329168E-12</c:v>
                </c:pt>
                <c:pt idx="95">
                  <c:v>4.0228505074329168E-12</c:v>
                </c:pt>
                <c:pt idx="96">
                  <c:v>4.0228505074329168E-12</c:v>
                </c:pt>
                <c:pt idx="97">
                  <c:v>4.0228505074329168E-12</c:v>
                </c:pt>
                <c:pt idx="98">
                  <c:v>4.0228505074329168E-12</c:v>
                </c:pt>
                <c:pt idx="99">
                  <c:v>4.0228505074329168E-12</c:v>
                </c:pt>
                <c:pt idx="100">
                  <c:v>4.0228505074329168E-12</c:v>
                </c:pt>
                <c:pt idx="101">
                  <c:v>4.0228505074329168E-12</c:v>
                </c:pt>
                <c:pt idx="102">
                  <c:v>4.0228505074329168E-12</c:v>
                </c:pt>
                <c:pt idx="103">
                  <c:v>4.0228505074329168E-12</c:v>
                </c:pt>
                <c:pt idx="104">
                  <c:v>4.0228505074329168E-12</c:v>
                </c:pt>
                <c:pt idx="105">
                  <c:v>4.0228505074329168E-12</c:v>
                </c:pt>
                <c:pt idx="106">
                  <c:v>4.0228505074329168E-12</c:v>
                </c:pt>
                <c:pt idx="107">
                  <c:v>4.0228505074329168E-12</c:v>
                </c:pt>
                <c:pt idx="108">
                  <c:v>4.0228505074329168E-12</c:v>
                </c:pt>
                <c:pt idx="109">
                  <c:v>4.0228505074329168E-12</c:v>
                </c:pt>
                <c:pt idx="110">
                  <c:v>4.0228505074329168E-12</c:v>
                </c:pt>
                <c:pt idx="111">
                  <c:v>4.0228505074329168E-12</c:v>
                </c:pt>
                <c:pt idx="112">
                  <c:v>4.0228505074329168E-12</c:v>
                </c:pt>
                <c:pt idx="113">
                  <c:v>4.0228505074329168E-12</c:v>
                </c:pt>
                <c:pt idx="114">
                  <c:v>4.0228505074329168E-12</c:v>
                </c:pt>
                <c:pt idx="115">
                  <c:v>4.0228505074329168E-12</c:v>
                </c:pt>
                <c:pt idx="116">
                  <c:v>4.0228505074329168E-12</c:v>
                </c:pt>
                <c:pt idx="117">
                  <c:v>4.0228505074329168E-12</c:v>
                </c:pt>
                <c:pt idx="118">
                  <c:v>4.0228505074329168E-12</c:v>
                </c:pt>
                <c:pt idx="119">
                  <c:v>4.0228505074329168E-12</c:v>
                </c:pt>
                <c:pt idx="120">
                  <c:v>4.0228505074329168E-12</c:v>
                </c:pt>
                <c:pt idx="121">
                  <c:v>4.0228505074329168E-12</c:v>
                </c:pt>
                <c:pt idx="122">
                  <c:v>4.0228505074329168E-12</c:v>
                </c:pt>
                <c:pt idx="123">
                  <c:v>4.0228505074329168E-12</c:v>
                </c:pt>
                <c:pt idx="124">
                  <c:v>4.0228505074329168E-12</c:v>
                </c:pt>
                <c:pt idx="125">
                  <c:v>4.0228505074329168E-12</c:v>
                </c:pt>
                <c:pt idx="126">
                  <c:v>4.0228505074329168E-12</c:v>
                </c:pt>
                <c:pt idx="127">
                  <c:v>4.0228505074329168E-12</c:v>
                </c:pt>
                <c:pt idx="128">
                  <c:v>4.0228505074329168E-12</c:v>
                </c:pt>
                <c:pt idx="129">
                  <c:v>4.0228505074329168E-12</c:v>
                </c:pt>
                <c:pt idx="130">
                  <c:v>4.0228505074329168E-12</c:v>
                </c:pt>
                <c:pt idx="131">
                  <c:v>4.0228505074329168E-12</c:v>
                </c:pt>
                <c:pt idx="132">
                  <c:v>4.0228505074329168E-12</c:v>
                </c:pt>
                <c:pt idx="133">
                  <c:v>4.0228505074329168E-12</c:v>
                </c:pt>
                <c:pt idx="134">
                  <c:v>4.0228505074329168E-12</c:v>
                </c:pt>
                <c:pt idx="135">
                  <c:v>4.0228505074329168E-12</c:v>
                </c:pt>
                <c:pt idx="136">
                  <c:v>4.0228505074329168E-12</c:v>
                </c:pt>
                <c:pt idx="137">
                  <c:v>4.0228505074329168E-12</c:v>
                </c:pt>
                <c:pt idx="138">
                  <c:v>4.0228505074329168E-12</c:v>
                </c:pt>
                <c:pt idx="139">
                  <c:v>4.0228505074329168E-12</c:v>
                </c:pt>
                <c:pt idx="140">
                  <c:v>4.0228505074329168E-12</c:v>
                </c:pt>
                <c:pt idx="141">
                  <c:v>4.0228505074329168E-12</c:v>
                </c:pt>
                <c:pt idx="142">
                  <c:v>4.0228505074329168E-12</c:v>
                </c:pt>
                <c:pt idx="143">
                  <c:v>4.0228505074329168E-12</c:v>
                </c:pt>
                <c:pt idx="144">
                  <c:v>4.0228505074329168E-12</c:v>
                </c:pt>
                <c:pt idx="145">
                  <c:v>4.0228505074329168E-12</c:v>
                </c:pt>
                <c:pt idx="146">
                  <c:v>4.0228505074329168E-12</c:v>
                </c:pt>
                <c:pt idx="147">
                  <c:v>4.0228505074329168E-12</c:v>
                </c:pt>
                <c:pt idx="148">
                  <c:v>4.0228505074329168E-12</c:v>
                </c:pt>
                <c:pt idx="149">
                  <c:v>4.0228505074329168E-12</c:v>
                </c:pt>
                <c:pt idx="150">
                  <c:v>4.0228505074329168E-12</c:v>
                </c:pt>
                <c:pt idx="151">
                  <c:v>4.0228505074329168E-12</c:v>
                </c:pt>
                <c:pt idx="152">
                  <c:v>4.0228505074329168E-12</c:v>
                </c:pt>
                <c:pt idx="153">
                  <c:v>4.0228505074329168E-12</c:v>
                </c:pt>
                <c:pt idx="154">
                  <c:v>4.0228505074329168E-12</c:v>
                </c:pt>
                <c:pt idx="155">
                  <c:v>4.0228505074329168E-12</c:v>
                </c:pt>
                <c:pt idx="156">
                  <c:v>4.0228505074329168E-12</c:v>
                </c:pt>
                <c:pt idx="157">
                  <c:v>4.0228505074329168E-12</c:v>
                </c:pt>
                <c:pt idx="158">
                  <c:v>4.0228505074329168E-12</c:v>
                </c:pt>
                <c:pt idx="159">
                  <c:v>4.0228505074329168E-12</c:v>
                </c:pt>
                <c:pt idx="160">
                  <c:v>4.0228505074329168E-12</c:v>
                </c:pt>
                <c:pt idx="161">
                  <c:v>4.0228505074329168E-12</c:v>
                </c:pt>
                <c:pt idx="162">
                  <c:v>4.0228505074329168E-12</c:v>
                </c:pt>
                <c:pt idx="163">
                  <c:v>4.0228505074329168E-12</c:v>
                </c:pt>
                <c:pt idx="164">
                  <c:v>4.0228505074329168E-12</c:v>
                </c:pt>
                <c:pt idx="165">
                  <c:v>4.0228505074329168E-12</c:v>
                </c:pt>
                <c:pt idx="166">
                  <c:v>4.0228505074329168E-12</c:v>
                </c:pt>
                <c:pt idx="167">
                  <c:v>4.0228505074329168E-12</c:v>
                </c:pt>
                <c:pt idx="168">
                  <c:v>4.0228505074329168E-12</c:v>
                </c:pt>
                <c:pt idx="169">
                  <c:v>4.0228505074329168E-12</c:v>
                </c:pt>
                <c:pt idx="170">
                  <c:v>4.0228505074329168E-12</c:v>
                </c:pt>
                <c:pt idx="171">
                  <c:v>4.0228505074329168E-12</c:v>
                </c:pt>
                <c:pt idx="172">
                  <c:v>4.0228505074329168E-12</c:v>
                </c:pt>
                <c:pt idx="173">
                  <c:v>4.0228505074329168E-12</c:v>
                </c:pt>
                <c:pt idx="174">
                  <c:v>4.0228505074329168E-12</c:v>
                </c:pt>
                <c:pt idx="175">
                  <c:v>4.0228505074329168E-12</c:v>
                </c:pt>
                <c:pt idx="176">
                  <c:v>4.0228505074329168E-12</c:v>
                </c:pt>
                <c:pt idx="177">
                  <c:v>4.0228505074329168E-12</c:v>
                </c:pt>
                <c:pt idx="178">
                  <c:v>4.0228505074329168E-12</c:v>
                </c:pt>
                <c:pt idx="179">
                  <c:v>4.0228505074329168E-12</c:v>
                </c:pt>
                <c:pt idx="180">
                  <c:v>4.0228505074329168E-12</c:v>
                </c:pt>
                <c:pt idx="181">
                  <c:v>4.0228505074329168E-12</c:v>
                </c:pt>
                <c:pt idx="182">
                  <c:v>4.0228505074329168E-12</c:v>
                </c:pt>
                <c:pt idx="183">
                  <c:v>4.0228505074329168E-12</c:v>
                </c:pt>
                <c:pt idx="184">
                  <c:v>4.0228505074329168E-12</c:v>
                </c:pt>
                <c:pt idx="185">
                  <c:v>4.0228505074329168E-12</c:v>
                </c:pt>
                <c:pt idx="186">
                  <c:v>4.0228505074329168E-12</c:v>
                </c:pt>
                <c:pt idx="187">
                  <c:v>4.0228505074329168E-12</c:v>
                </c:pt>
                <c:pt idx="188">
                  <c:v>4.0228505074329168E-12</c:v>
                </c:pt>
                <c:pt idx="189">
                  <c:v>4.0228505074329168E-12</c:v>
                </c:pt>
                <c:pt idx="190">
                  <c:v>4.0228505074329168E-12</c:v>
                </c:pt>
                <c:pt idx="191">
                  <c:v>4.0228505074329168E-12</c:v>
                </c:pt>
                <c:pt idx="192">
                  <c:v>4.0228505074329168E-12</c:v>
                </c:pt>
                <c:pt idx="193">
                  <c:v>4.0228505074329168E-12</c:v>
                </c:pt>
                <c:pt idx="194">
                  <c:v>4.0228505074329168E-12</c:v>
                </c:pt>
                <c:pt idx="195">
                  <c:v>4.0228505074329168E-12</c:v>
                </c:pt>
                <c:pt idx="196">
                  <c:v>4.0228505074329168E-12</c:v>
                </c:pt>
                <c:pt idx="197">
                  <c:v>4.0228505074329168E-12</c:v>
                </c:pt>
                <c:pt idx="198">
                  <c:v>4.0228505074329168E-12</c:v>
                </c:pt>
                <c:pt idx="199">
                  <c:v>4.0228505074329168E-12</c:v>
                </c:pt>
                <c:pt idx="200">
                  <c:v>4.0228505074329168E-12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11.479848439990159</c:v>
                </c:pt>
                <c:pt idx="2">
                  <c:v>22.465639823562494</c:v>
                </c:pt>
                <c:pt idx="3">
                  <c:v>33.291875578024701</c:v>
                </c:pt>
                <c:pt idx="4">
                  <c:v>44.019757530253486</c:v>
                </c:pt>
                <c:pt idx="5">
                  <c:v>54.677024354517862</c:v>
                </c:pt>
                <c:pt idx="6">
                  <c:v>65.279499348742945</c:v>
                </c:pt>
                <c:pt idx="7">
                  <c:v>75.837383181284267</c:v>
                </c:pt>
                <c:pt idx="8">
                  <c:v>86.35778102037365</c:v>
                </c:pt>
                <c:pt idx="9">
                  <c:v>96.845915255046407</c:v>
                </c:pt>
                <c:pt idx="10">
                  <c:v>107.30577966074486</c:v>
                </c:pt>
                <c:pt idx="11">
                  <c:v>117.74052303600068</c:v>
                </c:pt>
                <c:pt idx="12">
                  <c:v>128.15268883329873</c:v>
                </c:pt>
                <c:pt idx="13">
                  <c:v>138.54437242331113</c:v>
                </c:pt>
                <c:pt idx="14">
                  <c:v>148.9173284996007</c:v>
                </c:pt>
                <c:pt idx="15">
                  <c:v>159.27304688104832</c:v>
                </c:pt>
                <c:pt idx="16">
                  <c:v>169.61280750589293</c:v>
                </c:pt>
                <c:pt idx="17">
                  <c:v>179.93772127730082</c:v>
                </c:pt>
                <c:pt idx="18">
                  <c:v>190.24876102092108</c:v>
                </c:pt>
                <c:pt idx="19">
                  <c:v>200.5467853657567</c:v>
                </c:pt>
                <c:pt idx="20">
                  <c:v>210.83255745405859</c:v>
                </c:pt>
                <c:pt idx="21">
                  <c:v>221.10675980290057</c:v>
                </c:pt>
                <c:pt idx="22">
                  <c:v>231.37000625477256</c:v>
                </c:pt>
                <c:pt idx="23">
                  <c:v>241.62285169391734</c:v>
                </c:pt>
                <c:pt idx="24">
                  <c:v>251.86580002518886</c:v>
                </c:pt>
                <c:pt idx="25">
                  <c:v>262.09931078562948</c:v>
                </c:pt>
                <c:pt idx="26">
                  <c:v>272.32380466841693</c:v>
                </c:pt>
                <c:pt idx="27">
                  <c:v>282.53966817306997</c:v>
                </c:pt>
                <c:pt idx="28">
                  <c:v>292.74725754736875</c:v>
                </c:pt>
                <c:pt idx="29">
                  <c:v>302.94690215031738</c:v>
                </c:pt>
                <c:pt idx="30">
                  <c:v>313.13890733821938</c:v>
                </c:pt>
                <c:pt idx="31">
                  <c:v>323.32355695513201</c:v>
                </c:pt>
                <c:pt idx="32">
                  <c:v>333.50111549294621</c:v>
                </c:pt>
                <c:pt idx="33">
                  <c:v>343.67182997386925</c:v>
                </c:pt>
                <c:pt idx="34">
                  <c:v>353.83593159831838</c:v>
                </c:pt>
                <c:pt idx="35">
                  <c:v>363.993637193496</c:v>
                </c:pt>
                <c:pt idx="36">
                  <c:v>374.14515049176072</c:v>
                </c:pt>
                <c:pt idx="37">
                  <c:v>384.29066326296362</c:v>
                </c:pt>
                <c:pt idx="38">
                  <c:v>394.43035632092648</c:v>
                </c:pt>
                <c:pt idx="39">
                  <c:v>404.56440042099683</c:v>
                </c:pt>
                <c:pt idx="40">
                  <c:v>414.69295706295298</c:v>
                </c:pt>
                <c:pt idx="41">
                  <c:v>424.81617921136109</c:v>
                </c:pt>
                <c:pt idx="42">
                  <c:v>434.93421194367232</c:v>
                </c:pt>
                <c:pt idx="43">
                  <c:v>309.58165062500774</c:v>
                </c:pt>
                <c:pt idx="44">
                  <c:v>336.19935958116895</c:v>
                </c:pt>
                <c:pt idx="45">
                  <c:v>362.77066893682337</c:v>
                </c:pt>
                <c:pt idx="46">
                  <c:v>389.29945195073566</c:v>
                </c:pt>
                <c:pt idx="47">
                  <c:v>415.78901115237835</c:v>
                </c:pt>
                <c:pt idx="48">
                  <c:v>442.24219419213745</c:v>
                </c:pt>
                <c:pt idx="49">
                  <c:v>366.26244793187783</c:v>
                </c:pt>
                <c:pt idx="50">
                  <c:v>392.795027784458</c:v>
                </c:pt>
                <c:pt idx="51">
                  <c:v>419.28875649506716</c:v>
                </c:pt>
                <c:pt idx="52">
                  <c:v>445.74643153909233</c:v>
                </c:pt>
                <c:pt idx="53">
                  <c:v>472.17049145976574</c:v>
                </c:pt>
                <c:pt idx="54">
                  <c:v>498.56307983793198</c:v>
                </c:pt>
                <c:pt idx="55">
                  <c:v>411.00307061493913</c:v>
                </c:pt>
                <c:pt idx="56">
                  <c:v>436.24251082835968</c:v>
                </c:pt>
                <c:pt idx="57">
                  <c:v>461.45062654143447</c:v>
                </c:pt>
                <c:pt idx="58">
                  <c:v>486.62936779255051</c:v>
                </c:pt>
                <c:pt idx="59">
                  <c:v>511.78046654592572</c:v>
                </c:pt>
                <c:pt idx="60">
                  <c:v>536.90547081325224</c:v>
                </c:pt>
                <c:pt idx="61">
                  <c:v>562.00577205795446</c:v>
                </c:pt>
                <c:pt idx="62">
                  <c:v>587.08262745123227</c:v>
                </c:pt>
                <c:pt idx="63">
                  <c:v>612.13717812987136</c:v>
                </c:pt>
                <c:pt idx="64">
                  <c:v>477.54969602688675</c:v>
                </c:pt>
                <c:pt idx="65">
                  <c:v>500.90143804251642</c:v>
                </c:pt>
                <c:pt idx="66">
                  <c:v>524.23014754140752</c:v>
                </c:pt>
                <c:pt idx="67">
                  <c:v>547.53699263620945</c:v>
                </c:pt>
                <c:pt idx="68">
                  <c:v>570.82303398111492</c:v>
                </c:pt>
                <c:pt idx="69">
                  <c:v>594.08923872562775</c:v>
                </c:pt>
                <c:pt idx="70">
                  <c:v>617.3364921701384</c:v>
                </c:pt>
                <c:pt idx="71">
                  <c:v>640.56560757577586</c:v>
                </c:pt>
                <c:pt idx="72">
                  <c:v>663.77733447844014</c:v>
                </c:pt>
                <c:pt idx="73">
                  <c:v>528.7322819031067</c:v>
                </c:pt>
                <c:pt idx="74">
                  <c:v>549.67123846381037</c:v>
                </c:pt>
                <c:pt idx="75">
                  <c:v>570.59347505573214</c:v>
                </c:pt>
                <c:pt idx="76">
                  <c:v>591.49969047577861</c:v>
                </c:pt>
                <c:pt idx="77">
                  <c:v>612.39053014170679</c:v>
                </c:pt>
                <c:pt idx="78">
                  <c:v>633.26659188816905</c:v>
                </c:pt>
                <c:pt idx="79">
                  <c:v>654.12843095930828</c:v>
                </c:pt>
                <c:pt idx="80">
                  <c:v>674.97656433184295</c:v>
                </c:pt>
                <c:pt idx="81">
                  <c:v>695.81147447673584</c:v>
                </c:pt>
                <c:pt idx="82">
                  <c:v>570.40821556861363</c:v>
                </c:pt>
                <c:pt idx="83">
                  <c:v>589.17352364684382</c:v>
                </c:pt>
                <c:pt idx="84">
                  <c:v>607.92638968819369</c:v>
                </c:pt>
                <c:pt idx="85">
                  <c:v>626.66725121355773</c:v>
                </c:pt>
                <c:pt idx="86">
                  <c:v>645.39651746385289</c:v>
                </c:pt>
                <c:pt idx="87">
                  <c:v>664.11457201223436</c:v>
                </c:pt>
                <c:pt idx="88">
                  <c:v>682.82177506673258</c:v>
                </c:pt>
                <c:pt idx="89">
                  <c:v>701.5184655076406</c:v>
                </c:pt>
                <c:pt idx="90">
                  <c:v>720.20496269659714</c:v>
                </c:pt>
                <c:pt idx="91">
                  <c:v>603.06332150574053</c:v>
                </c:pt>
                <c:pt idx="92">
                  <c:v>619.83328735680527</c:v>
                </c:pt>
                <c:pt idx="93">
                  <c:v>636.59385557079702</c:v>
                </c:pt>
                <c:pt idx="94">
                  <c:v>653.34530823902844</c:v>
                </c:pt>
                <c:pt idx="95">
                  <c:v>670.08791181908498</c:v>
                </c:pt>
                <c:pt idx="96">
                  <c:v>686.82191837821972</c:v>
                </c:pt>
                <c:pt idx="97">
                  <c:v>703.5475667093624</c:v>
                </c:pt>
                <c:pt idx="98">
                  <c:v>720.26508333557331</c:v>
                </c:pt>
                <c:pt idx="99">
                  <c:v>736.97468341647266</c:v>
                </c:pt>
                <c:pt idx="100">
                  <c:v>614.42480772993383</c:v>
                </c:pt>
                <c:pt idx="101">
                  <c:v>629.21250748626551</c:v>
                </c:pt>
                <c:pt idx="102">
                  <c:v>643.99301947516699</c:v>
                </c:pt>
                <c:pt idx="103">
                  <c:v>658.76653180720803</c:v>
                </c:pt>
                <c:pt idx="104">
                  <c:v>673.53322347321216</c:v>
                </c:pt>
                <c:pt idx="105">
                  <c:v>688.29326498076864</c:v>
                </c:pt>
                <c:pt idx="106">
                  <c:v>703.04681893334248</c:v>
                </c:pt>
                <c:pt idx="107">
                  <c:v>717.7940405582832</c:v>
                </c:pt>
                <c:pt idx="108">
                  <c:v>732.53507818921719</c:v>
                </c:pt>
                <c:pt idx="109">
                  <c:v>747.27007370762431</c:v>
                </c:pt>
                <c:pt idx="110">
                  <c:v>761.99916294779962</c:v>
                </c:pt>
                <c:pt idx="111">
                  <c:v>776.72247606890812</c:v>
                </c:pt>
                <c:pt idx="112">
                  <c:v>510.16658770137309</c:v>
                </c:pt>
                <c:pt idx="113">
                  <c:v>522.29107459529223</c:v>
                </c:pt>
                <c:pt idx="114">
                  <c:v>534.40963053790813</c:v>
                </c:pt>
                <c:pt idx="115">
                  <c:v>546.52240895397597</c:v>
                </c:pt>
                <c:pt idx="116">
                  <c:v>558.62955591412481</c:v>
                </c:pt>
                <c:pt idx="117">
                  <c:v>379.35097000114752</c:v>
                </c:pt>
                <c:pt idx="118">
                  <c:v>389.0375609026093</c:v>
                </c:pt>
                <c:pt idx="119">
                  <c:v>398.71891773128482</c:v>
                </c:pt>
                <c:pt idx="120">
                  <c:v>408.39518554778959</c:v>
                </c:pt>
                <c:pt idx="121">
                  <c:v>418.06650197523101</c:v>
                </c:pt>
                <c:pt idx="122">
                  <c:v>251.35647212897871</c:v>
                </c:pt>
                <c:pt idx="123">
                  <c:v>258.27752940121491</c:v>
                </c:pt>
                <c:pt idx="124">
                  <c:v>265.19439475109215</c:v>
                </c:pt>
                <c:pt idx="125">
                  <c:v>272.10719307845591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12" zoomScale="80" zoomScaleNormal="80" workbookViewId="0">
      <selection activeCell="B18" sqref="B18:M31"/>
    </sheetView>
  </sheetViews>
  <sheetFormatPr baseColWidth="10" defaultRowHeight="14.25" x14ac:dyDescent="0.45"/>
  <cols>
    <col min="1" max="1" width="6.59765625" customWidth="1"/>
    <col min="2" max="13" width="15.9296875" customWidth="1"/>
  </cols>
  <sheetData>
    <row r="12" spans="2:13" ht="15" customHeight="1" x14ac:dyDescent="0.45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45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45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45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45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45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45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45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45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45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45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45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45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45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45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45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45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45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45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C26" sqref="C26"/>
    </sheetView>
  </sheetViews>
  <sheetFormatPr baseColWidth="10" defaultColWidth="11.46484375" defaultRowHeight="14.25" x14ac:dyDescent="0.45"/>
  <cols>
    <col min="1" max="1" width="13.59765625" style="23" customWidth="1"/>
    <col min="2" max="2" width="36.06640625" style="23" customWidth="1"/>
    <col min="3" max="3" width="14.9296875" style="23" bestFit="1" customWidth="1"/>
    <col min="4" max="4" width="16.46484375" style="23" customWidth="1"/>
    <col min="5" max="5" width="23.33203125" style="23" customWidth="1"/>
    <col min="6" max="6" width="28.9296875" style="23" bestFit="1" customWidth="1"/>
    <col min="7" max="8" width="14.59765625" style="23" customWidth="1"/>
    <col min="9" max="9" width="17" style="23" customWidth="1"/>
    <col min="10" max="10" width="13.9296875" style="23" customWidth="1"/>
    <col min="11" max="16384" width="11.46484375" style="23"/>
  </cols>
  <sheetData>
    <row r="1" spans="1:38" x14ac:dyDescent="0.45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4.65" thickBot="1" x14ac:dyDescent="0.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5.9" thickBot="1" x14ac:dyDescent="0.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5" x14ac:dyDescent="0.4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5" x14ac:dyDescent="0.45">
      <c r="A5" s="269" t="s">
        <v>231</v>
      </c>
      <c r="B5" s="269"/>
      <c r="C5" s="24">
        <v>1.68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4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5" x14ac:dyDescent="0.45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4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45">
      <c r="A9" s="30" t="s">
        <v>165</v>
      </c>
      <c r="B9" s="31" t="s">
        <v>20</v>
      </c>
      <c r="C9" s="32">
        <v>0.59</v>
      </c>
      <c r="D9" s="33">
        <f t="shared" ref="D9:D18" si="0">C9*$C$5</f>
        <v>0.99119999999999986</v>
      </c>
      <c r="E9" s="34">
        <v>77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45">
      <c r="A10" s="30" t="s">
        <v>166</v>
      </c>
      <c r="B10" s="31" t="s">
        <v>156</v>
      </c>
      <c r="C10" s="32">
        <v>0.3</v>
      </c>
      <c r="D10" s="33">
        <f t="shared" si="0"/>
        <v>0.504</v>
      </c>
      <c r="E10" s="34">
        <v>54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45">
      <c r="A11" s="30" t="s">
        <v>167</v>
      </c>
      <c r="B11" s="31" t="s">
        <v>25</v>
      </c>
      <c r="C11" s="32">
        <v>0.11</v>
      </c>
      <c r="D11" s="33">
        <f t="shared" si="0"/>
        <v>0.18479999999999999</v>
      </c>
      <c r="E11" s="34">
        <v>125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4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4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4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4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4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4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4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45">
      <c r="A19" s="78"/>
      <c r="B19" s="36" t="s">
        <v>175</v>
      </c>
      <c r="C19" s="37">
        <f>SUM(C9:C18)</f>
        <v>0.99999999999999989</v>
      </c>
      <c r="D19" s="38">
        <f>SUM(D9:D18)</f>
        <v>1.68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4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6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4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4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45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4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45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45">
      <c r="A31" s="4"/>
      <c r="B31" s="4"/>
      <c r="C31" s="23" t="s">
        <v>326</v>
      </c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45">
      <c r="A32" s="46" t="s">
        <v>165</v>
      </c>
      <c r="B32" s="47" t="str">
        <f>IF(B9="","",B9)</f>
        <v>Epicéa de Sitka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45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28.5" x14ac:dyDescent="0.4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45">
      <c r="A36" s="50">
        <v>25</v>
      </c>
      <c r="B36" s="60">
        <v>262.89</v>
      </c>
      <c r="C36" s="60">
        <v>1</v>
      </c>
      <c r="D36" s="60">
        <v>68.009999999999991</v>
      </c>
      <c r="E36" s="51">
        <v>0.25</v>
      </c>
      <c r="F36" s="51">
        <v>0.37</v>
      </c>
      <c r="G36" s="51">
        <v>0.38</v>
      </c>
      <c r="H36" s="51">
        <v>0</v>
      </c>
      <c r="I36" s="49">
        <f>IFERROR(B36/A36,"")</f>
        <v>10.515599999999999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45">
      <c r="A37" s="50">
        <v>30</v>
      </c>
      <c r="B37" s="60">
        <v>326.32</v>
      </c>
      <c r="C37" s="60">
        <v>2</v>
      </c>
      <c r="D37" s="60">
        <v>96.09</v>
      </c>
      <c r="E37" s="51">
        <v>0.25</v>
      </c>
      <c r="F37" s="51">
        <v>0.37</v>
      </c>
      <c r="G37" s="51">
        <v>0.38</v>
      </c>
      <c r="H37" s="51">
        <v>0</v>
      </c>
      <c r="I37" s="53">
        <f t="shared" ref="I37:I55" si="1">IF(A37&lt;&gt;0,(B37-(B36-D36))/(A37-A36),"")</f>
        <v>26.288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45">
      <c r="A38" s="50">
        <v>36</v>
      </c>
      <c r="B38" s="60">
        <v>383.59</v>
      </c>
      <c r="C38" s="60">
        <v>3</v>
      </c>
      <c r="D38" s="60">
        <v>95.659999999999968</v>
      </c>
      <c r="E38" s="51">
        <v>0.6</v>
      </c>
      <c r="F38" s="51">
        <v>0.2</v>
      </c>
      <c r="G38" s="51">
        <v>0.2</v>
      </c>
      <c r="H38" s="51">
        <v>0</v>
      </c>
      <c r="I38" s="53">
        <f t="shared" si="1"/>
        <v>25.56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45">
      <c r="A39" s="50">
        <v>42</v>
      </c>
      <c r="B39" s="60">
        <v>434.41</v>
      </c>
      <c r="C39" s="60">
        <v>4</v>
      </c>
      <c r="D39" s="60">
        <v>89.87</v>
      </c>
      <c r="E39" s="51">
        <v>0.6</v>
      </c>
      <c r="F39" s="51">
        <v>0.2</v>
      </c>
      <c r="G39" s="51">
        <v>0.2</v>
      </c>
      <c r="H39" s="51">
        <v>0</v>
      </c>
      <c r="I39" s="49">
        <f t="shared" si="1"/>
        <v>24.413333333333338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45">
      <c r="A40" s="50">
        <v>48</v>
      </c>
      <c r="B40" s="60">
        <v>482.26</v>
      </c>
      <c r="C40" s="60">
        <v>5</v>
      </c>
      <c r="D40" s="60">
        <v>100.36000000000001</v>
      </c>
      <c r="E40" s="51">
        <v>0.6</v>
      </c>
      <c r="F40" s="51">
        <v>0.2</v>
      </c>
      <c r="G40" s="51">
        <v>0.2</v>
      </c>
      <c r="H40" s="51">
        <v>0</v>
      </c>
      <c r="I40" s="49">
        <f t="shared" si="1"/>
        <v>22.95333333333333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45">
      <c r="A41" s="50">
        <v>55</v>
      </c>
      <c r="B41" s="60">
        <v>527.92999999999995</v>
      </c>
      <c r="C41" s="60">
        <v>6</v>
      </c>
      <c r="D41" s="60">
        <v>98.979999999999961</v>
      </c>
      <c r="E41" s="51">
        <v>0.6</v>
      </c>
      <c r="F41" s="51">
        <v>0.2</v>
      </c>
      <c r="G41" s="51">
        <v>0.2</v>
      </c>
      <c r="H41" s="51">
        <v>0</v>
      </c>
      <c r="I41" s="53">
        <f t="shared" si="1"/>
        <v>20.861428571428569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45">
      <c r="A42" s="50">
        <v>62</v>
      </c>
      <c r="B42" s="60">
        <v>560.57000000000005</v>
      </c>
      <c r="C42" s="60">
        <v>7</v>
      </c>
      <c r="D42" s="60">
        <v>121.06000000000006</v>
      </c>
      <c r="E42" s="51">
        <v>0.6</v>
      </c>
      <c r="F42" s="51">
        <v>0.2</v>
      </c>
      <c r="G42" s="51">
        <v>0.2</v>
      </c>
      <c r="H42" s="51">
        <v>0</v>
      </c>
      <c r="I42" s="53">
        <f t="shared" si="1"/>
        <v>18.802857142857153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45">
      <c r="A43" s="50">
        <v>69</v>
      </c>
      <c r="B43" s="60">
        <v>553.07000000000005</v>
      </c>
      <c r="C43" s="60">
        <v>8</v>
      </c>
      <c r="D43" s="60">
        <v>112.11000000000007</v>
      </c>
      <c r="E43" s="51">
        <v>0.6</v>
      </c>
      <c r="F43" s="51">
        <v>0.2</v>
      </c>
      <c r="G43" s="51">
        <v>0.2</v>
      </c>
      <c r="H43" s="51">
        <v>0</v>
      </c>
      <c r="I43" s="49">
        <f t="shared" si="1"/>
        <v>16.222857142857151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45">
      <c r="A44" s="50">
        <v>77</v>
      </c>
      <c r="B44" s="60">
        <v>552.46</v>
      </c>
      <c r="C44" s="60">
        <v>9</v>
      </c>
      <c r="D44" s="60">
        <v>552.46</v>
      </c>
      <c r="E44" s="51">
        <v>0.6</v>
      </c>
      <c r="F44" s="51">
        <v>0.2</v>
      </c>
      <c r="G44" s="51">
        <v>0.2</v>
      </c>
      <c r="H44" s="51">
        <v>0</v>
      </c>
      <c r="I44" s="49">
        <f t="shared" si="1"/>
        <v>13.937500000000007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4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4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4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4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4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4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4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4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45">
      <c r="A57" s="4"/>
      <c r="B57" s="4"/>
      <c r="C57" s="23" t="s">
        <v>325</v>
      </c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45">
      <c r="A58" s="46" t="s">
        <v>166</v>
      </c>
      <c r="B58" s="52" t="str">
        <f>IF(B10="","",B10)</f>
        <v>Séquoia toujours vert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4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45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28.5" x14ac:dyDescent="0.4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45">
      <c r="A62" s="50">
        <v>18</v>
      </c>
      <c r="B62" s="60">
        <v>202.42</v>
      </c>
      <c r="C62" s="60">
        <v>1</v>
      </c>
      <c r="D62" s="60">
        <v>74.829999999999984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11.245555555555555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45">
      <c r="A63" s="50">
        <v>24</v>
      </c>
      <c r="B63" s="60">
        <v>289.16000000000003</v>
      </c>
      <c r="C63" s="60">
        <v>2</v>
      </c>
      <c r="D63" s="60">
        <v>51.400000000000034</v>
      </c>
      <c r="E63" s="51">
        <v>0.25</v>
      </c>
      <c r="F63" s="51">
        <v>0.37</v>
      </c>
      <c r="G63" s="51">
        <v>0.38</v>
      </c>
      <c r="H63" s="51">
        <v>0</v>
      </c>
      <c r="I63" s="49">
        <f>IF(A63&lt;&gt;0,(B63-(B62-D62))/(A63-A62),"")</f>
        <v>26.928333333333338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45">
      <c r="A64" s="50">
        <v>30</v>
      </c>
      <c r="B64" s="60">
        <v>410.69</v>
      </c>
      <c r="C64" s="60">
        <v>3</v>
      </c>
      <c r="D64" s="60">
        <v>80.990000000000009</v>
      </c>
      <c r="E64" s="51">
        <v>0.6</v>
      </c>
      <c r="F64" s="51">
        <v>0.2</v>
      </c>
      <c r="G64" s="51">
        <v>0.2</v>
      </c>
      <c r="H64" s="51">
        <v>0</v>
      </c>
      <c r="I64" s="49">
        <f>IF(A64&lt;&gt;0,(B64-(B63-D63))/(A64-A63),"")</f>
        <v>28.821666666666669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45">
      <c r="A65" s="50">
        <v>36</v>
      </c>
      <c r="B65" s="60">
        <v>501.69</v>
      </c>
      <c r="C65" s="60">
        <v>4</v>
      </c>
      <c r="D65" s="60">
        <v>85.910000000000025</v>
      </c>
      <c r="E65" s="51">
        <v>0.6</v>
      </c>
      <c r="F65" s="51">
        <v>0.2</v>
      </c>
      <c r="G65" s="51">
        <v>0.2</v>
      </c>
      <c r="H65" s="51">
        <v>0</v>
      </c>
      <c r="I65" s="49">
        <f>IF(A65&lt;&gt;0,(B65-(B64-D64))/(A65-A64),"")</f>
        <v>28.665000000000003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45">
      <c r="A66" s="50">
        <v>42</v>
      </c>
      <c r="B66" s="60">
        <v>584.37</v>
      </c>
      <c r="C66" s="60">
        <v>5</v>
      </c>
      <c r="D66" s="60">
        <v>91.32</v>
      </c>
      <c r="E66" s="51">
        <v>0.6</v>
      </c>
      <c r="F66" s="51">
        <v>0.2</v>
      </c>
      <c r="G66" s="51">
        <v>0.2</v>
      </c>
      <c r="H66" s="51">
        <v>0</v>
      </c>
      <c r="I66" s="49">
        <f t="shared" ref="I66:I81" si="2">IF(A66&lt;&gt;0,(B66-(B65-D65))/(A66-A65),"")</f>
        <v>28.09833333333334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45">
      <c r="A67" s="50">
        <v>48</v>
      </c>
      <c r="B67" s="60">
        <v>655.72</v>
      </c>
      <c r="C67" s="60">
        <v>6</v>
      </c>
      <c r="D67" s="60">
        <v>101.43000000000006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27.111666666666668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45">
      <c r="A68" s="50">
        <v>54</v>
      </c>
      <c r="B68" s="60">
        <v>708.61</v>
      </c>
      <c r="C68" s="60">
        <v>7</v>
      </c>
      <c r="D68" s="60">
        <v>708.61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25.72000000000001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4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4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4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4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4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4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4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4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4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4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4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4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4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4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4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45">
      <c r="A84" s="46" t="s">
        <v>167</v>
      </c>
      <c r="B84" s="52" t="str">
        <f>IF(B11="","",B11)</f>
        <v>Hêtre</v>
      </c>
      <c r="C84" s="23" t="s">
        <v>324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4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45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28.5" x14ac:dyDescent="0.4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45">
      <c r="A88" s="50">
        <v>42</v>
      </c>
      <c r="B88" s="60">
        <v>233.08</v>
      </c>
      <c r="C88" s="60">
        <v>1</v>
      </c>
      <c r="D88" s="60">
        <v>83.04000000000002</v>
      </c>
      <c r="E88" s="51">
        <v>0</v>
      </c>
      <c r="F88" s="51">
        <v>0.5</v>
      </c>
      <c r="G88" s="51">
        <v>0.5</v>
      </c>
      <c r="H88" s="87">
        <v>0</v>
      </c>
      <c r="I88" s="53">
        <f>IFERROR(B88/A88,"")</f>
        <v>5.5495238095238095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45">
      <c r="A89" s="50">
        <v>48</v>
      </c>
      <c r="B89" s="60">
        <v>237.09</v>
      </c>
      <c r="C89" s="60">
        <v>2</v>
      </c>
      <c r="D89" s="60">
        <v>56.129999999999995</v>
      </c>
      <c r="E89" s="51">
        <v>0</v>
      </c>
      <c r="F89" s="51">
        <v>0.5</v>
      </c>
      <c r="G89" s="51">
        <v>0.5</v>
      </c>
      <c r="H89" s="87">
        <v>0</v>
      </c>
      <c r="I89" s="53">
        <f t="shared" ref="I89:I107" si="3">IF(A89&lt;&gt;0,(B89-(B88-D88))/(A89-A88),"")</f>
        <v>14.508333333333335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45">
      <c r="A90" s="50">
        <v>54</v>
      </c>
      <c r="B90" s="60">
        <v>268.04000000000002</v>
      </c>
      <c r="C90" s="60">
        <v>3</v>
      </c>
      <c r="D90" s="60">
        <v>61.920000000000016</v>
      </c>
      <c r="E90" s="87">
        <v>0</v>
      </c>
      <c r="F90" s="87">
        <v>0.5</v>
      </c>
      <c r="G90" s="87">
        <v>0.5</v>
      </c>
      <c r="H90" s="87">
        <v>0</v>
      </c>
      <c r="I90" s="53">
        <f t="shared" si="3"/>
        <v>14.513333333333335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45">
      <c r="A91" s="50">
        <v>63</v>
      </c>
      <c r="B91" s="60">
        <v>330.67</v>
      </c>
      <c r="C91" s="60">
        <v>4</v>
      </c>
      <c r="D91" s="60">
        <v>87.03000000000003</v>
      </c>
      <c r="E91" s="87">
        <v>0.3</v>
      </c>
      <c r="F91" s="87">
        <v>0.2</v>
      </c>
      <c r="G91" s="87">
        <v>0.2</v>
      </c>
      <c r="H91" s="87">
        <v>0.3</v>
      </c>
      <c r="I91" s="53">
        <f t="shared" si="3"/>
        <v>13.83888888888889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45">
      <c r="A92" s="50">
        <v>72</v>
      </c>
      <c r="B92" s="60">
        <v>359.23</v>
      </c>
      <c r="C92" s="60">
        <v>5</v>
      </c>
      <c r="D92" s="60">
        <v>86.12</v>
      </c>
      <c r="E92" s="87">
        <v>0.3</v>
      </c>
      <c r="F92" s="87">
        <v>0.2</v>
      </c>
      <c r="G92" s="87">
        <v>0.2</v>
      </c>
      <c r="H92" s="87">
        <v>0.3</v>
      </c>
      <c r="I92" s="53">
        <f t="shared" si="3"/>
        <v>12.843333333333337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45">
      <c r="A93" s="50">
        <v>81</v>
      </c>
      <c r="B93" s="60">
        <v>376.97</v>
      </c>
      <c r="C93" s="60">
        <v>6</v>
      </c>
      <c r="D93" s="60">
        <v>79.700000000000045</v>
      </c>
      <c r="E93" s="87">
        <v>0.3</v>
      </c>
      <c r="F93" s="87">
        <v>0.2</v>
      </c>
      <c r="G93" s="87">
        <v>0.2</v>
      </c>
      <c r="H93" s="87">
        <v>0.3</v>
      </c>
      <c r="I93" s="53">
        <f t="shared" si="3"/>
        <v>11.540000000000001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45">
      <c r="A94" s="50">
        <v>90</v>
      </c>
      <c r="B94" s="60">
        <v>390.49</v>
      </c>
      <c r="C94" s="60">
        <v>7</v>
      </c>
      <c r="D94" s="60">
        <v>74.100000000000023</v>
      </c>
      <c r="E94" s="87">
        <v>0.3</v>
      </c>
      <c r="F94" s="87">
        <v>0.2</v>
      </c>
      <c r="G94" s="87">
        <v>0.2</v>
      </c>
      <c r="H94" s="87">
        <v>0.3</v>
      </c>
      <c r="I94" s="53">
        <f t="shared" si="3"/>
        <v>10.35777777777778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45">
      <c r="A95" s="60">
        <v>99</v>
      </c>
      <c r="B95" s="60">
        <v>399.79</v>
      </c>
      <c r="C95" s="60">
        <v>8</v>
      </c>
      <c r="D95" s="60">
        <v>76.03000000000003</v>
      </c>
      <c r="E95" s="87">
        <v>0.3</v>
      </c>
      <c r="F95" s="87">
        <v>0.2</v>
      </c>
      <c r="G95" s="87">
        <v>0.2</v>
      </c>
      <c r="H95" s="87">
        <v>0.3</v>
      </c>
      <c r="I95" s="53">
        <f t="shared" si="3"/>
        <v>9.266666666666671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45">
      <c r="A96" s="60">
        <v>111</v>
      </c>
      <c r="B96" s="60">
        <v>421.85</v>
      </c>
      <c r="C96" s="60">
        <v>9</v>
      </c>
      <c r="D96" s="60">
        <v>154.10000000000002</v>
      </c>
      <c r="E96" s="87">
        <v>0.45</v>
      </c>
      <c r="F96" s="87">
        <v>0.05</v>
      </c>
      <c r="G96" s="87">
        <v>0.05</v>
      </c>
      <c r="H96" s="87">
        <v>0.45</v>
      </c>
      <c r="I96" s="53">
        <f t="shared" si="3"/>
        <v>8.1741666666666699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45">
      <c r="A97" s="60">
        <v>116</v>
      </c>
      <c r="B97" s="60">
        <v>301.13</v>
      </c>
      <c r="C97" s="60">
        <v>10</v>
      </c>
      <c r="D97" s="60">
        <v>103.79999999999998</v>
      </c>
      <c r="E97" s="87">
        <v>0.45</v>
      </c>
      <c r="F97" s="87">
        <v>0.05</v>
      </c>
      <c r="G97" s="87">
        <v>0.05</v>
      </c>
      <c r="H97" s="87">
        <v>0.45</v>
      </c>
      <c r="I97" s="53">
        <f t="shared" si="3"/>
        <v>6.6759999999999993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45">
      <c r="A98" s="60">
        <v>121</v>
      </c>
      <c r="B98" s="60">
        <v>223.83</v>
      </c>
      <c r="C98" s="60">
        <v>11</v>
      </c>
      <c r="D98" s="60">
        <v>94.670000000000016</v>
      </c>
      <c r="E98" s="87">
        <v>0.45</v>
      </c>
      <c r="F98" s="87">
        <v>0.05</v>
      </c>
      <c r="G98" s="87">
        <v>0.05</v>
      </c>
      <c r="H98" s="87">
        <v>0.45</v>
      </c>
      <c r="I98" s="53">
        <f t="shared" si="3"/>
        <v>5.3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45">
      <c r="A99" s="60">
        <v>125</v>
      </c>
      <c r="B99" s="60">
        <v>144.16999999999999</v>
      </c>
      <c r="C99" s="60">
        <v>12</v>
      </c>
      <c r="D99" s="60">
        <v>144.16999999999999</v>
      </c>
      <c r="E99" s="87">
        <v>0.45</v>
      </c>
      <c r="F99" s="87">
        <v>0.05</v>
      </c>
      <c r="G99" s="87">
        <v>0.05</v>
      </c>
      <c r="H99" s="87">
        <v>0.45</v>
      </c>
      <c r="I99" s="53">
        <f t="shared" si="3"/>
        <v>3.7524999999999977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4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4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4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4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4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4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4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4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4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4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4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4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45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28.5" x14ac:dyDescent="0.4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4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4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4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4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4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4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4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4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4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4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4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4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4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4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4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4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4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4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4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4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4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4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4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4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45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28.5" x14ac:dyDescent="0.4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4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4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4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4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4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4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4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4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4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4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4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4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4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4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4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4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4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4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4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4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4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4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4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4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45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28.5" x14ac:dyDescent="0.4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4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4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4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4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4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4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4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4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4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4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4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4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4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4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4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4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4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4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4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4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4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4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4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4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45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28.5" x14ac:dyDescent="0.4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4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4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4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4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4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4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4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4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4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4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4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4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4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4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4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4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4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4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4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4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4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4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4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4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45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28.5" x14ac:dyDescent="0.4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4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4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4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4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4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4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4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4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4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4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4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4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4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4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4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4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4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4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4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4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4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4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4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4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45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28.5" x14ac:dyDescent="0.4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4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4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4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4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4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4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4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4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4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4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4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4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4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4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4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4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4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4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4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4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4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4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4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4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45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28.5" x14ac:dyDescent="0.4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4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4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4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4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4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4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4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4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4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4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4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4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4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4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4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4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4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4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4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4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4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4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4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4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4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4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4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4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4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4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4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4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4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4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4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4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4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4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4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4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4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4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4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4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4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4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4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4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4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4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4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4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4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4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4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4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4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4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4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4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4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4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4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4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4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4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4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4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4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4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4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4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4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4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4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4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4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4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4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4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4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4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4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4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4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4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4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4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4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4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4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4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4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4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4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4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4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4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4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4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4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4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4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4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4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4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4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4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4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4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4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4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4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4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4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4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4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4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4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4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4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4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4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4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4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4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4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4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4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4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4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4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4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4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4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4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4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4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4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4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4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4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4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4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4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4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4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4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4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4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4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4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4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4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4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4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4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4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8" sqref="F18"/>
    </sheetView>
  </sheetViews>
  <sheetFormatPr baseColWidth="10" defaultColWidth="11.46484375" defaultRowHeight="14.25" x14ac:dyDescent="0.45"/>
  <cols>
    <col min="1" max="1" width="5.9296875" style="1" customWidth="1"/>
    <col min="2" max="2" width="14.06640625" style="1" customWidth="1"/>
    <col min="3" max="3" width="62.06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6484375" style="1"/>
    <col min="11" max="11" width="12.53125" style="1" customWidth="1"/>
    <col min="12" max="16384" width="11.46484375" style="1"/>
  </cols>
  <sheetData>
    <row r="1" spans="1:38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5.9" thickBot="1" x14ac:dyDescent="0.8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4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45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4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4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4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4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45">
      <c r="A9" s="105">
        <v>2</v>
      </c>
      <c r="B9" s="61">
        <v>1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4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4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4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4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4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4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4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4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4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4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4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4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4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4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4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4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4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4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4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4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4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4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4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4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4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4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4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4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4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4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4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4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4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4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4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4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4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4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4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4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4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4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4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4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4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4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4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4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4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4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4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4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4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4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4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4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4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4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4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4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4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4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4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4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4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4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4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4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4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4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4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4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4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4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4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4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4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4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4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4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4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4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4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4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45">
      <c r="C104" s="4"/>
      <c r="F104" s="4"/>
    </row>
    <row r="105" spans="3:35" x14ac:dyDescent="0.45">
      <c r="C105" s="4"/>
      <c r="F105" s="4"/>
    </row>
    <row r="106" spans="3:35" x14ac:dyDescent="0.45">
      <c r="C106" s="4"/>
      <c r="F106" s="4"/>
    </row>
    <row r="107" spans="3:35" x14ac:dyDescent="0.45">
      <c r="C107" s="4"/>
      <c r="F107" s="4"/>
    </row>
    <row r="108" spans="3:35" x14ac:dyDescent="0.45">
      <c r="C108" s="4"/>
      <c r="F108" s="4"/>
    </row>
    <row r="109" spans="3:35" x14ac:dyDescent="0.45">
      <c r="C109" s="4"/>
      <c r="F109" s="4"/>
    </row>
    <row r="110" spans="3:35" x14ac:dyDescent="0.45">
      <c r="C110" s="4"/>
      <c r="F110" s="4"/>
    </row>
    <row r="111" spans="3:35" x14ac:dyDescent="0.45">
      <c r="C111" s="4"/>
      <c r="F111" s="4"/>
    </row>
    <row r="112" spans="3:35" x14ac:dyDescent="0.45">
      <c r="C112" s="4"/>
      <c r="F112" s="4"/>
    </row>
    <row r="113" spans="3:6" x14ac:dyDescent="0.45">
      <c r="C113" s="4"/>
      <c r="F113" s="4"/>
    </row>
    <row r="114" spans="3:6" x14ac:dyDescent="0.45">
      <c r="C114" s="4"/>
      <c r="F114" s="4"/>
    </row>
    <row r="115" spans="3:6" x14ac:dyDescent="0.45">
      <c r="C115" s="4"/>
      <c r="F115" s="4"/>
    </row>
    <row r="116" spans="3:6" x14ac:dyDescent="0.45">
      <c r="C116" s="4"/>
      <c r="F116" s="4"/>
    </row>
    <row r="117" spans="3:6" x14ac:dyDescent="0.45">
      <c r="C117" s="4"/>
      <c r="F117" s="4"/>
    </row>
    <row r="118" spans="3:6" x14ac:dyDescent="0.45">
      <c r="C118" s="4"/>
      <c r="F118" s="4"/>
    </row>
    <row r="119" spans="3:6" x14ac:dyDescent="0.45">
      <c r="C119" s="4"/>
      <c r="F119" s="4"/>
    </row>
    <row r="120" spans="3:6" x14ac:dyDescent="0.45">
      <c r="C120" s="4"/>
      <c r="F120" s="4"/>
    </row>
    <row r="121" spans="3:6" x14ac:dyDescent="0.45">
      <c r="C121" s="4"/>
      <c r="F121" s="4"/>
    </row>
    <row r="122" spans="3:6" x14ac:dyDescent="0.45">
      <c r="C122" s="4"/>
      <c r="F122" s="4"/>
    </row>
    <row r="123" spans="3:6" x14ac:dyDescent="0.45">
      <c r="C123" s="4"/>
      <c r="F123" s="4"/>
    </row>
    <row r="124" spans="3:6" x14ac:dyDescent="0.45">
      <c r="C124" s="4"/>
      <c r="F124" s="4"/>
    </row>
    <row r="125" spans="3:6" x14ac:dyDescent="0.45">
      <c r="C125" s="4"/>
      <c r="F125" s="4"/>
    </row>
    <row r="126" spans="3:6" x14ac:dyDescent="0.45">
      <c r="C126" s="4"/>
      <c r="F126" s="4"/>
    </row>
    <row r="127" spans="3:6" x14ac:dyDescent="0.45">
      <c r="C127" s="4"/>
      <c r="F127" s="4"/>
    </row>
    <row r="128" spans="3:6" x14ac:dyDescent="0.45">
      <c r="C128" s="4"/>
      <c r="F128" s="4"/>
    </row>
    <row r="129" spans="3:6" x14ac:dyDescent="0.45">
      <c r="C129" s="4"/>
      <c r="F129" s="4"/>
    </row>
    <row r="130" spans="3:6" x14ac:dyDescent="0.45">
      <c r="C130" s="4"/>
      <c r="F130" s="4"/>
    </row>
    <row r="131" spans="3:6" x14ac:dyDescent="0.45">
      <c r="C131" s="4"/>
      <c r="F131" s="4"/>
    </row>
    <row r="132" spans="3:6" x14ac:dyDescent="0.45">
      <c r="F132" s="4"/>
    </row>
    <row r="133" spans="3:6" x14ac:dyDescent="0.45">
      <c r="F133" s="4"/>
    </row>
    <row r="134" spans="3:6" x14ac:dyDescent="0.45">
      <c r="F134" s="4"/>
    </row>
    <row r="135" spans="3:6" x14ac:dyDescent="0.45">
      <c r="F135" s="4"/>
    </row>
    <row r="136" spans="3:6" x14ac:dyDescent="0.45">
      <c r="F136" s="4"/>
    </row>
    <row r="137" spans="3:6" x14ac:dyDescent="0.45">
      <c r="F137" s="4"/>
    </row>
    <row r="138" spans="3:6" x14ac:dyDescent="0.45">
      <c r="F138" s="4"/>
    </row>
    <row r="139" spans="3:6" x14ac:dyDescent="0.45">
      <c r="F139" s="4"/>
    </row>
    <row r="140" spans="3:6" x14ac:dyDescent="0.45">
      <c r="F140" s="4"/>
    </row>
    <row r="141" spans="3:6" x14ac:dyDescent="0.45">
      <c r="F141" s="4"/>
    </row>
    <row r="142" spans="3:6" x14ac:dyDescent="0.45">
      <c r="F142" s="4"/>
    </row>
    <row r="143" spans="3:6" x14ac:dyDescent="0.45">
      <c r="F143" s="4"/>
    </row>
    <row r="144" spans="3:6" x14ac:dyDescent="0.45">
      <c r="F144" s="4"/>
    </row>
    <row r="145" spans="6:6" x14ac:dyDescent="0.45">
      <c r="F145" s="4"/>
    </row>
    <row r="146" spans="6:6" x14ac:dyDescent="0.45">
      <c r="F146" s="4"/>
    </row>
    <row r="147" spans="6:6" x14ac:dyDescent="0.45">
      <c r="F147" s="4"/>
    </row>
    <row r="148" spans="6:6" x14ac:dyDescent="0.45">
      <c r="F148" s="4"/>
    </row>
    <row r="149" spans="6:6" x14ac:dyDescent="0.45">
      <c r="F149" s="4"/>
    </row>
    <row r="150" spans="6:6" x14ac:dyDescent="0.45">
      <c r="F150" s="4"/>
    </row>
    <row r="151" spans="6:6" x14ac:dyDescent="0.45">
      <c r="F151" s="4"/>
    </row>
    <row r="152" spans="6:6" x14ac:dyDescent="0.45">
      <c r="F152" s="4"/>
    </row>
    <row r="153" spans="6:6" x14ac:dyDescent="0.45">
      <c r="F153" s="4"/>
    </row>
    <row r="154" spans="6:6" x14ac:dyDescent="0.45">
      <c r="F154" s="4"/>
    </row>
    <row r="155" spans="6:6" x14ac:dyDescent="0.45">
      <c r="F155" s="4"/>
    </row>
    <row r="156" spans="6:6" x14ac:dyDescent="0.45">
      <c r="F156" s="4"/>
    </row>
    <row r="157" spans="6:6" x14ac:dyDescent="0.45">
      <c r="F157" s="4"/>
    </row>
    <row r="158" spans="6:6" x14ac:dyDescent="0.45">
      <c r="F158" s="4"/>
    </row>
    <row r="159" spans="6:6" x14ac:dyDescent="0.45">
      <c r="F159" s="4"/>
    </row>
    <row r="160" spans="6:6" x14ac:dyDescent="0.45">
      <c r="F160" s="4"/>
    </row>
    <row r="161" spans="6:6" x14ac:dyDescent="0.45">
      <c r="F161" s="4"/>
    </row>
    <row r="162" spans="6:6" x14ac:dyDescent="0.45">
      <c r="F162" s="4"/>
    </row>
    <row r="163" spans="6:6" x14ac:dyDescent="0.4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6484375" defaultRowHeight="14.25" x14ac:dyDescent="0.45"/>
  <cols>
    <col min="1" max="1" width="6.9296875" style="4" bestFit="1" customWidth="1"/>
    <col min="2" max="4" width="11.46484375" style="4"/>
    <col min="5" max="5" width="9.53125" style="4" customWidth="1"/>
    <col min="6" max="7" width="11.46484375" style="4"/>
    <col min="8" max="8" width="10.59765625" style="4" customWidth="1"/>
    <col min="9" max="9" width="9.46484375" style="4" customWidth="1"/>
    <col min="10" max="11" width="10.53125" style="4" bestFit="1" customWidth="1"/>
    <col min="12" max="12" width="14" style="4" bestFit="1" customWidth="1"/>
    <col min="13" max="13" width="14" style="4" customWidth="1"/>
    <col min="14" max="23" width="11.46484375" style="4"/>
    <col min="24" max="24" width="11.59765625" style="4" bestFit="1" customWidth="1"/>
    <col min="25" max="25" width="14.53125" style="4" bestFit="1" customWidth="1"/>
    <col min="26" max="26" width="12.46484375" style="4" bestFit="1" customWidth="1"/>
    <col min="27" max="27" width="9.59765625" style="4" bestFit="1" customWidth="1"/>
    <col min="28" max="28" width="11" style="4" bestFit="1" customWidth="1"/>
    <col min="29" max="29" width="9.46484375" style="4" bestFit="1" customWidth="1"/>
    <col min="30" max="31" width="9.46484375" style="4" customWidth="1"/>
    <col min="32" max="32" width="11.46484375" style="4"/>
    <col min="33" max="34" width="14" style="4" bestFit="1" customWidth="1"/>
    <col min="35" max="35" width="10.53125" style="4" bestFit="1" customWidth="1"/>
    <col min="36" max="36" width="9.46484375" style="4" bestFit="1" customWidth="1"/>
    <col min="37" max="38" width="10.53125" style="4" bestFit="1" customWidth="1"/>
    <col min="39" max="41" width="10.53125" style="4" customWidth="1"/>
    <col min="42" max="42" width="9" style="4" bestFit="1" customWidth="1"/>
    <col min="43" max="43" width="10.53125" style="4" bestFit="1" customWidth="1"/>
    <col min="44" max="44" width="9.33203125" style="4" bestFit="1" customWidth="1"/>
    <col min="45" max="45" width="11.59765625" style="4" bestFit="1" customWidth="1"/>
    <col min="46" max="46" width="8.46484375" style="4" bestFit="1" customWidth="1"/>
    <col min="47" max="47" width="9.46484375" style="4" bestFit="1" customWidth="1"/>
    <col min="48" max="48" width="9.59765625" style="4" bestFit="1" customWidth="1"/>
    <col min="49" max="49" width="11" style="4" bestFit="1" customWidth="1"/>
    <col min="50" max="50" width="9.46484375" style="4" bestFit="1" customWidth="1"/>
    <col min="51" max="52" width="9.46484375" style="4" customWidth="1"/>
    <col min="53" max="53" width="10.53125" style="4" bestFit="1" customWidth="1"/>
    <col min="54" max="54" width="14.33203125" style="4" customWidth="1"/>
    <col min="55" max="55" width="14" style="4" customWidth="1"/>
    <col min="56" max="56" width="10.53125" style="4" bestFit="1" customWidth="1"/>
    <col min="57" max="57" width="9.46484375" style="4" bestFit="1" customWidth="1"/>
    <col min="58" max="59" width="10.53125" style="4" bestFit="1" customWidth="1"/>
    <col min="60" max="62" width="10.53125" style="4" customWidth="1"/>
    <col min="63" max="63" width="9" style="4" bestFit="1" customWidth="1"/>
    <col min="64" max="64" width="10.53125" style="4" bestFit="1" customWidth="1"/>
    <col min="65" max="65" width="9.33203125" style="4" bestFit="1" customWidth="1"/>
    <col min="66" max="66" width="11.59765625" style="4" bestFit="1" customWidth="1"/>
    <col min="67" max="67" width="8.46484375" style="4" bestFit="1" customWidth="1"/>
    <col min="68" max="68" width="9.46484375" style="4" bestFit="1" customWidth="1"/>
    <col min="69" max="69" width="9.59765625" style="4" bestFit="1" customWidth="1"/>
    <col min="70" max="70" width="11" style="4" bestFit="1" customWidth="1"/>
    <col min="71" max="71" width="9.46484375" style="4" bestFit="1" customWidth="1"/>
    <col min="72" max="73" width="9.46484375" style="4" customWidth="1"/>
    <col min="74" max="74" width="10.53125" style="4" bestFit="1" customWidth="1"/>
    <col min="75" max="75" width="14" style="4" bestFit="1" customWidth="1"/>
    <col min="76" max="76" width="13.9296875" style="4" customWidth="1"/>
    <col min="77" max="77" width="10.53125" style="4" bestFit="1" customWidth="1"/>
    <col min="78" max="78" width="9.46484375" style="4" bestFit="1" customWidth="1"/>
    <col min="79" max="80" width="10.53125" style="4" bestFit="1" customWidth="1"/>
    <col min="81" max="83" width="10.53125" style="4" customWidth="1"/>
    <col min="84" max="84" width="11.46484375" style="4"/>
    <col min="85" max="85" width="10.53125" style="4" bestFit="1" customWidth="1"/>
    <col min="86" max="86" width="9.33203125" style="4" bestFit="1" customWidth="1"/>
    <col min="87" max="87" width="11.59765625" style="4" bestFit="1" customWidth="1"/>
    <col min="88" max="88" width="8.46484375" style="4" bestFit="1" customWidth="1"/>
    <col min="89" max="89" width="9.46484375" style="4" bestFit="1" customWidth="1"/>
    <col min="90" max="90" width="9.59765625" style="4" bestFit="1" customWidth="1"/>
    <col min="91" max="91" width="11" style="4" bestFit="1" customWidth="1"/>
    <col min="92" max="92" width="9.46484375" style="4" bestFit="1" customWidth="1"/>
    <col min="93" max="94" width="9.46484375" style="4" customWidth="1"/>
    <col min="95" max="95" width="11.46484375" style="4"/>
    <col min="96" max="97" width="14" style="4" customWidth="1"/>
    <col min="98" max="98" width="10.53125" style="4" bestFit="1" customWidth="1"/>
    <col min="99" max="99" width="9.46484375" style="4" bestFit="1" customWidth="1"/>
    <col min="100" max="101" width="10.53125" style="4" bestFit="1" customWidth="1"/>
    <col min="102" max="104" width="10.53125" style="4" customWidth="1"/>
    <col min="105" max="105" width="9" style="4" bestFit="1" customWidth="1"/>
    <col min="106" max="106" width="10.53125" style="4" bestFit="1" customWidth="1"/>
    <col min="107" max="107" width="9.33203125" style="4" bestFit="1" customWidth="1"/>
    <col min="108" max="108" width="11.59765625" style="4" bestFit="1" customWidth="1"/>
    <col min="109" max="109" width="8.46484375" style="4" bestFit="1" customWidth="1"/>
    <col min="110" max="110" width="9.46484375" style="4" bestFit="1" customWidth="1"/>
    <col min="111" max="111" width="9.59765625" style="4" bestFit="1" customWidth="1"/>
    <col min="112" max="112" width="11" style="4" bestFit="1" customWidth="1"/>
    <col min="113" max="113" width="9.46484375" style="4" bestFit="1" customWidth="1"/>
    <col min="114" max="115" width="9.46484375" style="4" customWidth="1"/>
    <col min="116" max="116" width="10.53125" style="4" bestFit="1" customWidth="1"/>
    <col min="117" max="117" width="14.33203125" style="4" customWidth="1"/>
    <col min="118" max="118" width="14" style="4" bestFit="1" customWidth="1"/>
    <col min="119" max="119" width="10.53125" style="4" bestFit="1" customWidth="1"/>
    <col min="120" max="120" width="9.46484375" style="4" bestFit="1" customWidth="1"/>
    <col min="121" max="122" width="10.53125" style="4" bestFit="1" customWidth="1"/>
    <col min="123" max="125" width="10.53125" style="4" customWidth="1"/>
    <col min="126" max="126" width="9" style="4" bestFit="1" customWidth="1"/>
    <col min="127" max="127" width="10.53125" style="4" bestFit="1" customWidth="1"/>
    <col min="128" max="128" width="9.33203125" style="4" bestFit="1" customWidth="1"/>
    <col min="129" max="129" width="11.59765625" style="4" bestFit="1" customWidth="1"/>
    <col min="130" max="130" width="8.46484375" style="4" bestFit="1" customWidth="1"/>
    <col min="131" max="131" width="9.46484375" style="4" bestFit="1" customWidth="1"/>
    <col min="132" max="132" width="9.59765625" style="4" bestFit="1" customWidth="1"/>
    <col min="133" max="133" width="11" style="4" bestFit="1" customWidth="1"/>
    <col min="134" max="134" width="9.46484375" style="4" bestFit="1" customWidth="1"/>
    <col min="135" max="136" width="9.46484375" style="4" customWidth="1"/>
    <col min="137" max="137" width="10.53125" style="4" bestFit="1" customWidth="1"/>
    <col min="138" max="139" width="14" style="4" customWidth="1"/>
    <col min="140" max="140" width="10.53125" style="4" bestFit="1" customWidth="1"/>
    <col min="141" max="141" width="9.46484375" style="4" bestFit="1" customWidth="1"/>
    <col min="142" max="143" width="10.53125" style="4" bestFit="1" customWidth="1"/>
    <col min="144" max="146" width="10.53125" style="4" customWidth="1"/>
    <col min="147" max="147" width="9" style="4" bestFit="1" customWidth="1"/>
    <col min="148" max="148" width="10.53125" style="4" bestFit="1" customWidth="1"/>
    <col min="149" max="149" width="9.33203125" style="4" bestFit="1" customWidth="1"/>
    <col min="150" max="150" width="11.59765625" style="4" bestFit="1" customWidth="1"/>
    <col min="151" max="151" width="8.46484375" style="4" bestFit="1" customWidth="1"/>
    <col min="152" max="152" width="9.46484375" style="4" bestFit="1" customWidth="1"/>
    <col min="153" max="153" width="9.59765625" style="4" bestFit="1" customWidth="1"/>
    <col min="154" max="154" width="11" style="4" bestFit="1" customWidth="1"/>
    <col min="155" max="155" width="9.46484375" style="4" bestFit="1" customWidth="1"/>
    <col min="156" max="157" width="9.46484375" style="4" customWidth="1"/>
    <col min="158" max="158" width="11.46484375" style="4"/>
    <col min="159" max="160" width="14" style="4" bestFit="1" customWidth="1"/>
    <col min="161" max="161" width="10.53125" style="4" bestFit="1" customWidth="1"/>
    <col min="162" max="162" width="9.46484375" style="4" bestFit="1" customWidth="1"/>
    <col min="163" max="164" width="10.53125" style="4" bestFit="1" customWidth="1"/>
    <col min="165" max="167" width="10.53125" style="4" customWidth="1"/>
    <col min="168" max="168" width="9" style="4" bestFit="1" customWidth="1"/>
    <col min="169" max="169" width="10.53125" style="4" bestFit="1" customWidth="1"/>
    <col min="170" max="170" width="9.33203125" style="4" bestFit="1" customWidth="1"/>
    <col min="171" max="171" width="11.59765625" style="4" bestFit="1" customWidth="1"/>
    <col min="172" max="172" width="8.06640625" style="4" bestFit="1" customWidth="1"/>
    <col min="173" max="173" width="9.46484375" style="4" bestFit="1" customWidth="1"/>
    <col min="174" max="174" width="9.59765625" style="4" bestFit="1" customWidth="1"/>
    <col min="175" max="175" width="11" style="4" bestFit="1" customWidth="1"/>
    <col min="176" max="176" width="9.46484375" style="4" bestFit="1" customWidth="1"/>
    <col min="177" max="178" width="9.46484375" style="4" customWidth="1"/>
    <col min="179" max="179" width="10.53125" style="4" bestFit="1" customWidth="1"/>
    <col min="180" max="181" width="14" style="4" bestFit="1" customWidth="1"/>
    <col min="182" max="182" width="10.53125" style="4" bestFit="1" customWidth="1"/>
    <col min="183" max="183" width="9.46484375" style="4" bestFit="1" customWidth="1"/>
    <col min="184" max="185" width="10.53125" style="4" bestFit="1" customWidth="1"/>
    <col min="186" max="188" width="10.53125" style="4" customWidth="1"/>
    <col min="189" max="189" width="9" style="4" bestFit="1" customWidth="1"/>
    <col min="190" max="190" width="10.53125" style="4" bestFit="1" customWidth="1"/>
    <col min="191" max="191" width="9.33203125" style="4" bestFit="1" customWidth="1"/>
    <col min="192" max="192" width="11.46484375" style="4"/>
    <col min="193" max="193" width="8.46484375" style="4" bestFit="1" customWidth="1"/>
    <col min="194" max="194" width="9.46484375" style="4" bestFit="1" customWidth="1"/>
    <col min="195" max="195" width="9.59765625" style="4" bestFit="1" customWidth="1"/>
    <col min="196" max="196" width="11" style="4" bestFit="1" customWidth="1"/>
    <col min="197" max="197" width="9.46484375" style="4" bestFit="1" customWidth="1"/>
    <col min="198" max="199" width="9.46484375" style="4" customWidth="1"/>
    <col min="200" max="200" width="10.53125" style="4" bestFit="1" customWidth="1"/>
    <col min="201" max="201" width="14" style="4" customWidth="1"/>
    <col min="202" max="202" width="14.33203125" style="4" customWidth="1"/>
    <col min="203" max="203" width="10.53125" style="4" bestFit="1" customWidth="1"/>
    <col min="204" max="204" width="9.46484375" style="4" bestFit="1" customWidth="1"/>
    <col min="205" max="206" width="10.53125" style="4" bestFit="1" customWidth="1"/>
    <col min="207" max="209" width="10.53125" style="4" customWidth="1"/>
    <col min="210" max="210" width="9" style="4" bestFit="1" customWidth="1"/>
    <col min="211" max="211" width="10.53125" style="4" bestFit="1" customWidth="1"/>
    <col min="212" max="212" width="9.33203125" style="4" bestFit="1" customWidth="1"/>
    <col min="213" max="213" width="11.59765625" style="4" bestFit="1" customWidth="1"/>
    <col min="214" max="214" width="8.46484375" style="4" bestFit="1" customWidth="1"/>
    <col min="215" max="215" width="9.46484375" style="4" bestFit="1" customWidth="1"/>
    <col min="216" max="216" width="9.59765625" style="4" bestFit="1" customWidth="1"/>
    <col min="217" max="217" width="11" style="4" bestFit="1" customWidth="1"/>
    <col min="218" max="218" width="9.46484375" style="4" bestFit="1" customWidth="1"/>
    <col min="219" max="16384" width="11.46484375" style="4"/>
  </cols>
  <sheetData>
    <row r="1" spans="1:218" ht="25.9" thickBot="1" x14ac:dyDescent="0.8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Epicéa de Sitka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Séquoia toujours vert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Hêtre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7.4" thickBot="1" x14ac:dyDescent="0.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4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291.3013645858839</v>
      </c>
      <c r="T3" s="59">
        <f>IF('Données projet'!E9&gt;30,$R$33-$H$33,LOOKUP('Données projet'!$E$9,$A$3:$A$203,R3:R203)-LOOKUP('Données projet'!$E$9,$A$3:$A$203,$H$3:$H$203))</f>
        <v>332.89241887762438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293.17014997061574</v>
      </c>
      <c r="AO3" s="59">
        <f>IF('Données projet'!E10&gt;30,$AM$33-$H$33,LOOKUP('Données projet'!$E$10,$A$3:$A$203,AM3:AM203)-LOOKUP('Données projet'!$E$10,$A$3:$A$203,$H$3:$H$203))</f>
        <v>394.32615745219954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395.14818708356353</v>
      </c>
      <c r="BJ3" s="59">
        <f>IF('Données projet'!E11&gt;30,$BH$33-$H$33,LOOKUP('Données projet'!$E$11,$A$3:$A$203,BH3:BH203)-LOOKUP('Données projet'!$E$11,$A$3:$A$203,$H$3:$H$203))</f>
        <v>311.78229491474491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4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258.08783604613262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10.515599999999999</v>
      </c>
      <c r="N4" s="13">
        <f>IF('Données projet'!$A$36&gt;35,N3+M4-V3,IF(A4&lt;'Données projet'!$A$36,$K$205^A4,IF(A4='Données projet'!$A$36,'Données projet'!$B$36,N3+M4-V3)))</f>
        <v>1.2496573925045706</v>
      </c>
      <c r="O4" s="13">
        <f>N4*VLOOKUP('Données projet'!$B$9,Paramètres!$A$1:$I$89,3,0)*VLOOKUP('Données projet'!$B$9,Paramètres!$A$1:$I$89,5,0)</f>
        <v>0.58483965969213902</v>
      </c>
      <c r="P4" s="13">
        <f>EXP(-1.0587+0.8836*LN(O4)+0.284)</f>
        <v>0.2868836483475718</v>
      </c>
      <c r="Q4" s="20">
        <f t="shared" ref="Q4:Q34" si="2">(O4+P4)*0.475*44/12</f>
        <v>1.5182514281691633</v>
      </c>
      <c r="R4" s="59">
        <f t="shared" si="0"/>
        <v>259.40714031705801</v>
      </c>
      <c r="S4" s="59">
        <f ca="1">AVERAGE(OFFSET($R$3,0,0,'Données projet'!$E$9+1,1))-AVERAGE(OFFSET($H$3,0,0,'Données projet'!$E$9+1,1))</f>
        <v>291.3013645858839</v>
      </c>
      <c r="T4" s="59">
        <f>$T$3</f>
        <v>332.89241887762438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11.245555555555555</v>
      </c>
      <c r="AI4" s="13">
        <f>IF('Données projet'!$A$62&gt;35,AI3+AH4-AQ3,IF(A4&lt;'Données projet'!$A$62,$AF$205^A4,IF(A4='Données projet'!$A$62,'Données projet'!$B$62,AI3+AH4-AQ3)))</f>
        <v>1.3431520832915915</v>
      </c>
      <c r="AJ4" s="13">
        <f>AI4*VLOOKUP('Données projet'!$B$10,Paramètres!$A$1:$I$89,3,0)*VLOOKUP('Données projet'!$B$10,Paramètres!$A$1:$I$89,5,0)</f>
        <v>0.5936732208148835</v>
      </c>
      <c r="AK4" s="13">
        <f>EXP(-1.0587+0.8836*LN(AJ4)+0.284)</f>
        <v>0.29070908217614899</v>
      </c>
      <c r="AL4" s="20">
        <f t="shared" ref="AL4:AL67" si="4">(AJ4+AK4)*0.475*44/12</f>
        <v>1.5402991777093815</v>
      </c>
      <c r="AM4" s="59">
        <f t="shared" ref="AM4:AM67" si="5">AL4+(AD4+AE4)*44/12</f>
        <v>259.42918806659821</v>
      </c>
      <c r="AN4" s="59">
        <f ca="1">AVERAGE(OFFSET($AM$3,0,0,'Données projet'!$E$10+1,1))-AVERAGE(OFFSET($H$3,0,0,'Données projet'!$E$10+1,1))</f>
        <v>293.17014997061574</v>
      </c>
      <c r="AO4" s="59">
        <f>$AO$3</f>
        <v>394.32615745219954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5.5495238095238095</v>
      </c>
      <c r="BD4" s="12">
        <f>IF('Données projet'!$A$88&gt;35,BD3+BC4-BL3,IF(A4&lt;'Données projet'!$A$88,$BA$205^A4,IF(A4='Données projet'!$A$88,'Données projet'!$B$88,BD3+BC4-BL3)))</f>
        <v>5.5495238095238095</v>
      </c>
      <c r="BE4" s="13">
        <f>BD4*VLOOKUP('Données projet'!$B$11,Paramètres!$A$1:$I$89,3,0)*VLOOKUP('Données projet'!$B$11,Paramètres!$A$1:$I$89,5,0)</f>
        <v>4.7614914285714294</v>
      </c>
      <c r="BF4" s="13">
        <f>EXP(-1.0587+0.8836*LN(BE4)+0.284)</f>
        <v>1.8298091111358394</v>
      </c>
      <c r="BG4" s="20">
        <f t="shared" ref="BG4:BG67" si="7">(BE4+BF4)*0.475*44/12</f>
        <v>11.479848439990159</v>
      </c>
      <c r="BH4" s="59">
        <f t="shared" ref="BH4:BH67" si="8">BG4+(AY4+AZ4)*44/12</f>
        <v>269.36873732887904</v>
      </c>
      <c r="BI4" s="59">
        <f ca="1">AVERAGE(OFFSET($BH$3,0,0,'Données projet'!$E$11+1,1))-AVERAGE(OFFSET($H$3,0,0,'Données projet'!$E$11+1,1))</f>
        <v>395.14818708356353</v>
      </c>
      <c r="BJ4" s="59">
        <f>$BJ$3</f>
        <v>311.78229491474491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4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259.43610890414124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10.515599999999999</v>
      </c>
      <c r="N5" s="13">
        <f>IF('Données projet'!$A$36&gt;35,N4+M5-V4,IF(A5&lt;'Données projet'!$A$36,$K$205^A5,IF(A5='Données projet'!$A$36,'Données projet'!$B$36,N4+M5-V4)))</f>
        <v>1.5616435986413226</v>
      </c>
      <c r="O5" s="13">
        <f>N5*VLOOKUP('Données projet'!$B$9,Paramètres!$A$1:$I$89,3,0)*VLOOKUP('Données projet'!$B$9,Paramètres!$A$1:$I$89,5,0)</f>
        <v>0.73084920416413901</v>
      </c>
      <c r="P5" s="13">
        <f t="shared" ref="P5:P68" si="33">EXP(-1.0587+0.8836*LN(O5)+0.284)</f>
        <v>0.34932550040794685</v>
      </c>
      <c r="Q5" s="20">
        <f t="shared" si="2"/>
        <v>1.8813042771297166</v>
      </c>
      <c r="R5" s="59">
        <f t="shared" si="0"/>
        <v>260.99241538824089</v>
      </c>
      <c r="S5" s="59">
        <f ca="1">AVERAGE(OFFSET($R$3,0,0,'Données projet'!$E$9+1,1))-AVERAGE(OFFSET($H$3,0,0,'Données projet'!$E$9+1,1))</f>
        <v>291.3013645858839</v>
      </c>
      <c r="T5" s="59">
        <f t="shared" ref="T5:T68" si="34">$T$3</f>
        <v>332.89241887762438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11.245555555555555</v>
      </c>
      <c r="AI5" s="13">
        <f>IF('Données projet'!$A$62&gt;35,AI4+AH5-AQ4,IF(A5&lt;'Données projet'!$A$62,$AF$205^A5,IF(A5='Données projet'!$A$62,'Données projet'!$B$62,AI4+AH5-AQ4)))</f>
        <v>1.8040575188505423</v>
      </c>
      <c r="AJ5" s="13">
        <f>AI5*VLOOKUP('Données projet'!$B$10,Paramètres!$A$1:$I$89,3,0)*VLOOKUP('Données projet'!$B$10,Paramètres!$A$1:$I$89,5,0)</f>
        <v>0.79739342333193974</v>
      </c>
      <c r="AK5" s="13">
        <f t="shared" ref="AK5:AK68" si="35">EXP(-1.0587+0.8836*LN(AJ5)+0.284)</f>
        <v>0.37728541604389831</v>
      </c>
      <c r="AL5" s="20">
        <f t="shared" si="4"/>
        <v>2.0458989785795842</v>
      </c>
      <c r="AM5" s="59">
        <f t="shared" si="5"/>
        <v>261.15701008969074</v>
      </c>
      <c r="AN5" s="59">
        <f ca="1">AVERAGE(OFFSET($AM$3,0,0,'Données projet'!$E$10+1,1))-AVERAGE(OFFSET($H$3,0,0,'Données projet'!$E$10+1,1))</f>
        <v>293.17014997061574</v>
      </c>
      <c r="AO5" s="59">
        <f t="shared" ref="AO5:AO68" si="36">$AO$3</f>
        <v>394.32615745219954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5.5495238095238095</v>
      </c>
      <c r="BD5" s="12">
        <f>IF('Données projet'!$A$88&gt;35,BD4+BC5-BL4,IF(A5&lt;'Données projet'!$A$88,$BA$205^A5,IF(A5='Données projet'!$A$88,'Données projet'!$B$88,BD4+BC5-BL4)))</f>
        <v>11.099047619047619</v>
      </c>
      <c r="BE5" s="13">
        <f>BD5*VLOOKUP('Données projet'!$B$11,Paramètres!$A$1:$I$89,3,0)*VLOOKUP('Données projet'!$B$11,Paramètres!$A$1:$I$89,5,0)</f>
        <v>9.5229828571428587</v>
      </c>
      <c r="BF5" s="13">
        <f t="shared" ref="BF5:BF68" si="37">EXP(-1.0587+0.8836*LN(BE5)+0.284)</f>
        <v>3.3759490989695782</v>
      </c>
      <c r="BG5" s="20">
        <f t="shared" si="7"/>
        <v>22.465639823562494</v>
      </c>
      <c r="BH5" s="59">
        <f t="shared" si="8"/>
        <v>281.57675093467361</v>
      </c>
      <c r="BI5" s="59">
        <f ca="1">AVERAGE(OFFSET($BH$3,0,0,'Données projet'!$E$11+1,1))-AVERAGE(OFFSET($H$3,0,0,'Données projet'!$E$11+1,1))</f>
        <v>395.14818708356353</v>
      </c>
      <c r="BJ5" s="59">
        <f t="shared" ref="BJ5:BJ68" si="38">$BJ$3</f>
        <v>311.78229491474491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4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260.7608398448956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10.515599999999999</v>
      </c>
      <c r="N6" s="13">
        <f>IF('Données projet'!$A$36&gt;35,N5+M6-V5,IF(A6&lt;'Données projet'!$A$36,$K$205^A6,IF(A6='Données projet'!$A$36,'Données projet'!$B$36,N5+M6-V5)))</f>
        <v>1.9515194674995695</v>
      </c>
      <c r="O6" s="13">
        <f>N6*VLOOKUP('Données projet'!$B$9,Paramètres!$A$1:$I$89,3,0)*VLOOKUP('Données projet'!$B$9,Paramètres!$A$1:$I$89,5,0)</f>
        <v>0.91331111078979843</v>
      </c>
      <c r="P6" s="13">
        <f t="shared" si="33"/>
        <v>0.42535817547683991</v>
      </c>
      <c r="Q6" s="20">
        <f t="shared" si="2"/>
        <v>2.3315156735810616</v>
      </c>
      <c r="R6" s="59">
        <f t="shared" si="0"/>
        <v>262.66484900691438</v>
      </c>
      <c r="S6" s="59">
        <f ca="1">AVERAGE(OFFSET($R$3,0,0,'Données projet'!$E$9+1,1))-AVERAGE(OFFSET($H$3,0,0,'Données projet'!$E$9+1,1))</f>
        <v>291.3013645858839</v>
      </c>
      <c r="T6" s="59">
        <f t="shared" si="34"/>
        <v>332.89241887762438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11.245555555555555</v>
      </c>
      <c r="AI6" s="13">
        <f>IF('Données projet'!$A$62&gt;35,AI5+AH6-AQ5,IF(A6&lt;'Données projet'!$A$62,$AF$205^A6,IF(A6='Données projet'!$A$62,'Données projet'!$B$62,AI5+AH6-AQ5)))</f>
        <v>2.4231236148219657</v>
      </c>
      <c r="AJ6" s="13">
        <f>AI6*VLOOKUP('Données projet'!$B$10,Paramètres!$A$1:$I$89,3,0)*VLOOKUP('Données projet'!$B$10,Paramètres!$A$1:$I$89,5,0)</f>
        <v>1.071020637751309</v>
      </c>
      <c r="AK6" s="13">
        <f t="shared" si="35"/>
        <v>0.48964512595849002</v>
      </c>
      <c r="AL6" s="20">
        <f t="shared" si="4"/>
        <v>2.7181595384612329</v>
      </c>
      <c r="AM6" s="59">
        <f t="shared" si="5"/>
        <v>263.05149287179455</v>
      </c>
      <c r="AN6" s="59">
        <f ca="1">AVERAGE(OFFSET($AM$3,0,0,'Données projet'!$E$10+1,1))-AVERAGE(OFFSET($H$3,0,0,'Données projet'!$E$10+1,1))</f>
        <v>293.17014997061574</v>
      </c>
      <c r="AO6" s="59">
        <f t="shared" si="36"/>
        <v>394.32615745219954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5.5495238095238095</v>
      </c>
      <c r="BD6" s="12">
        <f>IF('Données projet'!$A$88&gt;35,BD5+BC6-BL5,IF(A6&lt;'Données projet'!$A$88,$BA$205^A6,IF(A6='Données projet'!$A$88,'Données projet'!$B$88,BD5+BC6-BL5)))</f>
        <v>16.648571428571429</v>
      </c>
      <c r="BE6" s="13">
        <f>BD6*VLOOKUP('Données projet'!$B$11,Paramètres!$A$1:$I$89,3,0)*VLOOKUP('Données projet'!$B$11,Paramètres!$A$1:$I$89,5,0)</f>
        <v>14.284474285714287</v>
      </c>
      <c r="BF6" s="13">
        <f t="shared" si="37"/>
        <v>4.8304781992759747</v>
      </c>
      <c r="BG6" s="20">
        <f t="shared" si="7"/>
        <v>33.291875578024701</v>
      </c>
      <c r="BH6" s="59">
        <f t="shared" si="8"/>
        <v>293.62520891135802</v>
      </c>
      <c r="BI6" s="59">
        <f ca="1">AVERAGE(OFFSET($BH$3,0,0,'Données projet'!$E$11+1,1))-AVERAGE(OFFSET($H$3,0,0,'Données projet'!$E$11+1,1))</f>
        <v>395.14818708356353</v>
      </c>
      <c r="BJ6" s="59">
        <f t="shared" si="38"/>
        <v>311.78229491474491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4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262.07105900009446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10.515599999999999</v>
      </c>
      <c r="N7" s="13">
        <f>IF('Données projet'!$A$36&gt;35,N6+M7-V6,IF(A7&lt;'Données projet'!$A$36,$K$205^A7,IF(A7='Données projet'!$A$36,'Données projet'!$B$36,N6+M7-V6)))</f>
        <v>2.4387307291774203</v>
      </c>
      <c r="O7" s="13">
        <f>N7*VLOOKUP('Données projet'!$B$9,Paramètres!$A$1:$I$89,3,0)*VLOOKUP('Données projet'!$B$9,Paramètres!$A$1:$I$89,5,0)</f>
        <v>1.1413259812550327</v>
      </c>
      <c r="P7" s="13">
        <f t="shared" si="33"/>
        <v>0.51793979321204497</v>
      </c>
      <c r="Q7" s="20">
        <f t="shared" si="2"/>
        <v>2.8898878905301597</v>
      </c>
      <c r="R7" s="59">
        <f t="shared" si="0"/>
        <v>264.44544344608568</v>
      </c>
      <c r="S7" s="59">
        <f ca="1">AVERAGE(OFFSET($R$3,0,0,'Données projet'!$E$9+1,1))-AVERAGE(OFFSET($H$3,0,0,'Données projet'!$E$9+1,1))</f>
        <v>291.3013645858839</v>
      </c>
      <c r="T7" s="59">
        <f t="shared" si="34"/>
        <v>332.89241887762438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11.245555555555555</v>
      </c>
      <c r="AI7" s="13">
        <f>IF('Données projet'!$A$62&gt;35,AI6+AH7-AQ6,IF(A7&lt;'Données projet'!$A$62,$AF$205^A7,IF(A7='Données projet'!$A$62,'Données projet'!$B$62,AI6+AH7-AQ6)))</f>
        <v>3.2546235313211751</v>
      </c>
      <c r="AJ7" s="13">
        <f>AI7*VLOOKUP('Données projet'!$B$10,Paramètres!$A$1:$I$89,3,0)*VLOOKUP('Données projet'!$B$10,Paramètres!$A$1:$I$89,5,0)</f>
        <v>1.4385436008439596</v>
      </c>
      <c r="AK7" s="13">
        <f t="shared" si="35"/>
        <v>0.63546678238686438</v>
      </c>
      <c r="AL7" s="20">
        <f t="shared" si="4"/>
        <v>3.6122347507936845</v>
      </c>
      <c r="AM7" s="59">
        <f t="shared" si="5"/>
        <v>265.16779030634922</v>
      </c>
      <c r="AN7" s="59">
        <f ca="1">AVERAGE(OFFSET($AM$3,0,0,'Données projet'!$E$10+1,1))-AVERAGE(OFFSET($H$3,0,0,'Données projet'!$E$10+1,1))</f>
        <v>293.17014997061574</v>
      </c>
      <c r="AO7" s="59">
        <f t="shared" si="36"/>
        <v>394.32615745219954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5.5495238095238095</v>
      </c>
      <c r="BD7" s="12">
        <f>IF('Données projet'!$A$88&gt;35,BD6+BC7-BL6,IF(A7&lt;'Données projet'!$A$88,$BA$205^A7,IF(A7='Données projet'!$A$88,'Données projet'!$B$88,BD6+BC7-BL6)))</f>
        <v>22.198095238095238</v>
      </c>
      <c r="BE7" s="13">
        <f>BD7*VLOOKUP('Données projet'!$B$11,Paramètres!$A$1:$I$89,3,0)*VLOOKUP('Données projet'!$B$11,Paramètres!$A$1:$I$89,5,0)</f>
        <v>19.045965714285717</v>
      </c>
      <c r="BF7" s="13">
        <f t="shared" si="37"/>
        <v>6.2285362169603005</v>
      </c>
      <c r="BG7" s="20">
        <f t="shared" si="7"/>
        <v>44.019757530253486</v>
      </c>
      <c r="BH7" s="59">
        <f t="shared" si="8"/>
        <v>305.57531308580906</v>
      </c>
      <c r="BI7" s="59">
        <f ca="1">AVERAGE(OFFSET($BH$3,0,0,'Données projet'!$E$11+1,1))-AVERAGE(OFFSET($H$3,0,0,'Données projet'!$E$11+1,1))</f>
        <v>395.14818708356353</v>
      </c>
      <c r="BJ7" s="59">
        <f t="shared" si="38"/>
        <v>311.78229491474491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4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263.37085912145096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10.515599999999999</v>
      </c>
      <c r="N8" s="13">
        <f>IF('Données projet'!$A$36&gt;35,N7+M8-V7,IF(A8&lt;'Données projet'!$A$36,$K$205^A8,IF(A8='Données projet'!$A$36,'Données projet'!$B$36,N7+M8-V7)))</f>
        <v>3.0475778840446255</v>
      </c>
      <c r="O8" s="13">
        <f>N8*VLOOKUP('Données projet'!$B$9,Paramètres!$A$1:$I$89,3,0)*VLOOKUP('Données projet'!$B$9,Paramètres!$A$1:$I$89,5,0)</f>
        <v>1.4262664497328847</v>
      </c>
      <c r="P8" s="13">
        <f t="shared" si="33"/>
        <v>0.63067232478088897</v>
      </c>
      <c r="Q8" s="20">
        <f t="shared" si="2"/>
        <v>3.5825016989448226</v>
      </c>
      <c r="R8" s="59">
        <f t="shared" si="0"/>
        <v>266.36027947672261</v>
      </c>
      <c r="S8" s="59">
        <f ca="1">AVERAGE(OFFSET($R$3,0,0,'Données projet'!$E$9+1,1))-AVERAGE(OFFSET($H$3,0,0,'Données projet'!$E$9+1,1))</f>
        <v>291.3013645858839</v>
      </c>
      <c r="T8" s="59">
        <f t="shared" si="34"/>
        <v>332.89241887762438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11.245555555555555</v>
      </c>
      <c r="AI8" s="13">
        <f>IF('Données projet'!$A$62&gt;35,AI7+AH8-AQ7,IF(A8&lt;'Données projet'!$A$62,$AF$205^A8,IF(A8='Données projet'!$A$62,'Données projet'!$B$62,AI7+AH8-AQ7)))</f>
        <v>4.3714543764238725</v>
      </c>
      <c r="AJ8" s="13">
        <f>AI8*VLOOKUP('Données projet'!$B$10,Paramètres!$A$1:$I$89,3,0)*VLOOKUP('Données projet'!$B$10,Paramètres!$A$1:$I$89,5,0)</f>
        <v>1.9321828343793517</v>
      </c>
      <c r="AK8" s="13">
        <f t="shared" si="35"/>
        <v>0.82471571778976172</v>
      </c>
      <c r="AL8" s="20">
        <f t="shared" si="4"/>
        <v>4.8015983116945398</v>
      </c>
      <c r="AM8" s="59">
        <f t="shared" si="5"/>
        <v>267.57937608947231</v>
      </c>
      <c r="AN8" s="59">
        <f ca="1">AVERAGE(OFFSET($AM$3,0,0,'Données projet'!$E$10+1,1))-AVERAGE(OFFSET($H$3,0,0,'Données projet'!$E$10+1,1))</f>
        <v>293.17014997061574</v>
      </c>
      <c r="AO8" s="59">
        <f t="shared" si="36"/>
        <v>394.32615745219954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5.5495238095238095</v>
      </c>
      <c r="BD8" s="12">
        <f>IF('Données projet'!$A$88&gt;35,BD7+BC8-BL7,IF(A8&lt;'Données projet'!$A$88,$BA$205^A8,IF(A8='Données projet'!$A$88,'Données projet'!$B$88,BD7+BC8-BL7)))</f>
        <v>27.747619047619047</v>
      </c>
      <c r="BE8" s="13">
        <f>BD8*VLOOKUP('Données projet'!$B$11,Paramètres!$A$1:$I$89,3,0)*VLOOKUP('Données projet'!$B$11,Paramètres!$A$1:$I$89,5,0)</f>
        <v>23.807457142857142</v>
      </c>
      <c r="BF8" s="13">
        <f t="shared" si="37"/>
        <v>7.5860496635645935</v>
      </c>
      <c r="BG8" s="20">
        <f t="shared" si="7"/>
        <v>54.677024354517862</v>
      </c>
      <c r="BH8" s="59">
        <f t="shared" si="8"/>
        <v>317.45480213229564</v>
      </c>
      <c r="BI8" s="59">
        <f ca="1">AVERAGE(OFFSET($BH$3,0,0,'Données projet'!$E$11+1,1))-AVERAGE(OFFSET($H$3,0,0,'Données projet'!$E$11+1,1))</f>
        <v>395.14818708356353</v>
      </c>
      <c r="BJ8" s="59">
        <f t="shared" si="38"/>
        <v>311.78229491474491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4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264.66257488541947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10.515599999999999</v>
      </c>
      <c r="N9" s="13">
        <f>IF('Données projet'!$A$36&gt;35,N8+M9-V8,IF(A9&lt;'Données projet'!$A$36,$K$205^A9,IF(A9='Données projet'!$A$36,'Données projet'!$B$36,N8+M9-V8)))</f>
        <v>3.8084282320298035</v>
      </c>
      <c r="O9" s="13">
        <f>N9*VLOOKUP('Données projet'!$B$9,Paramètres!$A$1:$I$89,3,0)*VLOOKUP('Données projet'!$B$9,Paramètres!$A$1:$I$89,5,0)</f>
        <v>1.7823444125899481</v>
      </c>
      <c r="P9" s="13">
        <f t="shared" si="33"/>
        <v>0.76794173079049921</v>
      </c>
      <c r="Q9" s="20">
        <f t="shared" si="2"/>
        <v>4.4417483663876123</v>
      </c>
      <c r="R9" s="59">
        <f t="shared" si="0"/>
        <v>268.44174836638763</v>
      </c>
      <c r="S9" s="59">
        <f ca="1">AVERAGE(OFFSET($R$3,0,0,'Données projet'!$E$9+1,1))-AVERAGE(OFFSET($H$3,0,0,'Données projet'!$E$9+1,1))</f>
        <v>291.3013645858839</v>
      </c>
      <c r="T9" s="59">
        <f t="shared" si="34"/>
        <v>332.89241887762438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11.245555555555555</v>
      </c>
      <c r="AI9" s="13">
        <f>IF('Données projet'!$A$62&gt;35,AI8+AH9-AQ8,IF(A9&lt;'Données projet'!$A$62,$AF$205^A9,IF(A9='Données projet'!$A$62,'Données projet'!$B$62,AI8+AH9-AQ8)))</f>
        <v>5.8715280527078697</v>
      </c>
      <c r="AJ9" s="13">
        <f>AI9*VLOOKUP('Données projet'!$B$10,Paramètres!$A$1:$I$89,3,0)*VLOOKUP('Données projet'!$B$10,Paramètres!$A$1:$I$89,5,0)</f>
        <v>2.5952153992968787</v>
      </c>
      <c r="AK9" s="13">
        <f t="shared" si="35"/>
        <v>1.0703250492728531</v>
      </c>
      <c r="AL9" s="20">
        <f t="shared" si="4"/>
        <v>6.3841496145922827</v>
      </c>
      <c r="AM9" s="59">
        <f t="shared" si="5"/>
        <v>270.38414961459227</v>
      </c>
      <c r="AN9" s="59">
        <f ca="1">AVERAGE(OFFSET($AM$3,0,0,'Données projet'!$E$10+1,1))-AVERAGE(OFFSET($H$3,0,0,'Données projet'!$E$10+1,1))</f>
        <v>293.17014997061574</v>
      </c>
      <c r="AO9" s="59">
        <f t="shared" si="36"/>
        <v>394.32615745219954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5.5495238095238095</v>
      </c>
      <c r="BD9" s="12">
        <f>IF('Données projet'!$A$88&gt;35,BD8+BC9-BL8,IF(A9&lt;'Données projet'!$A$88,$BA$205^A9,IF(A9='Données projet'!$A$88,'Données projet'!$B$88,BD8+BC9-BL8)))</f>
        <v>33.297142857142859</v>
      </c>
      <c r="BE9" s="13">
        <f>BD9*VLOOKUP('Données projet'!$B$11,Paramètres!$A$1:$I$89,3,0)*VLOOKUP('Données projet'!$B$11,Paramètres!$A$1:$I$89,5,0)</f>
        <v>28.568948571428574</v>
      </c>
      <c r="BF9" s="13">
        <f t="shared" si="37"/>
        <v>8.9121036862228742</v>
      </c>
      <c r="BG9" s="20">
        <f t="shared" si="7"/>
        <v>65.279499348742945</v>
      </c>
      <c r="BH9" s="59">
        <f t="shared" si="8"/>
        <v>329.27949934874295</v>
      </c>
      <c r="BI9" s="59">
        <f ca="1">AVERAGE(OFFSET($BH$3,0,0,'Données projet'!$E$11+1,1))-AVERAGE(OFFSET($H$3,0,0,'Données projet'!$E$11+1,1))</f>
        <v>395.14818708356353</v>
      </c>
      <c r="BJ9" s="59">
        <f t="shared" si="38"/>
        <v>311.78229491474491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4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265.94771136763848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10.515599999999999</v>
      </c>
      <c r="N10" s="13">
        <f>IF('Données projet'!$A$36&gt;35,N9+M10-V9,IF(A10&lt;'Données projet'!$A$36,$K$205^A10,IF(A10='Données projet'!$A$36,'Données projet'!$B$36,N9+M10-V9)))</f>
        <v>4.7592304939791559</v>
      </c>
      <c r="O10" s="13">
        <f>N10*VLOOKUP('Données projet'!$B$9,Paramètres!$A$1:$I$89,3,0)*VLOOKUP('Données projet'!$B$9,Paramètres!$A$1:$I$89,5,0)</f>
        <v>2.2273198711822451</v>
      </c>
      <c r="P10" s="13">
        <f t="shared" si="33"/>
        <v>0.93508860103286717</v>
      </c>
      <c r="Q10" s="20">
        <f t="shared" si="2"/>
        <v>5.5078614224413203</v>
      </c>
      <c r="R10" s="59">
        <f t="shared" si="0"/>
        <v>270.73008364466352</v>
      </c>
      <c r="S10" s="59">
        <f ca="1">AVERAGE(OFFSET($R$3,0,0,'Données projet'!$E$9+1,1))-AVERAGE(OFFSET($H$3,0,0,'Données projet'!$E$9+1,1))</f>
        <v>291.3013645858839</v>
      </c>
      <c r="T10" s="59">
        <f t="shared" si="34"/>
        <v>332.89241887762438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11.245555555555555</v>
      </c>
      <c r="AI10" s="13">
        <f>IF('Données projet'!$A$62&gt;35,AI9+AH10-AQ9,IF(A10&lt;'Données projet'!$A$62,$AF$205^A10,IF(A10='Données projet'!$A$62,'Données projet'!$B$62,AI9+AH10-AQ9)))</f>
        <v>7.8863551360995965</v>
      </c>
      <c r="AJ10" s="13">
        <f>AI10*VLOOKUP('Données projet'!$B$10,Paramètres!$A$1:$I$89,3,0)*VLOOKUP('Données projet'!$B$10,Paramètres!$A$1:$I$89,5,0)</f>
        <v>3.4857689701560219</v>
      </c>
      <c r="AK10" s="13">
        <f t="shared" si="35"/>
        <v>1.3890795172076169</v>
      </c>
      <c r="AL10" s="20">
        <f t="shared" si="4"/>
        <v>8.4903611154916714</v>
      </c>
      <c r="AM10" s="59">
        <f t="shared" si="5"/>
        <v>273.71258333771391</v>
      </c>
      <c r="AN10" s="59">
        <f ca="1">AVERAGE(OFFSET($AM$3,0,0,'Données projet'!$E$10+1,1))-AVERAGE(OFFSET($H$3,0,0,'Données projet'!$E$10+1,1))</f>
        <v>293.17014997061574</v>
      </c>
      <c r="AO10" s="59">
        <f t="shared" si="36"/>
        <v>394.32615745219954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5.5495238095238095</v>
      </c>
      <c r="BD10" s="12">
        <f>IF('Données projet'!$A$88&gt;35,BD9+BC10-BL9,IF(A10&lt;'Données projet'!$A$88,$BA$205^A10,IF(A10='Données projet'!$A$88,'Données projet'!$B$88,BD9+BC10-BL9)))</f>
        <v>38.846666666666671</v>
      </c>
      <c r="BE10" s="13">
        <f>BD10*VLOOKUP('Données projet'!$B$11,Paramètres!$A$1:$I$89,3,0)*VLOOKUP('Données projet'!$B$11,Paramètres!$A$1:$I$89,5,0)</f>
        <v>33.330440000000003</v>
      </c>
      <c r="BF10" s="13">
        <f t="shared" si="37"/>
        <v>10.212555128010102</v>
      </c>
      <c r="BG10" s="20">
        <f t="shared" si="7"/>
        <v>75.837383181284267</v>
      </c>
      <c r="BH10" s="59">
        <f t="shared" si="8"/>
        <v>341.05960540350651</v>
      </c>
      <c r="BI10" s="59">
        <f ca="1">AVERAGE(OFFSET($BH$3,0,0,'Données projet'!$E$11+1,1))-AVERAGE(OFFSET($H$3,0,0,'Données projet'!$E$11+1,1))</f>
        <v>395.14818708356353</v>
      </c>
      <c r="BJ10" s="59">
        <f t="shared" si="38"/>
        <v>311.78229491474491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4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267.22731691271065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10.515599999999999</v>
      </c>
      <c r="N11" s="13">
        <f>IF('Données projet'!$A$36&gt;35,N10+M11-V10,IF(A11&lt;'Données projet'!$A$36,$K$205^A11,IF(A11='Données projet'!$A$36,'Données projet'!$B$36,N10+M11-V10)))</f>
        <v>5.9474075694342323</v>
      </c>
      <c r="O11" s="13">
        <f>N11*VLOOKUP('Données projet'!$B$9,Paramètres!$A$1:$I$89,3,0)*VLOOKUP('Données projet'!$B$9,Paramètres!$A$1:$I$89,5,0)</f>
        <v>2.783386742495221</v>
      </c>
      <c r="P11" s="13">
        <f t="shared" si="33"/>
        <v>1.1386159349375762</v>
      </c>
      <c r="Q11" s="20">
        <f t="shared" si="2"/>
        <v>6.830821329862121</v>
      </c>
      <c r="R11" s="59">
        <f t="shared" si="0"/>
        <v>273.2752657743066</v>
      </c>
      <c r="S11" s="59">
        <f ca="1">AVERAGE(OFFSET($R$3,0,0,'Données projet'!$E$9+1,1))-AVERAGE(OFFSET($H$3,0,0,'Données projet'!$E$9+1,1))</f>
        <v>291.3013645858839</v>
      </c>
      <c r="T11" s="59">
        <f t="shared" si="34"/>
        <v>332.89241887762438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11.245555555555555</v>
      </c>
      <c r="AI11" s="13">
        <f>IF('Données projet'!$A$62&gt;35,AI10+AH11-AQ10,IF(A11&lt;'Données projet'!$A$62,$AF$205^A11,IF(A11='Données projet'!$A$62,'Données projet'!$B$62,AI10+AH11-AQ10)))</f>
        <v>10.592574330629516</v>
      </c>
      <c r="AJ11" s="13">
        <f>AI11*VLOOKUP('Données projet'!$B$10,Paramètres!$A$1:$I$89,3,0)*VLOOKUP('Données projet'!$B$10,Paramètres!$A$1:$I$89,5,0)</f>
        <v>4.6819178541382467</v>
      </c>
      <c r="AK11" s="13">
        <f t="shared" si="35"/>
        <v>1.8027625406287733</v>
      </c>
      <c r="AL11" s="20">
        <f t="shared" si="4"/>
        <v>11.294151687552558</v>
      </c>
      <c r="AM11" s="59">
        <f t="shared" si="5"/>
        <v>277.73859613199704</v>
      </c>
      <c r="AN11" s="59">
        <f ca="1">AVERAGE(OFFSET($AM$3,0,0,'Données projet'!$E$10+1,1))-AVERAGE(OFFSET($H$3,0,0,'Données projet'!$E$10+1,1))</f>
        <v>293.17014997061574</v>
      </c>
      <c r="AO11" s="59">
        <f t="shared" si="36"/>
        <v>394.32615745219954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5.5495238095238095</v>
      </c>
      <c r="BD11" s="12">
        <f>IF('Données projet'!$A$88&gt;35,BD10+BC11-BL10,IF(A11&lt;'Données projet'!$A$88,$BA$205^A11,IF(A11='Données projet'!$A$88,'Données projet'!$B$88,BD10+BC11-BL10)))</f>
        <v>44.396190476190483</v>
      </c>
      <c r="BE11" s="13">
        <f>BD11*VLOOKUP('Données projet'!$B$11,Paramètres!$A$1:$I$89,3,0)*VLOOKUP('Données projet'!$B$11,Paramètres!$A$1:$I$89,5,0)</f>
        <v>38.091931428571442</v>
      </c>
      <c r="BF11" s="13">
        <f t="shared" si="37"/>
        <v>11.491483511356018</v>
      </c>
      <c r="BG11" s="20">
        <f t="shared" si="7"/>
        <v>86.35778102037365</v>
      </c>
      <c r="BH11" s="59">
        <f t="shared" si="8"/>
        <v>352.80222546481809</v>
      </c>
      <c r="BI11" s="59">
        <f ca="1">AVERAGE(OFFSET($BH$3,0,0,'Données projet'!$E$11+1,1))-AVERAGE(OFFSET($H$3,0,0,'Données projet'!$E$11+1,1))</f>
        <v>395.14818708356353</v>
      </c>
      <c r="BJ11" s="59">
        <f t="shared" si="38"/>
        <v>311.78229491474491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4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268.5021620672548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10.515599999999999</v>
      </c>
      <c r="N12" s="13">
        <f>IF('Données projet'!$A$36&gt;35,N11+M12-V11,IF(A12&lt;'Données projet'!$A$36,$K$205^A12,IF(A12='Données projet'!$A$36,'Données projet'!$B$36,N11+M12-V11)))</f>
        <v>7.4322218353811289</v>
      </c>
      <c r="O12" s="13">
        <f>N12*VLOOKUP('Données projet'!$B$9,Paramètres!$A$1:$I$89,3,0)*VLOOKUP('Données projet'!$B$9,Paramètres!$A$1:$I$89,5,0)</f>
        <v>3.4782798189583684</v>
      </c>
      <c r="P12" s="13">
        <f t="shared" si="33"/>
        <v>1.3864421466177217</v>
      </c>
      <c r="Q12" s="20">
        <f t="shared" si="2"/>
        <v>8.4727240900450216</v>
      </c>
      <c r="R12" s="59">
        <f t="shared" si="0"/>
        <v>276.13939075671169</v>
      </c>
      <c r="S12" s="59">
        <f ca="1">AVERAGE(OFFSET($R$3,0,0,'Données projet'!$E$9+1,1))-AVERAGE(OFFSET($H$3,0,0,'Données projet'!$E$9+1,1))</f>
        <v>291.3013645858839</v>
      </c>
      <c r="T12" s="59">
        <f t="shared" si="34"/>
        <v>332.89241887762438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11.245555555555555</v>
      </c>
      <c r="AI12" s="13">
        <f>IF('Données projet'!$A$62&gt;35,AI11+AH12-AQ11,IF(A12&lt;'Données projet'!$A$62,$AF$205^A12,IF(A12='Données projet'!$A$62,'Données projet'!$B$62,AI11+AH12-AQ11)))</f>
        <v>14.227438279606069</v>
      </c>
      <c r="AJ12" s="13">
        <f>AI12*VLOOKUP('Données projet'!$B$10,Paramètres!$A$1:$I$89,3,0)*VLOOKUP('Données projet'!$B$10,Paramètres!$A$1:$I$89,5,0)</f>
        <v>6.2885277195858826</v>
      </c>
      <c r="AK12" s="13">
        <f t="shared" si="35"/>
        <v>2.3396448782338215</v>
      </c>
      <c r="AL12" s="20">
        <f t="shared" si="4"/>
        <v>15.027400607869318</v>
      </c>
      <c r="AM12" s="59">
        <f t="shared" si="5"/>
        <v>282.694067274536</v>
      </c>
      <c r="AN12" s="59">
        <f ca="1">AVERAGE(OFFSET($AM$3,0,0,'Données projet'!$E$10+1,1))-AVERAGE(OFFSET($H$3,0,0,'Données projet'!$E$10+1,1))</f>
        <v>293.17014997061574</v>
      </c>
      <c r="AO12" s="59">
        <f t="shared" si="36"/>
        <v>394.32615745219954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5.5495238095238095</v>
      </c>
      <c r="BD12" s="12">
        <f>IF('Données projet'!$A$88&gt;35,BD11+BC12-BL11,IF(A12&lt;'Données projet'!$A$88,$BA$205^A12,IF(A12='Données projet'!$A$88,'Données projet'!$B$88,BD11+BC12-BL11)))</f>
        <v>49.945714285714295</v>
      </c>
      <c r="BE12" s="13">
        <f>BD12*VLOOKUP('Données projet'!$B$11,Paramètres!$A$1:$I$89,3,0)*VLOOKUP('Données projet'!$B$11,Paramètres!$A$1:$I$89,5,0)</f>
        <v>42.853422857142867</v>
      </c>
      <c r="BF12" s="13">
        <f t="shared" si="37"/>
        <v>12.751887337142158</v>
      </c>
      <c r="BG12" s="20">
        <f t="shared" si="7"/>
        <v>96.845915255046407</v>
      </c>
      <c r="BH12" s="59">
        <f t="shared" si="8"/>
        <v>364.51258192171309</v>
      </c>
      <c r="BI12" s="59">
        <f ca="1">AVERAGE(OFFSET($BH$3,0,0,'Données projet'!$E$11+1,1))-AVERAGE(OFFSET($H$3,0,0,'Données projet'!$E$11+1,1))</f>
        <v>395.14818708356353</v>
      </c>
      <c r="BJ12" s="59">
        <f t="shared" si="38"/>
        <v>311.78229491474491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4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269.77283609992622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10.515599999999999</v>
      </c>
      <c r="N13" s="13">
        <f>IF('Données projet'!$A$36&gt;35,N12+M13-V12,IF(A13&lt;'Données projet'!$A$36,$K$205^A13,IF(A13='Données projet'!$A$36,'Données projet'!$B$36,N12+M13-V12)))</f>
        <v>9.2877309593179156</v>
      </c>
      <c r="O13" s="13">
        <f>N13*VLOOKUP('Données projet'!$B$9,Paramètres!$A$1:$I$89,3,0)*VLOOKUP('Données projet'!$B$9,Paramètres!$A$1:$I$89,5,0)</f>
        <v>4.3466580889607842</v>
      </c>
      <c r="P13" s="13">
        <f t="shared" si="33"/>
        <v>1.6882091378980575</v>
      </c>
      <c r="Q13" s="20">
        <f t="shared" si="2"/>
        <v>10.510727086779148</v>
      </c>
      <c r="R13" s="59">
        <f t="shared" si="0"/>
        <v>279.39961597566798</v>
      </c>
      <c r="S13" s="59">
        <f ca="1">AVERAGE(OFFSET($R$3,0,0,'Données projet'!$E$9+1,1))-AVERAGE(OFFSET($H$3,0,0,'Données projet'!$E$9+1,1))</f>
        <v>291.3013645858839</v>
      </c>
      <c r="T13" s="59">
        <f t="shared" si="34"/>
        <v>332.89241887762438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11.245555555555555</v>
      </c>
      <c r="AI13" s="13">
        <f>IF('Données projet'!$A$62&gt;35,AI12+AH13-AQ12,IF(A13&lt;'Données projet'!$A$62,$AF$205^A13,IF(A13='Données projet'!$A$62,'Données projet'!$B$62,AI12+AH13-AQ12)))</f>
        <v>19.109613365155429</v>
      </c>
      <c r="AJ13" s="13">
        <f>AI13*VLOOKUP('Données projet'!$B$10,Paramètres!$A$1:$I$89,3,0)*VLOOKUP('Données projet'!$B$10,Paramètres!$A$1:$I$89,5,0)</f>
        <v>8.4464491073987009</v>
      </c>
      <c r="AK13" s="13">
        <f t="shared" si="35"/>
        <v>3.0364166288570291</v>
      </c>
      <c r="AL13" s="20">
        <f t="shared" si="4"/>
        <v>19.999324490645396</v>
      </c>
      <c r="AM13" s="59">
        <f t="shared" si="5"/>
        <v>288.88821337953425</v>
      </c>
      <c r="AN13" s="59">
        <f ca="1">AVERAGE(OFFSET($AM$3,0,0,'Données projet'!$E$10+1,1))-AVERAGE(OFFSET($H$3,0,0,'Données projet'!$E$10+1,1))</f>
        <v>293.17014997061574</v>
      </c>
      <c r="AO13" s="59">
        <f t="shared" si="36"/>
        <v>394.32615745219954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5.5495238095238095</v>
      </c>
      <c r="BD13" s="12">
        <f>IF('Données projet'!$A$88&gt;35,BD12+BC13-BL12,IF(A13&lt;'Données projet'!$A$88,$BA$205^A13,IF(A13='Données projet'!$A$88,'Données projet'!$B$88,BD12+BC13-BL12)))</f>
        <v>55.495238095238108</v>
      </c>
      <c r="BE13" s="13">
        <f>BD13*VLOOKUP('Données projet'!$B$11,Paramètres!$A$1:$I$89,3,0)*VLOOKUP('Données projet'!$B$11,Paramètres!$A$1:$I$89,5,0)</f>
        <v>47.614914285714299</v>
      </c>
      <c r="BF13" s="13">
        <f t="shared" si="37"/>
        <v>13.996059682177497</v>
      </c>
      <c r="BG13" s="20">
        <f t="shared" si="7"/>
        <v>107.30577966074486</v>
      </c>
      <c r="BH13" s="59">
        <f t="shared" si="8"/>
        <v>376.19466854963372</v>
      </c>
      <c r="BI13" s="59">
        <f ca="1">AVERAGE(OFFSET($BH$3,0,0,'Données projet'!$E$11+1,1))-AVERAGE(OFFSET($H$3,0,0,'Données projet'!$E$11+1,1))</f>
        <v>395.14818708356353</v>
      </c>
      <c r="BJ13" s="59">
        <f t="shared" si="38"/>
        <v>311.78229491474491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4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271.03980360576855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10.515599999999999</v>
      </c>
      <c r="N14" s="13">
        <f>IF('Données projet'!$A$36&gt;35,N13+M14-V13,IF(A14&lt;'Données projet'!$A$36,$K$205^A14,IF(A14='Données projet'!$A$36,'Données projet'!$B$36,N13+M14-V13)))</f>
        <v>11.606481652905202</v>
      </c>
      <c r="O14" s="13">
        <f>N14*VLOOKUP('Données projet'!$B$9,Paramètres!$A$1:$I$89,3,0)*VLOOKUP('Données projet'!$B$9,Paramètres!$A$1:$I$89,5,0)</f>
        <v>5.4318334135596347</v>
      </c>
      <c r="P14" s="13">
        <f t="shared" si="33"/>
        <v>2.0556574251838118</v>
      </c>
      <c r="Q14" s="20">
        <f t="shared" si="2"/>
        <v>13.040713210811502</v>
      </c>
      <c r="R14" s="59">
        <f t="shared" si="0"/>
        <v>283.15182432192262</v>
      </c>
      <c r="S14" s="59">
        <f ca="1">AVERAGE(OFFSET($R$3,0,0,'Données projet'!$E$9+1,1))-AVERAGE(OFFSET($H$3,0,0,'Données projet'!$E$9+1,1))</f>
        <v>291.3013645858839</v>
      </c>
      <c r="T14" s="59">
        <f t="shared" si="34"/>
        <v>332.89241887762438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11.245555555555555</v>
      </c>
      <c r="AI14" s="13">
        <f>IF('Données projet'!$A$62&gt;35,AI13+AH14-AQ13,IF(A14&lt;'Données projet'!$A$62,$AF$205^A14,IF(A14='Données projet'!$A$62,'Données projet'!$B$62,AI13+AH14-AQ13)))</f>
        <v>25.667117002305357</v>
      </c>
      <c r="AJ14" s="13">
        <f>AI14*VLOOKUP('Données projet'!$B$10,Paramètres!$A$1:$I$89,3,0)*VLOOKUP('Données projet'!$B$10,Paramètres!$A$1:$I$89,5,0)</f>
        <v>11.344865715018969</v>
      </c>
      <c r="AK14" s="13">
        <f t="shared" si="35"/>
        <v>3.9406946027464893</v>
      </c>
      <c r="AL14" s="20">
        <f t="shared" si="4"/>
        <v>26.622350886774839</v>
      </c>
      <c r="AM14" s="59">
        <f t="shared" si="5"/>
        <v>296.73346199788597</v>
      </c>
      <c r="AN14" s="59">
        <f ca="1">AVERAGE(OFFSET($AM$3,0,0,'Données projet'!$E$10+1,1))-AVERAGE(OFFSET($H$3,0,0,'Données projet'!$E$10+1,1))</f>
        <v>293.17014997061574</v>
      </c>
      <c r="AO14" s="59">
        <f t="shared" si="36"/>
        <v>394.32615745219954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5.5495238095238095</v>
      </c>
      <c r="BD14" s="12">
        <f>IF('Données projet'!$A$88&gt;35,BD13+BC14-BL13,IF(A14&lt;'Données projet'!$A$88,$BA$205^A14,IF(A14='Données projet'!$A$88,'Données projet'!$B$88,BD13+BC14-BL13)))</f>
        <v>61.04476190476192</v>
      </c>
      <c r="BE14" s="13">
        <f>BD14*VLOOKUP('Données projet'!$B$11,Paramètres!$A$1:$I$89,3,0)*VLOOKUP('Données projet'!$B$11,Paramètres!$A$1:$I$89,5,0)</f>
        <v>52.376405714285731</v>
      </c>
      <c r="BF14" s="13">
        <f t="shared" si="37"/>
        <v>15.225808469063947</v>
      </c>
      <c r="BG14" s="20">
        <f t="shared" si="7"/>
        <v>117.74052303600068</v>
      </c>
      <c r="BH14" s="59">
        <f t="shared" si="8"/>
        <v>387.85163414711184</v>
      </c>
      <c r="BI14" s="59">
        <f ca="1">AVERAGE(OFFSET($BH$3,0,0,'Données projet'!$E$11+1,1))-AVERAGE(OFFSET($H$3,0,0,'Données projet'!$E$11+1,1))</f>
        <v>395.14818708356353</v>
      </c>
      <c r="BJ14" s="59">
        <f t="shared" si="38"/>
        <v>311.78229491474491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4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272.30343986297339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10.515599999999999</v>
      </c>
      <c r="N15" s="13">
        <f>IF('Données projet'!$A$36&gt;35,N14+M15-V14,IF(A15&lt;'Données projet'!$A$36,$K$205^A15,IF(A15='Données projet'!$A$36,'Données projet'!$B$36,N14+M15-V14)))</f>
        <v>14.504125598521654</v>
      </c>
      <c r="O15" s="13">
        <f>N15*VLOOKUP('Données projet'!$B$9,Paramètres!$A$1:$I$89,3,0)*VLOOKUP('Données projet'!$B$9,Paramètres!$A$1:$I$89,5,0)</f>
        <v>6.7879307801081339</v>
      </c>
      <c r="P15" s="13">
        <f t="shared" si="33"/>
        <v>2.5030829148186431</v>
      </c>
      <c r="Q15" s="20">
        <f t="shared" si="2"/>
        <v>16.181848851997469</v>
      </c>
      <c r="R15" s="59">
        <f t="shared" si="0"/>
        <v>287.51518218533079</v>
      </c>
      <c r="S15" s="59">
        <f ca="1">AVERAGE(OFFSET($R$3,0,0,'Données projet'!$E$9+1,1))-AVERAGE(OFFSET($H$3,0,0,'Données projet'!$E$9+1,1))</f>
        <v>291.3013645858839</v>
      </c>
      <c r="T15" s="59">
        <f t="shared" si="34"/>
        <v>332.89241887762438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11.245555555555555</v>
      </c>
      <c r="AI15" s="13">
        <f>IF('Données projet'!$A$62&gt;35,AI14+AH15-AQ14,IF(A15&lt;'Données projet'!$A$62,$AF$205^A15,IF(A15='Données projet'!$A$62,'Données projet'!$B$62,AI14+AH15-AQ14)))</f>
        <v>34.474841673735469</v>
      </c>
      <c r="AJ15" s="13">
        <f>AI15*VLOOKUP('Données projet'!$B$10,Paramètres!$A$1:$I$89,3,0)*VLOOKUP('Données projet'!$B$10,Paramètres!$A$1:$I$89,5,0)</f>
        <v>15.237880019791078</v>
      </c>
      <c r="AK15" s="13">
        <f t="shared" si="35"/>
        <v>5.1142764153418474</v>
      </c>
      <c r="AL15" s="20">
        <f t="shared" si="4"/>
        <v>35.446672457856508</v>
      </c>
      <c r="AM15" s="59">
        <f t="shared" si="5"/>
        <v>306.78000579118981</v>
      </c>
      <c r="AN15" s="59">
        <f ca="1">AVERAGE(OFFSET($AM$3,0,0,'Données projet'!$E$10+1,1))-AVERAGE(OFFSET($H$3,0,0,'Données projet'!$E$10+1,1))</f>
        <v>293.17014997061574</v>
      </c>
      <c r="AO15" s="59">
        <f t="shared" si="36"/>
        <v>394.32615745219954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5.5495238095238095</v>
      </c>
      <c r="BD15" s="12">
        <f>IF('Données projet'!$A$88&gt;35,BD14+BC15-BL14,IF(A15&lt;'Données projet'!$A$88,$BA$205^A15,IF(A15='Données projet'!$A$88,'Données projet'!$B$88,BD14+BC15-BL14)))</f>
        <v>66.594285714285732</v>
      </c>
      <c r="BE15" s="13">
        <f>BD15*VLOOKUP('Données projet'!$B$11,Paramètres!$A$1:$I$89,3,0)*VLOOKUP('Données projet'!$B$11,Paramètres!$A$1:$I$89,5,0)</f>
        <v>57.137897142857163</v>
      </c>
      <c r="BF15" s="13">
        <f t="shared" si="37"/>
        <v>16.442594053295224</v>
      </c>
      <c r="BG15" s="20">
        <f t="shared" si="7"/>
        <v>128.15268883329873</v>
      </c>
      <c r="BH15" s="59">
        <f t="shared" si="8"/>
        <v>399.48602216663204</v>
      </c>
      <c r="BI15" s="59">
        <f ca="1">AVERAGE(OFFSET($BH$3,0,0,'Données projet'!$E$11+1,1))-AVERAGE(OFFSET($H$3,0,0,'Données projet'!$E$11+1,1))</f>
        <v>395.14818708356353</v>
      </c>
      <c r="BJ15" s="59">
        <f t="shared" si="38"/>
        <v>311.78229491474491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4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273.56405403670931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10.515599999999999</v>
      </c>
      <c r="N16" s="13">
        <f>IF('Données projet'!$A$36&gt;35,N15+M16-V15,IF(A16&lt;'Données projet'!$A$36,$K$205^A16,IF(A16='Données projet'!$A$36,'Données projet'!$B$36,N15+M16-V15)))</f>
        <v>18.125187776007365</v>
      </c>
      <c r="O16" s="13">
        <f>N16*VLOOKUP('Données projet'!$B$9,Paramètres!$A$1:$I$89,3,0)*VLOOKUP('Données projet'!$B$9,Paramètres!$A$1:$I$89,5,0)</f>
        <v>8.4825878791714473</v>
      </c>
      <c r="P16" s="13">
        <f t="shared" si="33"/>
        <v>3.0478930981881649</v>
      </c>
      <c r="Q16" s="20">
        <f t="shared" si="2"/>
        <v>20.082254368901324</v>
      </c>
      <c r="R16" s="59">
        <f t="shared" si="0"/>
        <v>292.63780992445686</v>
      </c>
      <c r="S16" s="59">
        <f ca="1">AVERAGE(OFFSET($R$3,0,0,'Données projet'!$E$9+1,1))-AVERAGE(OFFSET($H$3,0,0,'Données projet'!$E$9+1,1))</f>
        <v>291.3013645858839</v>
      </c>
      <c r="T16" s="59">
        <f t="shared" si="34"/>
        <v>332.89241887762438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11.245555555555555</v>
      </c>
      <c r="AI16" s="13">
        <f>IF('Données projet'!$A$62&gt;35,AI15+AH16-AQ15,IF(A16&lt;'Données projet'!$A$62,$AF$205^A16,IF(A16='Données projet'!$A$62,'Données projet'!$B$62,AI15+AH16-AQ15)))</f>
        <v>46.304955415225571</v>
      </c>
      <c r="AJ16" s="13">
        <f>AI16*VLOOKUP('Données projet'!$B$10,Paramètres!$A$1:$I$89,3,0)*VLOOKUP('Données projet'!$B$10,Paramètres!$A$1:$I$89,5,0)</f>
        <v>20.466790293529705</v>
      </c>
      <c r="AK16" s="13">
        <f t="shared" si="35"/>
        <v>6.6373636856538978</v>
      </c>
      <c r="AL16" s="20">
        <f t="shared" si="4"/>
        <v>47.206401513744773</v>
      </c>
      <c r="AM16" s="59">
        <f t="shared" si="5"/>
        <v>319.76195706930031</v>
      </c>
      <c r="AN16" s="59">
        <f ca="1">AVERAGE(OFFSET($AM$3,0,0,'Données projet'!$E$10+1,1))-AVERAGE(OFFSET($H$3,0,0,'Données projet'!$E$10+1,1))</f>
        <v>293.17014997061574</v>
      </c>
      <c r="AO16" s="59">
        <f t="shared" si="36"/>
        <v>394.32615745219954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5.5495238095238095</v>
      </c>
      <c r="BD16" s="12">
        <f>IF('Données projet'!$A$88&gt;35,BD15+BC16-BL15,IF(A16&lt;'Données projet'!$A$88,$BA$205^A16,IF(A16='Données projet'!$A$88,'Données projet'!$B$88,BD15+BC16-BL15)))</f>
        <v>72.143809523809537</v>
      </c>
      <c r="BE16" s="13">
        <f>BD16*VLOOKUP('Données projet'!$B$11,Paramètres!$A$1:$I$89,3,0)*VLOOKUP('Données projet'!$B$11,Paramètres!$A$1:$I$89,5,0)</f>
        <v>61.899388571428595</v>
      </c>
      <c r="BF16" s="13">
        <f t="shared" si="37"/>
        <v>17.647619518510815</v>
      </c>
      <c r="BG16" s="20">
        <f t="shared" si="7"/>
        <v>138.54437242331113</v>
      </c>
      <c r="BH16" s="59">
        <f t="shared" si="8"/>
        <v>411.09992797886667</v>
      </c>
      <c r="BI16" s="59">
        <f ca="1">AVERAGE(OFFSET($BH$3,0,0,'Données projet'!$E$11+1,1))-AVERAGE(OFFSET($H$3,0,0,'Données projet'!$E$11+1,1))</f>
        <v>395.14818708356353</v>
      </c>
      <c r="BJ16" s="59">
        <f t="shared" si="38"/>
        <v>311.78229491474491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4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274.82190502633887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10.515599999999999</v>
      </c>
      <c r="N17" s="13">
        <f>IF('Données projet'!$A$36&gt;35,N16+M17-V16,IF(A17&lt;'Données projet'!$A$36,$K$205^A17,IF(A17='Données projet'!$A$36,'Données projet'!$B$36,N16+M17-V16)))</f>
        <v>22.650274894821084</v>
      </c>
      <c r="O17" s="13">
        <f>N17*VLOOKUP('Données projet'!$B$9,Paramètres!$A$1:$I$89,3,0)*VLOOKUP('Données projet'!$B$9,Paramètres!$A$1:$I$89,5,0)</f>
        <v>10.600328650776268</v>
      </c>
      <c r="P17" s="13">
        <f t="shared" si="33"/>
        <v>3.7112843058401515</v>
      </c>
      <c r="Q17" s="20">
        <f t="shared" si="2"/>
        <v>24.926059232773596</v>
      </c>
      <c r="R17" s="59">
        <f t="shared" si="0"/>
        <v>298.70383701055135</v>
      </c>
      <c r="S17" s="59">
        <f ca="1">AVERAGE(OFFSET($R$3,0,0,'Données projet'!$E$9+1,1))-AVERAGE(OFFSET($H$3,0,0,'Données projet'!$E$9+1,1))</f>
        <v>291.3013645858839</v>
      </c>
      <c r="T17" s="59">
        <f t="shared" si="34"/>
        <v>332.89241887762438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11.245555555555555</v>
      </c>
      <c r="AI17" s="13">
        <f>IF('Données projet'!$A$62&gt;35,AI16+AH17-AQ16,IF(A17&lt;'Données projet'!$A$62,$AF$205^A17,IF(A17='Données projet'!$A$62,'Données projet'!$B$62,AI16+AH17-AQ16)))</f>
        <v>62.194597332684488</v>
      </c>
      <c r="AJ17" s="13">
        <f>AI17*VLOOKUP('Données projet'!$B$10,Paramètres!$A$1:$I$89,3,0)*VLOOKUP('Données projet'!$B$10,Paramètres!$A$1:$I$89,5,0)</f>
        <v>27.490012021046546</v>
      </c>
      <c r="AK17" s="13">
        <f t="shared" si="35"/>
        <v>8.6140429491612434</v>
      </c>
      <c r="AL17" s="20">
        <f t="shared" si="4"/>
        <v>62.881229073111903</v>
      </c>
      <c r="AM17" s="59">
        <f t="shared" si="5"/>
        <v>336.65900685088968</v>
      </c>
      <c r="AN17" s="59">
        <f ca="1">AVERAGE(OFFSET($AM$3,0,0,'Données projet'!$E$10+1,1))-AVERAGE(OFFSET($H$3,0,0,'Données projet'!$E$10+1,1))</f>
        <v>293.17014997061574</v>
      </c>
      <c r="AO17" s="59">
        <f t="shared" si="36"/>
        <v>394.32615745219954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5.5495238095238095</v>
      </c>
      <c r="BD17" s="12">
        <f>IF('Données projet'!$A$88&gt;35,BD16+BC17-BL16,IF(A17&lt;'Données projet'!$A$88,$BA$205^A17,IF(A17='Données projet'!$A$88,'Données projet'!$B$88,BD16+BC17-BL16)))</f>
        <v>77.693333333333342</v>
      </c>
      <c r="BE17" s="13">
        <f>BD17*VLOOKUP('Données projet'!$B$11,Paramètres!$A$1:$I$89,3,0)*VLOOKUP('Données projet'!$B$11,Paramètres!$A$1:$I$89,5,0)</f>
        <v>66.660880000000006</v>
      </c>
      <c r="BF17" s="13">
        <f t="shared" si="37"/>
        <v>18.841892344268349</v>
      </c>
      <c r="BG17" s="20">
        <f t="shared" si="7"/>
        <v>148.9173284996007</v>
      </c>
      <c r="BH17" s="59">
        <f t="shared" si="8"/>
        <v>422.6951062773785</v>
      </c>
      <c r="BI17" s="59">
        <f ca="1">AVERAGE(OFFSET($BH$3,0,0,'Données projet'!$E$11+1,1))-AVERAGE(OFFSET($H$3,0,0,'Données projet'!$E$11+1,1))</f>
        <v>395.14818708356353</v>
      </c>
      <c r="BJ17" s="59">
        <f t="shared" si="38"/>
        <v>311.78229491474491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4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276.07721264982155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10.515599999999999</v>
      </c>
      <c r="N18" s="13">
        <f>IF('Données projet'!$A$36&gt;35,N17+M18-V17,IF(A18&lt;'Données projet'!$A$36,$K$205^A18,IF(A18='Données projet'!$A$36,'Données projet'!$B$36,N17+M18-V17)))</f>
        <v>28.305083464573851</v>
      </c>
      <c r="O18" s="13">
        <f>N18*VLOOKUP('Données projet'!$B$9,Paramètres!$A$1:$I$89,3,0)*VLOOKUP('Données projet'!$B$9,Paramètres!$A$1:$I$89,5,0)</f>
        <v>13.246779061420563</v>
      </c>
      <c r="P18" s="13">
        <f t="shared" si="33"/>
        <v>4.5190663698025437</v>
      </c>
      <c r="Q18" s="20">
        <f t="shared" si="2"/>
        <v>30.942180792713575</v>
      </c>
      <c r="R18" s="59">
        <f t="shared" si="0"/>
        <v>305.9421807927136</v>
      </c>
      <c r="S18" s="59">
        <f ca="1">AVERAGE(OFFSET($R$3,0,0,'Données projet'!$E$9+1,1))-AVERAGE(OFFSET($H$3,0,0,'Données projet'!$E$9+1,1))</f>
        <v>291.3013645858839</v>
      </c>
      <c r="T18" s="59">
        <f t="shared" si="34"/>
        <v>332.89241887762438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11.245555555555555</v>
      </c>
      <c r="AI18" s="13">
        <f>IF('Données projet'!$A$62&gt;35,AI17+AH18-AQ17,IF(A18&lt;'Données projet'!$A$62,$AF$205^A18,IF(A18='Données projet'!$A$62,'Données projet'!$B$62,AI17+AH18-AQ17)))</f>
        <v>83.536802976876828</v>
      </c>
      <c r="AJ18" s="13">
        <f>AI18*VLOOKUP('Données projet'!$B$10,Paramètres!$A$1:$I$89,3,0)*VLOOKUP('Données projet'!$B$10,Paramètres!$A$1:$I$89,5,0)</f>
        <v>36.923266915779557</v>
      </c>
      <c r="AK18" s="13">
        <f t="shared" si="35"/>
        <v>11.179398846318358</v>
      </c>
      <c r="AL18" s="20">
        <f t="shared" si="4"/>
        <v>83.778809535653863</v>
      </c>
      <c r="AM18" s="59">
        <f t="shared" si="5"/>
        <v>358.77880953565386</v>
      </c>
      <c r="AN18" s="59">
        <f ca="1">AVERAGE(OFFSET($AM$3,0,0,'Données projet'!$E$10+1,1))-AVERAGE(OFFSET($H$3,0,0,'Données projet'!$E$10+1,1))</f>
        <v>293.17014997061574</v>
      </c>
      <c r="AO18" s="59">
        <f t="shared" si="36"/>
        <v>394.32615745219954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5.5495238095238095</v>
      </c>
      <c r="BD18" s="12">
        <f>IF('Données projet'!$A$88&gt;35,BD17+BC18-BL17,IF(A18&lt;'Données projet'!$A$88,$BA$205^A18,IF(A18='Données projet'!$A$88,'Données projet'!$B$88,BD17+BC18-BL17)))</f>
        <v>83.242857142857147</v>
      </c>
      <c r="BE18" s="13">
        <f>BD18*VLOOKUP('Données projet'!$B$11,Paramètres!$A$1:$I$89,3,0)*VLOOKUP('Données projet'!$B$11,Paramètres!$A$1:$I$89,5,0)</f>
        <v>71.422371428571438</v>
      </c>
      <c r="BF18" s="13">
        <f t="shared" si="37"/>
        <v>20.026267928968277</v>
      </c>
      <c r="BG18" s="20">
        <f t="shared" si="7"/>
        <v>159.27304688104832</v>
      </c>
      <c r="BH18" s="59">
        <f t="shared" si="8"/>
        <v>434.27304688104834</v>
      </c>
      <c r="BI18" s="59">
        <f ca="1">AVERAGE(OFFSET($BH$3,0,0,'Données projet'!$E$11+1,1))-AVERAGE(OFFSET($H$3,0,0,'Données projet'!$E$11+1,1))</f>
        <v>395.14818708356353</v>
      </c>
      <c r="BJ18" s="59">
        <f t="shared" si="38"/>
        <v>311.78229491474491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4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277.33016575790663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10.515599999999999</v>
      </c>
      <c r="N19" s="13">
        <f>IF('Données projet'!$A$36&gt;35,N18+M19-V18,IF(A19&lt;'Données projet'!$A$36,$K$205^A19,IF(A19='Données projet'!$A$36,'Données projet'!$B$36,N18+M19-V18)))</f>
        <v>35.371656796963606</v>
      </c>
      <c r="O19" s="13">
        <f>N19*VLOOKUP('Données projet'!$B$9,Paramètres!$A$1:$I$89,3,0)*VLOOKUP('Données projet'!$B$9,Paramètres!$A$1:$I$89,5,0)</f>
        <v>16.553935380978967</v>
      </c>
      <c r="P19" s="13">
        <f t="shared" si="33"/>
        <v>5.5026667783289804</v>
      </c>
      <c r="Q19" s="20">
        <f t="shared" si="2"/>
        <v>38.415248760794668</v>
      </c>
      <c r="R19" s="59">
        <f t="shared" si="0"/>
        <v>314.6374709830169</v>
      </c>
      <c r="S19" s="59">
        <f ca="1">AVERAGE(OFFSET($R$3,0,0,'Données projet'!$E$9+1,1))-AVERAGE(OFFSET($H$3,0,0,'Données projet'!$E$9+1,1))</f>
        <v>291.3013645858839</v>
      </c>
      <c r="T19" s="59">
        <f t="shared" si="34"/>
        <v>332.89241887762438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11.245555555555555</v>
      </c>
      <c r="AI19" s="13">
        <f>IF('Données projet'!$A$62&gt;35,AI18+AH19-AQ18,IF(A19&lt;'Données projet'!$A$62,$AF$205^A19,IF(A19='Données projet'!$A$62,'Données projet'!$B$62,AI18+AH19-AQ18)))</f>
        <v>112.20263094991134</v>
      </c>
      <c r="AJ19" s="13">
        <f>AI19*VLOOKUP('Données projet'!$B$10,Paramètres!$A$1:$I$89,3,0)*VLOOKUP('Données projet'!$B$10,Paramètres!$A$1:$I$89,5,0)</f>
        <v>49.593562879860812</v>
      </c>
      <c r="AK19" s="13">
        <f t="shared" si="35"/>
        <v>14.5087456961465</v>
      </c>
      <c r="AL19" s="20">
        <f t="shared" si="4"/>
        <v>111.64485410321275</v>
      </c>
      <c r="AM19" s="59">
        <f t="shared" si="5"/>
        <v>387.86707632543499</v>
      </c>
      <c r="AN19" s="59">
        <f ca="1">AVERAGE(OFFSET($AM$3,0,0,'Données projet'!$E$10+1,1))-AVERAGE(OFFSET($H$3,0,0,'Données projet'!$E$10+1,1))</f>
        <v>293.17014997061574</v>
      </c>
      <c r="AO19" s="59">
        <f t="shared" si="36"/>
        <v>394.32615745219954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5.5495238095238095</v>
      </c>
      <c r="BD19" s="12">
        <f>IF('Données projet'!$A$88&gt;35,BD18+BC19-BL18,IF(A19&lt;'Données projet'!$A$88,$BA$205^A19,IF(A19='Données projet'!$A$88,'Données projet'!$B$88,BD18+BC19-BL18)))</f>
        <v>88.792380952380952</v>
      </c>
      <c r="BE19" s="13">
        <f>BD19*VLOOKUP('Données projet'!$B$11,Paramètres!$A$1:$I$89,3,0)*VLOOKUP('Données projet'!$B$11,Paramètres!$A$1:$I$89,5,0)</f>
        <v>76.18386285714287</v>
      </c>
      <c r="BF19" s="13">
        <f t="shared" si="37"/>
        <v>21.201481165379388</v>
      </c>
      <c r="BG19" s="20">
        <f t="shared" si="7"/>
        <v>169.61280750589293</v>
      </c>
      <c r="BH19" s="59">
        <f t="shared" si="8"/>
        <v>445.83502972811516</v>
      </c>
      <c r="BI19" s="59">
        <f ca="1">AVERAGE(OFFSET($BH$3,0,0,'Données projet'!$E$11+1,1))-AVERAGE(OFFSET($H$3,0,0,'Données projet'!$E$11+1,1))</f>
        <v>395.14818708356353</v>
      </c>
      <c r="BJ19" s="59">
        <f t="shared" si="38"/>
        <v>311.78229491474491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4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278.58092826076489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10.515599999999999</v>
      </c>
      <c r="N20" s="13">
        <f>IF('Données projet'!$A$36&gt;35,N19+M20-V19,IF(A20&lt;'Données projet'!$A$36,$K$205^A20,IF(A20='Données projet'!$A$36,'Données projet'!$B$36,N19+M20-V19)))</f>
        <v>44.202452401460114</v>
      </c>
      <c r="O20" s="13">
        <f>N20*VLOOKUP('Données projet'!$B$9,Paramètres!$A$1:$I$89,3,0)*VLOOKUP('Données projet'!$B$9,Paramètres!$A$1:$I$89,5,0)</f>
        <v>20.686747723883332</v>
      </c>
      <c r="P20" s="13">
        <f t="shared" si="33"/>
        <v>6.7003533906160557</v>
      </c>
      <c r="Q20" s="20">
        <f t="shared" si="2"/>
        <v>47.699201107753105</v>
      </c>
      <c r="R20" s="59">
        <f t="shared" si="0"/>
        <v>325.14364555219754</v>
      </c>
      <c r="S20" s="59">
        <f ca="1">AVERAGE(OFFSET($R$3,0,0,'Données projet'!$E$9+1,1))-AVERAGE(OFFSET($H$3,0,0,'Données projet'!$E$9+1,1))</f>
        <v>291.3013645858839</v>
      </c>
      <c r="T20" s="59">
        <f t="shared" si="34"/>
        <v>332.89241887762438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11.245555555555555</v>
      </c>
      <c r="AI20" s="13">
        <f>IF('Données projet'!$A$62&gt;35,AI19+AH20-AQ19,IF(A20&lt;'Données projet'!$A$62,$AF$205^A20,IF(A20='Données projet'!$A$62,'Données projet'!$B$62,AI19+AH20-AQ19)))</f>
        <v>150.70519751117101</v>
      </c>
      <c r="AJ20" s="13">
        <f>AI20*VLOOKUP('Données projet'!$B$10,Paramètres!$A$1:$I$89,3,0)*VLOOKUP('Données projet'!$B$10,Paramètres!$A$1:$I$89,5,0)</f>
        <v>66.611697299937589</v>
      </c>
      <c r="AK20" s="13">
        <f t="shared" si="35"/>
        <v>18.829608333078969</v>
      </c>
      <c r="AL20" s="20">
        <f t="shared" si="4"/>
        <v>148.81027397750384</v>
      </c>
      <c r="AM20" s="59">
        <f t="shared" si="5"/>
        <v>426.25471842194827</v>
      </c>
      <c r="AN20" s="59">
        <f ca="1">AVERAGE(OFFSET($AM$3,0,0,'Données projet'!$E$10+1,1))-AVERAGE(OFFSET($H$3,0,0,'Données projet'!$E$10+1,1))</f>
        <v>293.17014997061574</v>
      </c>
      <c r="AO20" s="59">
        <f t="shared" si="36"/>
        <v>394.32615745219954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5.5495238095238095</v>
      </c>
      <c r="BD20" s="12">
        <f>IF('Données projet'!$A$88&gt;35,BD19+BC20-BL19,IF(A20&lt;'Données projet'!$A$88,$BA$205^A20,IF(A20='Données projet'!$A$88,'Données projet'!$B$88,BD19+BC20-BL19)))</f>
        <v>94.341904761904757</v>
      </c>
      <c r="BE20" s="13">
        <f>BD20*VLOOKUP('Données projet'!$B$11,Paramètres!$A$1:$I$89,3,0)*VLOOKUP('Données projet'!$B$11,Paramètres!$A$1:$I$89,5,0)</f>
        <v>80.945354285714288</v>
      </c>
      <c r="BF20" s="13">
        <f t="shared" si="37"/>
        <v>22.36816989264025</v>
      </c>
      <c r="BG20" s="20">
        <f t="shared" si="7"/>
        <v>179.93772127730082</v>
      </c>
      <c r="BH20" s="59">
        <f t="shared" si="8"/>
        <v>457.38216572174531</v>
      </c>
      <c r="BI20" s="59">
        <f ca="1">AVERAGE(OFFSET($BH$3,0,0,'Données projet'!$E$11+1,1))-AVERAGE(OFFSET($H$3,0,0,'Données projet'!$E$11+1,1))</f>
        <v>395.14818708356353</v>
      </c>
      <c r="BJ20" s="59">
        <f t="shared" si="38"/>
        <v>311.78229491474491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4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279.82964369567594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10.515599999999999</v>
      </c>
      <c r="N21" s="13">
        <f>IF('Données projet'!$A$36&gt;35,N20+M21-V20,IF(A21&lt;'Données projet'!$A$36,$K$205^A21,IF(A21='Données projet'!$A$36,'Données projet'!$B$36,N20+M21-V20)))</f>
        <v>55.237921410316048</v>
      </c>
      <c r="O21" s="13">
        <f>N21*VLOOKUP('Données projet'!$B$9,Paramètres!$A$1:$I$89,3,0)*VLOOKUP('Données projet'!$B$9,Paramètres!$A$1:$I$89,5,0)</f>
        <v>25.851347220027911</v>
      </c>
      <c r="P21" s="13">
        <f t="shared" si="33"/>
        <v>8.1587232823088396</v>
      </c>
      <c r="Q21" s="20">
        <f t="shared" si="2"/>
        <v>59.234206124903181</v>
      </c>
      <c r="R21" s="59">
        <f t="shared" si="0"/>
        <v>337.9008727915699</v>
      </c>
      <c r="S21" s="59">
        <f ca="1">AVERAGE(OFFSET($R$3,0,0,'Données projet'!$E$9+1,1))-AVERAGE(OFFSET($H$3,0,0,'Données projet'!$E$9+1,1))</f>
        <v>291.3013645858839</v>
      </c>
      <c r="T21" s="59">
        <f t="shared" si="34"/>
        <v>332.89241887762438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202.42</v>
      </c>
      <c r="AG21" s="12">
        <f>VLOOKUP(A21,'Données projet'!$A$61:$I$81,9,0)</f>
        <v>11.245555555555555</v>
      </c>
      <c r="AH21" s="12">
        <f t="array" ref="AH21">INDEX(AG:AG,MIN(IF(ISNUMBER(AG21:AG217),ROW(AG21:AG217),"")))</f>
        <v>11.245555555555555</v>
      </c>
      <c r="AI21" s="13">
        <f>IF('Données projet'!$A$62&gt;35,AI20+AH21-AQ20,IF(A21&lt;'Données projet'!$A$62,$AF$205^A21,IF(A21='Données projet'!$A$62,'Données projet'!$B$62,AI20+AH21-AQ20)))</f>
        <v>202.42</v>
      </c>
      <c r="AJ21" s="13">
        <f>AI21*VLOOKUP('Données projet'!$B$10,Paramètres!$A$1:$I$89,3,0)*VLOOKUP('Données projet'!$B$10,Paramètres!$A$1:$I$89,5,0)</f>
        <v>89.469639999999998</v>
      </c>
      <c r="AK21" s="13">
        <f t="shared" si="35"/>
        <v>24.437270967629235</v>
      </c>
      <c r="AL21" s="20">
        <f t="shared" si="4"/>
        <v>198.38786993528757</v>
      </c>
      <c r="AM21" s="59">
        <f t="shared" si="5"/>
        <v>477.05453660195428</v>
      </c>
      <c r="AN21" s="59">
        <f ca="1">AVERAGE(OFFSET($AM$3,0,0,'Données projet'!$E$10+1,1))-AVERAGE(OFFSET($H$3,0,0,'Données projet'!$E$10+1,1))</f>
        <v>293.17014997061574</v>
      </c>
      <c r="AO21" s="59">
        <f t="shared" si="36"/>
        <v>394.32615745219954</v>
      </c>
      <c r="AP21" s="15">
        <f>IF(ISNA(VLOOKUP(A21,'Données projet'!$A$61:$I$81,3,0)),0,VLOOKUP(A21,'Données projet'!$A$61:$I$81,3,0))</f>
        <v>1</v>
      </c>
      <c r="AQ21" s="15">
        <f>IF(ISNA(VLOOKUP(A21,'Données projet'!$A$61:$I$81,4,0)),0,VLOOKUP(A21,'Données projet'!$A$61:$I$81,4,0))</f>
        <v>74.829999999999984</v>
      </c>
      <c r="AR21" s="16">
        <f>IF(ISNA(VLOOKUP(A21,'Données projet'!$A$61:$I$81,5,0)),0%,VLOOKUP(A21,'Données projet'!$A$61:$I$81,5,0)*VLOOKUP('Données projet'!$B$10,Paramètres!$A$1:$I$89,7,0))</f>
        <v>0.13750000000000001</v>
      </c>
      <c r="AS21" s="16">
        <f>IF(ISNA(VLOOKUP(A21,'Données projet'!$A$61:$I$81,6,0)),0%,VLOOKUP(A21,'Données projet'!$A$61:$I$81,6,0)*VLOOKUP('Données projet'!$B$10,Paramètres!$A$1:$I$89,7,0))</f>
        <v>0.20350000000000001</v>
      </c>
      <c r="AT21" s="16">
        <f>IF(ISNA(VLOOKUP(A21,'Données projet'!$A$61:$I$81,7,0)),0%,VLOOKUP(A21,'Données projet'!$A$61:$I$81,7,0))</f>
        <v>0.38</v>
      </c>
      <c r="AU21" s="21">
        <f>EXP(-LN(2)/35)*AU20+(1-EXP(-LN(2)/35))/(LN(2)/35)*AQ21*AR21*VLOOKUP('Données projet'!$B$10,Paramètres!$A$1:$I$89,3,0)*0.475*44/12</f>
        <v>6.0329408761378671</v>
      </c>
      <c r="AV21" s="21">
        <f>EXP(-LN(2)/25)*AV20+(1-EXP(-LN(2)/25))/(LN(2)/25)*Calculateur!AQ21*Calculateur!AS21*VLOOKUP('Données projet'!$B$10,Paramètres!$A$1:$I$89,3,0)*0.475*44/12</f>
        <v>8.8935965959831744</v>
      </c>
      <c r="AW21" s="21">
        <f>EXP(-LN(2)/2)*AW20+(1-EXP(-LN(2)/2))/(LN(2)/2)*AQ21*AT21*VLOOKUP('Données projet'!$B$10,Paramètres!$A$1:$I$89,3,0)*0.475*44/12</f>
        <v>14.230401396703156</v>
      </c>
      <c r="AX21" s="21">
        <f t="shared" si="6"/>
        <v>29.156938868824199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5.5495238095238095</v>
      </c>
      <c r="BD21" s="12">
        <f>IF('Données projet'!$A$88&gt;35,BD20+BC21-BL20,IF(A21&lt;'Données projet'!$A$88,$BA$205^A21,IF(A21='Données projet'!$A$88,'Données projet'!$B$88,BD20+BC21-BL20)))</f>
        <v>99.891428571428563</v>
      </c>
      <c r="BE21" s="13">
        <f>BD21*VLOOKUP('Données projet'!$B$11,Paramètres!$A$1:$I$89,3,0)*VLOOKUP('Données projet'!$B$11,Paramètres!$A$1:$I$89,5,0)</f>
        <v>85.70684571428572</v>
      </c>
      <c r="BF21" s="13">
        <f t="shared" si="37"/>
        <v>23.526892670932149</v>
      </c>
      <c r="BG21" s="20">
        <f t="shared" si="7"/>
        <v>190.24876102092108</v>
      </c>
      <c r="BH21" s="59">
        <f t="shared" si="8"/>
        <v>468.91542768758779</v>
      </c>
      <c r="BI21" s="59">
        <f ca="1">AVERAGE(OFFSET($BH$3,0,0,'Données projet'!$E$11+1,1))-AVERAGE(OFFSET($H$3,0,0,'Données projet'!$E$11+1,1))</f>
        <v>395.14818708356353</v>
      </c>
      <c r="BJ21" s="59">
        <f t="shared" si="38"/>
        <v>311.78229491474491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4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281.07643875057323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10.515599999999999</v>
      </c>
      <c r="N22" s="13">
        <f>IF('Données projet'!$A$36&gt;35,N21+M22-V21,IF(A22&lt;'Données projet'!$A$36,$K$205^A22,IF(A22='Données projet'!$A$36,'Données projet'!$B$36,N21+M22-V21)))</f>
        <v>69.028476836987949</v>
      </c>
      <c r="O22" s="13">
        <f>N22*VLOOKUP('Données projet'!$B$9,Paramètres!$A$1:$I$89,3,0)*VLOOKUP('Données projet'!$B$9,Paramètres!$A$1:$I$89,5,0)</f>
        <v>32.305327159710359</v>
      </c>
      <c r="P22" s="13">
        <f t="shared" si="33"/>
        <v>9.9345156466692206</v>
      </c>
      <c r="Q22" s="20">
        <f t="shared" si="2"/>
        <v>73.567726221111101</v>
      </c>
      <c r="R22" s="59">
        <f t="shared" si="0"/>
        <v>353.45661510999997</v>
      </c>
      <c r="S22" s="59">
        <f ca="1">AVERAGE(OFFSET($R$3,0,0,'Données projet'!$E$9+1,1))-AVERAGE(OFFSET($H$3,0,0,'Données projet'!$E$9+1,1))</f>
        <v>291.3013645858839</v>
      </c>
      <c r="T22" s="59">
        <f t="shared" si="34"/>
        <v>332.89241887762438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26.928333333333338</v>
      </c>
      <c r="AI22" s="13">
        <f>IF('Données projet'!$A$62&gt;35,AI21+AH22-AQ21,IF(A22&lt;'Données projet'!$A$62,$AF$205^A22,IF(A22='Données projet'!$A$62,'Données projet'!$B$62,AI21+AH22-AQ21)))</f>
        <v>154.51833333333335</v>
      </c>
      <c r="AJ22" s="13">
        <f>AI22*VLOOKUP('Données projet'!$B$10,Paramètres!$A$1:$I$89,3,0)*VLOOKUP('Données projet'!$B$10,Paramètres!$A$1:$I$89,5,0)</f>
        <v>68.297103333333354</v>
      </c>
      <c r="AK22" s="13">
        <f t="shared" si="35"/>
        <v>19.249964077975765</v>
      </c>
      <c r="AL22" s="20">
        <f t="shared" si="4"/>
        <v>152.47780907469669</v>
      </c>
      <c r="AM22" s="59">
        <f t="shared" si="5"/>
        <v>432.36669796358558</v>
      </c>
      <c r="AN22" s="59">
        <f ca="1">AVERAGE(OFFSET($AM$3,0,0,'Données projet'!$E$10+1,1))-AVERAGE(OFFSET($H$3,0,0,'Données projet'!$E$10+1,1))</f>
        <v>293.17014997061574</v>
      </c>
      <c r="AO22" s="59">
        <f t="shared" si="36"/>
        <v>394.32615745219954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5.9146385852873946</v>
      </c>
      <c r="AV22" s="21">
        <f>EXP(-LN(2)/25)*AV21+(1-EXP(-LN(2)/25))/(LN(2)/25)*Calculateur!AQ22*Calculateur!AS22*VLOOKUP('Données projet'!$B$10,Paramètres!$A$1:$I$89,3,0)*0.475*44/12</f>
        <v>8.6504007293720964</v>
      </c>
      <c r="AW22" s="21">
        <f>EXP(-LN(2)/2)*AW21+(1-EXP(-LN(2)/2))/(LN(2)/2)*AQ22*AT22*VLOOKUP('Données projet'!$B$10,Paramètres!$A$1:$I$89,3,0)*0.475*44/12</f>
        <v>10.062413326615319</v>
      </c>
      <c r="AX22" s="21">
        <f t="shared" si="6"/>
        <v>24.627452641274807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5.5495238095238095</v>
      </c>
      <c r="BD22" s="12">
        <f>IF('Données projet'!$A$88&gt;35,BD21+BC22-BL21,IF(A22&lt;'Données projet'!$A$88,$BA$205^A22,IF(A22='Données projet'!$A$88,'Données projet'!$B$88,BD21+BC22-BL21)))</f>
        <v>105.44095238095237</v>
      </c>
      <c r="BE22" s="13">
        <f>BD22*VLOOKUP('Données projet'!$B$11,Paramètres!$A$1:$I$89,3,0)*VLOOKUP('Données projet'!$B$11,Paramètres!$A$1:$I$89,5,0)</f>
        <v>90.468337142857152</v>
      </c>
      <c r="BF22" s="13">
        <f t="shared" si="37"/>
        <v>24.678142492984033</v>
      </c>
      <c r="BG22" s="20">
        <f t="shared" si="7"/>
        <v>200.5467853657567</v>
      </c>
      <c r="BH22" s="59">
        <f t="shared" si="8"/>
        <v>480.43567425464556</v>
      </c>
      <c r="BI22" s="59">
        <f ca="1">AVERAGE(OFFSET($BH$3,0,0,'Données projet'!$E$11+1,1))-AVERAGE(OFFSET($H$3,0,0,'Données projet'!$E$11+1,1))</f>
        <v>395.14818708356353</v>
      </c>
      <c r="BJ22" s="59">
        <f t="shared" si="38"/>
        <v>311.78229491474491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4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282.32142602462875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10.515599999999999</v>
      </c>
      <c r="N23" s="13">
        <f>IF('Données projet'!$A$36&gt;35,N22+M23-V22,IF(A23&lt;'Données projet'!$A$36,$K$205^A23,IF(A23='Données projet'!$A$36,'Données projet'!$B$36,N22+M23-V22)))</f>
        <v>86.261946372672512</v>
      </c>
      <c r="O23" s="13">
        <f>N23*VLOOKUP('Données projet'!$B$9,Paramètres!$A$1:$I$89,3,0)*VLOOKUP('Données projet'!$B$9,Paramètres!$A$1:$I$89,5,0)</f>
        <v>40.370590902410733</v>
      </c>
      <c r="P23" s="13">
        <f t="shared" si="33"/>
        <v>12.096819283958599</v>
      </c>
      <c r="Q23" s="20">
        <f t="shared" si="2"/>
        <v>91.380739407926583</v>
      </c>
      <c r="R23" s="59">
        <f t="shared" si="0"/>
        <v>372.49185051903771</v>
      </c>
      <c r="S23" s="59">
        <f ca="1">AVERAGE(OFFSET($R$3,0,0,'Données projet'!$E$9+1,1))-AVERAGE(OFFSET($H$3,0,0,'Données projet'!$E$9+1,1))</f>
        <v>291.3013645858839</v>
      </c>
      <c r="T23" s="59">
        <f t="shared" si="34"/>
        <v>332.89241887762438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26.928333333333338</v>
      </c>
      <c r="AI23" s="13">
        <f>IF('Données projet'!$A$62&gt;35,AI22+AH23-AQ22,IF(A23&lt;'Données projet'!$A$62,$AF$205^A23,IF(A23='Données projet'!$A$62,'Données projet'!$B$62,AI22+AH23-AQ22)))</f>
        <v>181.44666666666669</v>
      </c>
      <c r="AJ23" s="13">
        <f>AI23*VLOOKUP('Données projet'!$B$10,Paramètres!$A$1:$I$89,3,0)*VLOOKUP('Données projet'!$B$10,Paramètres!$A$1:$I$89,5,0)</f>
        <v>80.199426666666682</v>
      </c>
      <c r="AK23" s="13">
        <f t="shared" si="35"/>
        <v>22.185937917608477</v>
      </c>
      <c r="AL23" s="20">
        <f t="shared" si="4"/>
        <v>178.32117665094589</v>
      </c>
      <c r="AM23" s="59">
        <f t="shared" si="5"/>
        <v>459.43228776205706</v>
      </c>
      <c r="AN23" s="59">
        <f ca="1">AVERAGE(OFFSET($AM$3,0,0,'Données projet'!$E$10+1,1))-AVERAGE(OFFSET($H$3,0,0,'Données projet'!$E$10+1,1))</f>
        <v>293.17014997061574</v>
      </c>
      <c r="AO23" s="59">
        <f t="shared" si="36"/>
        <v>394.32615745219954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5.7986561302032271</v>
      </c>
      <c r="AV23" s="21">
        <f>EXP(-LN(2)/25)*AV22+(1-EXP(-LN(2)/25))/(LN(2)/25)*Calculateur!AQ23*Calculateur!AS23*VLOOKUP('Données projet'!$B$10,Paramètres!$A$1:$I$89,3,0)*0.475*44/12</f>
        <v>8.4138550665226131</v>
      </c>
      <c r="AW23" s="21">
        <f>EXP(-LN(2)/2)*AW22+(1-EXP(-LN(2)/2))/(LN(2)/2)*AQ23*AT23*VLOOKUP('Données projet'!$B$10,Paramètres!$A$1:$I$89,3,0)*0.475*44/12</f>
        <v>7.115200698351579</v>
      </c>
      <c r="AX23" s="21">
        <f t="shared" si="6"/>
        <v>21.327711895077421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5.5495238095238095</v>
      </c>
      <c r="BD23" s="12">
        <f>IF('Données projet'!$A$88&gt;35,BD22+BC23-BL22,IF(A23&lt;'Données projet'!$A$88,$BA$205^A23,IF(A23='Données projet'!$A$88,'Données projet'!$B$88,BD22+BC23-BL22)))</f>
        <v>110.99047619047617</v>
      </c>
      <c r="BE23" s="13">
        <f>BD23*VLOOKUP('Données projet'!$B$11,Paramètres!$A$1:$I$89,3,0)*VLOOKUP('Données projet'!$B$11,Paramètres!$A$1:$I$89,5,0)</f>
        <v>95.22982857142857</v>
      </c>
      <c r="BF23" s="13">
        <f t="shared" si="37"/>
        <v>25.822357526595503</v>
      </c>
      <c r="BG23" s="20">
        <f t="shared" si="7"/>
        <v>210.83255745405859</v>
      </c>
      <c r="BH23" s="59">
        <f t="shared" si="8"/>
        <v>491.94366856516973</v>
      </c>
      <c r="BI23" s="59">
        <f ca="1">AVERAGE(OFFSET($BH$3,0,0,'Données projet'!$E$11+1,1))-AVERAGE(OFFSET($H$3,0,0,'Données projet'!$E$11+1,1))</f>
        <v>395.14818708356353</v>
      </c>
      <c r="BJ23" s="59">
        <f t="shared" si="38"/>
        <v>311.78229491474491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4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283.56470622103035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10.515599999999999</v>
      </c>
      <c r="N24" s="13">
        <f>IF('Données projet'!$A$36&gt;35,N23+M24-V23,IF(A24&lt;'Données projet'!$A$36,$K$205^A24,IF(A24='Données projet'!$A$36,'Données projet'!$B$36,N23+M24-V23)))</f>
        <v>107.79787897644304</v>
      </c>
      <c r="O24" s="13">
        <f>N24*VLOOKUP('Données projet'!$B$9,Paramètres!$A$1:$I$89,3,0)*VLOOKUP('Données projet'!$B$9,Paramètres!$A$1:$I$89,5,0)</f>
        <v>50.449407360975343</v>
      </c>
      <c r="P24" s="13">
        <f t="shared" si="33"/>
        <v>14.729760563396377</v>
      </c>
      <c r="Q24" s="20">
        <f t="shared" si="2"/>
        <v>113.52038413494741</v>
      </c>
      <c r="R24" s="59">
        <f t="shared" si="0"/>
        <v>395.85371746828071</v>
      </c>
      <c r="S24" s="59">
        <f ca="1">AVERAGE(OFFSET($R$3,0,0,'Données projet'!$E$9+1,1))-AVERAGE(OFFSET($H$3,0,0,'Données projet'!$E$9+1,1))</f>
        <v>291.3013645858839</v>
      </c>
      <c r="T24" s="59">
        <f t="shared" si="34"/>
        <v>332.89241887762438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26.928333333333338</v>
      </c>
      <c r="AI24" s="13">
        <f>IF('Données projet'!$A$62&gt;35,AI23+AH24-AQ23,IF(A24&lt;'Données projet'!$A$62,$AF$205^A24,IF(A24='Données projet'!$A$62,'Données projet'!$B$62,AI23+AH24-AQ23)))</f>
        <v>208.37500000000003</v>
      </c>
      <c r="AJ24" s="13">
        <f>AI24*VLOOKUP('Données projet'!$B$10,Paramètres!$A$1:$I$89,3,0)*VLOOKUP('Données projet'!$B$10,Paramètres!$A$1:$I$89,5,0)</f>
        <v>92.101750000000024</v>
      </c>
      <c r="AK24" s="13">
        <f t="shared" si="35"/>
        <v>25.071433465746196</v>
      </c>
      <c r="AL24" s="20">
        <f t="shared" si="4"/>
        <v>204.07662786950797</v>
      </c>
      <c r="AM24" s="59">
        <f t="shared" si="5"/>
        <v>486.40996120284126</v>
      </c>
      <c r="AN24" s="59">
        <f ca="1">AVERAGE(OFFSET($AM$3,0,0,'Données projet'!$E$10+1,1))-AVERAGE(OFFSET($H$3,0,0,'Données projet'!$E$10+1,1))</f>
        <v>293.17014997061574</v>
      </c>
      <c r="AO24" s="59">
        <f t="shared" si="36"/>
        <v>394.32615745219954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5.6849480203209479</v>
      </c>
      <c r="AV24" s="21">
        <f>EXP(-LN(2)/25)*AV23+(1-EXP(-LN(2)/25))/(LN(2)/25)*Calculateur!AQ24*Calculateur!AS24*VLOOKUP('Données projet'!$B$10,Paramètres!$A$1:$I$89,3,0)*0.475*44/12</f>
        <v>8.1837777572631438</v>
      </c>
      <c r="AW24" s="21">
        <f>EXP(-LN(2)/2)*AW23+(1-EXP(-LN(2)/2))/(LN(2)/2)*AQ24*AT24*VLOOKUP('Données projet'!$B$10,Paramètres!$A$1:$I$89,3,0)*0.475*44/12</f>
        <v>5.0312066633076604</v>
      </c>
      <c r="AX24" s="21">
        <f t="shared" si="6"/>
        <v>18.899932440891753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5.5495238095238095</v>
      </c>
      <c r="BD24" s="12">
        <f>IF('Données projet'!$A$88&gt;35,BD23+BC24-BL23,IF(A24&lt;'Données projet'!$A$88,$BA$205^A24,IF(A24='Données projet'!$A$88,'Données projet'!$B$88,BD23+BC24-BL23)))</f>
        <v>116.53999999999998</v>
      </c>
      <c r="BE24" s="13">
        <f>BD24*VLOOKUP('Données projet'!$B$11,Paramètres!$A$1:$I$89,3,0)*VLOOKUP('Données projet'!$B$11,Paramètres!$A$1:$I$89,5,0)</f>
        <v>99.991319999999988</v>
      </c>
      <c r="BF24" s="13">
        <f t="shared" si="37"/>
        <v>26.959929647598425</v>
      </c>
      <c r="BG24" s="20">
        <f t="shared" si="7"/>
        <v>221.10675980290057</v>
      </c>
      <c r="BH24" s="59">
        <f t="shared" si="8"/>
        <v>503.44009313623388</v>
      </c>
      <c r="BI24" s="59">
        <f ca="1">AVERAGE(OFFSET($BH$3,0,0,'Données projet'!$E$11+1,1))-AVERAGE(OFFSET($H$3,0,0,'Données projet'!$E$11+1,1))</f>
        <v>395.14818708356353</v>
      </c>
      <c r="BJ24" s="59">
        <f t="shared" si="38"/>
        <v>311.78229491474491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4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284.8063699102529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10.515599999999999</v>
      </c>
      <c r="N25" s="13">
        <f>IF('Données projet'!$A$36&gt;35,N24+M25-V24,IF(A25&lt;'Données projet'!$A$36,$K$205^A25,IF(A25='Données projet'!$A$36,'Données projet'!$B$36,N24+M25-V24)))</f>
        <v>134.71041635922509</v>
      </c>
      <c r="O25" s="13">
        <f>N25*VLOOKUP('Données projet'!$B$9,Paramètres!$A$1:$I$89,3,0)*VLOOKUP('Données projet'!$B$9,Paramètres!$A$1:$I$89,5,0)</f>
        <v>63.044474856117347</v>
      </c>
      <c r="P25" s="13">
        <f t="shared" si="33"/>
        <v>17.935776435273556</v>
      </c>
      <c r="Q25" s="20">
        <f t="shared" si="2"/>
        <v>141.04060433250581</v>
      </c>
      <c r="R25" s="59">
        <f t="shared" si="0"/>
        <v>424.59615988806138</v>
      </c>
      <c r="S25" s="59">
        <f ca="1">AVERAGE(OFFSET($R$3,0,0,'Données projet'!$E$9+1,1))-AVERAGE(OFFSET($H$3,0,0,'Données projet'!$E$9+1,1))</f>
        <v>291.3013645858839</v>
      </c>
      <c r="T25" s="59">
        <f t="shared" si="34"/>
        <v>332.89241887762438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26.928333333333338</v>
      </c>
      <c r="AI25" s="13">
        <f>IF('Données projet'!$A$62&gt;35,AI24+AH25-AQ24,IF(A25&lt;'Données projet'!$A$62,$AF$205^A25,IF(A25='Données projet'!$A$62,'Données projet'!$B$62,AI24+AH25-AQ24)))</f>
        <v>235.30333333333337</v>
      </c>
      <c r="AJ25" s="13">
        <f>AI25*VLOOKUP('Données projet'!$B$10,Paramètres!$A$1:$I$89,3,0)*VLOOKUP('Données projet'!$B$10,Paramètres!$A$1:$I$89,5,0)</f>
        <v>104.00407333333337</v>
      </c>
      <c r="AK25" s="13">
        <f t="shared" si="35"/>
        <v>27.913722267795499</v>
      </c>
      <c r="AL25" s="20">
        <f t="shared" si="4"/>
        <v>229.75682733863275</v>
      </c>
      <c r="AM25" s="59">
        <f t="shared" si="5"/>
        <v>513.31238289418832</v>
      </c>
      <c r="AN25" s="59">
        <f ca="1">AVERAGE(OFFSET($AM$3,0,0,'Données projet'!$E$10+1,1))-AVERAGE(OFFSET($H$3,0,0,'Données projet'!$E$10+1,1))</f>
        <v>293.17014997061574</v>
      </c>
      <c r="AO25" s="59">
        <f t="shared" si="36"/>
        <v>394.32615745219954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5.5734696571183617</v>
      </c>
      <c r="AV25" s="21">
        <f>EXP(-LN(2)/25)*AV24+(1-EXP(-LN(2)/25))/(LN(2)/25)*Calculateur!AQ25*Calculateur!AS25*VLOOKUP('Données projet'!$B$10,Paramètres!$A$1:$I$89,3,0)*0.475*44/12</f>
        <v>7.9599919241246155</v>
      </c>
      <c r="AW25" s="21">
        <f>EXP(-LN(2)/2)*AW24+(1-EXP(-LN(2)/2))/(LN(2)/2)*AQ25*AT25*VLOOKUP('Données projet'!$B$10,Paramètres!$A$1:$I$89,3,0)*0.475*44/12</f>
        <v>3.5576003491757899</v>
      </c>
      <c r="AX25" s="21">
        <f t="shared" si="6"/>
        <v>17.091061930418768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5.5495238095238095</v>
      </c>
      <c r="BD25" s="12">
        <f>IF('Données projet'!$A$88&gt;35,BD24+BC25-BL24,IF(A25&lt;'Données projet'!$A$88,$BA$205^A25,IF(A25='Données projet'!$A$88,'Données projet'!$B$88,BD24+BC25-BL24)))</f>
        <v>122.08952380952378</v>
      </c>
      <c r="BE25" s="13">
        <f>BD25*VLOOKUP('Données projet'!$B$11,Paramètres!$A$1:$I$89,3,0)*VLOOKUP('Données projet'!$B$11,Paramètres!$A$1:$I$89,5,0)</f>
        <v>104.75281142857142</v>
      </c>
      <c r="BF25" s="13">
        <f t="shared" si="37"/>
        <v>28.09121130144154</v>
      </c>
      <c r="BG25" s="20">
        <f t="shared" si="7"/>
        <v>231.37000625477256</v>
      </c>
      <c r="BH25" s="59">
        <f t="shared" si="8"/>
        <v>514.92556181032808</v>
      </c>
      <c r="BI25" s="59">
        <f ca="1">AVERAGE(OFFSET($BH$3,0,0,'Données projet'!$E$11+1,1))-AVERAGE(OFFSET($H$3,0,0,'Données projet'!$E$11+1,1))</f>
        <v>395.14818708356353</v>
      </c>
      <c r="BJ25" s="59">
        <f t="shared" si="38"/>
        <v>311.78229491474491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4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286.04649896367255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10.515599999999999</v>
      </c>
      <c r="N26" s="13">
        <f>IF('Données projet'!$A$36&gt;35,N25+M26-V25,IF(A26&lt;'Données projet'!$A$36,$K$205^A26,IF(A26='Données projet'!$A$36,'Données projet'!$B$36,N25+M26-V25)))</f>
        <v>168.34186765067426</v>
      </c>
      <c r="O26" s="13">
        <f>N26*VLOOKUP('Données projet'!$B$9,Paramètres!$A$1:$I$89,3,0)*VLOOKUP('Données projet'!$B$9,Paramètres!$A$1:$I$89,5,0)</f>
        <v>78.783994060515553</v>
      </c>
      <c r="P26" s="13">
        <f t="shared" si="33"/>
        <v>21.839599832703477</v>
      </c>
      <c r="Q26" s="20">
        <f t="shared" si="2"/>
        <v>175.25275936402315</v>
      </c>
      <c r="R26" s="59">
        <f t="shared" si="0"/>
        <v>460.03053714180089</v>
      </c>
      <c r="S26" s="59">
        <f ca="1">AVERAGE(OFFSET($R$3,0,0,'Données projet'!$E$9+1,1))-AVERAGE(OFFSET($H$3,0,0,'Données projet'!$E$9+1,1))</f>
        <v>291.3013645858839</v>
      </c>
      <c r="T26" s="59">
        <f t="shared" si="34"/>
        <v>332.89241887762438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26.928333333333338</v>
      </c>
      <c r="AI26" s="13">
        <f>IF('Données projet'!$A$62&gt;35,AI25+AH26-AQ25,IF(A26&lt;'Données projet'!$A$62,$AF$205^A26,IF(A26='Données projet'!$A$62,'Données projet'!$B$62,AI25+AH26-AQ25)))</f>
        <v>262.23166666666668</v>
      </c>
      <c r="AJ26" s="13">
        <f>AI26*VLOOKUP('Données projet'!$B$10,Paramètres!$A$1:$I$89,3,0)*VLOOKUP('Données projet'!$B$10,Paramètres!$A$1:$I$89,5,0)</f>
        <v>115.90639666666668</v>
      </c>
      <c r="AK26" s="13">
        <f t="shared" si="35"/>
        <v>30.71831344379703</v>
      </c>
      <c r="AL26" s="20">
        <f t="shared" si="4"/>
        <v>255.37137010905761</v>
      </c>
      <c r="AM26" s="59">
        <f t="shared" si="5"/>
        <v>540.14914788683541</v>
      </c>
      <c r="AN26" s="59">
        <f ca="1">AVERAGE(OFFSET($AM$3,0,0,'Données projet'!$E$10+1,1))-AVERAGE(OFFSET($H$3,0,0,'Données projet'!$E$10+1,1))</f>
        <v>293.17014997061574</v>
      </c>
      <c r="AO26" s="59">
        <f t="shared" si="36"/>
        <v>394.32615745219954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5.4641773166230907</v>
      </c>
      <c r="AV26" s="21">
        <f>EXP(-LN(2)/25)*AV25+(1-EXP(-LN(2)/25))/(LN(2)/25)*Calculateur!AQ26*Calculateur!AS26*VLOOKUP('Données projet'!$B$10,Paramètres!$A$1:$I$89,3,0)*0.475*44/12</f>
        <v>7.7423255263616451</v>
      </c>
      <c r="AW26" s="21">
        <f>EXP(-LN(2)/2)*AW25+(1-EXP(-LN(2)/2))/(LN(2)/2)*AQ26*AT26*VLOOKUP('Données projet'!$B$10,Paramètres!$A$1:$I$89,3,0)*0.475*44/12</f>
        <v>2.5156033316538307</v>
      </c>
      <c r="AX26" s="21">
        <f t="shared" si="6"/>
        <v>15.722106174638567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5.5495238095238095</v>
      </c>
      <c r="BD26" s="12">
        <f>IF('Données projet'!$A$88&gt;35,BD25+BC26-BL25,IF(A26&lt;'Données projet'!$A$88,$BA$205^A26,IF(A26='Données projet'!$A$88,'Données projet'!$B$88,BD25+BC26-BL25)))</f>
        <v>127.63904761904759</v>
      </c>
      <c r="BE26" s="13">
        <f>BD26*VLOOKUP('Données projet'!$B$11,Paramètres!$A$1:$I$89,3,0)*VLOOKUP('Données projet'!$B$11,Paramètres!$A$1:$I$89,5,0)</f>
        <v>109.51430285714285</v>
      </c>
      <c r="BF26" s="13">
        <f t="shared" si="37"/>
        <v>29.216521081948457</v>
      </c>
      <c r="BG26" s="20">
        <f t="shared" si="7"/>
        <v>241.62285169391734</v>
      </c>
      <c r="BH26" s="59">
        <f t="shared" si="8"/>
        <v>526.40062947169508</v>
      </c>
      <c r="BI26" s="59">
        <f ca="1">AVERAGE(OFFSET($BH$3,0,0,'Données projet'!$E$11+1,1))-AVERAGE(OFFSET($H$3,0,0,'Données projet'!$E$11+1,1))</f>
        <v>395.14818708356353</v>
      </c>
      <c r="BJ26" s="59">
        <f t="shared" si="38"/>
        <v>311.78229491474491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4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287.28516773082151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10.515599999999999</v>
      </c>
      <c r="N27" s="13">
        <f>IF('Données projet'!$A$36&gt;35,N26+M27-V26,IF(A27&lt;'Données projet'!$A$36,$K$205^A27,IF(A27='Données projet'!$A$36,'Données projet'!$B$36,N26+M27-V26)))</f>
        <v>210.36965937769116</v>
      </c>
      <c r="O27" s="13">
        <f>N27*VLOOKUP('Données projet'!$B$9,Paramètres!$A$1:$I$89,3,0)*VLOOKUP('Données projet'!$B$9,Paramètres!$A$1:$I$89,5,0)</f>
        <v>98.453000588759465</v>
      </c>
      <c r="P27" s="13">
        <f t="shared" si="33"/>
        <v>26.593112518652308</v>
      </c>
      <c r="Q27" s="20">
        <f t="shared" si="2"/>
        <v>217.78864699540884</v>
      </c>
      <c r="R27" s="59">
        <f t="shared" si="0"/>
        <v>503.78864699540884</v>
      </c>
      <c r="S27" s="59">
        <f ca="1">AVERAGE(OFFSET($R$3,0,0,'Données projet'!$E$9+1,1))-AVERAGE(OFFSET($H$3,0,0,'Données projet'!$E$9+1,1))</f>
        <v>291.3013645858839</v>
      </c>
      <c r="T27" s="59">
        <f t="shared" si="34"/>
        <v>332.89241887762438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>
        <f>VLOOKUP(A27,'Données projet'!$A$61:$I$81,2,0)</f>
        <v>289.16000000000003</v>
      </c>
      <c r="AG27" s="12">
        <f>VLOOKUP(A27,'Données projet'!$A$61:$I$81,9,0)</f>
        <v>26.928333333333338</v>
      </c>
      <c r="AH27" s="12">
        <f t="array" ref="AH27">INDEX(AG:AG,MIN(IF(ISNUMBER(AG27:AG223),ROW(AG27:AG223),"")))</f>
        <v>26.928333333333338</v>
      </c>
      <c r="AI27" s="13">
        <f>IF('Données projet'!$A$62&gt;35,AI26+AH27-AQ26,IF(A27&lt;'Données projet'!$A$62,$AF$205^A27,IF(A27='Données projet'!$A$62,'Données projet'!$B$62,AI26+AH27-AQ26)))</f>
        <v>289.16000000000003</v>
      </c>
      <c r="AJ27" s="13">
        <f>AI27*VLOOKUP('Données projet'!$B$10,Paramètres!$A$1:$I$89,3,0)*VLOOKUP('Données projet'!$B$10,Paramètres!$A$1:$I$89,5,0)</f>
        <v>127.80872000000004</v>
      </c>
      <c r="AK27" s="13">
        <f t="shared" si="35"/>
        <v>33.489518988280494</v>
      </c>
      <c r="AL27" s="20">
        <f t="shared" si="4"/>
        <v>280.9277662379219</v>
      </c>
      <c r="AM27" s="59">
        <f t="shared" si="5"/>
        <v>566.9277662379219</v>
      </c>
      <c r="AN27" s="59">
        <f ca="1">AVERAGE(OFFSET($AM$3,0,0,'Données projet'!$E$10+1,1))-AVERAGE(OFFSET($H$3,0,0,'Données projet'!$E$10+1,1))</f>
        <v>293.17014997061574</v>
      </c>
      <c r="AO27" s="59">
        <f t="shared" si="36"/>
        <v>394.32615745219954</v>
      </c>
      <c r="AP27" s="15">
        <f>IF(ISNA(VLOOKUP(A27,'Données projet'!$A$61:$I$81,3,0)),0,VLOOKUP(A27,'Données projet'!$A$61:$I$81,3,0))</f>
        <v>2</v>
      </c>
      <c r="AQ27" s="15">
        <f>IF(ISNA(VLOOKUP(A27,'Données projet'!$A$61:$I$81,4,0)),0,VLOOKUP(A27,'Données projet'!$A$61:$I$81,4,0))</f>
        <v>51.400000000000034</v>
      </c>
      <c r="AR27" s="16">
        <f>IF(ISNA(VLOOKUP(A27,'Données projet'!$A$61:$I$81,5,0)),0%,VLOOKUP(A27,'Données projet'!$A$61:$I$81,5,0)*VLOOKUP('Données projet'!$B$10,Paramètres!$A$1:$I$89,7,0))</f>
        <v>0.13750000000000001</v>
      </c>
      <c r="AS27" s="16">
        <f>IF(ISNA(VLOOKUP(A27,'Données projet'!$A$61:$I$81,6,0)),0%,VLOOKUP(A27,'Données projet'!$A$61:$I$81,6,0)*VLOOKUP('Données projet'!$B$10,Paramètres!$A$1:$I$89,7,0))</f>
        <v>0.20350000000000001</v>
      </c>
      <c r="AT27" s="16">
        <f>IF(ISNA(VLOOKUP(A27,'Données projet'!$A$61:$I$81,7,0)),0%,VLOOKUP(A27,'Données projet'!$A$61:$I$81,7,0))</f>
        <v>0.38</v>
      </c>
      <c r="AU27" s="21">
        <f>EXP(-LN(2)/35)*AU26+(1-EXP(-LN(2)/35))/(LN(2)/35)*AQ27*AR27*VLOOKUP('Données projet'!$B$10,Paramètres!$A$1:$I$89,3,0)*0.475*44/12</f>
        <v>9.5009966079211665</v>
      </c>
      <c r="AV27" s="21">
        <f>EXP(-LN(2)/25)*AV26+(1-EXP(-LN(2)/25))/(LN(2)/25)*Calculateur!AQ27*Calculateur!AS27*VLOOKUP('Données projet'!$B$10,Paramètres!$A$1:$I$89,3,0)*0.475*44/12</f>
        <v>13.639536325026514</v>
      </c>
      <c r="AW27" s="21">
        <f>EXP(-LN(2)/2)*AW26+(1-EXP(-LN(2)/2))/(LN(2)/2)*AQ27*AT27*VLOOKUP('Données projet'!$B$10,Paramètres!$A$1:$I$89,3,0)*0.475*44/12</f>
        <v>11.553524640584726</v>
      </c>
      <c r="AX27" s="21">
        <f t="shared" si="6"/>
        <v>34.694057573532405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5.5495238095238095</v>
      </c>
      <c r="BD27" s="12">
        <f>IF('Données projet'!$A$88&gt;35,BD26+BC27-BL26,IF(A27&lt;'Données projet'!$A$88,$BA$205^A27,IF(A27='Données projet'!$A$88,'Données projet'!$B$88,BD26+BC27-BL26)))</f>
        <v>133.18857142857141</v>
      </c>
      <c r="BE27" s="13">
        <f>BD27*VLOOKUP('Données projet'!$B$11,Paramètres!$A$1:$I$89,3,0)*VLOOKUP('Données projet'!$B$11,Paramètres!$A$1:$I$89,5,0)</f>
        <v>114.27579428571428</v>
      </c>
      <c r="BF27" s="13">
        <f t="shared" si="37"/>
        <v>30.336148312480297</v>
      </c>
      <c r="BG27" s="20">
        <f t="shared" si="7"/>
        <v>251.86580002518886</v>
      </c>
      <c r="BH27" s="59">
        <f t="shared" si="8"/>
        <v>537.86580002518883</v>
      </c>
      <c r="BI27" s="59">
        <f ca="1">AVERAGE(OFFSET($BH$3,0,0,'Données projet'!$E$11+1,1))-AVERAGE(OFFSET($H$3,0,0,'Données projet'!$E$11+1,1))</f>
        <v>395.14818708356353</v>
      </c>
      <c r="BJ27" s="59">
        <f t="shared" si="38"/>
        <v>311.78229491474491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4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288.52244401490464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262.89</v>
      </c>
      <c r="L28" s="12">
        <f>VLOOKUP(A28,'Données projet'!$A$35:$I$55,9,0)</f>
        <v>10.515599999999999</v>
      </c>
      <c r="M28" s="12">
        <f t="array" ref="M28">INDEX(L:L,MIN(IF(ISNUMBER(L28:L224),ROW(L28:L224),"")))</f>
        <v>10.515599999999999</v>
      </c>
      <c r="N28" s="13">
        <f>IF('Données projet'!$A$36&gt;35,N27+M28-V27,IF(A28&lt;'Données projet'!$A$36,$K$205^A28,IF(A28='Données projet'!$A$36,'Données projet'!$B$36,N27+M28-V27)))</f>
        <v>262.89</v>
      </c>
      <c r="O28" s="13">
        <f>N28*VLOOKUP('Données projet'!$B$9,Paramètres!$A$1:$I$89,3,0)*VLOOKUP('Données projet'!$B$9,Paramètres!$A$1:$I$89,5,0)</f>
        <v>123.03251999999999</v>
      </c>
      <c r="P28" s="13">
        <f t="shared" si="33"/>
        <v>32.381254182630265</v>
      </c>
      <c r="Q28" s="20">
        <f t="shared" si="2"/>
        <v>270.67899003474764</v>
      </c>
      <c r="R28" s="59">
        <f t="shared" si="0"/>
        <v>557.90121225696987</v>
      </c>
      <c r="S28" s="59">
        <f ca="1">AVERAGE(OFFSET($R$3,0,0,'Données projet'!$E$9+1,1))-AVERAGE(OFFSET($H$3,0,0,'Données projet'!$E$9+1,1))</f>
        <v>291.3013645858839</v>
      </c>
      <c r="T28" s="59">
        <f t="shared" si="34"/>
        <v>332.89241887762438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68.009999999999991</v>
      </c>
      <c r="W28" s="16">
        <f>IF(ISNA(VLOOKUP(A28,'Données projet'!$A$35:$I$55,5,0)),0%,VLOOKUP(A28,'Données projet'!$A$35:$I$55,5,0)*VLOOKUP('Données projet'!$B$9,Paramètres!$A$1:$I$89,7,0))</f>
        <v>0.13750000000000001</v>
      </c>
      <c r="X28" s="16">
        <f>IF(ISNA(VLOOKUP(A28,'Données projet'!$A$35:$I$55,6,0)),0%,VLOOKUP(A28,'Données projet'!$A$35:$I$55,6,0)*VLOOKUP('Données projet'!$B$9,Paramètres!$A$1:$I$89,7,0))</f>
        <v>0.20350000000000001</v>
      </c>
      <c r="Y28" s="16">
        <f>IF(ISNA(VLOOKUP(A28,'Données projet'!$A$35:$I$55,7,0)),0%,VLOOKUP(A28,'Données projet'!$A$35:$I$55,7,0))</f>
        <v>0.38</v>
      </c>
      <c r="Z28" s="21">
        <f>EXP(-LN(2)/35)*Z27+(1-EXP(-LN(2)/35))/(LN(2)/35)*V28*W28*VLOOKUP('Données projet'!$B$9,Paramètres!$A$1:$I$89,3,0)*0.475*44/12</f>
        <v>5.8056343883394144</v>
      </c>
      <c r="AA28" s="21">
        <f>EXP(-LN(2)/25)*AA27+(1-EXP(-LN(2)/25))/(LN(2)/25)*Calculateur!V28*Calculateur!X28*VLOOKUP('Données projet'!$B$9,Paramètres!$A$1:$I$89,3,0)*0.475*44/12</f>
        <v>8.5585075825759418</v>
      </c>
      <c r="AB28" s="21">
        <f>EXP(-LN(2)/2)*AB27+(1-EXP(-LN(2)/2))/(LN(2)/2)*V28*Y28*VLOOKUP('Données projet'!$B$9,Paramètres!$A$1:$I$89,3,0)*0.475*44/12</f>
        <v>13.694234603781174</v>
      </c>
      <c r="AC28" s="22">
        <f t="shared" si="3"/>
        <v>28.058376574696531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28.821666666666669</v>
      </c>
      <c r="AI28" s="13">
        <f>IF('Données projet'!$A$62&gt;35,AI27+AH28-AQ27,IF(A28&lt;'Données projet'!$A$62,$AF$205^A28,IF(A28='Données projet'!$A$62,'Données projet'!$B$62,AI27+AH28-AQ27)))</f>
        <v>266.58166666666665</v>
      </c>
      <c r="AJ28" s="13">
        <f>AI28*VLOOKUP('Données projet'!$B$10,Paramètres!$A$1:$I$89,3,0)*VLOOKUP('Données projet'!$B$10,Paramètres!$A$1:$I$89,5,0)</f>
        <v>117.82909666666667</v>
      </c>
      <c r="AK28" s="13">
        <f t="shared" si="35"/>
        <v>31.168135011909932</v>
      </c>
      <c r="AL28" s="20">
        <f t="shared" si="4"/>
        <v>259.50351184018757</v>
      </c>
      <c r="AM28" s="59">
        <f t="shared" si="5"/>
        <v>546.72573406240986</v>
      </c>
      <c r="AN28" s="59">
        <f ca="1">AVERAGE(OFFSET($AM$3,0,0,'Données projet'!$E$10+1,1))-AVERAGE(OFFSET($H$3,0,0,'Données projet'!$E$10+1,1))</f>
        <v>293.17014997061574</v>
      </c>
      <c r="AO28" s="59">
        <f t="shared" si="36"/>
        <v>394.32615745219954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9.3146878594755513</v>
      </c>
      <c r="AV28" s="21">
        <f>EXP(-LN(2)/25)*AV27+(1-EXP(-LN(2)/25))/(LN(2)/25)*Calculateur!AQ28*Calculateur!AS28*VLOOKUP('Données projet'!$B$10,Paramètres!$A$1:$I$89,3,0)*0.475*44/12</f>
        <v>13.266562486946622</v>
      </c>
      <c r="AW28" s="21">
        <f>EXP(-LN(2)/2)*AW27+(1-EXP(-LN(2)/2))/(LN(2)/2)*AQ28*AT28*VLOOKUP('Données projet'!$B$10,Paramètres!$A$1:$I$89,3,0)*0.475*44/12</f>
        <v>8.1695756199633287</v>
      </c>
      <c r="AX28" s="21">
        <f t="shared" si="6"/>
        <v>30.750825966385502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5.5495238095238095</v>
      </c>
      <c r="BD28" s="12">
        <f>IF('Données projet'!$A$88&gt;35,BD27+BC28-BL27,IF(A28&lt;'Données projet'!$A$88,$BA$205^A28,IF(A28='Données projet'!$A$88,'Données projet'!$B$88,BD27+BC28-BL27)))</f>
        <v>138.73809523809521</v>
      </c>
      <c r="BE28" s="13">
        <f>BD28*VLOOKUP('Données projet'!$B$11,Paramètres!$A$1:$I$89,3,0)*VLOOKUP('Données projet'!$B$11,Paramètres!$A$1:$I$89,5,0)</f>
        <v>119.03728571428572</v>
      </c>
      <c r="BF28" s="13">
        <f t="shared" si="37"/>
        <v>31.450356842056582</v>
      </c>
      <c r="BG28" s="20">
        <f t="shared" si="7"/>
        <v>262.09931078562948</v>
      </c>
      <c r="BH28" s="59">
        <f t="shared" si="8"/>
        <v>549.32153300785171</v>
      </c>
      <c r="BI28" s="59">
        <f ca="1">AVERAGE(OFFSET($BH$3,0,0,'Données projet'!$E$11+1,1))-AVERAGE(OFFSET($H$3,0,0,'Données projet'!$E$11+1,1))</f>
        <v>395.14818708356353</v>
      </c>
      <c r="BJ28" s="59">
        <f t="shared" si="38"/>
        <v>311.78229491474491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4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289.75838988784039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26.288</v>
      </c>
      <c r="N29" s="13">
        <f>IF('Données projet'!$A$36&gt;35,N28+M29-V28,IF(A29&lt;'Données projet'!$A$36,$K$205^A29,IF(A29='Données projet'!$A$36,'Données projet'!$B$36,N28+M29-V28)))</f>
        <v>221.16800000000001</v>
      </c>
      <c r="O29" s="13">
        <f>N29*VLOOKUP('Données projet'!$B$9,Paramètres!$A$1:$I$89,3,0)*VLOOKUP('Données projet'!$B$9,Paramètres!$A$1:$I$89,5,0)</f>
        <v>103.506624</v>
      </c>
      <c r="P29" s="13">
        <f t="shared" si="33"/>
        <v>27.795719265289321</v>
      </c>
      <c r="Q29" s="20">
        <f t="shared" si="2"/>
        <v>228.6849145203789</v>
      </c>
      <c r="R29" s="59">
        <f t="shared" si="0"/>
        <v>517.12935896482338</v>
      </c>
      <c r="S29" s="59">
        <f ca="1">AVERAGE(OFFSET($R$3,0,0,'Données projet'!$E$9+1,1))-AVERAGE(OFFSET($H$3,0,0,'Données projet'!$E$9+1,1))</f>
        <v>291.3013645858839</v>
      </c>
      <c r="T29" s="59">
        <f t="shared" si="34"/>
        <v>332.89241887762438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5.6917894390714023</v>
      </c>
      <c r="AA29" s="21">
        <f>EXP(-LN(2)/25)*AA28+(1-EXP(-LN(2)/25))/(LN(2)/25)*Calculateur!V29*Calculateur!X29*VLOOKUP('Données projet'!$B$9,Paramètres!$A$1:$I$89,3,0)*0.475*44/12</f>
        <v>8.3244747426580492</v>
      </c>
      <c r="AB29" s="21">
        <f>EXP(-LN(2)/2)*AB28+(1-EXP(-LN(2)/2))/(LN(2)/2)*V29*Y29*VLOOKUP('Données projet'!$B$9,Paramètres!$A$1:$I$89,3,0)*0.475*44/12</f>
        <v>9.6832861514931423</v>
      </c>
      <c r="AC29" s="22">
        <f t="shared" si="3"/>
        <v>23.699550333222593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28.821666666666669</v>
      </c>
      <c r="AI29" s="13">
        <f>IF('Données projet'!$A$62&gt;35,AI28+AH29-AQ28,IF(A29&lt;'Données projet'!$A$62,$AF$205^A29,IF(A29='Données projet'!$A$62,'Données projet'!$B$62,AI28+AH29-AQ28)))</f>
        <v>295.40333333333331</v>
      </c>
      <c r="AJ29" s="13">
        <f>AI29*VLOOKUP('Données projet'!$B$10,Paramètres!$A$1:$I$89,3,0)*VLOOKUP('Données projet'!$B$10,Paramètres!$A$1:$I$89,5,0)</f>
        <v>130.56827333333334</v>
      </c>
      <c r="AK29" s="13">
        <f t="shared" si="35"/>
        <v>34.127637261872586</v>
      </c>
      <c r="AL29" s="20">
        <f t="shared" si="4"/>
        <v>286.84537761998365</v>
      </c>
      <c r="AM29" s="59">
        <f t="shared" si="5"/>
        <v>575.28982206442811</v>
      </c>
      <c r="AN29" s="59">
        <f ca="1">AVERAGE(OFFSET($AM$3,0,0,'Données projet'!$E$10+1,1))-AVERAGE(OFFSET($H$3,0,0,'Données projet'!$E$10+1,1))</f>
        <v>293.17014997061574</v>
      </c>
      <c r="AO29" s="59">
        <f t="shared" si="36"/>
        <v>394.32615745219954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9.1320325119498378</v>
      </c>
      <c r="AV29" s="21">
        <f>EXP(-LN(2)/25)*AV28+(1-EXP(-LN(2)/25))/(LN(2)/25)*Calculateur!AQ29*Calculateur!AS29*VLOOKUP('Données projet'!$B$10,Paramètres!$A$1:$I$89,3,0)*0.475*44/12</f>
        <v>12.903787638082866</v>
      </c>
      <c r="AW29" s="21">
        <f>EXP(-LN(2)/2)*AW28+(1-EXP(-LN(2)/2))/(LN(2)/2)*AQ29*AT29*VLOOKUP('Données projet'!$B$10,Paramètres!$A$1:$I$89,3,0)*0.475*44/12</f>
        <v>5.776762320292363</v>
      </c>
      <c r="AX29" s="21">
        <f t="shared" si="6"/>
        <v>27.812582470325069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5.5495238095238095</v>
      </c>
      <c r="BD29" s="12">
        <f>IF('Données projet'!$A$88&gt;35,BD28+BC29-BL28,IF(A29&lt;'Données projet'!$A$88,$BA$205^A29,IF(A29='Données projet'!$A$88,'Données projet'!$B$88,BD28+BC29-BL28)))</f>
        <v>144.28761904761902</v>
      </c>
      <c r="BE29" s="13">
        <f>BD29*VLOOKUP('Données projet'!$B$11,Paramètres!$A$1:$I$89,3,0)*VLOOKUP('Données projet'!$B$11,Paramètres!$A$1:$I$89,5,0)</f>
        <v>123.79877714285715</v>
      </c>
      <c r="BF29" s="13">
        <f t="shared" si="37"/>
        <v>32.559388216999452</v>
      </c>
      <c r="BG29" s="20">
        <f t="shared" si="7"/>
        <v>272.32380466841693</v>
      </c>
      <c r="BH29" s="59">
        <f t="shared" si="8"/>
        <v>560.76824911286144</v>
      </c>
      <c r="BI29" s="59">
        <f ca="1">AVERAGE(OFFSET($BH$3,0,0,'Données projet'!$E$11+1,1))-AVERAGE(OFFSET($H$3,0,0,'Données projet'!$E$11+1,1))</f>
        <v>395.14818708356353</v>
      </c>
      <c r="BJ29" s="59">
        <f t="shared" si="38"/>
        <v>311.78229491474491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4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290.99306237638319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26.288</v>
      </c>
      <c r="N30" s="13">
        <f>IF('Données projet'!$A$36&gt;35,N29+M30-V29,IF(A30&lt;'Données projet'!$A$36,$K$205^A30,IF(A30='Données projet'!$A$36,'Données projet'!$B$36,N29+M30-V29)))</f>
        <v>247.45600000000002</v>
      </c>
      <c r="O30" s="13">
        <f>N30*VLOOKUP('Données projet'!$B$9,Paramètres!$A$1:$I$89,3,0)*VLOOKUP('Données projet'!$B$9,Paramètres!$A$1:$I$89,5,0)</f>
        <v>115.809408</v>
      </c>
      <c r="P30" s="13">
        <f t="shared" si="33"/>
        <v>30.695599747438091</v>
      </c>
      <c r="Q30" s="20">
        <f t="shared" si="2"/>
        <v>255.16288849345469</v>
      </c>
      <c r="R30" s="59">
        <f t="shared" si="0"/>
        <v>544.82955516012134</v>
      </c>
      <c r="S30" s="59">
        <f ca="1">AVERAGE(OFFSET($R$3,0,0,'Données projet'!$E$9+1,1))-AVERAGE(OFFSET($H$3,0,0,'Données projet'!$E$9+1,1))</f>
        <v>291.3013645858839</v>
      </c>
      <c r="T30" s="59">
        <f t="shared" si="34"/>
        <v>332.89241887762438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5.5801769198199729</v>
      </c>
      <c r="AA30" s="21">
        <f>EXP(-LN(2)/25)*AA29+(1-EXP(-LN(2)/25))/(LN(2)/25)*Calculateur!V30*Calculateur!X30*VLOOKUP('Données projet'!$B$9,Paramètres!$A$1:$I$89,3,0)*0.475*44/12</f>
        <v>8.0968415430549641</v>
      </c>
      <c r="AB30" s="21">
        <f>EXP(-LN(2)/2)*AB29+(1-EXP(-LN(2)/2))/(LN(2)/2)*V30*Y30*VLOOKUP('Données projet'!$B$9,Paramètres!$A$1:$I$89,3,0)*0.475*44/12</f>
        <v>6.847117301890588</v>
      </c>
      <c r="AC30" s="22">
        <f t="shared" si="3"/>
        <v>20.524135764765525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28.821666666666669</v>
      </c>
      <c r="AI30" s="13">
        <f>IF('Données projet'!$A$62&gt;35,AI29+AH30-AQ29,IF(A30&lt;'Données projet'!$A$62,$AF$205^A30,IF(A30='Données projet'!$A$62,'Données projet'!$B$62,AI29+AH30-AQ29)))</f>
        <v>324.22499999999997</v>
      </c>
      <c r="AJ30" s="13">
        <f>AI30*VLOOKUP('Données projet'!$B$10,Paramètres!$A$1:$I$89,3,0)*VLOOKUP('Données projet'!$B$10,Paramètres!$A$1:$I$89,5,0)</f>
        <v>143.30744999999999</v>
      </c>
      <c r="AK30" s="13">
        <f t="shared" si="35"/>
        <v>37.053663101813399</v>
      </c>
      <c r="AL30" s="20">
        <f t="shared" si="4"/>
        <v>314.12893865232496</v>
      </c>
      <c r="AM30" s="59">
        <f t="shared" si="5"/>
        <v>603.79560531899165</v>
      </c>
      <c r="AN30" s="59">
        <f ca="1">AVERAGE(OFFSET($AM$3,0,0,'Données projet'!$E$10+1,1))-AVERAGE(OFFSET($H$3,0,0,'Données projet'!$E$10+1,1))</f>
        <v>293.17014997061574</v>
      </c>
      <c r="AO30" s="59">
        <f t="shared" si="36"/>
        <v>394.32615745219954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8.9529589243803436</v>
      </c>
      <c r="AV30" s="21">
        <f>EXP(-LN(2)/25)*AV29+(1-EXP(-LN(2)/25))/(LN(2)/25)*Calculateur!AQ30*Calculateur!AS30*VLOOKUP('Données projet'!$B$10,Paramètres!$A$1:$I$89,3,0)*0.475*44/12</f>
        <v>12.55093288653879</v>
      </c>
      <c r="AW30" s="21">
        <f>EXP(-LN(2)/2)*AW29+(1-EXP(-LN(2)/2))/(LN(2)/2)*AQ30*AT30*VLOOKUP('Données projet'!$B$10,Paramètres!$A$1:$I$89,3,0)*0.475*44/12</f>
        <v>4.0847878099816644</v>
      </c>
      <c r="AX30" s="21">
        <f t="shared" si="6"/>
        <v>25.588679620900798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5.5495238095238095</v>
      </c>
      <c r="BD30" s="12">
        <f>IF('Données projet'!$A$88&gt;35,BD29+BC30-BL29,IF(A30&lt;'Données projet'!$A$88,$BA$205^A30,IF(A30='Données projet'!$A$88,'Données projet'!$B$88,BD29+BC30-BL29)))</f>
        <v>149.83714285714282</v>
      </c>
      <c r="BE30" s="13">
        <f>BD30*VLOOKUP('Données projet'!$B$11,Paramètres!$A$1:$I$89,3,0)*VLOOKUP('Données projet'!$B$11,Paramètres!$A$1:$I$89,5,0)</f>
        <v>128.56026857142854</v>
      </c>
      <c r="BF30" s="13">
        <f t="shared" si="37"/>
        <v>33.663464350908313</v>
      </c>
      <c r="BG30" s="20">
        <f t="shared" si="7"/>
        <v>282.53966817306997</v>
      </c>
      <c r="BH30" s="59">
        <f t="shared" si="8"/>
        <v>572.20633483973666</v>
      </c>
      <c r="BI30" s="59">
        <f ca="1">AVERAGE(OFFSET($BH$3,0,0,'Données projet'!$E$11+1,1))-AVERAGE(OFFSET($H$3,0,0,'Données projet'!$E$11+1,1))</f>
        <v>395.14818708356353</v>
      </c>
      <c r="BJ30" s="59">
        <f t="shared" si="38"/>
        <v>311.78229491474491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4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292.22651404374136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26.288</v>
      </c>
      <c r="N31" s="13">
        <f>IF('Données projet'!$A$36&gt;35,N30+M31-V30,IF(A31&lt;'Données projet'!$A$36,$K$205^A31,IF(A31='Données projet'!$A$36,'Données projet'!$B$36,N30+M31-V30)))</f>
        <v>273.74400000000003</v>
      </c>
      <c r="O31" s="13">
        <f>N31*VLOOKUP('Données projet'!$B$9,Paramètres!$A$1:$I$89,3,0)*VLOOKUP('Données projet'!$B$9,Paramètres!$A$1:$I$89,5,0)</f>
        <v>128.11219200000002</v>
      </c>
      <c r="P31" s="13">
        <f t="shared" si="33"/>
        <v>33.559771651312261</v>
      </c>
      <c r="Q31" s="20">
        <f t="shared" si="2"/>
        <v>281.57867002603558</v>
      </c>
      <c r="R31" s="59">
        <f t="shared" si="0"/>
        <v>572.46755891492444</v>
      </c>
      <c r="S31" s="59">
        <f ca="1">AVERAGE(OFFSET($R$3,0,0,'Données projet'!$E$9+1,1))-AVERAGE(OFFSET($H$3,0,0,'Données projet'!$E$9+1,1))</f>
        <v>291.3013645858839</v>
      </c>
      <c r="T31" s="59">
        <f t="shared" si="34"/>
        <v>332.89241887762438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5.4707530539941498</v>
      </c>
      <c r="AA31" s="21">
        <f>EXP(-LN(2)/25)*AA30+(1-EXP(-LN(2)/25))/(LN(2)/25)*Calculateur!V31*Calculateur!X31*VLOOKUP('Données projet'!$B$9,Paramètres!$A$1:$I$89,3,0)*0.475*44/12</f>
        <v>7.8754329852657348</v>
      </c>
      <c r="AB31" s="21">
        <f>EXP(-LN(2)/2)*AB30+(1-EXP(-LN(2)/2))/(LN(2)/2)*V31*Y31*VLOOKUP('Données projet'!$B$9,Paramètres!$A$1:$I$89,3,0)*0.475*44/12</f>
        <v>4.841643075746572</v>
      </c>
      <c r="AC31" s="22">
        <f t="shared" si="3"/>
        <v>18.187829115006455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28.821666666666669</v>
      </c>
      <c r="AI31" s="13">
        <f>IF('Données projet'!$A$62&gt;35,AI30+AH31-AQ30,IF(A31&lt;'Données projet'!$A$62,$AF$205^A31,IF(A31='Données projet'!$A$62,'Données projet'!$B$62,AI30+AH31-AQ30)))</f>
        <v>353.04666666666662</v>
      </c>
      <c r="AJ31" s="13">
        <f>AI31*VLOOKUP('Données projet'!$B$10,Paramètres!$A$1:$I$89,3,0)*VLOOKUP('Données projet'!$B$10,Paramètres!$A$1:$I$89,5,0)</f>
        <v>156.04662666666667</v>
      </c>
      <c r="AK31" s="13">
        <f t="shared" si="35"/>
        <v>39.949526777294203</v>
      </c>
      <c r="AL31" s="20">
        <f t="shared" si="4"/>
        <v>341.35996724823184</v>
      </c>
      <c r="AM31" s="59">
        <f t="shared" si="5"/>
        <v>632.2488561371207</v>
      </c>
      <c r="AN31" s="59">
        <f ca="1">AVERAGE(OFFSET($AM$3,0,0,'Données projet'!$E$10+1,1))-AVERAGE(OFFSET($H$3,0,0,'Données projet'!$E$10+1,1))</f>
        <v>293.17014997061574</v>
      </c>
      <c r="AO31" s="59">
        <f t="shared" si="36"/>
        <v>394.32615745219954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8.7773968606389836</v>
      </c>
      <c r="AV31" s="21">
        <f>EXP(-LN(2)/25)*AV30+(1-EXP(-LN(2)/25))/(LN(2)/25)*Calculateur!AQ31*Calculateur!AS31*VLOOKUP('Données projet'!$B$10,Paramètres!$A$1:$I$89,3,0)*0.475*44/12</f>
        <v>12.207726966731512</v>
      </c>
      <c r="AW31" s="21">
        <f>EXP(-LN(2)/2)*AW30+(1-EXP(-LN(2)/2))/(LN(2)/2)*AQ31*AT31*VLOOKUP('Données projet'!$B$10,Paramètres!$A$1:$I$89,3,0)*0.475*44/12</f>
        <v>2.8883811601461815</v>
      </c>
      <c r="AX31" s="21">
        <f t="shared" si="6"/>
        <v>23.873504987516675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5.5495238095238095</v>
      </c>
      <c r="BD31" s="12">
        <f>IF('Données projet'!$A$88&gt;35,BD30+BC31-BL30,IF(A31&lt;'Données projet'!$A$88,$BA$205^A31,IF(A31='Données projet'!$A$88,'Données projet'!$B$88,BD30+BC31-BL30)))</f>
        <v>155.38666666666663</v>
      </c>
      <c r="BE31" s="13">
        <f>BD31*VLOOKUP('Données projet'!$B$11,Paramètres!$A$1:$I$89,3,0)*VLOOKUP('Données projet'!$B$11,Paramètres!$A$1:$I$89,5,0)</f>
        <v>133.32175999999998</v>
      </c>
      <c r="BF31" s="13">
        <f t="shared" si="37"/>
        <v>34.762789787962973</v>
      </c>
      <c r="BG31" s="20">
        <f t="shared" si="7"/>
        <v>292.74725754736875</v>
      </c>
      <c r="BH31" s="59">
        <f t="shared" si="8"/>
        <v>583.6361464362576</v>
      </c>
      <c r="BI31" s="59">
        <f ca="1">AVERAGE(OFFSET($BH$3,0,0,'Données projet'!$E$11+1,1))-AVERAGE(OFFSET($H$3,0,0,'Données projet'!$E$11+1,1))</f>
        <v>395.14818708356353</v>
      </c>
      <c r="BJ31" s="59">
        <f t="shared" si="38"/>
        <v>311.78229491474491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4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293.45879348577108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26.288</v>
      </c>
      <c r="N32" s="13">
        <f>IF('Données projet'!$A$36&gt;35,N31+M32-V31,IF(A32&lt;'Données projet'!$A$36,$K$205^A32,IF(A32='Données projet'!$A$36,'Données projet'!$B$36,N31+M32-V31)))</f>
        <v>300.03200000000004</v>
      </c>
      <c r="O32" s="13">
        <f>N32*VLOOKUP('Données projet'!$B$9,Paramètres!$A$1:$I$89,3,0)*VLOOKUP('Données projet'!$B$9,Paramètres!$A$1:$I$89,5,0)</f>
        <v>140.41497600000002</v>
      </c>
      <c r="P32" s="13">
        <f t="shared" si="33"/>
        <v>36.392054287553755</v>
      </c>
      <c r="Q32" s="20">
        <f t="shared" si="2"/>
        <v>307.93891108415613</v>
      </c>
      <c r="R32" s="59">
        <f t="shared" si="0"/>
        <v>600.05002219526727</v>
      </c>
      <c r="S32" s="59">
        <f ca="1">AVERAGE(OFFSET($R$3,0,0,'Données projet'!$E$9+1,1))-AVERAGE(OFFSET($H$3,0,0,'Données projet'!$E$9+1,1))</f>
        <v>291.3013645858839</v>
      </c>
      <c r="T32" s="59">
        <f t="shared" si="34"/>
        <v>332.89241887762438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5.363474923435203</v>
      </c>
      <c r="AA32" s="21">
        <f>EXP(-LN(2)/25)*AA31+(1-EXP(-LN(2)/25))/(LN(2)/25)*Calculateur!V32*Calculateur!X32*VLOOKUP('Données projet'!$B$9,Paramètres!$A$1:$I$89,3,0)*0.475*44/12</f>
        <v>7.6600788561326221</v>
      </c>
      <c r="AB32" s="21">
        <f>EXP(-LN(2)/2)*AB31+(1-EXP(-LN(2)/2))/(LN(2)/2)*V32*Y32*VLOOKUP('Données projet'!$B$9,Paramètres!$A$1:$I$89,3,0)*0.475*44/12</f>
        <v>3.4235586509452944</v>
      </c>
      <c r="AC32" s="22">
        <f t="shared" si="3"/>
        <v>16.447112430513119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28.821666666666669</v>
      </c>
      <c r="AI32" s="13">
        <f>IF('Données projet'!$A$62&gt;35,AI31+AH32-AQ31,IF(A32&lt;'Données projet'!$A$62,$AF$205^A32,IF(A32='Données projet'!$A$62,'Données projet'!$B$62,AI31+AH32-AQ31)))</f>
        <v>381.86833333333328</v>
      </c>
      <c r="AJ32" s="13">
        <f>AI32*VLOOKUP('Données projet'!$B$10,Paramètres!$A$1:$I$89,3,0)*VLOOKUP('Données projet'!$B$10,Paramètres!$A$1:$I$89,5,0)</f>
        <v>168.78580333333332</v>
      </c>
      <c r="AK32" s="13">
        <f t="shared" si="35"/>
        <v>42.817970580512544</v>
      </c>
      <c r="AL32" s="20">
        <f t="shared" si="4"/>
        <v>368.54323956661483</v>
      </c>
      <c r="AM32" s="59">
        <f t="shared" si="5"/>
        <v>660.65435067772592</v>
      </c>
      <c r="AN32" s="59">
        <f ca="1">AVERAGE(OFFSET($AM$3,0,0,'Données projet'!$E$10+1,1))-AVERAGE(OFFSET($H$3,0,0,'Données projet'!$E$10+1,1))</f>
        <v>293.17014997061574</v>
      </c>
      <c r="AO32" s="59">
        <f t="shared" si="36"/>
        <v>394.32615745219954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8.6052774618853061</v>
      </c>
      <c r="AV32" s="21">
        <f>EXP(-LN(2)/25)*AV31+(1-EXP(-LN(2)/25))/(LN(2)/25)*Calculateur!AQ32*Calculateur!AS32*VLOOKUP('Données projet'!$B$10,Paramètres!$A$1:$I$89,3,0)*0.475*44/12</f>
        <v>11.873906030849778</v>
      </c>
      <c r="AW32" s="21">
        <f>EXP(-LN(2)/2)*AW31+(1-EXP(-LN(2)/2))/(LN(2)/2)*AQ32*AT32*VLOOKUP('Données projet'!$B$10,Paramètres!$A$1:$I$89,3,0)*0.475*44/12</f>
        <v>2.0423939049908322</v>
      </c>
      <c r="AX32" s="21">
        <f t="shared" si="6"/>
        <v>22.521577397725913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5.5495238095238095</v>
      </c>
      <c r="BD32" s="12">
        <f>IF('Données projet'!$A$88&gt;35,BD31+BC32-BL31,IF(A32&lt;'Données projet'!$A$88,$BA$205^A32,IF(A32='Données projet'!$A$88,'Données projet'!$B$88,BD31+BC32-BL31)))</f>
        <v>160.93619047619043</v>
      </c>
      <c r="BE32" s="13">
        <f>BD32*VLOOKUP('Données projet'!$B$11,Paramètres!$A$1:$I$89,3,0)*VLOOKUP('Données projet'!$B$11,Paramètres!$A$1:$I$89,5,0)</f>
        <v>138.0832514285714</v>
      </c>
      <c r="BF32" s="13">
        <f t="shared" si="37"/>
        <v>35.85755363381179</v>
      </c>
      <c r="BG32" s="20">
        <f t="shared" si="7"/>
        <v>302.94690215031738</v>
      </c>
      <c r="BH32" s="59">
        <f t="shared" si="8"/>
        <v>595.05801326142853</v>
      </c>
      <c r="BI32" s="59">
        <f ca="1">AVERAGE(OFFSET($BH$3,0,0,'Données projet'!$E$11+1,1))-AVERAGE(OFFSET($H$3,0,0,'Données projet'!$E$11+1,1))</f>
        <v>395.14818708356353</v>
      </c>
      <c r="BJ32" s="59">
        <f t="shared" si="38"/>
        <v>311.78229491474491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4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294.68994575680784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326.32</v>
      </c>
      <c r="L33" s="12">
        <f>VLOOKUP(A33,'Données projet'!$A$35:$I$55,9,0)</f>
        <v>26.288</v>
      </c>
      <c r="M33" s="12">
        <f t="array" ref="M33">INDEX(L:L,MIN(IF(ISNUMBER(L33:L229),ROW(L33:L229),"")))</f>
        <v>26.288</v>
      </c>
      <c r="N33" s="13">
        <f>IF('Données projet'!$A$36&gt;35,N32+M33-V32,IF(A33&lt;'Données projet'!$A$36,$K$205^A33,IF(A33='Données projet'!$A$36,'Données projet'!$B$36,N32+M33-V32)))</f>
        <v>326.32000000000005</v>
      </c>
      <c r="O33" s="13">
        <f>N33*VLOOKUP('Données projet'!$B$9,Paramètres!$A$1:$I$89,3,0)*VLOOKUP('Données projet'!$B$9,Paramètres!$A$1:$I$89,5,0)</f>
        <v>152.71776000000003</v>
      </c>
      <c r="P33" s="13">
        <f t="shared" si="33"/>
        <v>39.195559407329498</v>
      </c>
      <c r="Q33" s="20">
        <f t="shared" si="2"/>
        <v>334.24903130109891</v>
      </c>
      <c r="R33" s="59">
        <f t="shared" si="0"/>
        <v>627.58236463443222</v>
      </c>
      <c r="S33" s="59">
        <f ca="1">AVERAGE(OFFSET($R$3,0,0,'Données projet'!$E$9+1,1))-AVERAGE(OFFSET($H$3,0,0,'Données projet'!$E$9+1,1))</f>
        <v>291.3013645858839</v>
      </c>
      <c r="T33" s="59">
        <f t="shared" si="34"/>
        <v>332.89241887762438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96.09</v>
      </c>
      <c r="W33" s="16">
        <f>IF(ISNA(VLOOKUP(A33,'Données projet'!$A$35:$I$55,5,0)),0%,VLOOKUP(A33,'Données projet'!$A$35:$I$55,5,0)*VLOOKUP('Données projet'!$B$9,Paramètres!$A$1:$I$89,7,0))</f>
        <v>0.13750000000000001</v>
      </c>
      <c r="X33" s="16">
        <f>IF(ISNA(VLOOKUP(A33,'Données projet'!$A$35:$I$55,6,0)),0%,VLOOKUP(A33,'Données projet'!$A$35:$I$55,6,0)*VLOOKUP('Données projet'!$B$9,Paramètres!$A$1:$I$89,7,0))</f>
        <v>0.20350000000000001</v>
      </c>
      <c r="Y33" s="16">
        <f>IF(ISNA(VLOOKUP(A33,'Données projet'!$A$35:$I$55,7,0)),0%,VLOOKUP(A33,'Données projet'!$A$35:$I$55,7,0))</f>
        <v>0.38</v>
      </c>
      <c r="Z33" s="21">
        <f>EXP(-LN(2)/35)*Z32+(1-EXP(-LN(2)/35))/(LN(2)/35)*V33*W33*VLOOKUP('Données projet'!$B$9,Paramètres!$A$1:$I$89,3,0)*0.475*44/12</f>
        <v>13.460967829550301</v>
      </c>
      <c r="AA33" s="21">
        <f>EXP(-LN(2)/25)*AA32+(1-EXP(-LN(2)/25))/(LN(2)/25)*Calculateur!V33*Calculateur!X33*VLOOKUP('Données projet'!$B$9,Paramètres!$A$1:$I$89,3,0)*0.475*44/12</f>
        <v>19.542761716522797</v>
      </c>
      <c r="AB33" s="21">
        <f>EXP(-LN(2)/2)*AB32+(1-EXP(-LN(2)/2))/(LN(2)/2)*V33*Y33*VLOOKUP('Données projet'!$B$9,Paramètres!$A$1:$I$89,3,0)*0.475*44/12</f>
        <v>21.769138007176817</v>
      </c>
      <c r="AC33" s="22">
        <f t="shared" si="3"/>
        <v>54.77286755324991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410.69</v>
      </c>
      <c r="AG33" s="12">
        <f>VLOOKUP(A33,'Données projet'!$A$61:$I$81,9,0)</f>
        <v>28.821666666666669</v>
      </c>
      <c r="AH33" s="12">
        <f t="array" ref="AH33">INDEX(AG:AG,MIN(IF(ISNUMBER(AG33:AG229),ROW(AG33:AG229),"")))</f>
        <v>28.821666666666669</v>
      </c>
      <c r="AI33" s="13">
        <f>IF('Données projet'!$A$62&gt;35,AI32+AH33-AQ32,IF(A33&lt;'Données projet'!$A$62,$AF$205^A33,IF(A33='Données projet'!$A$62,'Données projet'!$B$62,AI32+AH33-AQ32)))</f>
        <v>410.68999999999994</v>
      </c>
      <c r="AJ33" s="13">
        <f>AI33*VLOOKUP('Données projet'!$B$10,Paramètres!$A$1:$I$89,3,0)*VLOOKUP('Données projet'!$B$10,Paramètres!$A$1:$I$89,5,0)</f>
        <v>181.52497999999997</v>
      </c>
      <c r="AK33" s="13">
        <f t="shared" si="35"/>
        <v>45.661299354454037</v>
      </c>
      <c r="AL33" s="20">
        <f t="shared" si="4"/>
        <v>395.68276987567407</v>
      </c>
      <c r="AM33" s="59">
        <f t="shared" si="5"/>
        <v>689.01610320900738</v>
      </c>
      <c r="AN33" s="59">
        <f ca="1">AVERAGE(OFFSET($AM$3,0,0,'Données projet'!$E$10+1,1))-AVERAGE(OFFSET($H$3,0,0,'Données projet'!$E$10+1,1))</f>
        <v>293.17014997061574</v>
      </c>
      <c r="AO33" s="59">
        <f t="shared" si="36"/>
        <v>394.32615745219954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80.990000000000009</v>
      </c>
      <c r="AR33" s="16">
        <f>IF(ISNA(VLOOKUP(A33,'Données projet'!$A$61:$I$81,5,0)),0%,VLOOKUP(A33,'Données projet'!$A$61:$I$81,5,0)*VLOOKUP('Données projet'!$B$10,Paramètres!$A$1:$I$89,7,0))</f>
        <v>0.33</v>
      </c>
      <c r="AS33" s="16">
        <f>IF(ISNA(VLOOKUP(A33,'Données projet'!$A$61:$I$81,6,0)),0%,VLOOKUP(A33,'Données projet'!$A$61:$I$81,6,0)*VLOOKUP('Données projet'!$B$10,Paramètres!$A$1:$I$89,7,0))</f>
        <v>0.11000000000000001</v>
      </c>
      <c r="AT33" s="16">
        <f>IF(ISNA(VLOOKUP(A33,'Données projet'!$A$61:$I$81,7,0)),0%,VLOOKUP(A33,'Données projet'!$A$61:$I$81,7,0))</f>
        <v>0.2</v>
      </c>
      <c r="AU33" s="21">
        <f>EXP(-LN(2)/35)*AU32+(1-EXP(-LN(2)/35))/(LN(2)/35)*AQ33*AR33*VLOOKUP('Données projet'!$B$10,Paramètres!$A$1:$I$89,3,0)*0.475*44/12</f>
        <v>24.107506301747335</v>
      </c>
      <c r="AV33" s="21">
        <f>EXP(-LN(2)/25)*AV32+(1-EXP(-LN(2)/25))/(LN(2)/25)*Calculateur!AQ33*Calculateur!AS33*VLOOKUP('Données projet'!$B$10,Paramètres!$A$1:$I$89,3,0)*0.475*44/12</f>
        <v>16.752303609366333</v>
      </c>
      <c r="AW33" s="21">
        <f>EXP(-LN(2)/2)*AW32+(1-EXP(-LN(2)/2))/(LN(2)/2)*AQ33*AT33*VLOOKUP('Données projet'!$B$10,Paramètres!$A$1:$I$89,3,0)*0.475*44/12</f>
        <v>9.5504258299305853</v>
      </c>
      <c r="AX33" s="21">
        <f t="shared" si="6"/>
        <v>50.410235741044261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5.5495238095238095</v>
      </c>
      <c r="BD33" s="12">
        <f>IF('Données projet'!$A$88&gt;35,BD32+BC33-BL32,IF(A33&lt;'Données projet'!$A$88,$BA$205^A33,IF(A33='Données projet'!$A$88,'Données projet'!$B$88,BD32+BC33-BL32)))</f>
        <v>166.48571428571424</v>
      </c>
      <c r="BE33" s="13">
        <f>BD33*VLOOKUP('Données projet'!$B$11,Paramètres!$A$1:$I$89,3,0)*VLOOKUP('Données projet'!$B$11,Paramètres!$A$1:$I$89,5,0)</f>
        <v>142.84474285714285</v>
      </c>
      <c r="BF33" s="13">
        <f t="shared" si="37"/>
        <v>36.947931212648157</v>
      </c>
      <c r="BG33" s="20">
        <f t="shared" si="7"/>
        <v>313.13890733821938</v>
      </c>
      <c r="BH33" s="59">
        <f t="shared" si="8"/>
        <v>606.47224067155275</v>
      </c>
      <c r="BI33" s="59">
        <f ca="1">AVERAGE(OFFSET($BH$3,0,0,'Données projet'!$E$11+1,1))-AVERAGE(OFFSET($H$3,0,0,'Données projet'!$E$11+1,1))</f>
        <v>395.14818708356353</v>
      </c>
      <c r="BJ33" s="59">
        <f t="shared" si="38"/>
        <v>311.78229491474491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4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295.92001273712469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25.56</v>
      </c>
      <c r="N34" s="13">
        <f>IF('Données projet'!$A$36&gt;35,N33+M34-V33,IF(A34&lt;'Données projet'!$A$36,$K$205^A34,IF(A34='Données projet'!$A$36,'Données projet'!$B$36,N33+M34-V33)))</f>
        <v>255.79000000000005</v>
      </c>
      <c r="O34" s="13">
        <f>N34*VLOOKUP('Données projet'!$B$9,Paramètres!$A$1:$I$89,3,0)*VLOOKUP('Données projet'!$B$9,Paramètres!$A$1:$I$89,5,0)</f>
        <v>119.70972000000002</v>
      </c>
      <c r="P34" s="13">
        <f t="shared" si="33"/>
        <v>31.607286710843464</v>
      </c>
      <c r="Q34" s="20">
        <f t="shared" si="2"/>
        <v>263.54378668805236</v>
      </c>
      <c r="R34" s="59">
        <f t="shared" si="0"/>
        <v>556.87712002138574</v>
      </c>
      <c r="S34" s="59">
        <f ca="1">AVERAGE(OFFSET($R$3,0,0,'Données projet'!$E$9+1,1))-AVERAGE(OFFSET($H$3,0,0,'Données projet'!$E$9+1,1))</f>
        <v>291.3013645858839</v>
      </c>
      <c r="T34" s="59">
        <f t="shared" si="34"/>
        <v>332.89241887762438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13.197006460792487</v>
      </c>
      <c r="AA34" s="21">
        <f>EXP(-LN(2)/25)*AA33+(1-EXP(-LN(2)/25))/(LN(2)/25)*Calculateur!V34*Calculateur!X34*VLOOKUP('Données projet'!$B$9,Paramètres!$A$1:$I$89,3,0)*0.475*44/12</f>
        <v>19.008363869675307</v>
      </c>
      <c r="AB34" s="21">
        <f>EXP(-LN(2)/2)*AB33+(1-EXP(-LN(2)/2))/(LN(2)/2)*V34*Y34*VLOOKUP('Données projet'!$B$9,Paramètres!$A$1:$I$89,3,0)*0.475*44/12</f>
        <v>15.393105105460535</v>
      </c>
      <c r="AC34" s="22">
        <f t="shared" si="3"/>
        <v>47.598475435928329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28.665000000000003</v>
      </c>
      <c r="AI34" s="13">
        <f>IF('Données projet'!$A$62&gt;35,AI33+AH34-AQ33,IF(A34&lt;'Données projet'!$A$62,$AF$205^A34,IF(A34='Données projet'!$A$62,'Données projet'!$B$62,AI33+AH34-AQ33)))</f>
        <v>358.36499999999995</v>
      </c>
      <c r="AJ34" s="13">
        <f>AI34*VLOOKUP('Données projet'!$B$10,Paramètres!$A$1:$I$89,3,0)*VLOOKUP('Données projet'!$B$10,Paramètres!$A$1:$I$89,5,0)</f>
        <v>158.39733000000001</v>
      </c>
      <c r="AK34" s="13">
        <f t="shared" si="35"/>
        <v>40.48081718855606</v>
      </c>
      <c r="AL34" s="20">
        <f t="shared" si="4"/>
        <v>346.37943968673511</v>
      </c>
      <c r="AM34" s="59">
        <f t="shared" si="5"/>
        <v>639.71277302006843</v>
      </c>
      <c r="AN34" s="59">
        <f ca="1">AVERAGE(OFFSET($AM$3,0,0,'Données projet'!$E$10+1,1))-AVERAGE(OFFSET($H$3,0,0,'Données projet'!$E$10+1,1))</f>
        <v>293.17014997061574</v>
      </c>
      <c r="AO34" s="59">
        <f t="shared" si="36"/>
        <v>394.32615745219954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23.634772807297001</v>
      </c>
      <c r="AV34" s="21">
        <f>EXP(-LN(2)/25)*AV33+(1-EXP(-LN(2)/25))/(LN(2)/25)*Calculateur!AQ34*Calculateur!AS34*VLOOKUP('Données projet'!$B$10,Paramètres!$A$1:$I$89,3,0)*0.475*44/12</f>
        <v>16.294210986202852</v>
      </c>
      <c r="AW34" s="21">
        <f>EXP(-LN(2)/2)*AW33+(1-EXP(-LN(2)/2))/(LN(2)/2)*AQ34*AT34*VLOOKUP('Données projet'!$B$10,Paramètres!$A$1:$I$89,3,0)*0.475*44/12</f>
        <v>6.7531708675630782</v>
      </c>
      <c r="AX34" s="21">
        <f t="shared" si="6"/>
        <v>46.682154661062931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5.5495238095238095</v>
      </c>
      <c r="BD34" s="12">
        <f>IF('Données projet'!$A$88&gt;35,BD33+BC34-BL33,IF(A34&lt;'Données projet'!$A$88,$BA$205^A34,IF(A34='Données projet'!$A$88,'Données projet'!$B$88,BD33+BC34-BL33)))</f>
        <v>172.03523809523804</v>
      </c>
      <c r="BE34" s="13">
        <f>BD34*VLOOKUP('Données projet'!$B$11,Paramètres!$A$1:$I$89,3,0)*VLOOKUP('Données projet'!$B$11,Paramètres!$A$1:$I$89,5,0)</f>
        <v>147.60623428571427</v>
      </c>
      <c r="BF34" s="13">
        <f t="shared" si="37"/>
        <v>38.034085497136658</v>
      </c>
      <c r="BG34" s="20">
        <f t="shared" si="7"/>
        <v>323.32355695513201</v>
      </c>
      <c r="BH34" s="59">
        <f t="shared" si="8"/>
        <v>616.65689028846532</v>
      </c>
      <c r="BI34" s="59">
        <f ca="1">AVERAGE(OFFSET($BH$3,0,0,'Données projet'!$E$11+1,1))-AVERAGE(OFFSET($H$3,0,0,'Données projet'!$E$11+1,1))</f>
        <v>395.14818708356353</v>
      </c>
      <c r="BJ34" s="59">
        <f t="shared" si="38"/>
        <v>311.78229491474491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4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297.14903345164504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25.56</v>
      </c>
      <c r="N35" s="13">
        <f>IF('Données projet'!$A$36&gt;35,N34+M35-V34,IF(A35&lt;'Données projet'!$A$36,$K$205^A35,IF(A35='Données projet'!$A$36,'Données projet'!$B$36,N34+M35-V34)))</f>
        <v>281.35000000000002</v>
      </c>
      <c r="O35" s="13">
        <f>N35*VLOOKUP('Données projet'!$B$9,Paramètres!$A$1:$I$89,3,0)*VLOOKUP('Données projet'!$B$9,Paramètres!$A$1:$I$89,5,0)</f>
        <v>131.67180000000002</v>
      </c>
      <c r="P35" s="13">
        <f t="shared" si="33"/>
        <v>34.382375471501319</v>
      </c>
      <c r="Q35" s="20">
        <f t="shared" ref="Q35:Q66" si="53">(O35+P35)*0.475*44/12</f>
        <v>289.21102227953151</v>
      </c>
      <c r="R35" s="59">
        <f t="shared" si="0"/>
        <v>582.54435561286482</v>
      </c>
      <c r="S35" s="59">
        <f ca="1">AVERAGE(OFFSET($R$3,0,0,'Données projet'!$E$9+1,1))-AVERAGE(OFFSET($H$3,0,0,'Données projet'!$E$9+1,1))</f>
        <v>291.3013645858839</v>
      </c>
      <c r="T35" s="59">
        <f t="shared" si="34"/>
        <v>332.89241887762438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12.938221213475478</v>
      </c>
      <c r="AA35" s="21">
        <f>EXP(-LN(2)/25)*AA34+(1-EXP(-LN(2)/25))/(LN(2)/25)*Calculateur!V35*Calculateur!X35*VLOOKUP('Données projet'!$B$9,Paramètres!$A$1:$I$89,3,0)*0.475*44/12</f>
        <v>18.488579160052623</v>
      </c>
      <c r="AB35" s="21">
        <f>EXP(-LN(2)/2)*AB34+(1-EXP(-LN(2)/2))/(LN(2)/2)*V35*Y35*VLOOKUP('Données projet'!$B$9,Paramètres!$A$1:$I$89,3,0)*0.475*44/12</f>
        <v>10.88456900358841</v>
      </c>
      <c r="AC35" s="22">
        <f t="shared" si="3"/>
        <v>42.311369377116513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28.665000000000003</v>
      </c>
      <c r="AI35" s="13">
        <f>IF('Données projet'!$A$62&gt;35,AI34+AH35-AQ34,IF(A35&lt;'Données projet'!$A$62,$AF$205^A35,IF(A35='Données projet'!$A$62,'Données projet'!$B$62,AI34+AH35-AQ34)))</f>
        <v>387.03</v>
      </c>
      <c r="AJ35" s="13">
        <f>AI35*VLOOKUP('Données projet'!$B$10,Paramètres!$A$1:$I$89,3,0)*VLOOKUP('Données projet'!$B$10,Paramètres!$A$1:$I$89,5,0)</f>
        <v>171.06726000000003</v>
      </c>
      <c r="AK35" s="13">
        <f t="shared" si="35"/>
        <v>43.328967188628617</v>
      </c>
      <c r="AL35" s="20">
        <f t="shared" si="4"/>
        <v>373.40676235352817</v>
      </c>
      <c r="AM35" s="59">
        <f t="shared" si="5"/>
        <v>666.74009568686142</v>
      </c>
      <c r="AN35" s="59">
        <f ca="1">AVERAGE(OFFSET($AM$3,0,0,'Données projet'!$E$10+1,1))-AVERAGE(OFFSET($H$3,0,0,'Données projet'!$E$10+1,1))</f>
        <v>293.17014997061574</v>
      </c>
      <c r="AO35" s="59">
        <f t="shared" si="36"/>
        <v>394.32615745219954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23.171309328333876</v>
      </c>
      <c r="AV35" s="21">
        <f>EXP(-LN(2)/25)*AV34+(1-EXP(-LN(2)/25))/(LN(2)/25)*Calculateur!AQ35*Calculateur!AS35*VLOOKUP('Données projet'!$B$10,Paramètres!$A$1:$I$89,3,0)*0.475*44/12</f>
        <v>15.84864492990982</v>
      </c>
      <c r="AW35" s="21">
        <f>EXP(-LN(2)/2)*AW34+(1-EXP(-LN(2)/2))/(LN(2)/2)*AQ35*AT35*VLOOKUP('Données projet'!$B$10,Paramètres!$A$1:$I$89,3,0)*0.475*44/12</f>
        <v>4.7752129149652935</v>
      </c>
      <c r="AX35" s="21">
        <f t="shared" si="6"/>
        <v>43.795167173208995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5.5495238095238095</v>
      </c>
      <c r="BD35" s="12">
        <f>IF('Données projet'!$A$88&gt;35,BD34+BC35-BL34,IF(A35&lt;'Données projet'!$A$88,$BA$205^A35,IF(A35='Données projet'!$A$88,'Données projet'!$B$88,BD34+BC35-BL34)))</f>
        <v>177.58476190476185</v>
      </c>
      <c r="BE35" s="13">
        <f>BD35*VLOOKUP('Données projet'!$B$11,Paramètres!$A$1:$I$89,3,0)*VLOOKUP('Données projet'!$B$11,Paramètres!$A$1:$I$89,5,0)</f>
        <v>152.36772571428568</v>
      </c>
      <c r="BF35" s="13">
        <f t="shared" si="37"/>
        <v>39.116168348649964</v>
      </c>
      <c r="BG35" s="20">
        <f t="shared" si="7"/>
        <v>333.50111549294621</v>
      </c>
      <c r="BH35" s="59">
        <f t="shared" si="8"/>
        <v>626.83444882627953</v>
      </c>
      <c r="BI35" s="59">
        <f ca="1">AVERAGE(OFFSET($BH$3,0,0,'Données projet'!$E$11+1,1))-AVERAGE(OFFSET($H$3,0,0,'Données projet'!$E$11+1,1))</f>
        <v>395.14818708356353</v>
      </c>
      <c r="BJ35" s="59">
        <f t="shared" si="38"/>
        <v>311.78229491474491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4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298.37704434769694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25.56</v>
      </c>
      <c r="N36" s="13">
        <f>IF('Données projet'!$A$36&gt;35,N35+M36-V35,IF(A36&lt;'Données projet'!$A$36,$K$205^A36,IF(A36='Données projet'!$A$36,'Données projet'!$B$36,N35+M36-V35)))</f>
        <v>306.91000000000003</v>
      </c>
      <c r="O36" s="13">
        <f>N36*VLOOKUP('Données projet'!$B$9,Paramètres!$A$1:$I$89,3,0)*VLOOKUP('Données projet'!$B$9,Paramètres!$A$1:$I$89,5,0)</f>
        <v>143.63388</v>
      </c>
      <c r="P36" s="13">
        <f t="shared" si="33"/>
        <v>37.12823078041712</v>
      </c>
      <c r="Q36" s="20">
        <f t="shared" si="53"/>
        <v>314.82734294255977</v>
      </c>
      <c r="R36" s="59">
        <f t="shared" si="0"/>
        <v>608.16067627589314</v>
      </c>
      <c r="S36" s="59">
        <f ca="1">AVERAGE(OFFSET($R$3,0,0,'Données projet'!$E$9+1,1))-AVERAGE(OFFSET($H$3,0,0,'Données projet'!$E$9+1,1))</f>
        <v>291.3013645858839</v>
      </c>
      <c r="T36" s="59">
        <f t="shared" si="34"/>
        <v>332.89241887762438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12.684510587014939</v>
      </c>
      <c r="AA36" s="21">
        <f>EXP(-LN(2)/25)*AA35+(1-EXP(-LN(2)/25))/(LN(2)/25)*Calculateur!V36*Calculateur!X36*VLOOKUP('Données projet'!$B$9,Paramètres!$A$1:$I$89,3,0)*0.475*44/12</f>
        <v>17.983007990648861</v>
      </c>
      <c r="AB36" s="21">
        <f>EXP(-LN(2)/2)*AB35+(1-EXP(-LN(2)/2))/(LN(2)/2)*V36*Y36*VLOOKUP('Données projet'!$B$9,Paramètres!$A$1:$I$89,3,0)*0.475*44/12</f>
        <v>7.6965525527302683</v>
      </c>
      <c r="AC36" s="22">
        <f t="shared" si="3"/>
        <v>38.364071130394066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28.665000000000003</v>
      </c>
      <c r="AI36" s="13">
        <f>IF('Données projet'!$A$62&gt;35,AI35+AH36-AQ35,IF(A36&lt;'Données projet'!$A$62,$AF$205^A36,IF(A36='Données projet'!$A$62,'Données projet'!$B$62,AI35+AH36-AQ35)))</f>
        <v>415.69499999999999</v>
      </c>
      <c r="AJ36" s="13">
        <f>AI36*VLOOKUP('Données projet'!$B$10,Paramètres!$A$1:$I$89,3,0)*VLOOKUP('Données projet'!$B$10,Paramètres!$A$1:$I$89,5,0)</f>
        <v>183.73719</v>
      </c>
      <c r="AK36" s="13">
        <f t="shared" si="35"/>
        <v>46.152645069821219</v>
      </c>
      <c r="AL36" s="20">
        <f t="shared" si="4"/>
        <v>400.39146274660533</v>
      </c>
      <c r="AM36" s="59">
        <f t="shared" si="5"/>
        <v>693.72479607993864</v>
      </c>
      <c r="AN36" s="59">
        <f ca="1">AVERAGE(OFFSET($AM$3,0,0,'Données projet'!$E$10+1,1))-AVERAGE(OFFSET($H$3,0,0,'Données projet'!$E$10+1,1))</f>
        <v>293.17014997061574</v>
      </c>
      <c r="AO36" s="59">
        <f t="shared" si="36"/>
        <v>394.32615745219954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22.716934085508413</v>
      </c>
      <c r="AV36" s="21">
        <f>EXP(-LN(2)/25)*AV35+(1-EXP(-LN(2)/25))/(LN(2)/25)*Calculateur!AQ36*Calculateur!AS36*VLOOKUP('Données projet'!$B$10,Paramètres!$A$1:$I$89,3,0)*0.475*44/12</f>
        <v>15.415262900857423</v>
      </c>
      <c r="AW36" s="21">
        <f>EXP(-LN(2)/2)*AW35+(1-EXP(-LN(2)/2))/(LN(2)/2)*AQ36*AT36*VLOOKUP('Données projet'!$B$10,Paramètres!$A$1:$I$89,3,0)*0.475*44/12</f>
        <v>3.37658543378154</v>
      </c>
      <c r="AX36" s="21">
        <f t="shared" si="6"/>
        <v>41.508782420147377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5.5495238095238095</v>
      </c>
      <c r="BD36" s="12">
        <f>IF('Données projet'!$A$88&gt;35,BD35+BC36-BL35,IF(A36&lt;'Données projet'!$A$88,$BA$205^A36,IF(A36='Données projet'!$A$88,'Données projet'!$B$88,BD35+BC36-BL35)))</f>
        <v>183.13428571428565</v>
      </c>
      <c r="BE36" s="13">
        <f>BD36*VLOOKUP('Données projet'!$B$11,Paramètres!$A$1:$I$89,3,0)*VLOOKUP('Données projet'!$B$11,Paramètres!$A$1:$I$89,5,0)</f>
        <v>157.1292171428571</v>
      </c>
      <c r="BF36" s="13">
        <f t="shared" si="37"/>
        <v>40.194321598120474</v>
      </c>
      <c r="BG36" s="20">
        <f t="shared" si="7"/>
        <v>343.67182997386925</v>
      </c>
      <c r="BH36" s="59">
        <f t="shared" si="8"/>
        <v>637.00516330720257</v>
      </c>
      <c r="BI36" s="59">
        <f ca="1">AVERAGE(OFFSET($BH$3,0,0,'Données projet'!$E$11+1,1))-AVERAGE(OFFSET($H$3,0,0,'Données projet'!$E$11+1,1))</f>
        <v>395.14818708356353</v>
      </c>
      <c r="BJ36" s="59">
        <f t="shared" si="38"/>
        <v>311.78229491474491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4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299.60407953815456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25.56</v>
      </c>
      <c r="N37" s="13">
        <f>IF('Données projet'!$A$36&gt;35,N36+M37-V36,IF(A37&lt;'Données projet'!$A$36,$K$205^A37,IF(A37='Données projet'!$A$36,'Données projet'!$B$36,N36+M37-V36)))</f>
        <v>332.47</v>
      </c>
      <c r="O37" s="13">
        <f>N37*VLOOKUP('Données projet'!$B$9,Paramètres!$A$1:$I$89,3,0)*VLOOKUP('Données projet'!$B$9,Paramètres!$A$1:$I$89,5,0)</f>
        <v>155.59595999999999</v>
      </c>
      <c r="P37" s="13">
        <f t="shared" si="33"/>
        <v>39.847564044103592</v>
      </c>
      <c r="Q37" s="20">
        <f t="shared" si="53"/>
        <v>340.39747104348038</v>
      </c>
      <c r="R37" s="59">
        <f t="shared" si="0"/>
        <v>633.73080437681369</v>
      </c>
      <c r="S37" s="59">
        <f ca="1">AVERAGE(OFFSET($R$3,0,0,'Données projet'!$E$9+1,1))-AVERAGE(OFFSET($H$3,0,0,'Données projet'!$E$9+1,1))</f>
        <v>291.3013645858839</v>
      </c>
      <c r="T37" s="59">
        <f t="shared" si="34"/>
        <v>332.89241887762438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12.43577507119109</v>
      </c>
      <c r="AA37" s="21">
        <f>EXP(-LN(2)/25)*AA36+(1-EXP(-LN(2)/25))/(LN(2)/25)*Calculateur!V37*Calculateur!X37*VLOOKUP('Données projet'!$B$9,Paramètres!$A$1:$I$89,3,0)*0.475*44/12</f>
        <v>17.491261691459279</v>
      </c>
      <c r="AB37" s="21">
        <f>EXP(-LN(2)/2)*AB36+(1-EXP(-LN(2)/2))/(LN(2)/2)*V37*Y37*VLOOKUP('Données projet'!$B$9,Paramètres!$A$1:$I$89,3,0)*0.475*44/12</f>
        <v>5.4422845017942061</v>
      </c>
      <c r="AC37" s="22">
        <f t="shared" si="3"/>
        <v>35.369321264444572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28.665000000000003</v>
      </c>
      <c r="AI37" s="13">
        <f>IF('Données projet'!$A$62&gt;35,AI36+AH37-AQ36,IF(A37&lt;'Données projet'!$A$62,$AF$205^A37,IF(A37='Données projet'!$A$62,'Données projet'!$B$62,AI36+AH37-AQ36)))</f>
        <v>444.36</v>
      </c>
      <c r="AJ37" s="13">
        <f>AI37*VLOOKUP('Données projet'!$B$10,Paramètres!$A$1:$I$89,3,0)*VLOOKUP('Données projet'!$B$10,Paramètres!$A$1:$I$89,5,0)</f>
        <v>196.40712000000002</v>
      </c>
      <c r="AK37" s="13">
        <f t="shared" si="35"/>
        <v>48.953730319490859</v>
      </c>
      <c r="AL37" s="20">
        <f t="shared" si="4"/>
        <v>427.33681430644657</v>
      </c>
      <c r="AM37" s="59">
        <f t="shared" si="5"/>
        <v>720.67014763977988</v>
      </c>
      <c r="AN37" s="59">
        <f ca="1">AVERAGE(OFFSET($AM$3,0,0,'Données projet'!$E$10+1,1))-AVERAGE(OFFSET($H$3,0,0,'Données projet'!$E$10+1,1))</f>
        <v>293.17014997061574</v>
      </c>
      <c r="AO37" s="59">
        <f t="shared" si="36"/>
        <v>394.32615745219954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22.271468864053222</v>
      </c>
      <c r="AV37" s="21">
        <f>EXP(-LN(2)/25)*AV36+(1-EXP(-LN(2)/25))/(LN(2)/25)*Calculateur!AQ37*Calculateur!AS37*VLOOKUP('Données projet'!$B$10,Paramètres!$A$1:$I$89,3,0)*0.475*44/12</f>
        <v>14.993731726180032</v>
      </c>
      <c r="AW37" s="21">
        <f>EXP(-LN(2)/2)*AW36+(1-EXP(-LN(2)/2))/(LN(2)/2)*AQ37*AT37*VLOOKUP('Données projet'!$B$10,Paramètres!$A$1:$I$89,3,0)*0.475*44/12</f>
        <v>2.3876064574826472</v>
      </c>
      <c r="AX37" s="21">
        <f t="shared" si="6"/>
        <v>39.652807047715903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5.5495238095238095</v>
      </c>
      <c r="BD37" s="12">
        <f>IF('Données projet'!$A$88&gt;35,BD36+BC37-BL36,IF(A37&lt;'Données projet'!$A$88,$BA$205^A37,IF(A37='Données projet'!$A$88,'Données projet'!$B$88,BD36+BC37-BL36)))</f>
        <v>188.68380952380946</v>
      </c>
      <c r="BE37" s="13">
        <f>BD37*VLOOKUP('Données projet'!$B$11,Paramètres!$A$1:$I$89,3,0)*VLOOKUP('Données projet'!$B$11,Paramètres!$A$1:$I$89,5,0)</f>
        <v>161.89070857142852</v>
      </c>
      <c r="BF37" s="13">
        <f t="shared" si="37"/>
        <v>41.268677992199244</v>
      </c>
      <c r="BG37" s="20">
        <f t="shared" si="7"/>
        <v>353.83593159831838</v>
      </c>
      <c r="BH37" s="59">
        <f t="shared" si="8"/>
        <v>647.1692649316517</v>
      </c>
      <c r="BI37" s="59">
        <f ca="1">AVERAGE(OFFSET($BH$3,0,0,'Données projet'!$E$11+1,1))-AVERAGE(OFFSET($H$3,0,0,'Données projet'!$E$11+1,1))</f>
        <v>395.14818708356353</v>
      </c>
      <c r="BJ37" s="59">
        <f t="shared" si="38"/>
        <v>311.78229491474491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4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300.83017101517061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25.56</v>
      </c>
      <c r="N38" s="13">
        <f>IF('Données projet'!$A$36&gt;35,N37+M38-V37,IF(A38&lt;'Données projet'!$A$36,$K$205^A38,IF(A38='Données projet'!$A$36,'Données projet'!$B$36,N37+M38-V37)))</f>
        <v>358.03000000000003</v>
      </c>
      <c r="O38" s="13">
        <f>N38*VLOOKUP('Données projet'!$B$9,Paramètres!$A$1:$I$89,3,0)*VLOOKUP('Données projet'!$B$9,Paramètres!$A$1:$I$89,5,0)</f>
        <v>167.55804000000003</v>
      </c>
      <c r="P38" s="13">
        <f t="shared" si="33"/>
        <v>42.542646085873763</v>
      </c>
      <c r="Q38" s="20">
        <f t="shared" si="53"/>
        <v>365.92536159956353</v>
      </c>
      <c r="R38" s="59">
        <f t="shared" si="0"/>
        <v>659.25869493289679</v>
      </c>
      <c r="S38" s="59">
        <f ca="1">AVERAGE(OFFSET($R$3,0,0,'Données projet'!$E$9+1,1))-AVERAGE(OFFSET($H$3,0,0,'Données projet'!$E$9+1,1))</f>
        <v>291.3013645858839</v>
      </c>
      <c r="T38" s="59">
        <f t="shared" si="34"/>
        <v>332.89241887762438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12.191917107118861</v>
      </c>
      <c r="AA38" s="21">
        <f>EXP(-LN(2)/25)*AA37+(1-EXP(-LN(2)/25))/(LN(2)/25)*Calculateur!V38*Calculateur!X38*VLOOKUP('Données projet'!$B$9,Paramètres!$A$1:$I$89,3,0)*0.475*44/12</f>
        <v>17.012962220680848</v>
      </c>
      <c r="AB38" s="21">
        <f>EXP(-LN(2)/2)*AB37+(1-EXP(-LN(2)/2))/(LN(2)/2)*V38*Y38*VLOOKUP('Données projet'!$B$9,Paramètres!$A$1:$I$89,3,0)*0.475*44/12</f>
        <v>3.8482762763651346</v>
      </c>
      <c r="AC38" s="22">
        <f t="shared" si="3"/>
        <v>33.053155604164843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28.665000000000003</v>
      </c>
      <c r="AI38" s="13">
        <f>IF('Données projet'!$A$62&gt;35,AI37+AH38-AQ37,IF(A38&lt;'Données projet'!$A$62,$AF$205^A38,IF(A38='Données projet'!$A$62,'Données projet'!$B$62,AI37+AH38-AQ37)))</f>
        <v>473.02500000000003</v>
      </c>
      <c r="AJ38" s="13">
        <f>AI38*VLOOKUP('Données projet'!$B$10,Paramètres!$A$1:$I$89,3,0)*VLOOKUP('Données projet'!$B$10,Paramètres!$A$1:$I$89,5,0)</f>
        <v>209.07705000000004</v>
      </c>
      <c r="AK38" s="13">
        <f t="shared" si="35"/>
        <v>51.733846228124861</v>
      </c>
      <c r="AL38" s="20">
        <f t="shared" si="4"/>
        <v>454.24564426398416</v>
      </c>
      <c r="AM38" s="59">
        <f t="shared" si="5"/>
        <v>747.57897759731748</v>
      </c>
      <c r="AN38" s="59">
        <f ca="1">AVERAGE(OFFSET($AM$3,0,0,'Données projet'!$E$10+1,1))-AVERAGE(OFFSET($H$3,0,0,'Données projet'!$E$10+1,1))</f>
        <v>293.17014997061574</v>
      </c>
      <c r="AO38" s="59">
        <f t="shared" si="36"/>
        <v>394.32615745219954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21.834738943883814</v>
      </c>
      <c r="AV38" s="21">
        <f>EXP(-LN(2)/25)*AV37+(1-EXP(-LN(2)/25))/(LN(2)/25)*Calculateur!AQ38*Calculateur!AS38*VLOOKUP('Données projet'!$B$10,Paramètres!$A$1:$I$89,3,0)*0.475*44/12</f>
        <v>14.583727343641556</v>
      </c>
      <c r="AW38" s="21">
        <f>EXP(-LN(2)/2)*AW37+(1-EXP(-LN(2)/2))/(LN(2)/2)*AQ38*AT38*VLOOKUP('Données projet'!$B$10,Paramètres!$A$1:$I$89,3,0)*0.475*44/12</f>
        <v>1.6882927168907702</v>
      </c>
      <c r="AX38" s="21">
        <f t="shared" si="6"/>
        <v>38.106759004416141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5.5495238095238095</v>
      </c>
      <c r="BD38" s="12">
        <f>IF('Données projet'!$A$88&gt;35,BD37+BC38-BL37,IF(A38&lt;'Données projet'!$A$88,$BA$205^A38,IF(A38='Données projet'!$A$88,'Données projet'!$B$88,BD37+BC38-BL37)))</f>
        <v>194.23333333333326</v>
      </c>
      <c r="BE38" s="13">
        <f>BD38*VLOOKUP('Données projet'!$B$11,Paramètres!$A$1:$I$89,3,0)*VLOOKUP('Données projet'!$B$11,Paramètres!$A$1:$I$89,5,0)</f>
        <v>166.65219999999997</v>
      </c>
      <c r="BF38" s="13">
        <f t="shared" si="37"/>
        <v>42.339362024973838</v>
      </c>
      <c r="BG38" s="20">
        <f t="shared" si="7"/>
        <v>363.993637193496</v>
      </c>
      <c r="BH38" s="59">
        <f t="shared" si="8"/>
        <v>657.32697052682931</v>
      </c>
      <c r="BI38" s="59">
        <f ca="1">AVERAGE(OFFSET($BH$3,0,0,'Données projet'!$E$11+1,1))-AVERAGE(OFFSET($H$3,0,0,'Données projet'!$E$11+1,1))</f>
        <v>395.14818708356353</v>
      </c>
      <c r="BJ38" s="59">
        <f t="shared" si="38"/>
        <v>311.78229491474491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4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302.05534883879602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>
        <f>VLOOKUP(A39,'Données projet'!$A$35:$I$55,2,0)</f>
        <v>383.59</v>
      </c>
      <c r="L39" s="12">
        <f>VLOOKUP(A39,'Données projet'!$A$35:$I$55,9,0)</f>
        <v>25.56</v>
      </c>
      <c r="M39" s="12">
        <f t="array" ref="M39">INDEX(L:L,MIN(IF(ISNUMBER(L39:L235),ROW(L39:L235),"")))</f>
        <v>25.56</v>
      </c>
      <c r="N39" s="13">
        <f>IF('Données projet'!$A$36&gt;35,N38+M39-V38,IF(A39&lt;'Données projet'!$A$36,$K$205^A39,IF(A39='Données projet'!$A$36,'Données projet'!$B$36,N38+M39-V38)))</f>
        <v>383.59000000000003</v>
      </c>
      <c r="O39" s="13">
        <f>N39*VLOOKUP('Données projet'!$B$9,Paramètres!$A$1:$I$89,3,0)*VLOOKUP('Données projet'!$B$9,Paramètres!$A$1:$I$89,5,0)</f>
        <v>179.52011999999999</v>
      </c>
      <c r="P39" s="13">
        <f t="shared" si="33"/>
        <v>45.215405125668703</v>
      </c>
      <c r="Q39" s="20">
        <f t="shared" si="53"/>
        <v>391.41437292720633</v>
      </c>
      <c r="R39" s="59">
        <f t="shared" si="0"/>
        <v>684.74770626053964</v>
      </c>
      <c r="S39" s="59">
        <f ca="1">AVERAGE(OFFSET($R$3,0,0,'Données projet'!$E$9+1,1))-AVERAGE(OFFSET($H$3,0,0,'Données projet'!$E$9+1,1))</f>
        <v>291.3013645858839</v>
      </c>
      <c r="T39" s="59">
        <f t="shared" si="34"/>
        <v>332.89241887762438</v>
      </c>
      <c r="U39" s="15">
        <f>IF(ISNA(VLOOKUP(A39,'Données projet'!$A$35:$I$55,3,0)),0,VLOOKUP(A39,'Données projet'!$A$35:$I$55,3,0))</f>
        <v>3</v>
      </c>
      <c r="V39" s="15">
        <f>IF(ISNA(VLOOKUP(A39,'Données projet'!$A$35:$I$55,4,0)),0,VLOOKUP(A39,'Données projet'!$A$35:$I$55,4,0))</f>
        <v>95.659999999999968</v>
      </c>
      <c r="W39" s="16">
        <f>IF(ISNA(VLOOKUP(A39,'Données projet'!$A$35:$I$55,5,0)),0%,VLOOKUP(A39,'Données projet'!$A$35:$I$55,5,0)*VLOOKUP('Données projet'!$B$9,Paramètres!$A$1:$I$89,7,0))</f>
        <v>0.33</v>
      </c>
      <c r="X39" s="16">
        <f>IF(ISNA(VLOOKUP(A39,'Données projet'!$A$35:$I$55,6,0)),0%,VLOOKUP(A39,'Données projet'!$A$35:$I$55,6,0)*VLOOKUP('Données projet'!$B$9,Paramètres!$A$1:$I$89,7,0))</f>
        <v>0.11000000000000001</v>
      </c>
      <c r="Y39" s="16">
        <f>IF(ISNA(VLOOKUP(A39,'Données projet'!$A$35:$I$55,7,0)),0%,VLOOKUP(A39,'Données projet'!$A$35:$I$55,7,0))</f>
        <v>0.2</v>
      </c>
      <c r="Z39" s="21">
        <f>EXP(-LN(2)/35)*Z38+(1-EXP(-LN(2)/35))/(LN(2)/35)*V39*W39*VLOOKUP('Données projet'!$B$9,Paramètres!$A$1:$I$89,3,0)*0.475*44/12</f>
        <v>31.551146671869994</v>
      </c>
      <c r="AA39" s="21">
        <f>EXP(-LN(2)/25)*AA38+(1-EXP(-LN(2)/25))/(LN(2)/25)*Calculateur!V39*Calculateur!X39*VLOOKUP('Données projet'!$B$9,Paramètres!$A$1:$I$89,3,0)*0.475*44/12</f>
        <v>23.05478841611999</v>
      </c>
      <c r="AB39" s="21">
        <f>EXP(-LN(2)/2)*AB38+(1-EXP(-LN(2)/2))/(LN(2)/2)*V39*Y39*VLOOKUP('Données projet'!$B$9,Paramètres!$A$1:$I$89,3,0)*0.475*44/12</f>
        <v>12.858896622914429</v>
      </c>
      <c r="AC39" s="22">
        <f t="shared" si="3"/>
        <v>67.464831710904406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501.69</v>
      </c>
      <c r="AG39" s="12">
        <f>VLOOKUP(A39,'Données projet'!$A$61:$I$81,9,0)</f>
        <v>28.665000000000003</v>
      </c>
      <c r="AH39" s="12">
        <f t="array" ref="AH39">INDEX(AG:AG,MIN(IF(ISNUMBER(AG39:AG235),ROW(AG39:AG235),"")))</f>
        <v>28.665000000000003</v>
      </c>
      <c r="AI39" s="13">
        <f>IF('Données projet'!$A$62&gt;35,AI38+AH39-AQ38,IF(A39&lt;'Données projet'!$A$62,$AF$205^A39,IF(A39='Données projet'!$A$62,'Données projet'!$B$62,AI38+AH39-AQ38)))</f>
        <v>501.69000000000005</v>
      </c>
      <c r="AJ39" s="13">
        <f>AI39*VLOOKUP('Données projet'!$B$10,Paramètres!$A$1:$I$89,3,0)*VLOOKUP('Données projet'!$B$10,Paramètres!$A$1:$I$89,5,0)</f>
        <v>221.74698000000004</v>
      </c>
      <c r="AK39" s="13">
        <f t="shared" si="35"/>
        <v>54.4944082291684</v>
      </c>
      <c r="AL39" s="20">
        <f t="shared" si="4"/>
        <v>481.12041783246832</v>
      </c>
      <c r="AM39" s="59">
        <f t="shared" si="5"/>
        <v>774.45375116580158</v>
      </c>
      <c r="AN39" s="59">
        <f ca="1">AVERAGE(OFFSET($AM$3,0,0,'Données projet'!$E$10+1,1))-AVERAGE(OFFSET($H$3,0,0,'Données projet'!$E$10+1,1))</f>
        <v>293.17014997061574</v>
      </c>
      <c r="AO39" s="59">
        <f t="shared" si="36"/>
        <v>394.32615745219954</v>
      </c>
      <c r="AP39" s="15">
        <f>IF(ISNA(VLOOKUP(A39,'Données projet'!$A$61:$I$81,3,0)),0,VLOOKUP(A39,'Données projet'!$A$61:$I$81,3,0))</f>
        <v>4</v>
      </c>
      <c r="AQ39" s="15">
        <f>IF(ISNA(VLOOKUP(A39,'Données projet'!$A$61:$I$81,4,0)),0,VLOOKUP(A39,'Données projet'!$A$61:$I$81,4,0))</f>
        <v>85.910000000000025</v>
      </c>
      <c r="AR39" s="16">
        <f>IF(ISNA(VLOOKUP(A39,'Données projet'!$A$61:$I$81,5,0)),0%,VLOOKUP(A39,'Données projet'!$A$61:$I$81,5,0)*VLOOKUP('Données projet'!$B$10,Paramètres!$A$1:$I$89,7,0))</f>
        <v>0.33</v>
      </c>
      <c r="AS39" s="16">
        <f>IF(ISNA(VLOOKUP(A39,'Données projet'!$A$61:$I$81,6,0)),0%,VLOOKUP(A39,'Données projet'!$A$61:$I$81,6,0)*VLOOKUP('Données projet'!$B$10,Paramètres!$A$1:$I$89,7,0))</f>
        <v>0.11000000000000001</v>
      </c>
      <c r="AT39" s="16">
        <f>IF(ISNA(VLOOKUP(A39,'Données projet'!$A$61:$I$81,7,0)),0%,VLOOKUP(A39,'Données projet'!$A$61:$I$81,7,0))</f>
        <v>0.2</v>
      </c>
      <c r="AU39" s="21">
        <f>EXP(-LN(2)/35)*AU38+(1-EXP(-LN(2)/35))/(LN(2)/35)*AQ39*AR39*VLOOKUP('Données projet'!$B$10,Paramètres!$A$1:$I$89,3,0)*0.475*44/12</f>
        <v>38.029530155293024</v>
      </c>
      <c r="AV39" s="21">
        <f>EXP(-LN(2)/25)*AV38+(1-EXP(-LN(2)/25))/(LN(2)/25)*Calculateur!AQ39*Calculateur!AS39*VLOOKUP('Données projet'!$B$10,Paramètres!$A$1:$I$89,3,0)*0.475*44/12</f>
        <v>19.704103288565371</v>
      </c>
      <c r="AW39" s="21">
        <f>EXP(-LN(2)/2)*AW38+(1-EXP(-LN(2)/2))/(LN(2)/2)*AQ39*AT39*VLOOKUP('Données projet'!$B$10,Paramètres!$A$1:$I$89,3,0)*0.475*44/12</f>
        <v>9.7924780072974098</v>
      </c>
      <c r="AX39" s="21">
        <f t="shared" si="6"/>
        <v>67.526111451155799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5.5495238095238095</v>
      </c>
      <c r="BD39" s="12">
        <f>IF('Données projet'!$A$88&gt;35,BD38+BC39-BL38,IF(A39&lt;'Données projet'!$A$88,$BA$205^A39,IF(A39='Données projet'!$A$88,'Données projet'!$B$88,BD38+BC39-BL38)))</f>
        <v>199.78285714285707</v>
      </c>
      <c r="BE39" s="13">
        <f>BD39*VLOOKUP('Données projet'!$B$11,Paramètres!$A$1:$I$89,3,0)*VLOOKUP('Données projet'!$B$11,Paramètres!$A$1:$I$89,5,0)</f>
        <v>171.41369142857138</v>
      </c>
      <c r="BF39" s="13">
        <f t="shared" si="37"/>
        <v>43.406490671961151</v>
      </c>
      <c r="BG39" s="20">
        <f t="shared" si="7"/>
        <v>374.14515049176072</v>
      </c>
      <c r="BH39" s="59">
        <f t="shared" si="8"/>
        <v>667.47848382509403</v>
      </c>
      <c r="BI39" s="59">
        <f ca="1">AVERAGE(OFFSET($BH$3,0,0,'Données projet'!$E$11+1,1))-AVERAGE(OFFSET($H$3,0,0,'Données projet'!$E$11+1,1))</f>
        <v>395.14818708356353</v>
      </c>
      <c r="BJ39" s="59">
        <f t="shared" si="38"/>
        <v>311.78229491474491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4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303.27964130405229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24.413333333333338</v>
      </c>
      <c r="N40" s="13">
        <f>IF('Données projet'!$A$36&gt;35,N39+M40-V39,IF(A40&lt;'Données projet'!$A$36,$K$205^A40,IF(A40='Données projet'!$A$36,'Données projet'!$B$36,N39+M40-V39)))</f>
        <v>312.34333333333342</v>
      </c>
      <c r="O40" s="13">
        <f>N40*VLOOKUP('Données projet'!$B$9,Paramètres!$A$1:$I$89,3,0)*VLOOKUP('Données projet'!$B$9,Paramètres!$A$1:$I$89,5,0)</f>
        <v>146.17668000000003</v>
      </c>
      <c r="P40" s="13">
        <f t="shared" si="33"/>
        <v>37.708421124704202</v>
      </c>
      <c r="Q40" s="20">
        <f t="shared" si="53"/>
        <v>320.26655112552652</v>
      </c>
      <c r="R40" s="59">
        <f t="shared" si="0"/>
        <v>613.59988445885983</v>
      </c>
      <c r="S40" s="59">
        <f ca="1">AVERAGE(OFFSET($R$3,0,0,'Données projet'!$E$9+1,1))-AVERAGE(OFFSET($H$3,0,0,'Données projet'!$E$9+1,1))</f>
        <v>291.3013645858839</v>
      </c>
      <c r="T40" s="59">
        <f t="shared" si="34"/>
        <v>332.89241887762438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30.932447929933875</v>
      </c>
      <c r="AA40" s="21">
        <f>EXP(-LN(2)/25)*AA39+(1-EXP(-LN(2)/25))/(LN(2)/25)*Calculateur!V40*Calculateur!X40*VLOOKUP('Données projet'!$B$9,Paramètres!$A$1:$I$89,3,0)*0.475*44/12</f>
        <v>22.42435401448256</v>
      </c>
      <c r="AB40" s="21">
        <f>EXP(-LN(2)/2)*AB39+(1-EXP(-LN(2)/2))/(LN(2)/2)*V40*Y40*VLOOKUP('Données projet'!$B$9,Paramètres!$A$1:$I$89,3,0)*0.475*44/12</f>
        <v>9.092613000639588</v>
      </c>
      <c r="AC40" s="22">
        <f t="shared" si="3"/>
        <v>62.44941494505602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28.09833333333334</v>
      </c>
      <c r="AI40" s="13">
        <f>IF('Données projet'!$A$62&gt;35,AI39+AH40-AQ39,IF(A40&lt;'Données projet'!$A$62,$AF$205^A40,IF(A40='Données projet'!$A$62,'Données projet'!$B$62,AI39+AH40-AQ39)))</f>
        <v>443.87833333333339</v>
      </c>
      <c r="AJ40" s="13">
        <f>AI40*VLOOKUP('Données projet'!$B$10,Paramètres!$A$1:$I$89,3,0)*VLOOKUP('Données projet'!$B$10,Paramètres!$A$1:$I$89,5,0)</f>
        <v>196.19422333333338</v>
      </c>
      <c r="AK40" s="13">
        <f t="shared" si="35"/>
        <v>48.906840286239344</v>
      </c>
      <c r="AL40" s="20">
        <f t="shared" si="4"/>
        <v>426.8843524707558</v>
      </c>
      <c r="AM40" s="59">
        <f t="shared" si="5"/>
        <v>720.21768580408911</v>
      </c>
      <c r="AN40" s="59">
        <f ca="1">AVERAGE(OFFSET($AM$3,0,0,'Données projet'!$E$10+1,1))-AVERAGE(OFFSET($H$3,0,0,'Données projet'!$E$10+1,1))</f>
        <v>293.17014997061574</v>
      </c>
      <c r="AO40" s="59">
        <f t="shared" si="36"/>
        <v>394.32615745219954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37.283794264670732</v>
      </c>
      <c r="AV40" s="21">
        <f>EXP(-LN(2)/25)*AV39+(1-EXP(-LN(2)/25))/(LN(2)/25)*Calculateur!AQ40*Calculateur!AS40*VLOOKUP('Données projet'!$B$10,Paramètres!$A$1:$I$89,3,0)*0.475*44/12</f>
        <v>19.165293547945794</v>
      </c>
      <c r="AW40" s="21">
        <f>EXP(-LN(2)/2)*AW39+(1-EXP(-LN(2)/2))/(LN(2)/2)*AQ40*AT40*VLOOKUP('Données projet'!$B$10,Paramètres!$A$1:$I$89,3,0)*0.475*44/12</f>
        <v>6.9243276035801289</v>
      </c>
      <c r="AX40" s="21">
        <f t="shared" si="6"/>
        <v>63.373415416196657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5.5495238095238095</v>
      </c>
      <c r="BD40" s="12">
        <f>IF('Données projet'!$A$88&gt;35,BD39+BC40-BL39,IF(A40&lt;'Données projet'!$A$88,$BA$205^A40,IF(A40='Données projet'!$A$88,'Données projet'!$B$88,BD39+BC40-BL39)))</f>
        <v>205.33238095238087</v>
      </c>
      <c r="BE40" s="13">
        <f>BD40*VLOOKUP('Données projet'!$B$11,Paramètres!$A$1:$I$89,3,0)*VLOOKUP('Données projet'!$B$11,Paramètres!$A$1:$I$89,5,0)</f>
        <v>176.17518285714283</v>
      </c>
      <c r="BF40" s="13">
        <f t="shared" si="37"/>
        <v>44.470174040252587</v>
      </c>
      <c r="BG40" s="20">
        <f t="shared" si="7"/>
        <v>384.29066326296362</v>
      </c>
      <c r="BH40" s="59">
        <f t="shared" si="8"/>
        <v>677.62399659629693</v>
      </c>
      <c r="BI40" s="59">
        <f ca="1">AVERAGE(OFFSET($BH$3,0,0,'Données projet'!$E$11+1,1))-AVERAGE(OFFSET($H$3,0,0,'Données projet'!$E$11+1,1))</f>
        <v>395.14818708356353</v>
      </c>
      <c r="BJ40" s="59">
        <f t="shared" si="38"/>
        <v>311.78229491474491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4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304.50307508943433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24.413333333333338</v>
      </c>
      <c r="N41" s="13">
        <f>IF('Données projet'!$A$36&gt;35,N40+M41-V40,IF(A41&lt;'Données projet'!$A$36,$K$205^A41,IF(A41='Données projet'!$A$36,'Données projet'!$B$36,N40+M41-V40)))</f>
        <v>336.75666666666677</v>
      </c>
      <c r="O41" s="13">
        <f>N41*VLOOKUP('Données projet'!$B$9,Paramètres!$A$1:$I$89,3,0)*VLOOKUP('Données projet'!$B$9,Paramètres!$A$1:$I$89,5,0)</f>
        <v>157.60212000000007</v>
      </c>
      <c r="P41" s="13">
        <f t="shared" si="33"/>
        <v>40.301192483717976</v>
      </c>
      <c r="Q41" s="20">
        <f t="shared" si="53"/>
        <v>344.68160257580894</v>
      </c>
      <c r="R41" s="59">
        <f t="shared" si="0"/>
        <v>638.0149359091422</v>
      </c>
      <c r="S41" s="59">
        <f ca="1">AVERAGE(OFFSET($R$3,0,0,'Données projet'!$E$9+1,1))-AVERAGE(OFFSET($H$3,0,0,'Données projet'!$E$9+1,1))</f>
        <v>291.3013645858839</v>
      </c>
      <c r="T41" s="59">
        <f t="shared" si="34"/>
        <v>332.89241887762438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30.325881492958153</v>
      </c>
      <c r="AA41" s="21">
        <f>EXP(-LN(2)/25)*AA40+(1-EXP(-LN(2)/25))/(LN(2)/25)*Calculateur!V41*Calculateur!X41*VLOOKUP('Données projet'!$B$9,Paramètres!$A$1:$I$89,3,0)*0.475*44/12</f>
        <v>21.811158874711008</v>
      </c>
      <c r="AB41" s="21">
        <f>EXP(-LN(2)/2)*AB40+(1-EXP(-LN(2)/2))/(LN(2)/2)*V41*Y41*VLOOKUP('Données projet'!$B$9,Paramètres!$A$1:$I$89,3,0)*0.475*44/12</f>
        <v>6.4294483114572145</v>
      </c>
      <c r="AC41" s="22">
        <f t="shared" si="3"/>
        <v>58.566488679126373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28.09833333333334</v>
      </c>
      <c r="AI41" s="13">
        <f>IF('Données projet'!$A$62&gt;35,AI40+AH41-AQ40,IF(A41&lt;'Données projet'!$A$62,$AF$205^A41,IF(A41='Données projet'!$A$62,'Données projet'!$B$62,AI40+AH41-AQ40)))</f>
        <v>471.97666666666674</v>
      </c>
      <c r="AJ41" s="13">
        <f>AI41*VLOOKUP('Données projet'!$B$10,Paramètres!$A$1:$I$89,3,0)*VLOOKUP('Données projet'!$B$10,Paramètres!$A$1:$I$89,5,0)</f>
        <v>208.61368666666672</v>
      </c>
      <c r="AK41" s="13">
        <f t="shared" si="35"/>
        <v>51.632524675605687</v>
      </c>
      <c r="AL41" s="20">
        <f t="shared" si="4"/>
        <v>453.26215142112443</v>
      </c>
      <c r="AM41" s="59">
        <f t="shared" si="5"/>
        <v>746.59548475445774</v>
      </c>
      <c r="AN41" s="59">
        <f ca="1">AVERAGE(OFFSET($AM$3,0,0,'Données projet'!$E$10+1,1))-AVERAGE(OFFSET($H$3,0,0,'Données projet'!$E$10+1,1))</f>
        <v>293.17014997061574</v>
      </c>
      <c r="AO41" s="59">
        <f t="shared" si="36"/>
        <v>394.32615745219954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36.552681800009566</v>
      </c>
      <c r="AV41" s="21">
        <f>EXP(-LN(2)/25)*AV40+(1-EXP(-LN(2)/25))/(LN(2)/25)*Calculateur!AQ41*Calculateur!AS41*VLOOKUP('Données projet'!$B$10,Paramètres!$A$1:$I$89,3,0)*0.475*44/12</f>
        <v>18.641217588018232</v>
      </c>
      <c r="AW41" s="21">
        <f>EXP(-LN(2)/2)*AW40+(1-EXP(-LN(2)/2))/(LN(2)/2)*AQ41*AT41*VLOOKUP('Données projet'!$B$10,Paramètres!$A$1:$I$89,3,0)*0.475*44/12</f>
        <v>4.8962390036487058</v>
      </c>
      <c r="AX41" s="21">
        <f t="shared" si="6"/>
        <v>60.090138391676504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5.5495238095238095</v>
      </c>
      <c r="BD41" s="12">
        <f>IF('Données projet'!$A$88&gt;35,BD40+BC41-BL40,IF(A41&lt;'Données projet'!$A$88,$BA$205^A41,IF(A41='Données projet'!$A$88,'Données projet'!$B$88,BD40+BC41-BL40)))</f>
        <v>210.88190476190468</v>
      </c>
      <c r="BE41" s="13">
        <f>BD41*VLOOKUP('Données projet'!$B$11,Paramètres!$A$1:$I$89,3,0)*VLOOKUP('Données projet'!$B$11,Paramètres!$A$1:$I$89,5,0)</f>
        <v>180.93667428571422</v>
      </c>
      <c r="BF41" s="13">
        <f t="shared" si="37"/>
        <v>45.53051594639669</v>
      </c>
      <c r="BG41" s="20">
        <f t="shared" si="7"/>
        <v>394.43035632092648</v>
      </c>
      <c r="BH41" s="59">
        <f t="shared" si="8"/>
        <v>687.76368965425979</v>
      </c>
      <c r="BI41" s="59">
        <f ca="1">AVERAGE(OFFSET($BH$3,0,0,'Données projet'!$E$11+1,1))-AVERAGE(OFFSET($H$3,0,0,'Données projet'!$E$11+1,1))</f>
        <v>395.14818708356353</v>
      </c>
      <c r="BJ41" s="59">
        <f t="shared" si="38"/>
        <v>311.78229491474491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4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305.72567538934157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24.413333333333338</v>
      </c>
      <c r="N42" s="13">
        <f>IF('Données projet'!$A$36&gt;35,N41+M42-V41,IF(A42&lt;'Données projet'!$A$36,$K$205^A42,IF(A42='Données projet'!$A$36,'Données projet'!$B$36,N41+M42-V41)))</f>
        <v>361.17000000000013</v>
      </c>
      <c r="O42" s="13">
        <f>N42*VLOOKUP('Données projet'!$B$9,Paramètres!$A$1:$I$89,3,0)*VLOOKUP('Données projet'!$B$9,Paramètres!$A$1:$I$89,5,0)</f>
        <v>169.02756000000008</v>
      </c>
      <c r="P42" s="13">
        <f t="shared" si="33"/>
        <v>42.872156711796585</v>
      </c>
      <c r="Q42" s="20">
        <f t="shared" si="53"/>
        <v>369.05867327304577</v>
      </c>
      <c r="R42" s="59">
        <f t="shared" si="0"/>
        <v>662.39200660637903</v>
      </c>
      <c r="S42" s="59">
        <f ca="1">AVERAGE(OFFSET($R$3,0,0,'Données projet'!$E$9+1,1))-AVERAGE(OFFSET($H$3,0,0,'Données projet'!$E$9+1,1))</f>
        <v>291.3013645858839</v>
      </c>
      <c r="T42" s="59">
        <f t="shared" si="34"/>
        <v>332.89241887762438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29.731209453842531</v>
      </c>
      <c r="AA42" s="21">
        <f>EXP(-LN(2)/25)*AA41+(1-EXP(-LN(2)/25))/(LN(2)/25)*Calculateur!V42*Calculateur!X42*VLOOKUP('Données projet'!$B$9,Paramètres!$A$1:$I$89,3,0)*0.475*44/12</f>
        <v>21.214731588283041</v>
      </c>
      <c r="AB42" s="21">
        <f>EXP(-LN(2)/2)*AB41+(1-EXP(-LN(2)/2))/(LN(2)/2)*V42*Y42*VLOOKUP('Données projet'!$B$9,Paramètres!$A$1:$I$89,3,0)*0.475*44/12</f>
        <v>4.546306500319794</v>
      </c>
      <c r="AC42" s="22">
        <f t="shared" si="3"/>
        <v>55.492247542445362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28.09833333333334</v>
      </c>
      <c r="AI42" s="13">
        <f>IF('Données projet'!$A$62&gt;35,AI41+AH42-AQ41,IF(A42&lt;'Données projet'!$A$62,$AF$205^A42,IF(A42='Données projet'!$A$62,'Données projet'!$B$62,AI41+AH42-AQ41)))</f>
        <v>500.0750000000001</v>
      </c>
      <c r="AJ42" s="13">
        <f>AI42*VLOOKUP('Données projet'!$B$10,Paramètres!$A$1:$I$89,3,0)*VLOOKUP('Données projet'!$B$10,Paramètres!$A$1:$I$89,5,0)</f>
        <v>221.03315000000006</v>
      </c>
      <c r="AK42" s="13">
        <f t="shared" si="35"/>
        <v>54.339374502564446</v>
      </c>
      <c r="AL42" s="20">
        <f t="shared" si="4"/>
        <v>479.60714684196643</v>
      </c>
      <c r="AM42" s="59">
        <f t="shared" si="5"/>
        <v>772.94048017529974</v>
      </c>
      <c r="AN42" s="59">
        <f ca="1">AVERAGE(OFFSET($AM$3,0,0,'Données projet'!$E$10+1,1))-AVERAGE(OFFSET($H$3,0,0,'Données projet'!$E$10+1,1))</f>
        <v>293.17014997061574</v>
      </c>
      <c r="AO42" s="59">
        <f t="shared" si="36"/>
        <v>394.32615745219954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35.835906004845832</v>
      </c>
      <c r="AV42" s="21">
        <f>EXP(-LN(2)/25)*AV41+(1-EXP(-LN(2)/25))/(LN(2)/25)*Calculateur!AQ42*Calculateur!AS42*VLOOKUP('Données projet'!$B$10,Paramètres!$A$1:$I$89,3,0)*0.475*44/12</f>
        <v>18.131472512774845</v>
      </c>
      <c r="AW42" s="21">
        <f>EXP(-LN(2)/2)*AW41+(1-EXP(-LN(2)/2))/(LN(2)/2)*AQ42*AT42*VLOOKUP('Données projet'!$B$10,Paramètres!$A$1:$I$89,3,0)*0.475*44/12</f>
        <v>3.4621638017900649</v>
      </c>
      <c r="AX42" s="21">
        <f t="shared" si="6"/>
        <v>57.429542319410736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5.5495238095238095</v>
      </c>
      <c r="BD42" s="12">
        <f>IF('Données projet'!$A$88&gt;35,BD41+BC42-BL41,IF(A42&lt;'Données projet'!$A$88,$BA$205^A42,IF(A42='Données projet'!$A$88,'Données projet'!$B$88,BD41+BC42-BL41)))</f>
        <v>216.43142857142848</v>
      </c>
      <c r="BE42" s="13">
        <f>BD42*VLOOKUP('Données projet'!$B$11,Paramètres!$A$1:$I$89,3,0)*VLOOKUP('Données projet'!$B$11,Paramètres!$A$1:$I$89,5,0)</f>
        <v>185.69816571428566</v>
      </c>
      <c r="BF42" s="13">
        <f t="shared" si="37"/>
        <v>46.587614431741194</v>
      </c>
      <c r="BG42" s="20">
        <f t="shared" si="7"/>
        <v>404.56440042099683</v>
      </c>
      <c r="BH42" s="59">
        <f t="shared" si="8"/>
        <v>697.89773375433015</v>
      </c>
      <c r="BI42" s="59">
        <f ca="1">AVERAGE(OFFSET($BH$3,0,0,'Données projet'!$E$11+1,1))-AVERAGE(OFFSET($H$3,0,0,'Données projet'!$E$11+1,1))</f>
        <v>395.14818708356353</v>
      </c>
      <c r="BJ42" s="59">
        <f t="shared" si="38"/>
        <v>311.78229491474491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4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306.9474660325443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24.413333333333338</v>
      </c>
      <c r="N43" s="13">
        <f>IF('Données projet'!$A$36&gt;35,N42+M43-V42,IF(A43&lt;'Données projet'!$A$36,$K$205^A43,IF(A43='Données projet'!$A$36,'Données projet'!$B$36,N42+M43-V42)))</f>
        <v>385.58333333333348</v>
      </c>
      <c r="O43" s="13">
        <f>N43*VLOOKUP('Données projet'!$B$9,Paramètres!$A$1:$I$89,3,0)*VLOOKUP('Données projet'!$B$9,Paramètres!$A$1:$I$89,5,0)</f>
        <v>180.45300000000009</v>
      </c>
      <c r="P43" s="13">
        <f t="shared" si="33"/>
        <v>45.422955572485847</v>
      </c>
      <c r="Q43" s="20">
        <f t="shared" si="53"/>
        <v>393.40062262207965</v>
      </c>
      <c r="R43" s="59">
        <f t="shared" si="0"/>
        <v>686.73395595541297</v>
      </c>
      <c r="S43" s="59">
        <f ca="1">AVERAGE(OFFSET($R$3,0,0,'Données projet'!$E$9+1,1))-AVERAGE(OFFSET($H$3,0,0,'Données projet'!$E$9+1,1))</f>
        <v>291.3013645858839</v>
      </c>
      <c r="T43" s="59">
        <f t="shared" si="34"/>
        <v>332.89241887762438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29.148198570699837</v>
      </c>
      <c r="AA43" s="21">
        <f>EXP(-LN(2)/25)*AA42+(1-EXP(-LN(2)/25))/(LN(2)/25)*Calculateur!V43*Calculateur!X43*VLOOKUP('Données projet'!$B$9,Paramètres!$A$1:$I$89,3,0)*0.475*44/12</f>
        <v>20.634613637367192</v>
      </c>
      <c r="AB43" s="21">
        <f>EXP(-LN(2)/2)*AB42+(1-EXP(-LN(2)/2))/(LN(2)/2)*V43*Y43*VLOOKUP('Données projet'!$B$9,Paramètres!$A$1:$I$89,3,0)*0.475*44/12</f>
        <v>3.2147241557286073</v>
      </c>
      <c r="AC43" s="22">
        <f t="shared" si="3"/>
        <v>52.997536363795632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28.09833333333334</v>
      </c>
      <c r="AI43" s="13">
        <f>IF('Données projet'!$A$62&gt;35,AI42+AH43-AQ42,IF(A43&lt;'Données projet'!$A$62,$AF$205^A43,IF(A43='Données projet'!$A$62,'Données projet'!$B$62,AI42+AH43-AQ42)))</f>
        <v>528.1733333333334</v>
      </c>
      <c r="AJ43" s="13">
        <f>AI43*VLOOKUP('Données projet'!$B$10,Paramètres!$A$1:$I$89,3,0)*VLOOKUP('Données projet'!$B$10,Paramètres!$A$1:$I$89,5,0)</f>
        <v>233.45261333333337</v>
      </c>
      <c r="AK43" s="13">
        <f t="shared" si="35"/>
        <v>57.028568651335249</v>
      </c>
      <c r="AL43" s="20">
        <f t="shared" si="4"/>
        <v>505.92139195663117</v>
      </c>
      <c r="AM43" s="59">
        <f t="shared" si="5"/>
        <v>799.25472528996443</v>
      </c>
      <c r="AN43" s="59">
        <f ca="1">AVERAGE(OFFSET($AM$3,0,0,'Données projet'!$E$10+1,1))-AVERAGE(OFFSET($H$3,0,0,'Données projet'!$E$10+1,1))</f>
        <v>293.17014997061574</v>
      </c>
      <c r="AO43" s="59">
        <f t="shared" si="36"/>
        <v>394.32615745219954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35.133185745835192</v>
      </c>
      <c r="AV43" s="21">
        <f>EXP(-LN(2)/25)*AV42+(1-EXP(-LN(2)/25))/(LN(2)/25)*Calculateur!AQ43*Calculateur!AS43*VLOOKUP('Données projet'!$B$10,Paramètres!$A$1:$I$89,3,0)*0.475*44/12</f>
        <v>17.635666443420316</v>
      </c>
      <c r="AW43" s="21">
        <f>EXP(-LN(2)/2)*AW42+(1-EXP(-LN(2)/2))/(LN(2)/2)*AQ43*AT43*VLOOKUP('Données projet'!$B$10,Paramètres!$A$1:$I$89,3,0)*0.475*44/12</f>
        <v>2.4481195018243529</v>
      </c>
      <c r="AX43" s="21">
        <f t="shared" si="6"/>
        <v>55.216971691079863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5.5495238095238095</v>
      </c>
      <c r="BD43" s="12">
        <f>IF('Données projet'!$A$88&gt;35,BD42+BC43-BL42,IF(A43&lt;'Données projet'!$A$88,$BA$205^A43,IF(A43='Données projet'!$A$88,'Données projet'!$B$88,BD42+BC43-BL42)))</f>
        <v>221.98095238095229</v>
      </c>
      <c r="BE43" s="13">
        <f>BD43*VLOOKUP('Données projet'!$B$11,Paramètres!$A$1:$I$89,3,0)*VLOOKUP('Données projet'!$B$11,Paramètres!$A$1:$I$89,5,0)</f>
        <v>190.45965714285708</v>
      </c>
      <c r="BF43" s="13">
        <f t="shared" si="37"/>
        <v>47.641562223431734</v>
      </c>
      <c r="BG43" s="20">
        <f t="shared" si="7"/>
        <v>414.69295706295298</v>
      </c>
      <c r="BH43" s="59">
        <f t="shared" si="8"/>
        <v>708.0262903962863</v>
      </c>
      <c r="BI43" s="59">
        <f ca="1">AVERAGE(OFFSET($BH$3,0,0,'Données projet'!$E$11+1,1))-AVERAGE(OFFSET($H$3,0,0,'Données projet'!$E$11+1,1))</f>
        <v>395.14818708356353</v>
      </c>
      <c r="BJ43" s="59">
        <f t="shared" si="38"/>
        <v>311.78229491474491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4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308.16846958846969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24.413333333333338</v>
      </c>
      <c r="N44" s="13">
        <f>IF('Données projet'!$A$36&gt;35,N43+M44-V43,IF(A44&lt;'Données projet'!$A$36,$K$205^A44,IF(A44='Données projet'!$A$36,'Données projet'!$B$36,N43+M44-V43)))</f>
        <v>409.99666666666684</v>
      </c>
      <c r="O44" s="13">
        <f>N44*VLOOKUP('Données projet'!$B$9,Paramètres!$A$1:$I$89,3,0)*VLOOKUP('Données projet'!$B$9,Paramètres!$A$1:$I$89,5,0)</f>
        <v>191.8784400000001</v>
      </c>
      <c r="P44" s="13">
        <f t="shared" si="33"/>
        <v>47.955011179497632</v>
      </c>
      <c r="Q44" s="20">
        <f t="shared" si="53"/>
        <v>417.70992747095852</v>
      </c>
      <c r="R44" s="59">
        <f t="shared" si="0"/>
        <v>711.04326080429178</v>
      </c>
      <c r="S44" s="59">
        <f ca="1">AVERAGE(OFFSET($R$3,0,0,'Données projet'!$E$9+1,1))-AVERAGE(OFFSET($H$3,0,0,'Données projet'!$E$9+1,1))</f>
        <v>291.3013645858839</v>
      </c>
      <c r="T44" s="59">
        <f t="shared" si="34"/>
        <v>332.89241887762438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28.576620175374046</v>
      </c>
      <c r="AA44" s="21">
        <f>EXP(-LN(2)/25)*AA43+(1-EXP(-LN(2)/25))/(LN(2)/25)*Calculateur!V44*Calculateur!X44*VLOOKUP('Données projet'!$B$9,Paramètres!$A$1:$I$89,3,0)*0.475*44/12</f>
        <v>20.070359042326217</v>
      </c>
      <c r="AB44" s="21">
        <f>EXP(-LN(2)/2)*AB43+(1-EXP(-LN(2)/2))/(LN(2)/2)*V44*Y44*VLOOKUP('Données projet'!$B$9,Paramètres!$A$1:$I$89,3,0)*0.475*44/12</f>
        <v>2.273153250159897</v>
      </c>
      <c r="AC44" s="22">
        <f t="shared" si="3"/>
        <v>50.920132467860157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28.09833333333334</v>
      </c>
      <c r="AI44" s="13">
        <f>IF('Données projet'!$A$62&gt;35,AI43+AH44-AQ43,IF(A44&lt;'Données projet'!$A$62,$AF$205^A44,IF(A44='Données projet'!$A$62,'Données projet'!$B$62,AI43+AH44-AQ43)))</f>
        <v>556.27166666666676</v>
      </c>
      <c r="AJ44" s="13">
        <f>AI44*VLOOKUP('Données projet'!$B$10,Paramètres!$A$1:$I$89,3,0)*VLOOKUP('Données projet'!$B$10,Paramètres!$A$1:$I$89,5,0)</f>
        <v>245.87207666666674</v>
      </c>
      <c r="AK44" s="13">
        <f t="shared" si="35"/>
        <v>59.701153490843105</v>
      </c>
      <c r="AL44" s="20">
        <f t="shared" si="4"/>
        <v>532.20670919099632</v>
      </c>
      <c r="AM44" s="59">
        <f t="shared" si="5"/>
        <v>825.54004252432969</v>
      </c>
      <c r="AN44" s="59">
        <f ca="1">AVERAGE(OFFSET($AM$3,0,0,'Données projet'!$E$10+1,1))-AVERAGE(OFFSET($H$3,0,0,'Données projet'!$E$10+1,1))</f>
        <v>293.17014997061574</v>
      </c>
      <c r="AO44" s="59">
        <f t="shared" si="36"/>
        <v>394.32615745219954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34.444245402486722</v>
      </c>
      <c r="AV44" s="21">
        <f>EXP(-LN(2)/25)*AV43+(1-EXP(-LN(2)/25))/(LN(2)/25)*Calculateur!AQ44*Calculateur!AS44*VLOOKUP('Données projet'!$B$10,Paramètres!$A$1:$I$89,3,0)*0.475*44/12</f>
        <v>17.153418217105596</v>
      </c>
      <c r="AW44" s="21">
        <f>EXP(-LN(2)/2)*AW43+(1-EXP(-LN(2)/2))/(LN(2)/2)*AQ44*AT44*VLOOKUP('Données projet'!$B$10,Paramètres!$A$1:$I$89,3,0)*0.475*44/12</f>
        <v>1.7310819008950324</v>
      </c>
      <c r="AX44" s="21">
        <f t="shared" si="6"/>
        <v>53.328745520487352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5.5495238095238095</v>
      </c>
      <c r="BD44" s="12">
        <f>IF('Données projet'!$A$88&gt;35,BD43+BC44-BL43,IF(A44&lt;'Données projet'!$A$88,$BA$205^A44,IF(A44='Données projet'!$A$88,'Données projet'!$B$88,BD43+BC44-BL43)))</f>
        <v>227.53047619047609</v>
      </c>
      <c r="BE44" s="13">
        <f>BD44*VLOOKUP('Données projet'!$B$11,Paramètres!$A$1:$I$89,3,0)*VLOOKUP('Données projet'!$B$11,Paramètres!$A$1:$I$89,5,0)</f>
        <v>195.22114857142853</v>
      </c>
      <c r="BF44" s="13">
        <f t="shared" si="37"/>
        <v>48.692447148013251</v>
      </c>
      <c r="BG44" s="20">
        <f t="shared" si="7"/>
        <v>424.81617921136109</v>
      </c>
      <c r="BH44" s="59">
        <f t="shared" si="8"/>
        <v>718.1495125446944</v>
      </c>
      <c r="BI44" s="59">
        <f ca="1">AVERAGE(OFFSET($BH$3,0,0,'Données projet'!$E$11+1,1))-AVERAGE(OFFSET($H$3,0,0,'Données projet'!$E$11+1,1))</f>
        <v>395.14818708356353</v>
      </c>
      <c r="BJ44" s="59">
        <f t="shared" si="38"/>
        <v>311.78229491474491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4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309.38870746282663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434.41</v>
      </c>
      <c r="L45" s="12">
        <f>VLOOKUP(A45,'Données projet'!$A$35:$I$55,9,0)</f>
        <v>24.413333333333338</v>
      </c>
      <c r="M45" s="12">
        <f t="array" ref="M45">INDEX(L:L,MIN(IF(ISNUMBER(L45:L241),ROW(L45:L241),"")))</f>
        <v>24.413333333333338</v>
      </c>
      <c r="N45" s="13">
        <f>IF('Données projet'!$A$36&gt;35,N44+M45-V44,IF(A45&lt;'Données projet'!$A$36,$K$205^A45,IF(A45='Données projet'!$A$36,'Données projet'!$B$36,N44+M45-V44)))</f>
        <v>434.4100000000002</v>
      </c>
      <c r="O45" s="13">
        <f>N45*VLOOKUP('Données projet'!$B$9,Paramètres!$A$1:$I$89,3,0)*VLOOKUP('Données projet'!$B$9,Paramètres!$A$1:$I$89,5,0)</f>
        <v>203.30388000000011</v>
      </c>
      <c r="P45" s="13">
        <f t="shared" si="33"/>
        <v>50.469566718430556</v>
      </c>
      <c r="Q45" s="20">
        <f t="shared" si="53"/>
        <v>441.98875303459999</v>
      </c>
      <c r="R45" s="59">
        <f t="shared" si="0"/>
        <v>735.32208636793325</v>
      </c>
      <c r="S45" s="59">
        <f ca="1">AVERAGE(OFFSET($R$3,0,0,'Données projet'!$E$9+1,1))-AVERAGE(OFFSET($H$3,0,0,'Données projet'!$E$9+1,1))</f>
        <v>291.3013645858839</v>
      </c>
      <c r="T45" s="59">
        <f t="shared" si="34"/>
        <v>332.89241887762438</v>
      </c>
      <c r="U45" s="15">
        <f>IF(ISNA(VLOOKUP(A45,'Données projet'!$A$35:$I$55,3,0)),0,VLOOKUP(A45,'Données projet'!$A$35:$I$55,3,0))</f>
        <v>4</v>
      </c>
      <c r="V45" s="15">
        <f>IF(ISNA(VLOOKUP(A45,'Données projet'!$A$35:$I$55,4,0)),0,VLOOKUP(A45,'Données projet'!$A$35:$I$55,4,0))</f>
        <v>89.87</v>
      </c>
      <c r="W45" s="16">
        <f>IF(ISNA(VLOOKUP(A45,'Données projet'!$A$35:$I$55,5,0)),0%,VLOOKUP(A45,'Données projet'!$A$35:$I$55,5,0)*VLOOKUP('Données projet'!$B$9,Paramètres!$A$1:$I$89,7,0))</f>
        <v>0.33</v>
      </c>
      <c r="X45" s="16">
        <f>IF(ISNA(VLOOKUP(A45,'Données projet'!$A$35:$I$55,6,0)),0%,VLOOKUP(A45,'Données projet'!$A$35:$I$55,6,0)*VLOOKUP('Données projet'!$B$9,Paramètres!$A$1:$I$89,7,0))</f>
        <v>0.11000000000000001</v>
      </c>
      <c r="Y45" s="16">
        <f>IF(ISNA(VLOOKUP(A45,'Données projet'!$A$35:$I$55,7,0)),0%,VLOOKUP(A45,'Données projet'!$A$35:$I$55,7,0))</f>
        <v>0.2</v>
      </c>
      <c r="Z45" s="21">
        <f>EXP(-LN(2)/35)*Z44+(1-EXP(-LN(2)/35))/(LN(2)/35)*V45*W45*VLOOKUP('Données projet'!$B$9,Paramètres!$A$1:$I$89,3,0)*0.475*44/12</f>
        <v>46.428331688694882</v>
      </c>
      <c r="AA45" s="21">
        <f>EXP(-LN(2)/25)*AA44+(1-EXP(-LN(2)/25))/(LN(2)/25)*Calculateur!V45*Calculateur!X45*VLOOKUP('Données projet'!$B$9,Paramètres!$A$1:$I$89,3,0)*0.475*44/12</f>
        <v>25.63472942689647</v>
      </c>
      <c r="AB45" s="21">
        <f>EXP(-LN(2)/2)*AB44+(1-EXP(-LN(2)/2))/(LN(2)/2)*V45*Y45*VLOOKUP('Données projet'!$B$9,Paramètres!$A$1:$I$89,3,0)*0.475*44/12</f>
        <v>11.131509949630951</v>
      </c>
      <c r="AC45" s="22">
        <f t="shared" si="3"/>
        <v>83.194571065222306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584.37</v>
      </c>
      <c r="AG45" s="12">
        <f>VLOOKUP(A45,'Données projet'!$A$61:$I$81,9,0)</f>
        <v>28.09833333333334</v>
      </c>
      <c r="AH45" s="12">
        <f t="array" ref="AH45">INDEX(AG:AG,MIN(IF(ISNUMBER(AG45:AG241),ROW(AG45:AG241),"")))</f>
        <v>28.09833333333334</v>
      </c>
      <c r="AI45" s="13">
        <f>IF('Données projet'!$A$62&gt;35,AI44+AH45-AQ44,IF(A45&lt;'Données projet'!$A$62,$AF$205^A45,IF(A45='Données projet'!$A$62,'Données projet'!$B$62,AI44+AH45-AQ44)))</f>
        <v>584.37000000000012</v>
      </c>
      <c r="AJ45" s="13">
        <f>AI45*VLOOKUP('Données projet'!$B$10,Paramètres!$A$1:$I$89,3,0)*VLOOKUP('Données projet'!$B$10,Paramètres!$A$1:$I$89,5,0)</f>
        <v>258.29154000000011</v>
      </c>
      <c r="AK45" s="13">
        <f t="shared" si="35"/>
        <v>62.358063710739934</v>
      </c>
      <c r="AL45" s="20">
        <f t="shared" si="4"/>
        <v>558.46472646287225</v>
      </c>
      <c r="AM45" s="59">
        <f t="shared" si="5"/>
        <v>851.79805979620551</v>
      </c>
      <c r="AN45" s="59">
        <f ca="1">AVERAGE(OFFSET($AM$3,0,0,'Données projet'!$E$10+1,1))-AVERAGE(OFFSET($H$3,0,0,'Données projet'!$E$10+1,1))</f>
        <v>293.17014997061574</v>
      </c>
      <c r="AO45" s="59">
        <f t="shared" si="36"/>
        <v>394.32615745219954</v>
      </c>
      <c r="AP45" s="15">
        <f>IF(ISNA(VLOOKUP(A45,'Données projet'!$A$61:$I$81,3,0)),0,VLOOKUP(A45,'Données projet'!$A$61:$I$81,3,0))</f>
        <v>5</v>
      </c>
      <c r="AQ45" s="15">
        <f>IF(ISNA(VLOOKUP(A45,'Données projet'!$A$61:$I$81,4,0)),0,VLOOKUP(A45,'Données projet'!$A$61:$I$81,4,0))</f>
        <v>91.32</v>
      </c>
      <c r="AR45" s="16">
        <f>IF(ISNA(VLOOKUP(A45,'Données projet'!$A$61:$I$81,5,0)),0%,VLOOKUP(A45,'Données projet'!$A$61:$I$81,5,0)*VLOOKUP('Données projet'!$B$10,Paramètres!$A$1:$I$89,7,0))</f>
        <v>0.33</v>
      </c>
      <c r="AS45" s="16">
        <f>IF(ISNA(VLOOKUP(A45,'Données projet'!$A$61:$I$81,6,0)),0%,VLOOKUP(A45,'Données projet'!$A$61:$I$81,6,0)*VLOOKUP('Données projet'!$B$10,Paramètres!$A$1:$I$89,7,0))</f>
        <v>0.11000000000000001</v>
      </c>
      <c r="AT45" s="16">
        <f>IF(ISNA(VLOOKUP(A45,'Données projet'!$A$61:$I$81,7,0)),0%,VLOOKUP(A45,'Données projet'!$A$61:$I$81,7,0))</f>
        <v>0.2</v>
      </c>
      <c r="AU45" s="21">
        <f>EXP(-LN(2)/35)*AU44+(1-EXP(-LN(2)/35))/(LN(2)/35)*AQ45*AR45*VLOOKUP('Données projet'!$B$10,Paramètres!$A$1:$I$89,3,0)*0.475*44/12</f>
        <v>51.438567344137162</v>
      </c>
      <c r="AV45" s="21">
        <f>EXP(-LN(2)/25)*AV44+(1-EXP(-LN(2)/25))/(LN(2)/25)*Calculateur!AQ45*Calculateur!AS45*VLOOKUP('Données projet'!$B$10,Paramètres!$A$1:$I$89,3,0)*0.475*44/12</f>
        <v>22.551083772715433</v>
      </c>
      <c r="AW45" s="21">
        <f>EXP(-LN(2)/2)*AW44+(1-EXP(-LN(2)/2))/(LN(2)/2)*AQ45*AT45*VLOOKUP('Données projet'!$B$10,Paramètres!$A$1:$I$89,3,0)*0.475*44/12</f>
        <v>10.36421783236651</v>
      </c>
      <c r="AX45" s="21">
        <f t="shared" si="6"/>
        <v>84.353868949219105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233.08</v>
      </c>
      <c r="BB45" s="12">
        <f>VLOOKUP(A45,'Données projet'!$A$87:$I$107,9,0)</f>
        <v>5.5495238095238095</v>
      </c>
      <c r="BC45" s="12">
        <f t="array" ref="BC45">INDEX(BB:BB,MIN(IF(ISNUMBER(BB45:BB241),ROW(BB45:BB241),"")))</f>
        <v>5.5495238095238095</v>
      </c>
      <c r="BD45" s="12">
        <f>IF('Données projet'!$A$88&gt;35,BD44+BC45-BL44,IF(A45&lt;'Données projet'!$A$88,$BA$205^A45,IF(A45='Données projet'!$A$88,'Données projet'!$B$88,BD44+BC45-BL44)))</f>
        <v>233.0799999999999</v>
      </c>
      <c r="BE45" s="13">
        <f>BD45*VLOOKUP('Données projet'!$B$11,Paramètres!$A$1:$I$89,3,0)*VLOOKUP('Données projet'!$B$11,Paramètres!$A$1:$I$89,5,0)</f>
        <v>199.98263999999995</v>
      </c>
      <c r="BF45" s="13">
        <f t="shared" si="37"/>
        <v>49.740352503543981</v>
      </c>
      <c r="BG45" s="20">
        <f t="shared" si="7"/>
        <v>434.93421194367232</v>
      </c>
      <c r="BH45" s="59">
        <f t="shared" si="8"/>
        <v>728.26754527700564</v>
      </c>
      <c r="BI45" s="59">
        <f ca="1">AVERAGE(OFFSET($BH$3,0,0,'Données projet'!$E$11+1,1))-AVERAGE(OFFSET($H$3,0,0,'Données projet'!$E$11+1,1))</f>
        <v>395.14818708356353</v>
      </c>
      <c r="BJ45" s="59">
        <f t="shared" si="38"/>
        <v>311.78229491474491</v>
      </c>
      <c r="BK45" s="15">
        <f>IF(ISNA(VLOOKUP(A45,'Données projet'!$A$87:$I$107,3,0)),0,VLOOKUP(A45,'Données projet'!$A$87:$I$107,3,0))</f>
        <v>1</v>
      </c>
      <c r="BL45" s="15">
        <f>IF(ISNA(VLOOKUP(A45,'Données projet'!$A$87:$I$107,4,0)),0,VLOOKUP(A45,'Données projet'!$A$87:$I$107,4,0))</f>
        <v>83.04000000000002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0.26500000000000001</v>
      </c>
      <c r="BO45" s="16">
        <f>IF(ISNA(VLOOKUP(A45,'Données projet'!$A$87:$I$107,7,0)),0%,VLOOKUP(A45,'Données projet'!$A$87:$I$107,7,0))</f>
        <v>0.5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20.789988760168779</v>
      </c>
      <c r="BR45" s="21">
        <f>EXP(-LN(2)/2)*BR44+(1-EXP(-LN(2)/2))/(LN(2)/2)*BL45*BO45*VLOOKUP('Données projet'!$B$11,Paramètres!$A$1:$I$89,3,0)*0.475*44/12</f>
        <v>33.612353770208706</v>
      </c>
      <c r="BS45" s="22">
        <f t="shared" si="9"/>
        <v>54.402342530377481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4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310.608199983867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22.95333333333333</v>
      </c>
      <c r="N46" s="13">
        <f>IF('Données projet'!$A$36&gt;35,N45+M46-V45,IF(A46&lt;'Données projet'!$A$36,$K$205^A46,IF(A46='Données projet'!$A$36,'Données projet'!$B$36,N45+M46-V45)))</f>
        <v>367.49333333333351</v>
      </c>
      <c r="O46" s="13">
        <f>N46*VLOOKUP('Données projet'!$B$9,Paramètres!$A$1:$I$89,3,0)*VLOOKUP('Données projet'!$B$9,Paramètres!$A$1:$I$89,5,0)</f>
        <v>171.98688000000007</v>
      </c>
      <c r="P46" s="13">
        <f t="shared" si="33"/>
        <v>43.534717226944473</v>
      </c>
      <c r="Q46" s="20">
        <f t="shared" si="53"/>
        <v>375.3667818369284</v>
      </c>
      <c r="R46" s="59">
        <f t="shared" si="0"/>
        <v>668.70011517026171</v>
      </c>
      <c r="S46" s="59">
        <f ca="1">AVERAGE(OFFSET($R$3,0,0,'Données projet'!$E$9+1,1))-AVERAGE(OFFSET($H$3,0,0,'Données projet'!$E$9+1,1))</f>
        <v>291.3013645858839</v>
      </c>
      <c r="T46" s="59">
        <f t="shared" si="34"/>
        <v>332.89241887762438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45.517900422765685</v>
      </c>
      <c r="AA46" s="21">
        <f>EXP(-LN(2)/25)*AA45+(1-EXP(-LN(2)/25))/(LN(2)/25)*Calculateur!V46*Calculateur!X46*VLOOKUP('Données projet'!$B$9,Paramètres!$A$1:$I$89,3,0)*0.475*44/12</f>
        <v>24.933746402646154</v>
      </c>
      <c r="AB46" s="21">
        <f>EXP(-LN(2)/2)*AB45+(1-EXP(-LN(2)/2))/(LN(2)/2)*V46*Y46*VLOOKUP('Données projet'!$B$9,Paramètres!$A$1:$I$89,3,0)*0.475*44/12</f>
        <v>7.8711661702295705</v>
      </c>
      <c r="AC46" s="22">
        <f t="shared" si="3"/>
        <v>78.322812995641414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27.111666666666668</v>
      </c>
      <c r="AI46" s="13">
        <f>IF('Données projet'!$A$62&gt;35,AI45+AH46-AQ45,IF(A46&lt;'Données projet'!$A$62,$AF$205^A46,IF(A46='Données projet'!$A$62,'Données projet'!$B$62,AI45+AH46-AQ45)))</f>
        <v>520.16166666666686</v>
      </c>
      <c r="AJ46" s="13">
        <f>AI46*VLOOKUP('Données projet'!$B$10,Paramètres!$A$1:$I$89,3,0)*VLOOKUP('Données projet'!$B$10,Paramètres!$A$1:$I$89,5,0)</f>
        <v>229.91145666666677</v>
      </c>
      <c r="AK46" s="13">
        <f t="shared" si="35"/>
        <v>56.263535963316585</v>
      </c>
      <c r="AL46" s="20">
        <f t="shared" si="4"/>
        <v>498.4214454972211</v>
      </c>
      <c r="AM46" s="59">
        <f t="shared" si="5"/>
        <v>791.75477883055441</v>
      </c>
      <c r="AN46" s="59">
        <f ca="1">AVERAGE(OFFSET($AM$3,0,0,'Données projet'!$E$10+1,1))-AVERAGE(OFFSET($H$3,0,0,'Données projet'!$E$10+1,1))</f>
        <v>293.17014997061574</v>
      </c>
      <c r="AO46" s="59">
        <f t="shared" si="36"/>
        <v>394.32615745219954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50.429888412946745</v>
      </c>
      <c r="AV46" s="21">
        <f>EXP(-LN(2)/25)*AV45+(1-EXP(-LN(2)/25))/(LN(2)/25)*Calculateur!AQ46*Calculateur!AS46*VLOOKUP('Données projet'!$B$10,Paramètres!$A$1:$I$89,3,0)*0.475*44/12</f>
        <v>21.934423201040577</v>
      </c>
      <c r="AW46" s="21">
        <f>EXP(-LN(2)/2)*AW45+(1-EXP(-LN(2)/2))/(LN(2)/2)*AQ46*AT46*VLOOKUP('Données projet'!$B$10,Paramètres!$A$1:$I$89,3,0)*0.475*44/12</f>
        <v>7.3286087109608999</v>
      </c>
      <c r="AX46" s="21">
        <f t="shared" si="6"/>
        <v>79.692920324948233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14.508333333333335</v>
      </c>
      <c r="BD46" s="12">
        <f>IF('Données projet'!$A$88&gt;35,BD45+BC46-BL45,IF(A46&lt;'Données projet'!$A$88,$BA$205^A46,IF(A46='Données projet'!$A$88,'Données projet'!$B$88,BD45+BC46-BL45)))</f>
        <v>164.5483333333332</v>
      </c>
      <c r="BE46" s="13">
        <f>BD46*VLOOKUP('Données projet'!$B$11,Paramètres!$A$1:$I$89,3,0)*VLOOKUP('Données projet'!$B$11,Paramètres!$A$1:$I$89,5,0)</f>
        <v>141.18246999999991</v>
      </c>
      <c r="BF46" s="13">
        <f t="shared" si="37"/>
        <v>36.567760023927981</v>
      </c>
      <c r="BG46" s="20">
        <f t="shared" si="7"/>
        <v>309.58165062500774</v>
      </c>
      <c r="BH46" s="59">
        <f t="shared" si="8"/>
        <v>602.91498395834105</v>
      </c>
      <c r="BI46" s="59">
        <f ca="1">AVERAGE(OFFSET($BH$3,0,0,'Données projet'!$E$11+1,1))-AVERAGE(OFFSET($H$3,0,0,'Données projet'!$E$11+1,1))</f>
        <v>395.14818708356353</v>
      </c>
      <c r="BJ46" s="59">
        <f t="shared" si="38"/>
        <v>311.78229491474491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20.221485424223971</v>
      </c>
      <c r="BR46" s="21">
        <f>EXP(-LN(2)/2)*BR45+(1-EXP(-LN(2)/2))/(LN(2)/2)*BL46*BO46*VLOOKUP('Données projet'!$B$11,Paramètres!$A$1:$I$89,3,0)*0.475*44/12</f>
        <v>23.767523282555796</v>
      </c>
      <c r="BS46" s="22">
        <f t="shared" si="9"/>
        <v>43.989008706779771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4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311.82696648039632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22.95333333333333</v>
      </c>
      <c r="N47" s="13">
        <f>IF('Données projet'!$A$36&gt;35,N46+M47-V46,IF(A47&lt;'Données projet'!$A$36,$K$205^A47,IF(A47='Données projet'!$A$36,'Données projet'!$B$36,N46+M47-V46)))</f>
        <v>390.44666666666683</v>
      </c>
      <c r="O47" s="13">
        <f>N47*VLOOKUP('Données projet'!$B$9,Paramètres!$A$1:$I$89,3,0)*VLOOKUP('Données projet'!$B$9,Paramètres!$A$1:$I$89,5,0)</f>
        <v>182.72904000000008</v>
      </c>
      <c r="P47" s="13">
        <f t="shared" si="33"/>
        <v>45.928814533042662</v>
      </c>
      <c r="Q47" s="20">
        <f t="shared" si="53"/>
        <v>398.24576331171608</v>
      </c>
      <c r="R47" s="59">
        <f t="shared" si="0"/>
        <v>691.57909664504939</v>
      </c>
      <c r="S47" s="59">
        <f ca="1">AVERAGE(OFFSET($R$3,0,0,'Données projet'!$E$9+1,1))-AVERAGE(OFFSET($H$3,0,0,'Données projet'!$E$9+1,1))</f>
        <v>291.3013645858839</v>
      </c>
      <c r="T47" s="59">
        <f t="shared" si="34"/>
        <v>332.89241887762438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44.62532215865312</v>
      </c>
      <c r="AA47" s="21">
        <f>EXP(-LN(2)/25)*AA46+(1-EXP(-LN(2)/25))/(LN(2)/25)*Calculateur!V47*Calculateur!X47*VLOOKUP('Données projet'!$B$9,Paramètres!$A$1:$I$89,3,0)*0.475*44/12</f>
        <v>24.251931796057058</v>
      </c>
      <c r="AB47" s="21">
        <f>EXP(-LN(2)/2)*AB46+(1-EXP(-LN(2)/2))/(LN(2)/2)*V47*Y47*VLOOKUP('Données projet'!$B$9,Paramètres!$A$1:$I$89,3,0)*0.475*44/12</f>
        <v>5.5657549748154764</v>
      </c>
      <c r="AC47" s="22">
        <f t="shared" si="3"/>
        <v>74.443008929525647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27.111666666666668</v>
      </c>
      <c r="AI47" s="13">
        <f>IF('Données projet'!$A$62&gt;35,AI46+AH47-AQ46,IF(A47&lt;'Données projet'!$A$62,$AF$205^A47,IF(A47='Données projet'!$A$62,'Données projet'!$B$62,AI46+AH47-AQ46)))</f>
        <v>547.27333333333354</v>
      </c>
      <c r="AJ47" s="13">
        <f>AI47*VLOOKUP('Données projet'!$B$10,Paramètres!$A$1:$I$89,3,0)*VLOOKUP('Données projet'!$B$10,Paramètres!$A$1:$I$89,5,0)</f>
        <v>241.89481333333345</v>
      </c>
      <c r="AK47" s="13">
        <f t="shared" si="35"/>
        <v>58.847022024314114</v>
      </c>
      <c r="AL47" s="20">
        <f t="shared" si="4"/>
        <v>523.79202991456953</v>
      </c>
      <c r="AM47" s="59">
        <f t="shared" si="5"/>
        <v>817.1253632479029</v>
      </c>
      <c r="AN47" s="59">
        <f ca="1">AVERAGE(OFFSET($AM$3,0,0,'Données projet'!$E$10+1,1))-AVERAGE(OFFSET($H$3,0,0,'Données projet'!$E$10+1,1))</f>
        <v>293.17014997061574</v>
      </c>
      <c r="AO47" s="59">
        <f t="shared" si="36"/>
        <v>394.32615745219954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49.44098906036357</v>
      </c>
      <c r="AV47" s="21">
        <f>EXP(-LN(2)/25)*AV46+(1-EXP(-LN(2)/25))/(LN(2)/25)*Calculateur!AQ47*Calculateur!AS47*VLOOKUP('Données projet'!$B$10,Paramètres!$A$1:$I$89,3,0)*0.475*44/12</f>
        <v>21.334625245126936</v>
      </c>
      <c r="AW47" s="21">
        <f>EXP(-LN(2)/2)*AW46+(1-EXP(-LN(2)/2))/(LN(2)/2)*AQ47*AT47*VLOOKUP('Données projet'!$B$10,Paramètres!$A$1:$I$89,3,0)*0.475*44/12</f>
        <v>5.1821089161832559</v>
      </c>
      <c r="AX47" s="21">
        <f t="shared" si="6"/>
        <v>75.95772322167376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14.508333333333335</v>
      </c>
      <c r="BD47" s="12">
        <f>IF('Données projet'!$A$88&gt;35,BD46+BC47-BL46,IF(A47&lt;'Données projet'!$A$88,$BA$205^A47,IF(A47='Données projet'!$A$88,'Données projet'!$B$88,BD46+BC47-BL46)))</f>
        <v>179.05666666666653</v>
      </c>
      <c r="BE47" s="13">
        <f>BD47*VLOOKUP('Données projet'!$B$11,Paramètres!$A$1:$I$89,3,0)*VLOOKUP('Données projet'!$B$11,Paramètres!$A$1:$I$89,5,0)</f>
        <v>153.63061999999991</v>
      </c>
      <c r="BF47" s="13">
        <f t="shared" si="37"/>
        <v>39.402505118374606</v>
      </c>
      <c r="BG47" s="20">
        <f t="shared" si="7"/>
        <v>336.19935958116895</v>
      </c>
      <c r="BH47" s="59">
        <f t="shared" si="8"/>
        <v>629.53269291450226</v>
      </c>
      <c r="BI47" s="59">
        <f ca="1">AVERAGE(OFFSET($BH$3,0,0,'Données projet'!$E$11+1,1))-AVERAGE(OFFSET($H$3,0,0,'Données projet'!$E$11+1,1))</f>
        <v>395.14818708356353</v>
      </c>
      <c r="BJ47" s="59">
        <f t="shared" si="38"/>
        <v>311.78229491474491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19.668527841896864</v>
      </c>
      <c r="BR47" s="21">
        <f>EXP(-LN(2)/2)*BR46+(1-EXP(-LN(2)/2))/(LN(2)/2)*BL47*BO47*VLOOKUP('Données projet'!$B$11,Paramètres!$A$1:$I$89,3,0)*0.475*44/12</f>
        <v>16.806176885104357</v>
      </c>
      <c r="BS47" s="22">
        <f t="shared" si="9"/>
        <v>36.474704727001225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4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313.04502535249287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22.95333333333333</v>
      </c>
      <c r="N48" s="13">
        <f>IF('Données projet'!$A$36&gt;35,N47+M48-V47,IF(A48&lt;'Données projet'!$A$36,$K$205^A48,IF(A48='Données projet'!$A$36,'Données projet'!$B$36,N47+M48-V47)))</f>
        <v>413.40000000000015</v>
      </c>
      <c r="O48" s="13">
        <f>N48*VLOOKUP('Données projet'!$B$9,Paramètres!$A$1:$I$89,3,0)*VLOOKUP('Données projet'!$B$9,Paramètres!$A$1:$I$89,5,0)</f>
        <v>193.47120000000007</v>
      </c>
      <c r="P48" s="13">
        <f t="shared" si="33"/>
        <v>48.306575382296536</v>
      </c>
      <c r="Q48" s="20">
        <f t="shared" si="53"/>
        <v>421.0962921241665</v>
      </c>
      <c r="R48" s="59">
        <f t="shared" si="0"/>
        <v>714.42962545749981</v>
      </c>
      <c r="S48" s="59">
        <f ca="1">AVERAGE(OFFSET($R$3,0,0,'Données projet'!$E$9+1,1))-AVERAGE(OFFSET($H$3,0,0,'Données projet'!$E$9+1,1))</f>
        <v>291.3013645858839</v>
      </c>
      <c r="T48" s="59">
        <f t="shared" si="34"/>
        <v>332.89241887762438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43.750246809880821</v>
      </c>
      <c r="AA48" s="21">
        <f>EXP(-LN(2)/25)*AA47+(1-EXP(-LN(2)/25))/(LN(2)/25)*Calculateur!V48*Calculateur!X48*VLOOKUP('Données projet'!$B$9,Paramètres!$A$1:$I$89,3,0)*0.475*44/12</f>
        <v>23.588761445740214</v>
      </c>
      <c r="AB48" s="21">
        <f>EXP(-LN(2)/2)*AB47+(1-EXP(-LN(2)/2))/(LN(2)/2)*V48*Y48*VLOOKUP('Données projet'!$B$9,Paramètres!$A$1:$I$89,3,0)*0.475*44/12</f>
        <v>3.9355830851147857</v>
      </c>
      <c r="AC48" s="22">
        <f t="shared" si="3"/>
        <v>71.274591340735824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27.111666666666668</v>
      </c>
      <c r="AI48" s="13">
        <f>IF('Données projet'!$A$62&gt;35,AI47+AH48-AQ47,IF(A48&lt;'Données projet'!$A$62,$AF$205^A48,IF(A48='Données projet'!$A$62,'Données projet'!$B$62,AI47+AH48-AQ47)))</f>
        <v>574.38500000000022</v>
      </c>
      <c r="AJ48" s="13">
        <f>AI48*VLOOKUP('Données projet'!$B$10,Paramètres!$A$1:$I$89,3,0)*VLOOKUP('Données projet'!$B$10,Paramètres!$A$1:$I$89,5,0)</f>
        <v>253.87817000000013</v>
      </c>
      <c r="AK48" s="13">
        <f t="shared" si="35"/>
        <v>61.41564711853259</v>
      </c>
      <c r="AL48" s="20">
        <f t="shared" si="4"/>
        <v>549.13673148144449</v>
      </c>
      <c r="AM48" s="59">
        <f t="shared" si="5"/>
        <v>842.47006481477774</v>
      </c>
      <c r="AN48" s="59">
        <f ca="1">AVERAGE(OFFSET($AM$3,0,0,'Données projet'!$E$10+1,1))-AVERAGE(OFFSET($H$3,0,0,'Données projet'!$E$10+1,1))</f>
        <v>293.17014997061574</v>
      </c>
      <c r="AO48" s="59">
        <f t="shared" si="36"/>
        <v>394.32615745219954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48.471481420915509</v>
      </c>
      <c r="AV48" s="21">
        <f>EXP(-LN(2)/25)*AV47+(1-EXP(-LN(2)/25))/(LN(2)/25)*Calculateur!AQ48*Calculateur!AS48*VLOOKUP('Données projet'!$B$10,Paramètres!$A$1:$I$89,3,0)*0.475*44/12</f>
        <v>20.75122879585976</v>
      </c>
      <c r="AW48" s="21">
        <f>EXP(-LN(2)/2)*AW47+(1-EXP(-LN(2)/2))/(LN(2)/2)*AQ48*AT48*VLOOKUP('Données projet'!$B$10,Paramètres!$A$1:$I$89,3,0)*0.475*44/12</f>
        <v>3.6643043554804509</v>
      </c>
      <c r="AX48" s="21">
        <f t="shared" si="6"/>
        <v>72.887014572255723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14.508333333333335</v>
      </c>
      <c r="BD48" s="12">
        <f>IF('Données projet'!$A$88&gt;35,BD47+BC48-BL47,IF(A48&lt;'Données projet'!$A$88,$BA$205^A48,IF(A48='Données projet'!$A$88,'Données projet'!$B$88,BD47+BC48-BL47)))</f>
        <v>193.56499999999986</v>
      </c>
      <c r="BE48" s="13">
        <f>BD48*VLOOKUP('Données projet'!$B$11,Paramètres!$A$1:$I$89,3,0)*VLOOKUP('Données projet'!$B$11,Paramètres!$A$1:$I$89,5,0)</f>
        <v>166.07876999999991</v>
      </c>
      <c r="BF48" s="13">
        <f t="shared" si="37"/>
        <v>42.21060929387</v>
      </c>
      <c r="BG48" s="20">
        <f t="shared" si="7"/>
        <v>362.77066893682337</v>
      </c>
      <c r="BH48" s="59">
        <f t="shared" si="8"/>
        <v>656.10400227015668</v>
      </c>
      <c r="BI48" s="59">
        <f ca="1">AVERAGE(OFFSET($BH$3,0,0,'Données projet'!$E$11+1,1))-AVERAGE(OFFSET($H$3,0,0,'Données projet'!$E$11+1,1))</f>
        <v>395.14818708356353</v>
      </c>
      <c r="BJ48" s="59">
        <f t="shared" si="38"/>
        <v>311.78229491474491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19.130690913737268</v>
      </c>
      <c r="BR48" s="21">
        <f>EXP(-LN(2)/2)*BR47+(1-EXP(-LN(2)/2))/(LN(2)/2)*BL48*BO48*VLOOKUP('Données projet'!$B$11,Paramètres!$A$1:$I$89,3,0)*0.475*44/12</f>
        <v>11.8837616412779</v>
      </c>
      <c r="BS48" s="22">
        <f t="shared" si="9"/>
        <v>31.014452555015168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4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314.26239413576309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22.95333333333333</v>
      </c>
      <c r="N49" s="13">
        <f>IF('Données projet'!$A$36&gt;35,N48+M49-V48,IF(A49&lt;'Données projet'!$A$36,$K$205^A49,IF(A49='Données projet'!$A$36,'Données projet'!$B$36,N48+M49-V48)))</f>
        <v>436.35333333333347</v>
      </c>
      <c r="O49" s="13">
        <f>N49*VLOOKUP('Données projet'!$B$9,Paramètres!$A$1:$I$89,3,0)*VLOOKUP('Données projet'!$B$9,Paramètres!$A$1:$I$89,5,0)</f>
        <v>204.21336000000008</v>
      </c>
      <c r="P49" s="13">
        <f t="shared" si="33"/>
        <v>50.669010210991836</v>
      </c>
      <c r="Q49" s="20">
        <f t="shared" si="53"/>
        <v>443.92012811747759</v>
      </c>
      <c r="R49" s="59">
        <f t="shared" si="0"/>
        <v>737.25346145081085</v>
      </c>
      <c r="S49" s="59">
        <f ca="1">AVERAGE(OFFSET($R$3,0,0,'Données projet'!$E$9+1,1))-AVERAGE(OFFSET($H$3,0,0,'Données projet'!$E$9+1,1))</f>
        <v>291.3013645858839</v>
      </c>
      <c r="T49" s="59">
        <f t="shared" si="34"/>
        <v>332.89241887762438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42.892331154954682</v>
      </c>
      <c r="AA49" s="21">
        <f>EXP(-LN(2)/25)*AA48+(1-EXP(-LN(2)/25))/(LN(2)/25)*Calculateur!V49*Calculateur!X49*VLOOKUP('Données projet'!$B$9,Paramètres!$A$1:$I$89,3,0)*0.475*44/12</f>
        <v>22.943725523527398</v>
      </c>
      <c r="AB49" s="21">
        <f>EXP(-LN(2)/2)*AB48+(1-EXP(-LN(2)/2))/(LN(2)/2)*V49*Y49*VLOOKUP('Données projet'!$B$9,Paramètres!$A$1:$I$89,3,0)*0.475*44/12</f>
        <v>2.7828774874077387</v>
      </c>
      <c r="AC49" s="22">
        <f t="shared" si="3"/>
        <v>68.618934165889826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27.111666666666668</v>
      </c>
      <c r="AI49" s="13">
        <f>IF('Données projet'!$A$62&gt;35,AI48+AH49-AQ48,IF(A49&lt;'Données projet'!$A$62,$AF$205^A49,IF(A49='Données projet'!$A$62,'Données projet'!$B$62,AI48+AH49-AQ48)))</f>
        <v>601.4966666666669</v>
      </c>
      <c r="AJ49" s="13">
        <f>AI49*VLOOKUP('Données projet'!$B$10,Paramètres!$A$1:$I$89,3,0)*VLOOKUP('Données projet'!$B$10,Paramètres!$A$1:$I$89,5,0)</f>
        <v>265.8615266666668</v>
      </c>
      <c r="AK49" s="13">
        <f t="shared" si="35"/>
        <v>63.97019279722258</v>
      </c>
      <c r="AL49" s="20">
        <f t="shared" si="4"/>
        <v>574.45691139960729</v>
      </c>
      <c r="AM49" s="59">
        <f t="shared" si="5"/>
        <v>867.79024473294066</v>
      </c>
      <c r="AN49" s="59">
        <f ca="1">AVERAGE(OFFSET($AM$3,0,0,'Données projet'!$E$10+1,1))-AVERAGE(OFFSET($H$3,0,0,'Données projet'!$E$10+1,1))</f>
        <v>293.17014997061574</v>
      </c>
      <c r="AO49" s="59">
        <f t="shared" si="36"/>
        <v>394.32615745219954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47.52098523493575</v>
      </c>
      <c r="AV49" s="21">
        <f>EXP(-LN(2)/25)*AV48+(1-EXP(-LN(2)/25))/(LN(2)/25)*Calculateur!AQ49*Calculateur!AS49*VLOOKUP('Données projet'!$B$10,Paramètres!$A$1:$I$89,3,0)*0.475*44/12</f>
        <v>20.183785353177278</v>
      </c>
      <c r="AW49" s="21">
        <f>EXP(-LN(2)/2)*AW48+(1-EXP(-LN(2)/2))/(LN(2)/2)*AQ49*AT49*VLOOKUP('Données projet'!$B$10,Paramètres!$A$1:$I$89,3,0)*0.475*44/12</f>
        <v>2.5910544580916284</v>
      </c>
      <c r="AX49" s="21">
        <f t="shared" si="6"/>
        <v>70.295825046204669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14.508333333333335</v>
      </c>
      <c r="BD49" s="12">
        <f>IF('Données projet'!$A$88&gt;35,BD48+BC49-BL48,IF(A49&lt;'Données projet'!$A$88,$BA$205^A49,IF(A49='Données projet'!$A$88,'Données projet'!$B$88,BD48+BC49-BL48)))</f>
        <v>208.07333333333318</v>
      </c>
      <c r="BE49" s="13">
        <f>BD49*VLOOKUP('Données projet'!$B$11,Paramètres!$A$1:$I$89,3,0)*VLOOKUP('Données projet'!$B$11,Paramètres!$A$1:$I$89,5,0)</f>
        <v>178.52691999999988</v>
      </c>
      <c r="BF49" s="13">
        <f t="shared" si="37"/>
        <v>44.994296431044539</v>
      </c>
      <c r="BG49" s="20">
        <f t="shared" si="7"/>
        <v>389.29945195073566</v>
      </c>
      <c r="BH49" s="59">
        <f t="shared" si="8"/>
        <v>682.63278528406897</v>
      </c>
      <c r="BI49" s="59">
        <f ca="1">AVERAGE(OFFSET($BH$3,0,0,'Données projet'!$E$11+1,1))-AVERAGE(OFFSET($H$3,0,0,'Données projet'!$E$11+1,1))</f>
        <v>395.14818708356353</v>
      </c>
      <c r="BJ49" s="59">
        <f t="shared" si="38"/>
        <v>311.78229491474491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18.60756116466181</v>
      </c>
      <c r="BR49" s="21">
        <f>EXP(-LN(2)/2)*BR48+(1-EXP(-LN(2)/2))/(LN(2)/2)*BL49*BO49*VLOOKUP('Données projet'!$B$11,Paramètres!$A$1:$I$89,3,0)*0.475*44/12</f>
        <v>8.4030884425521801</v>
      </c>
      <c r="BS49" s="22">
        <f t="shared" si="9"/>
        <v>27.010649607213992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4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315.47908955985213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22.95333333333333</v>
      </c>
      <c r="N50" s="13">
        <f>IF('Données projet'!$A$36&gt;35,N49+M50-V49,IF(A50&lt;'Données projet'!$A$36,$K$205^A50,IF(A50='Données projet'!$A$36,'Données projet'!$B$36,N49+M50-V49)))</f>
        <v>459.30666666666679</v>
      </c>
      <c r="O50" s="13">
        <f>N50*VLOOKUP('Données projet'!$B$9,Paramètres!$A$1:$I$89,3,0)*VLOOKUP('Données projet'!$B$9,Paramètres!$A$1:$I$89,5,0)</f>
        <v>214.95552000000006</v>
      </c>
      <c r="P50" s="13">
        <f t="shared" si="33"/>
        <v>53.017017148216119</v>
      </c>
      <c r="Q50" s="20">
        <f t="shared" si="53"/>
        <v>466.71883553314319</v>
      </c>
      <c r="R50" s="59">
        <f t="shared" si="0"/>
        <v>760.05216886647645</v>
      </c>
      <c r="S50" s="59">
        <f ca="1">AVERAGE(OFFSET($R$3,0,0,'Données projet'!$E$9+1,1))-AVERAGE(OFFSET($H$3,0,0,'Données projet'!$E$9+1,1))</f>
        <v>291.3013645858839</v>
      </c>
      <c r="T50" s="59">
        <f t="shared" si="34"/>
        <v>332.89241887762438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42.051238702744769</v>
      </c>
      <c r="AA50" s="21">
        <f>EXP(-LN(2)/25)*AA49+(1-EXP(-LN(2)/25))/(LN(2)/25)*Calculateur!V50*Calculateur!X50*VLOOKUP('Données projet'!$B$9,Paramètres!$A$1:$I$89,3,0)*0.475*44/12</f>
        <v>22.316328142528455</v>
      </c>
      <c r="AB50" s="21">
        <f>EXP(-LN(2)/2)*AB49+(1-EXP(-LN(2)/2))/(LN(2)/2)*V50*Y50*VLOOKUP('Données projet'!$B$9,Paramètres!$A$1:$I$89,3,0)*0.475*44/12</f>
        <v>1.9677915425573931</v>
      </c>
      <c r="AC50" s="22">
        <f t="shared" si="3"/>
        <v>66.33535838783061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27.111666666666668</v>
      </c>
      <c r="AI50" s="13">
        <f>IF('Données projet'!$A$62&gt;35,AI49+AH50-AQ49,IF(A50&lt;'Données projet'!$A$62,$AF$205^A50,IF(A50='Données projet'!$A$62,'Données projet'!$B$62,AI49+AH50-AQ49)))</f>
        <v>628.60833333333358</v>
      </c>
      <c r="AJ50" s="13">
        <f>AI50*VLOOKUP('Données projet'!$B$10,Paramètres!$A$1:$I$89,3,0)*VLOOKUP('Données projet'!$B$10,Paramètres!$A$1:$I$89,5,0)</f>
        <v>277.84488333333348</v>
      </c>
      <c r="AK50" s="13">
        <f t="shared" si="35"/>
        <v>66.511366174013645</v>
      </c>
      <c r="AL50" s="20">
        <f t="shared" si="4"/>
        <v>599.75380122529612</v>
      </c>
      <c r="AM50" s="59">
        <f t="shared" si="5"/>
        <v>893.08713455862949</v>
      </c>
      <c r="AN50" s="59">
        <f ca="1">AVERAGE(OFFSET($AM$3,0,0,'Données projet'!$E$10+1,1))-AVERAGE(OFFSET($H$3,0,0,'Données projet'!$E$10+1,1))</f>
        <v>293.17014997061574</v>
      </c>
      <c r="AO50" s="59">
        <f t="shared" si="36"/>
        <v>394.32615745219954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46.589127699417631</v>
      </c>
      <c r="AV50" s="21">
        <f>EXP(-LN(2)/25)*AV49+(1-EXP(-LN(2)/25))/(LN(2)/25)*Calculateur!AQ50*Calculateur!AS50*VLOOKUP('Données projet'!$B$10,Paramètres!$A$1:$I$89,3,0)*0.475*44/12</f>
        <v>19.631858681275503</v>
      </c>
      <c r="AW50" s="21">
        <f>EXP(-LN(2)/2)*AW49+(1-EXP(-LN(2)/2))/(LN(2)/2)*AQ50*AT50*VLOOKUP('Données projet'!$B$10,Paramètres!$A$1:$I$89,3,0)*0.475*44/12</f>
        <v>1.8321521777402257</v>
      </c>
      <c r="AX50" s="21">
        <f t="shared" si="6"/>
        <v>68.053138558433361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14.508333333333335</v>
      </c>
      <c r="BD50" s="12">
        <f>IF('Données projet'!$A$88&gt;35,BD49+BC50-BL49,IF(A50&lt;'Données projet'!$A$88,$BA$205^A50,IF(A50='Données projet'!$A$88,'Données projet'!$B$88,BD49+BC50-BL49)))</f>
        <v>222.58166666666651</v>
      </c>
      <c r="BE50" s="13">
        <f>BD50*VLOOKUP('Données projet'!$B$11,Paramètres!$A$1:$I$89,3,0)*VLOOKUP('Données projet'!$B$11,Paramètres!$A$1:$I$89,5,0)</f>
        <v>190.9750699999999</v>
      </c>
      <c r="BF50" s="13">
        <f t="shared" si="37"/>
        <v>47.75546271906898</v>
      </c>
      <c r="BG50" s="20">
        <f t="shared" si="7"/>
        <v>415.78901115237835</v>
      </c>
      <c r="BH50" s="59">
        <f t="shared" si="8"/>
        <v>709.12234448571166</v>
      </c>
      <c r="BI50" s="59">
        <f ca="1">AVERAGE(OFFSET($BH$3,0,0,'Données projet'!$E$11+1,1))-AVERAGE(OFFSET($H$3,0,0,'Données projet'!$E$11+1,1))</f>
        <v>395.14818708356353</v>
      </c>
      <c r="BJ50" s="59">
        <f t="shared" si="38"/>
        <v>311.78229491474491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18.098736426085019</v>
      </c>
      <c r="BR50" s="21">
        <f>EXP(-LN(2)/2)*BR49+(1-EXP(-LN(2)/2))/(LN(2)/2)*BL50*BO50*VLOOKUP('Données projet'!$B$11,Paramètres!$A$1:$I$89,3,0)*0.475*44/12</f>
        <v>5.9418808206389508</v>
      </c>
      <c r="BS50" s="22">
        <f t="shared" si="9"/>
        <v>24.040617246723968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4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316.69512760183437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>
        <f>VLOOKUP(A51,'Données projet'!$A$35:$I$55,2,0)</f>
        <v>482.26</v>
      </c>
      <c r="L51" s="12">
        <f>VLOOKUP(A51,'Données projet'!$A$35:$I$55,9,0)</f>
        <v>22.95333333333333</v>
      </c>
      <c r="M51" s="12">
        <f t="array" ref="M51">INDEX(L:L,MIN(IF(ISNUMBER(L51:L247),ROW(L51:L247),"")))</f>
        <v>22.95333333333333</v>
      </c>
      <c r="N51" s="13">
        <f>IF('Données projet'!$A$36&gt;35,N50+M51-V50,IF(A51&lt;'Données projet'!$A$36,$K$205^A51,IF(A51='Données projet'!$A$36,'Données projet'!$B$36,N50+M51-V50)))</f>
        <v>482.2600000000001</v>
      </c>
      <c r="O51" s="13">
        <f>N51*VLOOKUP('Données projet'!$B$9,Paramètres!$A$1:$I$89,3,0)*VLOOKUP('Données projet'!$B$9,Paramètres!$A$1:$I$89,5,0)</f>
        <v>225.69768000000002</v>
      </c>
      <c r="P51" s="13">
        <f t="shared" si="33"/>
        <v>55.35139948623074</v>
      </c>
      <c r="Q51" s="20">
        <f t="shared" si="53"/>
        <v>489.49381343851854</v>
      </c>
      <c r="R51" s="59">
        <f t="shared" si="0"/>
        <v>782.82714677185186</v>
      </c>
      <c r="S51" s="59">
        <f ca="1">AVERAGE(OFFSET($R$3,0,0,'Données projet'!$E$9+1,1))-AVERAGE(OFFSET($H$3,0,0,'Données projet'!$E$9+1,1))</f>
        <v>291.3013645858839</v>
      </c>
      <c r="T51" s="59">
        <f t="shared" si="34"/>
        <v>332.89241887762438</v>
      </c>
      <c r="U51" s="15">
        <f>IF(ISNA(VLOOKUP(A51,'Données projet'!$A$35:$I$55,3,0)),0,VLOOKUP(A51,'Données projet'!$A$35:$I$55,3,0))</f>
        <v>5</v>
      </c>
      <c r="V51" s="15">
        <f>IF(ISNA(VLOOKUP(A51,'Données projet'!$A$35:$I$55,4,0)),0,VLOOKUP(A51,'Données projet'!$A$35:$I$55,4,0))</f>
        <v>100.36000000000001</v>
      </c>
      <c r="W51" s="16">
        <f>IF(ISNA(VLOOKUP(A51,'Données projet'!$A$35:$I$55,5,0)),0%,VLOOKUP(A51,'Données projet'!$A$35:$I$55,5,0)*VLOOKUP('Données projet'!$B$9,Paramètres!$A$1:$I$89,7,0))</f>
        <v>0.33</v>
      </c>
      <c r="X51" s="16">
        <f>IF(ISNA(VLOOKUP(A51,'Données projet'!$A$35:$I$55,6,0)),0%,VLOOKUP(A51,'Données projet'!$A$35:$I$55,6,0)*VLOOKUP('Données projet'!$B$9,Paramètres!$A$1:$I$89,7,0))</f>
        <v>0.11000000000000001</v>
      </c>
      <c r="Y51" s="16">
        <f>IF(ISNA(VLOOKUP(A51,'Données projet'!$A$35:$I$55,7,0)),0%,VLOOKUP(A51,'Données projet'!$A$35:$I$55,7,0))</f>
        <v>0.2</v>
      </c>
      <c r="Z51" s="21">
        <f>EXP(-LN(2)/35)*Z50+(1-EXP(-LN(2)/35))/(LN(2)/35)*V51*W51*VLOOKUP('Données projet'!$B$9,Paramètres!$A$1:$I$89,3,0)*0.475*44/12</f>
        <v>61.787855871534518</v>
      </c>
      <c r="AA51" s="21">
        <f>EXP(-LN(2)/25)*AA50+(1-EXP(-LN(2)/25))/(LN(2)/25)*Calculateur!V51*Calculateur!X51*VLOOKUP('Données projet'!$B$9,Paramètres!$A$1:$I$89,3,0)*0.475*44/12</f>
        <v>28.532839965230803</v>
      </c>
      <c r="AB51" s="21">
        <f>EXP(-LN(2)/2)*AB50+(1-EXP(-LN(2)/2))/(LN(2)/2)*V51*Y51*VLOOKUP('Données projet'!$B$9,Paramètres!$A$1:$I$89,3,0)*0.475*44/12</f>
        <v>12.027284748049045</v>
      </c>
      <c r="AC51" s="22">
        <f t="shared" si="3"/>
        <v>102.34798058481437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655.72</v>
      </c>
      <c r="AG51" s="12">
        <f>VLOOKUP(A51,'Données projet'!$A$61:$I$81,9,0)</f>
        <v>27.111666666666668</v>
      </c>
      <c r="AH51" s="12">
        <f t="array" ref="AH51">INDEX(AG:AG,MIN(IF(ISNUMBER(AG51:AG247),ROW(AG51:AG247),"")))</f>
        <v>27.111666666666668</v>
      </c>
      <c r="AI51" s="13">
        <f>IF('Données projet'!$A$62&gt;35,AI50+AH51-AQ50,IF(A51&lt;'Données projet'!$A$62,$AF$205^A51,IF(A51='Données projet'!$A$62,'Données projet'!$B$62,AI50+AH51-AQ50)))</f>
        <v>655.72000000000025</v>
      </c>
      <c r="AJ51" s="13">
        <f>AI51*VLOOKUP('Données projet'!$B$10,Paramètres!$A$1:$I$89,3,0)*VLOOKUP('Données projet'!$B$10,Paramètres!$A$1:$I$89,5,0)</f>
        <v>289.82824000000016</v>
      </c>
      <c r="AK51" s="13">
        <f t="shared" si="35"/>
        <v>69.039809917824471</v>
      </c>
      <c r="AL51" s="20">
        <f t="shared" si="4"/>
        <v>625.02852027354459</v>
      </c>
      <c r="AM51" s="59">
        <f t="shared" si="5"/>
        <v>918.36185360687796</v>
      </c>
      <c r="AN51" s="59">
        <f ca="1">AVERAGE(OFFSET($AM$3,0,0,'Données projet'!$E$10+1,1))-AVERAGE(OFFSET($H$3,0,0,'Données projet'!$E$10+1,1))</f>
        <v>293.17014997061574</v>
      </c>
      <c r="AO51" s="59">
        <f t="shared" si="36"/>
        <v>394.32615745219954</v>
      </c>
      <c r="AP51" s="15">
        <f>IF(ISNA(VLOOKUP(A51,'Données projet'!$A$61:$I$81,3,0)),0,VLOOKUP(A51,'Données projet'!$A$61:$I$81,3,0))</f>
        <v>6</v>
      </c>
      <c r="AQ51" s="15">
        <f>IF(ISNA(VLOOKUP(A51,'Données projet'!$A$61:$I$81,4,0)),0,VLOOKUP(A51,'Données projet'!$A$61:$I$81,4,0))</f>
        <v>101.43000000000006</v>
      </c>
      <c r="AR51" s="16">
        <f>IF(ISNA(VLOOKUP(A51,'Données projet'!$A$61:$I$81,5,0)),0%,VLOOKUP(A51,'Données projet'!$A$61:$I$81,5,0)*VLOOKUP('Données projet'!$B$10,Paramètres!$A$1:$I$89,7,0))</f>
        <v>0.33</v>
      </c>
      <c r="AS51" s="16">
        <f>IF(ISNA(VLOOKUP(A51,'Données projet'!$A$61:$I$81,6,0)),0%,VLOOKUP(A51,'Données projet'!$A$61:$I$81,6,0)*VLOOKUP('Données projet'!$B$10,Paramètres!$A$1:$I$89,7,0))</f>
        <v>0.11000000000000001</v>
      </c>
      <c r="AT51" s="16">
        <f>IF(ISNA(VLOOKUP(A51,'Données projet'!$A$61:$I$81,7,0)),0%,VLOOKUP(A51,'Données projet'!$A$61:$I$81,7,0))</f>
        <v>0.2</v>
      </c>
      <c r="AU51" s="21">
        <f>EXP(-LN(2)/35)*AU50+(1-EXP(-LN(2)/35))/(LN(2)/35)*AQ51*AR51*VLOOKUP('Données projet'!$B$10,Paramètres!$A$1:$I$89,3,0)*0.475*44/12</f>
        <v>65.301507017637874</v>
      </c>
      <c r="AV51" s="21">
        <f>EXP(-LN(2)/25)*AV50+(1-EXP(-LN(2)/25))/(LN(2)/25)*Calculateur!AQ51*Calculateur!AS51*VLOOKUP('Données projet'!$B$10,Paramètres!$A$1:$I$89,3,0)*0.475*44/12</f>
        <v>25.611254072806396</v>
      </c>
      <c r="AW51" s="21">
        <f>EXP(-LN(2)/2)*AW50+(1-EXP(-LN(2)/2))/(LN(2)/2)*AQ51*AT51*VLOOKUP('Données projet'!$B$10,Paramètres!$A$1:$I$89,3,0)*0.475*44/12</f>
        <v>11.447588488374695</v>
      </c>
      <c r="AX51" s="21">
        <f t="shared" si="6"/>
        <v>102.36034957881895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237.09</v>
      </c>
      <c r="BB51" s="12">
        <f>VLOOKUP(A51,'Données projet'!$A$87:$I$107,9,0)</f>
        <v>14.508333333333335</v>
      </c>
      <c r="BC51" s="12">
        <f t="array" ref="BC51">INDEX(BB:BB,MIN(IF(ISNUMBER(BB51:BB247),ROW(BB51:BB247),"")))</f>
        <v>14.508333333333335</v>
      </c>
      <c r="BD51" s="12">
        <f>IF('Données projet'!$A$88&gt;35,BD50+BC51-BL50,IF(A51&lt;'Données projet'!$A$88,$BA$205^A51,IF(A51='Données projet'!$A$88,'Données projet'!$B$88,BD50+BC51-BL50)))</f>
        <v>237.08999999999983</v>
      </c>
      <c r="BE51" s="13">
        <f>BD51*VLOOKUP('Données projet'!$B$11,Paramètres!$A$1:$I$89,3,0)*VLOOKUP('Données projet'!$B$11,Paramètres!$A$1:$I$89,5,0)</f>
        <v>203.4232199999999</v>
      </c>
      <c r="BF51" s="13">
        <f t="shared" si="37"/>
        <v>50.495743172519198</v>
      </c>
      <c r="BG51" s="20">
        <f t="shared" si="7"/>
        <v>442.24219419213745</v>
      </c>
      <c r="BH51" s="59">
        <f t="shared" si="8"/>
        <v>735.57552752547076</v>
      </c>
      <c r="BI51" s="59">
        <f ca="1">AVERAGE(OFFSET($BH$3,0,0,'Données projet'!$E$11+1,1))-AVERAGE(OFFSET($H$3,0,0,'Données projet'!$E$11+1,1))</f>
        <v>395.14818708356353</v>
      </c>
      <c r="BJ51" s="59">
        <f t="shared" si="38"/>
        <v>311.78229491474491</v>
      </c>
      <c r="BK51" s="15">
        <f>IF(ISNA(VLOOKUP(A51,'Données projet'!$A$87:$I$107,3,0)),0,VLOOKUP(A51,'Données projet'!$A$87:$I$107,3,0))</f>
        <v>2</v>
      </c>
      <c r="BL51" s="15">
        <f>IF(ISNA(VLOOKUP(A51,'Données projet'!$A$87:$I$107,4,0)),0,VLOOKUP(A51,'Données projet'!$A$87:$I$107,4,0))</f>
        <v>56.129999999999995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0.26500000000000001</v>
      </c>
      <c r="BO51" s="16">
        <f>IF(ISNA(VLOOKUP(A51,'Données projet'!$A$87:$I$107,7,0)),0%,VLOOKUP(A51,'Données projet'!$A$87:$I$107,7,0))</f>
        <v>0.5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31.656596108489566</v>
      </c>
      <c r="BR51" s="21">
        <f>EXP(-LN(2)/2)*BR50+(1-EXP(-LN(2)/2))/(LN(2)/2)*BL51*BO51*VLOOKUP('Données projet'!$B$11,Paramètres!$A$1:$I$89,3,0)*0.475*44/12</f>
        <v>26.921455313783479</v>
      </c>
      <c r="BS51" s="22">
        <f t="shared" si="9"/>
        <v>58.578051422273049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4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317.91052353502909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20.861428571428569</v>
      </c>
      <c r="N52" s="13">
        <f>IF('Données projet'!$A$36&gt;35,N51+M52-V51,IF(A52&lt;'Données projet'!$A$36,$K$205^A52,IF(A52='Données projet'!$A$36,'Données projet'!$B$36,N51+M52-V51)))</f>
        <v>402.76142857142867</v>
      </c>
      <c r="O52" s="13">
        <f>N52*VLOOKUP('Données projet'!$B$9,Paramètres!$A$1:$I$89,3,0)*VLOOKUP('Données projet'!$B$9,Paramètres!$A$1:$I$89,5,0)</f>
        <v>188.49234857142861</v>
      </c>
      <c r="P52" s="13">
        <f t="shared" si="33"/>
        <v>47.206478136726034</v>
      </c>
      <c r="Q52" s="20">
        <f t="shared" si="53"/>
        <v>410.50878985003595</v>
      </c>
      <c r="R52" s="59">
        <f t="shared" si="0"/>
        <v>703.84212318336927</v>
      </c>
      <c r="S52" s="59">
        <f ca="1">AVERAGE(OFFSET($R$3,0,0,'Données projet'!$E$9+1,1))-AVERAGE(OFFSET($H$3,0,0,'Données projet'!$E$9+1,1))</f>
        <v>291.3013645858839</v>
      </c>
      <c r="T52" s="59">
        <f t="shared" si="34"/>
        <v>332.89241887762438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60.57623370476454</v>
      </c>
      <c r="AA52" s="21">
        <f>EXP(-LN(2)/25)*AA51+(1-EXP(-LN(2)/25))/(LN(2)/25)*Calculateur!V52*Calculateur!X52*VLOOKUP('Données projet'!$B$9,Paramètres!$A$1:$I$89,3,0)*0.475*44/12</f>
        <v>27.752607955904725</v>
      </c>
      <c r="AB52" s="21">
        <f>EXP(-LN(2)/2)*AB51+(1-EXP(-LN(2)/2))/(LN(2)/2)*V52*Y52*VLOOKUP('Données projet'!$B$9,Paramètres!$A$1:$I$89,3,0)*0.475*44/12</f>
        <v>8.5045746046070168</v>
      </c>
      <c r="AC52" s="22">
        <f t="shared" si="3"/>
        <v>96.833416265276284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25.72000000000001</v>
      </c>
      <c r="AI52" s="13">
        <f>IF('Données projet'!$A$62&gt;35,AI51+AH52-AQ51,IF(A52&lt;'Données projet'!$A$62,$AF$205^A52,IF(A52='Données projet'!$A$62,'Données projet'!$B$62,AI51+AH52-AQ51)))</f>
        <v>580.01000000000022</v>
      </c>
      <c r="AJ52" s="13">
        <f>AI52*VLOOKUP('Données projet'!$B$10,Paramètres!$A$1:$I$89,3,0)*VLOOKUP('Données projet'!$B$10,Paramètres!$A$1:$I$89,5,0)</f>
        <v>256.36442000000017</v>
      </c>
      <c r="AK52" s="13">
        <f t="shared" si="35"/>
        <v>61.946785241433261</v>
      </c>
      <c r="AL52" s="20">
        <f t="shared" si="4"/>
        <v>554.3920157954966</v>
      </c>
      <c r="AM52" s="59">
        <f t="shared" si="5"/>
        <v>847.72534912882998</v>
      </c>
      <c r="AN52" s="59">
        <f ca="1">AVERAGE(OFFSET($AM$3,0,0,'Données projet'!$E$10+1,1))-AVERAGE(OFFSET($H$3,0,0,'Données projet'!$E$10+1,1))</f>
        <v>293.17014997061574</v>
      </c>
      <c r="AO52" s="59">
        <f t="shared" si="36"/>
        <v>394.32615745219954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64.02098429500839</v>
      </c>
      <c r="AV52" s="21">
        <f>EXP(-LN(2)/25)*AV51+(1-EXP(-LN(2)/25))/(LN(2)/25)*Calculateur!AQ52*Calculateur!AS52*VLOOKUP('Données projet'!$B$10,Paramètres!$A$1:$I$89,3,0)*0.475*44/12</f>
        <v>24.91091298334819</v>
      </c>
      <c r="AW52" s="21">
        <f>EXP(-LN(2)/2)*AW51+(1-EXP(-LN(2)/2))/(LN(2)/2)*AQ52*AT52*VLOOKUP('Données projet'!$B$10,Paramètres!$A$1:$I$89,3,0)*0.475*44/12</f>
        <v>8.0946674483628058</v>
      </c>
      <c r="AX52" s="21">
        <f t="shared" si="6"/>
        <v>97.026564726719386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14.513333333333335</v>
      </c>
      <c r="BD52" s="12">
        <f>IF('Données projet'!$A$88&gt;35,BD51+BC52-BL51,IF(A52&lt;'Données projet'!$A$88,$BA$205^A52,IF(A52='Données projet'!$A$88,'Données projet'!$B$88,BD51+BC52-BL51)))</f>
        <v>195.47333333333319</v>
      </c>
      <c r="BE52" s="13">
        <f>BD52*VLOOKUP('Données projet'!$B$11,Paramètres!$A$1:$I$89,3,0)*VLOOKUP('Données projet'!$B$11,Paramètres!$A$1:$I$89,5,0)</f>
        <v>167.7161199999999</v>
      </c>
      <c r="BF52" s="13">
        <f t="shared" si="37"/>
        <v>42.578108477633286</v>
      </c>
      <c r="BG52" s="20">
        <f t="shared" si="7"/>
        <v>366.26244793187783</v>
      </c>
      <c r="BH52" s="59">
        <f t="shared" si="8"/>
        <v>659.59578126521114</v>
      </c>
      <c r="BI52" s="59">
        <f ca="1">AVERAGE(OFFSET($BH$3,0,0,'Données projet'!$E$11+1,1))-AVERAGE(OFFSET($H$3,0,0,'Données projet'!$E$11+1,1))</f>
        <v>395.14818708356353</v>
      </c>
      <c r="BJ52" s="59">
        <f t="shared" si="38"/>
        <v>311.78229491474491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30.790944823154881</v>
      </c>
      <c r="BR52" s="21">
        <f>EXP(-LN(2)/2)*BR51+(1-EXP(-LN(2)/2))/(LN(2)/2)*BL52*BO52*VLOOKUP('Données projet'!$B$11,Paramètres!$A$1:$I$89,3,0)*0.475*44/12</f>
        <v>19.036343611786911</v>
      </c>
      <c r="BS52" s="22">
        <f t="shared" si="9"/>
        <v>49.827288434941792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4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319.12529197371839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20.861428571428569</v>
      </c>
      <c r="N53" s="13">
        <f>IF('Données projet'!$A$36&gt;35,N52+M53-V52,IF(A53&lt;'Données projet'!$A$36,$K$205^A53,IF(A53='Données projet'!$A$36,'Données projet'!$B$36,N52+M53-V52)))</f>
        <v>423.62285714285724</v>
      </c>
      <c r="O53" s="13">
        <f>N53*VLOOKUP('Données projet'!$B$9,Paramètres!$A$1:$I$89,3,0)*VLOOKUP('Données projet'!$B$9,Paramètres!$A$1:$I$89,5,0)</f>
        <v>198.25549714285719</v>
      </c>
      <c r="P53" s="13">
        <f t="shared" si="33"/>
        <v>49.360583536036053</v>
      </c>
      <c r="Q53" s="20">
        <f t="shared" si="53"/>
        <v>431.26467384907232</v>
      </c>
      <c r="R53" s="59">
        <f t="shared" si="0"/>
        <v>724.59800718240558</v>
      </c>
      <c r="S53" s="59">
        <f ca="1">AVERAGE(OFFSET($R$3,0,0,'Données projet'!$E$9+1,1))-AVERAGE(OFFSET($H$3,0,0,'Données projet'!$E$9+1,1))</f>
        <v>291.3013645858839</v>
      </c>
      <c r="T53" s="59">
        <f t="shared" si="34"/>
        <v>332.89241887762438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59.388370709668372</v>
      </c>
      <c r="AA53" s="21">
        <f>EXP(-LN(2)/25)*AA52+(1-EXP(-LN(2)/25))/(LN(2)/25)*Calculateur!V53*Calculateur!X53*VLOOKUP('Données projet'!$B$9,Paramètres!$A$1:$I$89,3,0)*0.475*44/12</f>
        <v>26.993711431904288</v>
      </c>
      <c r="AB53" s="21">
        <f>EXP(-LN(2)/2)*AB52+(1-EXP(-LN(2)/2))/(LN(2)/2)*V53*Y53*VLOOKUP('Données projet'!$B$9,Paramètres!$A$1:$I$89,3,0)*0.475*44/12</f>
        <v>6.0136423740245233</v>
      </c>
      <c r="AC53" s="22">
        <f t="shared" si="3"/>
        <v>92.39572451559718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25.72000000000001</v>
      </c>
      <c r="AI53" s="13">
        <f>IF('Données projet'!$A$62&gt;35,AI52+AH53-AQ52,IF(A53&lt;'Données projet'!$A$62,$AF$205^A53,IF(A53='Données projet'!$A$62,'Données projet'!$B$62,AI52+AH53-AQ52)))</f>
        <v>605.73000000000025</v>
      </c>
      <c r="AJ53" s="13">
        <f>AI53*VLOOKUP('Données projet'!$B$10,Paramètres!$A$1:$I$89,3,0)*VLOOKUP('Données projet'!$B$10,Paramètres!$A$1:$I$89,5,0)</f>
        <v>267.73266000000012</v>
      </c>
      <c r="AK53" s="13">
        <f t="shared" si="35"/>
        <v>64.367846603680746</v>
      </c>
      <c r="AL53" s="20">
        <f t="shared" si="4"/>
        <v>578.40838233474415</v>
      </c>
      <c r="AM53" s="59">
        <f t="shared" si="5"/>
        <v>871.7417156680774</v>
      </c>
      <c r="AN53" s="59">
        <f ca="1">AVERAGE(OFFSET($AM$3,0,0,'Données projet'!$E$10+1,1))-AVERAGE(OFFSET($H$3,0,0,'Données projet'!$E$10+1,1))</f>
        <v>293.17014997061574</v>
      </c>
      <c r="AO53" s="59">
        <f t="shared" si="36"/>
        <v>394.32615745219954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62.76557184192793</v>
      </c>
      <c r="AV53" s="21">
        <f>EXP(-LN(2)/25)*AV52+(1-EXP(-LN(2)/25))/(LN(2)/25)*Calculateur!AQ53*Calculateur!AS53*VLOOKUP('Données projet'!$B$10,Paramètres!$A$1:$I$89,3,0)*0.475*44/12</f>
        <v>24.229722757810556</v>
      </c>
      <c r="AW53" s="21">
        <f>EXP(-LN(2)/2)*AW52+(1-EXP(-LN(2)/2))/(LN(2)/2)*AQ53*AT53*VLOOKUP('Données projet'!$B$10,Paramètres!$A$1:$I$89,3,0)*0.475*44/12</f>
        <v>5.7237942441873475</v>
      </c>
      <c r="AX53" s="21">
        <f t="shared" si="6"/>
        <v>92.719088843925832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14.513333333333335</v>
      </c>
      <c r="BD53" s="12">
        <f>IF('Données projet'!$A$88&gt;35,BD52+BC53-BL52,IF(A53&lt;'Données projet'!$A$88,$BA$205^A53,IF(A53='Données projet'!$A$88,'Données projet'!$B$88,BD52+BC53-BL52)))</f>
        <v>209.98666666666651</v>
      </c>
      <c r="BE53" s="13">
        <f>BD53*VLOOKUP('Données projet'!$B$11,Paramètres!$A$1:$I$89,3,0)*VLOOKUP('Données projet'!$B$11,Paramètres!$A$1:$I$89,5,0)</f>
        <v>180.1685599999999</v>
      </c>
      <c r="BF53" s="13">
        <f t="shared" si="37"/>
        <v>45.359685617870717</v>
      </c>
      <c r="BG53" s="20">
        <f t="shared" si="7"/>
        <v>392.795027784458</v>
      </c>
      <c r="BH53" s="59">
        <f t="shared" si="8"/>
        <v>686.12836111779131</v>
      </c>
      <c r="BI53" s="59">
        <f ca="1">AVERAGE(OFFSET($BH$3,0,0,'Données projet'!$E$11+1,1))-AVERAGE(OFFSET($H$3,0,0,'Données projet'!$E$11+1,1))</f>
        <v>395.14818708356353</v>
      </c>
      <c r="BJ53" s="59">
        <f t="shared" si="38"/>
        <v>311.78229491474491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29.948964817740297</v>
      </c>
      <c r="BR53" s="21">
        <f>EXP(-LN(2)/2)*BR52+(1-EXP(-LN(2)/2))/(LN(2)/2)*BL53*BO53*VLOOKUP('Données projet'!$B$11,Paramètres!$A$1:$I$89,3,0)*0.475*44/12</f>
        <v>13.46072765689174</v>
      </c>
      <c r="BS53" s="22">
        <f t="shared" si="9"/>
        <v>43.409692474632038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4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320.33944691418702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20.861428571428569</v>
      </c>
      <c r="N54" s="13">
        <f>IF('Données projet'!$A$36&gt;35,N53+M54-V53,IF(A54&lt;'Données projet'!$A$36,$K$205^A54,IF(A54='Données projet'!$A$36,'Données projet'!$B$36,N53+M54-V53)))</f>
        <v>444.48428571428582</v>
      </c>
      <c r="O54" s="13">
        <f>N54*VLOOKUP('Données projet'!$B$9,Paramètres!$A$1:$I$89,3,0)*VLOOKUP('Données projet'!$B$9,Paramètres!$A$1:$I$89,5,0)</f>
        <v>208.01864571428575</v>
      </c>
      <c r="P54" s="13">
        <f t="shared" si="33"/>
        <v>51.50237134288971</v>
      </c>
      <c r="Q54" s="20">
        <f t="shared" si="53"/>
        <v>451.99910470791389</v>
      </c>
      <c r="R54" s="59">
        <f t="shared" si="0"/>
        <v>745.3324380412472</v>
      </c>
      <c r="S54" s="59">
        <f ca="1">AVERAGE(OFFSET($R$3,0,0,'Données projet'!$E$9+1,1))-AVERAGE(OFFSET($H$3,0,0,'Données projet'!$E$9+1,1))</f>
        <v>291.3013645858839</v>
      </c>
      <c r="T54" s="59">
        <f t="shared" si="34"/>
        <v>332.89241887762438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58.223800983381153</v>
      </c>
      <c r="AA54" s="21">
        <f>EXP(-LN(2)/25)*AA53+(1-EXP(-LN(2)/25))/(LN(2)/25)*Calculateur!V54*Calculateur!X54*VLOOKUP('Données projet'!$B$9,Paramètres!$A$1:$I$89,3,0)*0.475*44/12</f>
        <v>26.255566973261274</v>
      </c>
      <c r="AB54" s="21">
        <f>EXP(-LN(2)/2)*AB53+(1-EXP(-LN(2)/2))/(LN(2)/2)*V54*Y54*VLOOKUP('Données projet'!$B$9,Paramètres!$A$1:$I$89,3,0)*0.475*44/12</f>
        <v>4.2522873023035093</v>
      </c>
      <c r="AC54" s="22">
        <f t="shared" si="3"/>
        <v>88.731655258945935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25.72000000000001</v>
      </c>
      <c r="AI54" s="13">
        <f>IF('Données projet'!$A$62&gt;35,AI53+AH54-AQ53,IF(A54&lt;'Données projet'!$A$62,$AF$205^A54,IF(A54='Données projet'!$A$62,'Données projet'!$B$62,AI53+AH54-AQ53)))</f>
        <v>631.45000000000027</v>
      </c>
      <c r="AJ54" s="13">
        <f>AI54*VLOOKUP('Données projet'!$B$10,Paramètres!$A$1:$I$89,3,0)*VLOOKUP('Données projet'!$B$10,Paramètres!$A$1:$I$89,5,0)</f>
        <v>279.10090000000014</v>
      </c>
      <c r="AK54" s="13">
        <f t="shared" si="35"/>
        <v>66.776967653449759</v>
      </c>
      <c r="AL54" s="20">
        <f t="shared" si="4"/>
        <v>602.40395282975851</v>
      </c>
      <c r="AM54" s="59">
        <f t="shared" si="5"/>
        <v>895.73728616309177</v>
      </c>
      <c r="AN54" s="59">
        <f ca="1">AVERAGE(OFFSET($AM$3,0,0,'Données projet'!$E$10+1,1))-AVERAGE(OFFSET($H$3,0,0,'Données projet'!$E$10+1,1))</f>
        <v>293.17014997061574</v>
      </c>
      <c r="AO54" s="59">
        <f t="shared" si="36"/>
        <v>394.32615745219954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61.53477726132639</v>
      </c>
      <c r="AV54" s="21">
        <f>EXP(-LN(2)/25)*AV53+(1-EXP(-LN(2)/25))/(LN(2)/25)*Calculateur!AQ54*Calculateur!AS54*VLOOKUP('Données projet'!$B$10,Paramètres!$A$1:$I$89,3,0)*0.475*44/12</f>
        <v>23.567159714812483</v>
      </c>
      <c r="AW54" s="21">
        <f>EXP(-LN(2)/2)*AW53+(1-EXP(-LN(2)/2))/(LN(2)/2)*AQ54*AT54*VLOOKUP('Données projet'!$B$10,Paramètres!$A$1:$I$89,3,0)*0.475*44/12</f>
        <v>4.0473337241814029</v>
      </c>
      <c r="AX54" s="21">
        <f t="shared" si="6"/>
        <v>89.149270700320272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14.513333333333335</v>
      </c>
      <c r="BD54" s="12">
        <f>IF('Données projet'!$A$88&gt;35,BD53+BC54-BL53,IF(A54&lt;'Données projet'!$A$88,$BA$205^A54,IF(A54='Données projet'!$A$88,'Données projet'!$B$88,BD53+BC54-BL53)))</f>
        <v>224.49999999999983</v>
      </c>
      <c r="BE54" s="13">
        <f>BD54*VLOOKUP('Données projet'!$B$11,Paramètres!$A$1:$I$89,3,0)*VLOOKUP('Données projet'!$B$11,Paramètres!$A$1:$I$89,5,0)</f>
        <v>192.6209999999999</v>
      </c>
      <c r="BF54" s="13">
        <f t="shared" si="37"/>
        <v>48.118955882335307</v>
      </c>
      <c r="BG54" s="20">
        <f t="shared" si="7"/>
        <v>419.28875649506716</v>
      </c>
      <c r="BH54" s="59">
        <f t="shared" si="8"/>
        <v>712.62208982840048</v>
      </c>
      <c r="BI54" s="59">
        <f ca="1">AVERAGE(OFFSET($BH$3,0,0,'Données projet'!$E$11+1,1))-AVERAGE(OFFSET($H$3,0,0,'Données projet'!$E$11+1,1))</f>
        <v>395.14818708356353</v>
      </c>
      <c r="BJ54" s="59">
        <f t="shared" si="38"/>
        <v>311.78229491474491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29.130008799851577</v>
      </c>
      <c r="BR54" s="21">
        <f>EXP(-LN(2)/2)*BR53+(1-EXP(-LN(2)/2))/(LN(2)/2)*BL54*BO54*VLOOKUP('Données projet'!$B$11,Paramètres!$A$1:$I$89,3,0)*0.475*44/12</f>
        <v>9.5181718058934557</v>
      </c>
      <c r="BS54" s="22">
        <f t="shared" si="9"/>
        <v>38.648180605745033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4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321.55300177245209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20.861428571428569</v>
      </c>
      <c r="N55" s="13">
        <f>IF('Données projet'!$A$36&gt;35,N54+M55-V54,IF(A55&lt;'Données projet'!$A$36,$K$205^A55,IF(A55='Données projet'!$A$36,'Données projet'!$B$36,N54+M55-V54)))</f>
        <v>465.34571428571439</v>
      </c>
      <c r="O55" s="13">
        <f>N55*VLOOKUP('Données projet'!$B$9,Paramètres!$A$1:$I$89,3,0)*VLOOKUP('Données projet'!$B$9,Paramètres!$A$1:$I$89,5,0)</f>
        <v>217.78179428571434</v>
      </c>
      <c r="P55" s="13">
        <f t="shared" si="33"/>
        <v>53.632485687564376</v>
      </c>
      <c r="Q55" s="20">
        <f t="shared" si="53"/>
        <v>472.71320428679377</v>
      </c>
      <c r="R55" s="59">
        <f t="shared" si="0"/>
        <v>766.04653762012708</v>
      </c>
      <c r="S55" s="59">
        <f ca="1">AVERAGE(OFFSET($R$3,0,0,'Données projet'!$E$9+1,1))-AVERAGE(OFFSET($H$3,0,0,'Données projet'!$E$9+1,1))</f>
        <v>291.3013645858839</v>
      </c>
      <c r="T55" s="59">
        <f t="shared" si="34"/>
        <v>332.89241887762438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57.08206775910903</v>
      </c>
      <c r="AA55" s="21">
        <f>EXP(-LN(2)/25)*AA54+(1-EXP(-LN(2)/25))/(LN(2)/25)*Calculateur!V55*Calculateur!X55*VLOOKUP('Données projet'!$B$9,Paramètres!$A$1:$I$89,3,0)*0.475*44/12</f>
        <v>25.537607113657184</v>
      </c>
      <c r="AB55" s="21">
        <f>EXP(-LN(2)/2)*AB54+(1-EXP(-LN(2)/2))/(LN(2)/2)*V55*Y55*VLOOKUP('Données projet'!$B$9,Paramètres!$A$1:$I$89,3,0)*0.475*44/12</f>
        <v>3.0068211870122621</v>
      </c>
      <c r="AC55" s="22">
        <f t="shared" si="3"/>
        <v>85.626496059778475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25.72000000000001</v>
      </c>
      <c r="AI55" s="13">
        <f>IF('Données projet'!$A$62&gt;35,AI54+AH55-AQ54,IF(A55&lt;'Données projet'!$A$62,$AF$205^A55,IF(A55='Données projet'!$A$62,'Données projet'!$B$62,AI54+AH55-AQ54)))</f>
        <v>657.1700000000003</v>
      </c>
      <c r="AJ55" s="13">
        <f>AI55*VLOOKUP('Données projet'!$B$10,Paramètres!$A$1:$I$89,3,0)*VLOOKUP('Données projet'!$B$10,Paramètres!$A$1:$I$89,5,0)</f>
        <v>290.46914000000015</v>
      </c>
      <c r="AK55" s="13">
        <f t="shared" si="35"/>
        <v>69.174690370753467</v>
      </c>
      <c r="AL55" s="20">
        <f t="shared" si="4"/>
        <v>626.37967122906241</v>
      </c>
      <c r="AM55" s="59">
        <f t="shared" si="5"/>
        <v>919.71300456239578</v>
      </c>
      <c r="AN55" s="59">
        <f ca="1">AVERAGE(OFFSET($AM$3,0,0,'Données projet'!$E$10+1,1))-AVERAGE(OFFSET($H$3,0,0,'Données projet'!$E$10+1,1))</f>
        <v>293.17014997061574</v>
      </c>
      <c r="AO55" s="59">
        <f t="shared" si="36"/>
        <v>394.32615745219954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60.32811781173988</v>
      </c>
      <c r="AV55" s="21">
        <f>EXP(-LN(2)/25)*AV54+(1-EXP(-LN(2)/25))/(LN(2)/25)*Calculateur!AQ55*Calculateur!AS55*VLOOKUP('Données projet'!$B$10,Paramètres!$A$1:$I$89,3,0)*0.475*44/12</f>
        <v>22.922714493067868</v>
      </c>
      <c r="AW55" s="21">
        <f>EXP(-LN(2)/2)*AW54+(1-EXP(-LN(2)/2))/(LN(2)/2)*AQ55*AT55*VLOOKUP('Données projet'!$B$10,Paramètres!$A$1:$I$89,3,0)*0.475*44/12</f>
        <v>2.8618971220936738</v>
      </c>
      <c r="AX55" s="21">
        <f t="shared" si="6"/>
        <v>86.112729426901424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14.513333333333335</v>
      </c>
      <c r="BD55" s="12">
        <f>IF('Données projet'!$A$88&gt;35,BD54+BC55-BL54,IF(A55&lt;'Données projet'!$A$88,$BA$205^A55,IF(A55='Données projet'!$A$88,'Données projet'!$B$88,BD54+BC55-BL54)))</f>
        <v>239.01333333333315</v>
      </c>
      <c r="BE55" s="13">
        <f>BD55*VLOOKUP('Données projet'!$B$11,Paramètres!$A$1:$I$89,3,0)*VLOOKUP('Données projet'!$B$11,Paramètres!$A$1:$I$89,5,0)</f>
        <v>205.07343999999989</v>
      </c>
      <c r="BF55" s="13">
        <f t="shared" si="37"/>
        <v>50.857525476990958</v>
      </c>
      <c r="BG55" s="20">
        <f t="shared" si="7"/>
        <v>445.74643153909233</v>
      </c>
      <c r="BH55" s="59">
        <f t="shared" si="8"/>
        <v>739.07976487242559</v>
      </c>
      <c r="BI55" s="59">
        <f ca="1">AVERAGE(OFFSET($BH$3,0,0,'Données projet'!$E$11+1,1))-AVERAGE(OFFSET($H$3,0,0,'Données projet'!$E$11+1,1))</f>
        <v>395.14818708356353</v>
      </c>
      <c r="BJ55" s="59">
        <f t="shared" si="38"/>
        <v>311.78229491474491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28.33344717733905</v>
      </c>
      <c r="BR55" s="21">
        <f>EXP(-LN(2)/2)*BR54+(1-EXP(-LN(2)/2))/(LN(2)/2)*BL55*BO55*VLOOKUP('Données projet'!$B$11,Paramètres!$A$1:$I$89,3,0)*0.475*44/12</f>
        <v>6.7303638284458698</v>
      </c>
      <c r="BS55" s="22">
        <f t="shared" si="9"/>
        <v>35.06381100578492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4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322.76596941900885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20.861428571428569</v>
      </c>
      <c r="N56" s="13">
        <f>IF('Données projet'!$A$36&gt;35,N55+M56-V55,IF(A56&lt;'Données projet'!$A$36,$K$205^A56,IF(A56='Données projet'!$A$36,'Données projet'!$B$36,N55+M56-V55)))</f>
        <v>486.20714285714297</v>
      </c>
      <c r="O56" s="13">
        <f>N56*VLOOKUP('Données projet'!$B$9,Paramètres!$A$1:$I$89,3,0)*VLOOKUP('Données projet'!$B$9,Paramètres!$A$1:$I$89,5,0)</f>
        <v>227.54494285714293</v>
      </c>
      <c r="P56" s="13">
        <f t="shared" si="33"/>
        <v>55.751509682724055</v>
      </c>
      <c r="Q56" s="20">
        <f t="shared" si="53"/>
        <v>493.40798817360161</v>
      </c>
      <c r="R56" s="59">
        <f t="shared" si="0"/>
        <v>786.74132150693492</v>
      </c>
      <c r="S56" s="59">
        <f ca="1">AVERAGE(OFFSET($R$3,0,0,'Données projet'!$E$9+1,1))-AVERAGE(OFFSET($H$3,0,0,'Données projet'!$E$9+1,1))</f>
        <v>291.3013645858839</v>
      </c>
      <c r="T56" s="59">
        <f t="shared" si="34"/>
        <v>332.89241887762438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55.962723226976379</v>
      </c>
      <c r="AA56" s="21">
        <f>EXP(-LN(2)/25)*AA55+(1-EXP(-LN(2)/25))/(LN(2)/25)*Calculateur!V56*Calculateur!X56*VLOOKUP('Données projet'!$B$9,Paramètres!$A$1:$I$89,3,0)*0.475*44/12</f>
        <v>24.839279904169839</v>
      </c>
      <c r="AB56" s="21">
        <f>EXP(-LN(2)/2)*AB55+(1-EXP(-LN(2)/2))/(LN(2)/2)*V56*Y56*VLOOKUP('Données projet'!$B$9,Paramètres!$A$1:$I$89,3,0)*0.475*44/12</f>
        <v>2.1261436511517546</v>
      </c>
      <c r="AC56" s="22">
        <f t="shared" si="3"/>
        <v>82.928146782297972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25.72000000000001</v>
      </c>
      <c r="AI56" s="13">
        <f>IF('Données projet'!$A$62&gt;35,AI55+AH56-AQ55,IF(A56&lt;'Données projet'!$A$62,$AF$205^A56,IF(A56='Données projet'!$A$62,'Données projet'!$B$62,AI55+AH56-AQ55)))</f>
        <v>682.89000000000033</v>
      </c>
      <c r="AJ56" s="13">
        <f>AI56*VLOOKUP('Données projet'!$B$10,Paramètres!$A$1:$I$89,3,0)*VLOOKUP('Données projet'!$B$10,Paramètres!$A$1:$I$89,5,0)</f>
        <v>301.83738000000017</v>
      </c>
      <c r="AK56" s="13">
        <f t="shared" si="35"/>
        <v>71.561511910145811</v>
      </c>
      <c r="AL56" s="20">
        <f t="shared" si="4"/>
        <v>650.33640341017087</v>
      </c>
      <c r="AM56" s="59">
        <f t="shared" si="5"/>
        <v>943.66973674350425</v>
      </c>
      <c r="AN56" s="59">
        <f ca="1">AVERAGE(OFFSET($AM$3,0,0,'Données projet'!$E$10+1,1))-AVERAGE(OFFSET($H$3,0,0,'Données projet'!$E$10+1,1))</f>
        <v>293.17014997061574</v>
      </c>
      <c r="AO56" s="59">
        <f t="shared" si="36"/>
        <v>394.32615745219954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59.145120217970174</v>
      </c>
      <c r="AV56" s="21">
        <f>EXP(-LN(2)/25)*AV55+(1-EXP(-LN(2)/25))/(LN(2)/25)*Calculateur!AQ56*Calculateur!AS56*VLOOKUP('Données projet'!$B$10,Paramètres!$A$1:$I$89,3,0)*0.475*44/12</f>
        <v>22.295891659801764</v>
      </c>
      <c r="AW56" s="21">
        <f>EXP(-LN(2)/2)*AW55+(1-EXP(-LN(2)/2))/(LN(2)/2)*AQ56*AT56*VLOOKUP('Données projet'!$B$10,Paramètres!$A$1:$I$89,3,0)*0.475*44/12</f>
        <v>2.0236668620907015</v>
      </c>
      <c r="AX56" s="21">
        <f t="shared" si="6"/>
        <v>83.464678739862649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14.513333333333335</v>
      </c>
      <c r="BD56" s="12">
        <f>IF('Données projet'!$A$88&gt;35,BD55+BC56-BL55,IF(A56&lt;'Données projet'!$A$88,$BA$205^A56,IF(A56='Données projet'!$A$88,'Données projet'!$B$88,BD55+BC56-BL55)))</f>
        <v>253.52666666666647</v>
      </c>
      <c r="BE56" s="13">
        <f>BD56*VLOOKUP('Données projet'!$B$11,Paramètres!$A$1:$I$89,3,0)*VLOOKUP('Données projet'!$B$11,Paramètres!$A$1:$I$89,5,0)</f>
        <v>217.52587999999986</v>
      </c>
      <c r="BF56" s="13">
        <f t="shared" si="37"/>
        <v>53.576794522353687</v>
      </c>
      <c r="BG56" s="20">
        <f t="shared" si="7"/>
        <v>472.17049145976574</v>
      </c>
      <c r="BH56" s="59">
        <f t="shared" si="8"/>
        <v>765.50382479309906</v>
      </c>
      <c r="BI56" s="59">
        <f ca="1">AVERAGE(OFFSET($BH$3,0,0,'Données projet'!$E$11+1,1))-AVERAGE(OFFSET($H$3,0,0,'Données projet'!$E$11+1,1))</f>
        <v>395.14818708356353</v>
      </c>
      <c r="BJ56" s="59">
        <f t="shared" si="38"/>
        <v>311.78229491474491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27.558667574283483</v>
      </c>
      <c r="BR56" s="21">
        <f>EXP(-LN(2)/2)*BR55+(1-EXP(-LN(2)/2))/(LN(2)/2)*BL56*BO56*VLOOKUP('Données projet'!$B$11,Paramètres!$A$1:$I$89,3,0)*0.475*44/12</f>
        <v>4.7590859029467278</v>
      </c>
      <c r="BS56" s="22">
        <f t="shared" si="9"/>
        <v>32.317753477230212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4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323.97836221087948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20.861428571428569</v>
      </c>
      <c r="N57" s="13">
        <f>IF('Données projet'!$A$36&gt;35,N56+M57-V56,IF(A57&lt;'Données projet'!$A$36,$K$205^A57,IF(A57='Données projet'!$A$36,'Données projet'!$B$36,N56+M57-V56)))</f>
        <v>507.06857142857154</v>
      </c>
      <c r="O57" s="13">
        <f>N57*VLOOKUP('Données projet'!$B$9,Paramètres!$A$1:$I$89,3,0)*VLOOKUP('Données projet'!$B$9,Paramètres!$A$1:$I$89,5,0)</f>
        <v>237.30809142857149</v>
      </c>
      <c r="P57" s="13">
        <f t="shared" si="33"/>
        <v>57.859973572356239</v>
      </c>
      <c r="Q57" s="20">
        <f t="shared" si="53"/>
        <v>514.0843798766158</v>
      </c>
      <c r="R57" s="59">
        <f t="shared" si="0"/>
        <v>807.41771320994917</v>
      </c>
      <c r="S57" s="59">
        <f ca="1">AVERAGE(OFFSET($R$3,0,0,'Données projet'!$E$9+1,1))-AVERAGE(OFFSET($H$3,0,0,'Données projet'!$E$9+1,1))</f>
        <v>291.3013645858839</v>
      </c>
      <c r="T57" s="59">
        <f t="shared" si="34"/>
        <v>332.89241887762438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54.865328358386101</v>
      </c>
      <c r="AA57" s="21">
        <f>EXP(-LN(2)/25)*AA56+(1-EXP(-LN(2)/25))/(LN(2)/25)*Calculateur!V57*Calculateur!X57*VLOOKUP('Données projet'!$B$9,Paramètres!$A$1:$I$89,3,0)*0.475*44/12</f>
        <v>24.160048488949357</v>
      </c>
      <c r="AB57" s="21">
        <f>EXP(-LN(2)/2)*AB56+(1-EXP(-LN(2)/2))/(LN(2)/2)*V57*Y57*VLOOKUP('Données projet'!$B$9,Paramètres!$A$1:$I$89,3,0)*0.475*44/12</f>
        <v>1.503410593506131</v>
      </c>
      <c r="AC57" s="22">
        <f t="shared" si="3"/>
        <v>80.528787440841583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708.61</v>
      </c>
      <c r="AG57" s="12">
        <f>VLOOKUP(A57,'Données projet'!$A$61:$I$81,9,0)</f>
        <v>25.72000000000001</v>
      </c>
      <c r="AH57" s="12">
        <f t="array" ref="AH57">INDEX(AG:AG,MIN(IF(ISNUMBER(AG57:AG253),ROW(AG57:AG253),"")))</f>
        <v>25.72000000000001</v>
      </c>
      <c r="AI57" s="13">
        <f>IF('Données projet'!$A$62&gt;35,AI56+AH57-AQ56,IF(A57&lt;'Données projet'!$A$62,$AF$205^A57,IF(A57='Données projet'!$A$62,'Données projet'!$B$62,AI56+AH57-AQ56)))</f>
        <v>708.61000000000035</v>
      </c>
      <c r="AJ57" s="13">
        <f>AI57*VLOOKUP('Données projet'!$B$10,Paramètres!$A$1:$I$89,3,0)*VLOOKUP('Données projet'!$B$10,Paramètres!$A$1:$I$89,5,0)</f>
        <v>313.20562000000018</v>
      </c>
      <c r="AK57" s="13">
        <f t="shared" si="35"/>
        <v>73.937889855682343</v>
      </c>
      <c r="AL57" s="20">
        <f t="shared" si="4"/>
        <v>674.27494633198023</v>
      </c>
      <c r="AM57" s="59">
        <f t="shared" si="5"/>
        <v>967.6082796653136</v>
      </c>
      <c r="AN57" s="59">
        <f ca="1">AVERAGE(OFFSET($AM$3,0,0,'Données projet'!$E$10+1,1))-AVERAGE(OFFSET($H$3,0,0,'Données projet'!$E$10+1,1))</f>
        <v>293.17014997061574</v>
      </c>
      <c r="AO57" s="59">
        <f t="shared" si="36"/>
        <v>394.32615745219954</v>
      </c>
      <c r="AP57" s="15">
        <f>IF(ISNA(VLOOKUP(A57,'Données projet'!$A$61:$I$81,3,0)),0,VLOOKUP(A57,'Données projet'!$A$61:$I$81,3,0))</f>
        <v>7</v>
      </c>
      <c r="AQ57" s="15">
        <f>IF(ISNA(VLOOKUP(A57,'Données projet'!$A$61:$I$81,4,0)),0,VLOOKUP(A57,'Données projet'!$A$61:$I$81,4,0))</f>
        <v>708.61</v>
      </c>
      <c r="AR57" s="16">
        <f>IF(ISNA(VLOOKUP(A57,'Données projet'!$A$61:$I$81,5,0)),0%,VLOOKUP(A57,'Données projet'!$A$61:$I$81,5,0)*VLOOKUP('Données projet'!$B$10,Paramètres!$A$1:$I$89,7,0))</f>
        <v>0.33</v>
      </c>
      <c r="AS57" s="16">
        <f>IF(ISNA(VLOOKUP(A57,'Données projet'!$A$61:$I$81,6,0)),0%,VLOOKUP(A57,'Données projet'!$A$61:$I$81,6,0)*VLOOKUP('Données projet'!$B$10,Paramètres!$A$1:$I$89,7,0))</f>
        <v>0.11000000000000001</v>
      </c>
      <c r="AT57" s="16">
        <f>IF(ISNA(VLOOKUP(A57,'Données projet'!$A$61:$I$81,7,0)),0%,VLOOKUP(A57,'Données projet'!$A$61:$I$81,7,0))</f>
        <v>0.2</v>
      </c>
      <c r="AU57" s="21">
        <f>EXP(-LN(2)/35)*AU56+(1-EXP(-LN(2)/35))/(LN(2)/35)*AQ57*AR57*VLOOKUP('Données projet'!$B$10,Paramètres!$A$1:$I$89,3,0)*0.475*44/12</f>
        <v>195.09617658830521</v>
      </c>
      <c r="AV57" s="21">
        <f>EXP(-LN(2)/25)*AV56+(1-EXP(-LN(2)/25))/(LN(2)/25)*Calculateur!AQ57*Calculateur!AS57*VLOOKUP('Données projet'!$B$10,Paramètres!$A$1:$I$89,3,0)*0.475*44/12</f>
        <v>67.209875469554262</v>
      </c>
      <c r="AW57" s="21">
        <f>EXP(-LN(2)/2)*AW56+(1-EXP(-LN(2)/2))/(LN(2)/2)*AQ57*AT57*VLOOKUP('Données projet'!$B$10,Paramètres!$A$1:$I$89,3,0)*0.475*44/12</f>
        <v>72.355252307207081</v>
      </c>
      <c r="AX57" s="21">
        <f t="shared" si="6"/>
        <v>334.66130436506654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268.04000000000002</v>
      </c>
      <c r="BB57" s="12">
        <f>VLOOKUP(A57,'Données projet'!$A$87:$I$107,9,0)</f>
        <v>14.513333333333335</v>
      </c>
      <c r="BC57" s="12">
        <f t="array" ref="BC57">INDEX(BB:BB,MIN(IF(ISNUMBER(BB57:BB253),ROW(BB57:BB253),"")))</f>
        <v>14.513333333333335</v>
      </c>
      <c r="BD57" s="12">
        <f>IF('Données projet'!$A$88&gt;35,BD56+BC57-BL56,IF(A57&lt;'Données projet'!$A$88,$BA$205^A57,IF(A57='Données projet'!$A$88,'Données projet'!$B$88,BD56+BC57-BL56)))</f>
        <v>268.03999999999979</v>
      </c>
      <c r="BE57" s="13">
        <f>BD57*VLOOKUP('Données projet'!$B$11,Paramètres!$A$1:$I$89,3,0)*VLOOKUP('Données projet'!$B$11,Paramètres!$A$1:$I$89,5,0)</f>
        <v>229.97831999999988</v>
      </c>
      <c r="BF57" s="13">
        <f t="shared" si="37"/>
        <v>56.277993782544819</v>
      </c>
      <c r="BG57" s="20">
        <f t="shared" si="7"/>
        <v>498.56307983793198</v>
      </c>
      <c r="BH57" s="59">
        <f t="shared" si="8"/>
        <v>791.89641317126529</v>
      </c>
      <c r="BI57" s="59">
        <f ca="1">AVERAGE(OFFSET($BH$3,0,0,'Données projet'!$E$11+1,1))-AVERAGE(OFFSET($H$3,0,0,'Données projet'!$E$11+1,1))</f>
        <v>395.14818708356353</v>
      </c>
      <c r="BJ57" s="59">
        <f t="shared" si="38"/>
        <v>311.78229491474491</v>
      </c>
      <c r="BK57" s="15">
        <f>IF(ISNA(VLOOKUP(A57,'Données projet'!$A$87:$I$107,3,0)),0,VLOOKUP(A57,'Données projet'!$A$87:$I$107,3,0))</f>
        <v>3</v>
      </c>
      <c r="BL57" s="15">
        <f>IF(ISNA(VLOOKUP(A57,'Données projet'!$A$87:$I$107,4,0)),0,VLOOKUP(A57,'Données projet'!$A$87:$I$107,4,0))</f>
        <v>61.920000000000016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0.26500000000000001</v>
      </c>
      <c r="BO57" s="16">
        <f>IF(ISNA(VLOOKUP(A57,'Données projet'!$A$87:$I$107,7,0)),0%,VLOOKUP(A57,'Données projet'!$A$87:$I$107,7,0))</f>
        <v>0.5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42.307435921268066</v>
      </c>
      <c r="BR57" s="21">
        <f>EXP(-LN(2)/2)*BR56+(1-EXP(-LN(2)/2))/(LN(2)/2)*BL57*BO57*VLOOKUP('Données projet'!$B$11,Paramètres!$A$1:$I$89,3,0)*0.475*44/12</f>
        <v>28.4287289451878</v>
      </c>
      <c r="BS57" s="22">
        <f t="shared" si="9"/>
        <v>70.736164866455866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4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325.19019202122132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527.92999999999995</v>
      </c>
      <c r="L58" s="12">
        <f>VLOOKUP(A58,'Données projet'!$A$35:$I$55,9,0)</f>
        <v>20.861428571428569</v>
      </c>
      <c r="M58" s="12">
        <f t="array" ref="M58">INDEX(L:L,MIN(IF(ISNUMBER(L58:L254),ROW(L58:L254),"")))</f>
        <v>20.861428571428569</v>
      </c>
      <c r="N58" s="13">
        <f>IF('Données projet'!$A$36&gt;35,N57+M58-V57,IF(A58&lt;'Données projet'!$A$36,$K$205^A58,IF(A58='Données projet'!$A$36,'Données projet'!$B$36,N57+M58-V57)))</f>
        <v>527.93000000000006</v>
      </c>
      <c r="O58" s="13">
        <f>N58*VLOOKUP('Données projet'!$B$9,Paramètres!$A$1:$I$89,3,0)*VLOOKUP('Données projet'!$B$9,Paramètres!$A$1:$I$89,5,0)</f>
        <v>247.07124000000005</v>
      </c>
      <c r="P58" s="13">
        <f t="shared" si="33"/>
        <v>59.958361501905493</v>
      </c>
      <c r="Q58" s="20">
        <f t="shared" si="53"/>
        <v>534.74322261581869</v>
      </c>
      <c r="R58" s="59">
        <f t="shared" si="0"/>
        <v>828.07655594915195</v>
      </c>
      <c r="S58" s="59">
        <f ca="1">AVERAGE(OFFSET($R$3,0,0,'Données projet'!$E$9+1,1))-AVERAGE(OFFSET($H$3,0,0,'Données projet'!$E$9+1,1))</f>
        <v>291.3013645858839</v>
      </c>
      <c r="T58" s="59">
        <f t="shared" si="34"/>
        <v>332.89241887762438</v>
      </c>
      <c r="U58" s="15">
        <f>IF(ISNA(VLOOKUP(A58,'Données projet'!$A$35:$I$55,3,0)),0,VLOOKUP(A58,'Données projet'!$A$35:$I$55,3,0))</f>
        <v>6</v>
      </c>
      <c r="V58" s="15">
        <f>IF(ISNA(VLOOKUP(A58,'Données projet'!$A$35:$I$55,4,0)),0,VLOOKUP(A58,'Données projet'!$A$35:$I$55,4,0))</f>
        <v>98.979999999999961</v>
      </c>
      <c r="W58" s="16">
        <f>IF(ISNA(VLOOKUP(A58,'Données projet'!$A$35:$I$55,5,0)),0%,VLOOKUP(A58,'Données projet'!$A$35:$I$55,5,0)*VLOOKUP('Données projet'!$B$9,Paramètres!$A$1:$I$89,7,0))</f>
        <v>0.33</v>
      </c>
      <c r="X58" s="16">
        <f>IF(ISNA(VLOOKUP(A58,'Données projet'!$A$35:$I$55,6,0)),0%,VLOOKUP(A58,'Données projet'!$A$35:$I$55,6,0)*VLOOKUP('Données projet'!$B$9,Paramètres!$A$1:$I$89,7,0))</f>
        <v>0.11000000000000001</v>
      </c>
      <c r="Y58" s="16">
        <f>IF(ISNA(VLOOKUP(A58,'Données projet'!$A$35:$I$55,7,0)),0%,VLOOKUP(A58,'Données projet'!$A$35:$I$55,7,0))</f>
        <v>0.2</v>
      </c>
      <c r="Z58" s="21">
        <f>EXP(-LN(2)/35)*Z57+(1-EXP(-LN(2)/35))/(LN(2)/35)*V58*W58*VLOOKUP('Données projet'!$B$9,Paramètres!$A$1:$I$89,3,0)*0.475*44/12</f>
        <v>74.067942076844304</v>
      </c>
      <c r="AA58" s="21">
        <f>EXP(-LN(2)/25)*AA57+(1-EXP(-LN(2)/25))/(LN(2)/25)*Calculateur!V58*Calculateur!X58*VLOOKUP('Données projet'!$B$9,Paramètres!$A$1:$I$89,3,0)*0.475*44/12</f>
        <v>30.232272427086148</v>
      </c>
      <c r="AB58" s="21">
        <f>EXP(-LN(2)/2)*AB57+(1-EXP(-LN(2)/2))/(LN(2)/2)*V58*Y58*VLOOKUP('Données projet'!$B$9,Paramètres!$A$1:$I$89,3,0)*0.475*44/12</f>
        <v>11.552669648514147</v>
      </c>
      <c r="AC58" s="22">
        <f t="shared" si="3"/>
        <v>115.8528841524446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3.4106051316484809E-13</v>
      </c>
      <c r="AJ58" s="13">
        <f>AI58*VLOOKUP('Données projet'!$B$10,Paramètres!$A$1:$I$89,3,0)*VLOOKUP('Données projet'!$B$10,Paramètres!$A$1:$I$89,5,0)</f>
        <v>1.5074874681886286E-13</v>
      </c>
      <c r="AK58" s="13">
        <f t="shared" si="35"/>
        <v>2.1590218794584103E-12</v>
      </c>
      <c r="AL58" s="20">
        <f t="shared" si="4"/>
        <v>4.0228505074329168E-12</v>
      </c>
      <c r="AM58" s="59">
        <f t="shared" si="5"/>
        <v>293.33333333333735</v>
      </c>
      <c r="AN58" s="59">
        <f ca="1">AVERAGE(OFFSET($AM$3,0,0,'Données projet'!$E$10+1,1))-AVERAGE(OFFSET($H$3,0,0,'Données projet'!$E$10+1,1))</f>
        <v>293.17014997061574</v>
      </c>
      <c r="AO58" s="59">
        <f t="shared" si="36"/>
        <v>394.32615745219954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191.27045956232629</v>
      </c>
      <c r="AV58" s="21">
        <f>EXP(-LN(2)/25)*AV57+(1-EXP(-LN(2)/25))/(LN(2)/25)*Calculateur!AQ58*Calculateur!AS58*VLOOKUP('Données projet'!$B$10,Paramètres!$A$1:$I$89,3,0)*0.475*44/12</f>
        <v>65.372017890425553</v>
      </c>
      <c r="AW58" s="21">
        <f>EXP(-LN(2)/2)*AW57+(1-EXP(-LN(2)/2))/(LN(2)/2)*AQ58*AT58*VLOOKUP('Données projet'!$B$10,Paramètres!$A$1:$I$89,3,0)*0.475*44/12</f>
        <v>51.162889560889717</v>
      </c>
      <c r="AX58" s="21">
        <f t="shared" si="6"/>
        <v>307.80536701364156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13.83888888888889</v>
      </c>
      <c r="BD58" s="12">
        <f>IF('Données projet'!$A$88&gt;35,BD57+BC58-BL57,IF(A58&lt;'Données projet'!$A$88,$BA$205^A58,IF(A58='Données projet'!$A$88,'Données projet'!$B$88,BD57+BC58-BL57)))</f>
        <v>219.95888888888868</v>
      </c>
      <c r="BE58" s="13">
        <f>BD58*VLOOKUP('Données projet'!$B$11,Paramètres!$A$1:$I$89,3,0)*VLOOKUP('Données projet'!$B$11,Paramètres!$A$1:$I$89,5,0)</f>
        <v>188.7247266666665</v>
      </c>
      <c r="BF58" s="13">
        <f t="shared" si="37"/>
        <v>47.2578976098536</v>
      </c>
      <c r="BG58" s="20">
        <f t="shared" si="7"/>
        <v>411.00307061493913</v>
      </c>
      <c r="BH58" s="59">
        <f t="shared" si="8"/>
        <v>704.33640394827239</v>
      </c>
      <c r="BI58" s="59">
        <f ca="1">AVERAGE(OFFSET($BH$3,0,0,'Données projet'!$E$11+1,1))-AVERAGE(OFFSET($H$3,0,0,'Données projet'!$E$11+1,1))</f>
        <v>395.14818708356353</v>
      </c>
      <c r="BJ58" s="59">
        <f t="shared" si="38"/>
        <v>311.78229491474491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41.150536861149632</v>
      </c>
      <c r="BR58" s="21">
        <f>EXP(-LN(2)/2)*BR57+(1-EXP(-LN(2)/2))/(LN(2)/2)*BL58*BO58*VLOOKUP('Données projet'!$B$11,Paramètres!$A$1:$I$89,3,0)*0.475*44/12</f>
        <v>20.102147017656581</v>
      </c>
      <c r="BS58" s="22">
        <f t="shared" si="9"/>
        <v>61.252683878806209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4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326.40147026672037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18.802857142857153</v>
      </c>
      <c r="N59" s="13">
        <f>IF('Données projet'!$A$36&gt;35,N58+M59-V58,IF(A59&lt;'Données projet'!$A$36,$K$205^A59,IF(A59='Données projet'!$A$36,'Données projet'!$B$36,N58+M59-V58)))</f>
        <v>447.75285714285729</v>
      </c>
      <c r="O59" s="13">
        <f>N59*VLOOKUP('Données projet'!$B$9,Paramètres!$A$1:$I$89,3,0)*VLOOKUP('Données projet'!$B$9,Paramètres!$A$1:$I$89,5,0)</f>
        <v>209.54833714285724</v>
      </c>
      <c r="P59" s="13">
        <f t="shared" si="33"/>
        <v>51.836873635695675</v>
      </c>
      <c r="Q59" s="20">
        <f t="shared" si="53"/>
        <v>455.24590877264626</v>
      </c>
      <c r="R59" s="59">
        <f t="shared" si="0"/>
        <v>748.57924210597957</v>
      </c>
      <c r="S59" s="59">
        <f ca="1">AVERAGE(OFFSET($R$3,0,0,'Données projet'!$E$9+1,1))-AVERAGE(OFFSET($H$3,0,0,'Données projet'!$E$9+1,1))</f>
        <v>291.3013645858839</v>
      </c>
      <c r="T59" s="59">
        <f t="shared" si="34"/>
        <v>332.89241887762438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72.615514909701204</v>
      </c>
      <c r="AA59" s="21">
        <f>EXP(-LN(2)/25)*AA58+(1-EXP(-LN(2)/25))/(LN(2)/25)*Calculateur!V59*Calculateur!X59*VLOOKUP('Données projet'!$B$9,Paramètres!$A$1:$I$89,3,0)*0.475*44/12</f>
        <v>29.405569347721368</v>
      </c>
      <c r="AB59" s="21">
        <f>EXP(-LN(2)/2)*AB58+(1-EXP(-LN(2)/2))/(LN(2)/2)*V59*Y59*VLOOKUP('Données projet'!$B$9,Paramètres!$A$1:$I$89,3,0)*0.475*44/12</f>
        <v>8.1689710492723631</v>
      </c>
      <c r="AC59" s="22">
        <f t="shared" si="3"/>
        <v>110.19005530669493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3.4106051316484809E-13</v>
      </c>
      <c r="AJ59" s="13">
        <f>AI59*VLOOKUP('Données projet'!$B$10,Paramètres!$A$1:$I$89,3,0)*VLOOKUP('Données projet'!$B$10,Paramètres!$A$1:$I$89,5,0)</f>
        <v>1.5074874681886286E-13</v>
      </c>
      <c r="AK59" s="13">
        <f t="shared" si="35"/>
        <v>2.1590218794584103E-12</v>
      </c>
      <c r="AL59" s="20">
        <f t="shared" si="4"/>
        <v>4.0228505074329168E-12</v>
      </c>
      <c r="AM59" s="59">
        <f t="shared" si="5"/>
        <v>293.33333333333735</v>
      </c>
      <c r="AN59" s="59">
        <f ca="1">AVERAGE(OFFSET($AM$3,0,0,'Données projet'!$E$10+1,1))-AVERAGE(OFFSET($H$3,0,0,'Données projet'!$E$10+1,1))</f>
        <v>293.17014997061574</v>
      </c>
      <c r="AO59" s="59">
        <f t="shared" si="36"/>
        <v>394.32615745219954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187.51976251376985</v>
      </c>
      <c r="AV59" s="21">
        <f>EXP(-LN(2)/25)*AV58+(1-EXP(-LN(2)/25))/(LN(2)/25)*Calculateur!AQ59*Calculateur!AS59*VLOOKUP('Données projet'!$B$10,Paramètres!$A$1:$I$89,3,0)*0.475*44/12</f>
        <v>63.584416623446856</v>
      </c>
      <c r="AW59" s="21">
        <f>EXP(-LN(2)/2)*AW58+(1-EXP(-LN(2)/2))/(LN(2)/2)*AQ59*AT59*VLOOKUP('Données projet'!$B$10,Paramètres!$A$1:$I$89,3,0)*0.475*44/12</f>
        <v>36.177626153603541</v>
      </c>
      <c r="AX59" s="21">
        <f t="shared" si="6"/>
        <v>287.28180529082022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13.83888888888889</v>
      </c>
      <c r="BD59" s="12">
        <f>IF('Données projet'!$A$88&gt;35,BD58+BC59-BL58,IF(A59&lt;'Données projet'!$A$88,$BA$205^A59,IF(A59='Données projet'!$A$88,'Données projet'!$B$88,BD58+BC59-BL58)))</f>
        <v>233.79777777777758</v>
      </c>
      <c r="BE59" s="13">
        <f>BD59*VLOOKUP('Données projet'!$B$11,Paramètres!$A$1:$I$89,3,0)*VLOOKUP('Données projet'!$B$11,Paramètres!$A$1:$I$89,5,0)</f>
        <v>200.59849333333321</v>
      </c>
      <c r="BF59" s="13">
        <f t="shared" si="37"/>
        <v>49.875675563332642</v>
      </c>
      <c r="BG59" s="20">
        <f t="shared" si="7"/>
        <v>436.24251082835968</v>
      </c>
      <c r="BH59" s="59">
        <f t="shared" si="8"/>
        <v>729.575844161693</v>
      </c>
      <c r="BI59" s="59">
        <f ca="1">AVERAGE(OFFSET($BH$3,0,0,'Données projet'!$E$11+1,1))-AVERAGE(OFFSET($H$3,0,0,'Données projet'!$E$11+1,1))</f>
        <v>395.14818708356353</v>
      </c>
      <c r="BJ59" s="59">
        <f t="shared" si="38"/>
        <v>311.78229491474491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40.025273266668812</v>
      </c>
      <c r="BR59" s="21">
        <f>EXP(-LN(2)/2)*BR58+(1-EXP(-LN(2)/2))/(LN(2)/2)*BL59*BO59*VLOOKUP('Données projet'!$B$11,Paramètres!$A$1:$I$89,3,0)*0.475*44/12</f>
        <v>14.214364472593902</v>
      </c>
      <c r="BS59" s="22">
        <f t="shared" si="9"/>
        <v>54.239637739262712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4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327.61220793297304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18.802857142857153</v>
      </c>
      <c r="N60" s="13">
        <f>IF('Données projet'!$A$36&gt;35,N59+M60-V59,IF(A60&lt;'Données projet'!$A$36,$K$205^A60,IF(A60='Données projet'!$A$36,'Données projet'!$B$36,N59+M60-V59)))</f>
        <v>466.55571428571443</v>
      </c>
      <c r="O60" s="13">
        <f>N60*VLOOKUP('Données projet'!$B$9,Paramètres!$A$1:$I$89,3,0)*VLOOKUP('Données projet'!$B$9,Paramètres!$A$1:$I$89,5,0)</f>
        <v>218.34807428571435</v>
      </c>
      <c r="P60" s="13">
        <f t="shared" si="33"/>
        <v>53.755690485315149</v>
      </c>
      <c r="Q60" s="20">
        <f t="shared" si="53"/>
        <v>473.91405697620968</v>
      </c>
      <c r="R60" s="59">
        <f t="shared" si="0"/>
        <v>767.24739030954299</v>
      </c>
      <c r="S60" s="59">
        <f ca="1">AVERAGE(OFFSET($R$3,0,0,'Données projet'!$E$9+1,1))-AVERAGE(OFFSET($H$3,0,0,'Données projet'!$E$9+1,1))</f>
        <v>291.3013645858839</v>
      </c>
      <c r="T60" s="59">
        <f t="shared" si="34"/>
        <v>332.89241887762438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71.19156895341267</v>
      </c>
      <c r="AA60" s="21">
        <f>EXP(-LN(2)/25)*AA59+(1-EXP(-LN(2)/25))/(LN(2)/25)*Calculateur!V60*Calculateur!X60*VLOOKUP('Données projet'!$B$9,Paramètres!$A$1:$I$89,3,0)*0.475*44/12</f>
        <v>28.601472507536243</v>
      </c>
      <c r="AB60" s="21">
        <f>EXP(-LN(2)/2)*AB59+(1-EXP(-LN(2)/2))/(LN(2)/2)*V60*Y60*VLOOKUP('Données projet'!$B$9,Paramètres!$A$1:$I$89,3,0)*0.475*44/12</f>
        <v>5.7763348242570745</v>
      </c>
      <c r="AC60" s="22">
        <f t="shared" si="3"/>
        <v>105.56937628520599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3.4106051316484809E-13</v>
      </c>
      <c r="AJ60" s="13">
        <f>AI60*VLOOKUP('Données projet'!$B$10,Paramètres!$A$1:$I$89,3,0)*VLOOKUP('Données projet'!$B$10,Paramètres!$A$1:$I$89,5,0)</f>
        <v>1.5074874681886286E-13</v>
      </c>
      <c r="AK60" s="13">
        <f t="shared" si="35"/>
        <v>2.1590218794584103E-12</v>
      </c>
      <c r="AL60" s="20">
        <f t="shared" si="4"/>
        <v>4.0228505074329168E-12</v>
      </c>
      <c r="AM60" s="59">
        <f t="shared" si="5"/>
        <v>293.33333333333735</v>
      </c>
      <c r="AN60" s="59">
        <f ca="1">AVERAGE(OFFSET($AM$3,0,0,'Données projet'!$E$10+1,1))-AVERAGE(OFFSET($H$3,0,0,'Données projet'!$E$10+1,1))</f>
        <v>293.17014997061574</v>
      </c>
      <c r="AO60" s="59">
        <f t="shared" si="36"/>
        <v>394.32615745219954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183.84261434663628</v>
      </c>
      <c r="AV60" s="21">
        <f>EXP(-LN(2)/25)*AV59+(1-EXP(-LN(2)/25))/(LN(2)/25)*Calculateur!AQ60*Calculateur!AS60*VLOOKUP('Données projet'!$B$10,Paramètres!$A$1:$I$89,3,0)*0.475*44/12</f>
        <v>61.845697407119559</v>
      </c>
      <c r="AW60" s="21">
        <f>EXP(-LN(2)/2)*AW59+(1-EXP(-LN(2)/2))/(LN(2)/2)*AQ60*AT60*VLOOKUP('Données projet'!$B$10,Paramètres!$A$1:$I$89,3,0)*0.475*44/12</f>
        <v>25.581444780444858</v>
      </c>
      <c r="AX60" s="21">
        <f t="shared" si="6"/>
        <v>271.26975653420072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13.83888888888889</v>
      </c>
      <c r="BD60" s="12">
        <f>IF('Données projet'!$A$88&gt;35,BD59+BC60-BL59,IF(A60&lt;'Données projet'!$A$88,$BA$205^A60,IF(A60='Données projet'!$A$88,'Données projet'!$B$88,BD59+BC60-BL59)))</f>
        <v>247.63666666666649</v>
      </c>
      <c r="BE60" s="13">
        <f>BD60*VLOOKUP('Données projet'!$B$11,Paramètres!$A$1:$I$89,3,0)*VLOOKUP('Données projet'!$B$11,Paramètres!$A$1:$I$89,5,0)</f>
        <v>212.47225999999986</v>
      </c>
      <c r="BF60" s="13">
        <f t="shared" si="37"/>
        <v>52.475468157761576</v>
      </c>
      <c r="BG60" s="20">
        <f t="shared" si="7"/>
        <v>461.45062654143447</v>
      </c>
      <c r="BH60" s="59">
        <f t="shared" si="8"/>
        <v>754.78395987476779</v>
      </c>
      <c r="BI60" s="59">
        <f ca="1">AVERAGE(OFFSET($BH$3,0,0,'Données projet'!$E$11+1,1))-AVERAGE(OFFSET($H$3,0,0,'Données projet'!$E$11+1,1))</f>
        <v>395.14818708356353</v>
      </c>
      <c r="BJ60" s="59">
        <f t="shared" si="38"/>
        <v>311.78229491474491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38.93078006435411</v>
      </c>
      <c r="BR60" s="21">
        <f>EXP(-LN(2)/2)*BR59+(1-EXP(-LN(2)/2))/(LN(2)/2)*BL60*BO60*VLOOKUP('Données projet'!$B$11,Paramètres!$A$1:$I$89,3,0)*0.475*44/12</f>
        <v>10.051073508828292</v>
      </c>
      <c r="BS60" s="22">
        <f t="shared" si="9"/>
        <v>48.981853573182406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4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328.82241559803606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18.802857142857153</v>
      </c>
      <c r="N61" s="13">
        <f>IF('Données projet'!$A$36&gt;35,N60+M61-V60,IF(A61&lt;'Données projet'!$A$36,$K$205^A61,IF(A61='Données projet'!$A$36,'Données projet'!$B$36,N60+M61-V60)))</f>
        <v>485.35857142857157</v>
      </c>
      <c r="O61" s="13">
        <f>N61*VLOOKUP('Données projet'!$B$9,Paramètres!$A$1:$I$89,3,0)*VLOOKUP('Données projet'!$B$9,Paramètres!$A$1:$I$89,5,0)</f>
        <v>227.14781142857149</v>
      </c>
      <c r="P61" s="13">
        <f t="shared" si="33"/>
        <v>55.665524513628384</v>
      </c>
      <c r="Q61" s="20">
        <f t="shared" si="53"/>
        <v>492.56656009933141</v>
      </c>
      <c r="R61" s="59">
        <f t="shared" si="0"/>
        <v>785.89989343266473</v>
      </c>
      <c r="S61" s="59">
        <f ca="1">AVERAGE(OFFSET($R$3,0,0,'Données projet'!$E$9+1,1))-AVERAGE(OFFSET($H$3,0,0,'Données projet'!$E$9+1,1))</f>
        <v>291.3013645858839</v>
      </c>
      <c r="T61" s="59">
        <f t="shared" si="34"/>
        <v>332.89241887762438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69.79554570880569</v>
      </c>
      <c r="AA61" s="21">
        <f>EXP(-LN(2)/25)*AA60+(1-EXP(-LN(2)/25))/(LN(2)/25)*Calculateur!V61*Calculateur!X61*VLOOKUP('Données projet'!$B$9,Paramètres!$A$1:$I$89,3,0)*0.475*44/12</f>
        <v>27.819363737731596</v>
      </c>
      <c r="AB61" s="21">
        <f>EXP(-LN(2)/2)*AB60+(1-EXP(-LN(2)/2))/(LN(2)/2)*V61*Y61*VLOOKUP('Données projet'!$B$9,Paramètres!$A$1:$I$89,3,0)*0.475*44/12</f>
        <v>4.0844855246361815</v>
      </c>
      <c r="AC61" s="22">
        <f t="shared" si="3"/>
        <v>101.69939497117346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3.4106051316484809E-13</v>
      </c>
      <c r="AJ61" s="13">
        <f>AI61*VLOOKUP('Données projet'!$B$10,Paramètres!$A$1:$I$89,3,0)*VLOOKUP('Données projet'!$B$10,Paramètres!$A$1:$I$89,5,0)</f>
        <v>1.5074874681886286E-13</v>
      </c>
      <c r="AK61" s="13">
        <f t="shared" si="35"/>
        <v>2.1590218794584103E-12</v>
      </c>
      <c r="AL61" s="20">
        <f t="shared" si="4"/>
        <v>4.0228505074329168E-12</v>
      </c>
      <c r="AM61" s="59">
        <f t="shared" si="5"/>
        <v>293.33333333333735</v>
      </c>
      <c r="AN61" s="59">
        <f ca="1">AVERAGE(OFFSET($AM$3,0,0,'Données projet'!$E$10+1,1))-AVERAGE(OFFSET($H$3,0,0,'Données projet'!$E$10+1,1))</f>
        <v>293.17014997061574</v>
      </c>
      <c r="AO61" s="59">
        <f t="shared" si="36"/>
        <v>394.32615745219954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180.23757281222129</v>
      </c>
      <c r="AV61" s="21">
        <f>EXP(-LN(2)/25)*AV60+(1-EXP(-LN(2)/25))/(LN(2)/25)*Calculateur!AQ61*Calculateur!AS61*VLOOKUP('Données projet'!$B$10,Paramètres!$A$1:$I$89,3,0)*0.475*44/12</f>
        <v>60.154523559197997</v>
      </c>
      <c r="AW61" s="21">
        <f>EXP(-LN(2)/2)*AW60+(1-EXP(-LN(2)/2))/(LN(2)/2)*AQ61*AT61*VLOOKUP('Données projet'!$B$10,Paramètres!$A$1:$I$89,3,0)*0.475*44/12</f>
        <v>18.08881307680177</v>
      </c>
      <c r="AX61" s="21">
        <f t="shared" si="6"/>
        <v>258.48090944822104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13.83888888888889</v>
      </c>
      <c r="BD61" s="12">
        <f>IF('Données projet'!$A$88&gt;35,BD60+BC61-BL60,IF(A61&lt;'Données projet'!$A$88,$BA$205^A61,IF(A61='Données projet'!$A$88,'Données projet'!$B$88,BD60+BC61-BL60)))</f>
        <v>261.47555555555539</v>
      </c>
      <c r="BE61" s="13">
        <f>BD61*VLOOKUP('Données projet'!$B$11,Paramètres!$A$1:$I$89,3,0)*VLOOKUP('Données projet'!$B$11,Paramètres!$A$1:$I$89,5,0)</f>
        <v>224.34602666666657</v>
      </c>
      <c r="BF61" s="13">
        <f t="shared" si="37"/>
        <v>55.0583950324055</v>
      </c>
      <c r="BG61" s="20">
        <f t="shared" si="7"/>
        <v>486.62936779255051</v>
      </c>
      <c r="BH61" s="59">
        <f t="shared" si="8"/>
        <v>779.96270112588377</v>
      </c>
      <c r="BI61" s="59">
        <f ca="1">AVERAGE(OFFSET($BH$3,0,0,'Données projet'!$E$11+1,1))-AVERAGE(OFFSET($H$3,0,0,'Données projet'!$E$11+1,1))</f>
        <v>395.14818708356353</v>
      </c>
      <c r="BJ61" s="59">
        <f t="shared" si="38"/>
        <v>311.78229491474491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37.866215836213598</v>
      </c>
      <c r="BR61" s="21">
        <f>EXP(-LN(2)/2)*BR60+(1-EXP(-LN(2)/2))/(LN(2)/2)*BL61*BO61*VLOOKUP('Données projet'!$B$11,Paramètres!$A$1:$I$89,3,0)*0.475*44/12</f>
        <v>7.1071822362969517</v>
      </c>
      <c r="BS61" s="22">
        <f t="shared" si="9"/>
        <v>44.973398072510548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4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330.03210345430642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18.802857142857153</v>
      </c>
      <c r="N62" s="13">
        <f>IF('Données projet'!$A$36&gt;35,N61+M62-V61,IF(A62&lt;'Données projet'!$A$36,$K$205^A62,IF(A62='Données projet'!$A$36,'Données projet'!$B$36,N61+M62-V61)))</f>
        <v>504.1614285714287</v>
      </c>
      <c r="O62" s="13">
        <f>N62*VLOOKUP('Données projet'!$B$9,Paramètres!$A$1:$I$89,3,0)*VLOOKUP('Données projet'!$B$9,Paramètres!$A$1:$I$89,5,0)</f>
        <v>235.94754857142865</v>
      </c>
      <c r="P62" s="13">
        <f t="shared" si="33"/>
        <v>57.566763545989495</v>
      </c>
      <c r="Q62" s="20">
        <f t="shared" si="53"/>
        <v>511.20409360450321</v>
      </c>
      <c r="R62" s="59">
        <f t="shared" si="0"/>
        <v>804.53742693783647</v>
      </c>
      <c r="S62" s="59">
        <f ca="1">AVERAGE(OFFSET($R$3,0,0,'Données projet'!$E$9+1,1))-AVERAGE(OFFSET($H$3,0,0,'Données projet'!$E$9+1,1))</f>
        <v>291.3013645858839</v>
      </c>
      <c r="T62" s="59">
        <f t="shared" si="34"/>
        <v>332.89241887762438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68.426897628535343</v>
      </c>
      <c r="AA62" s="21">
        <f>EXP(-LN(2)/25)*AA61+(1-EXP(-LN(2)/25))/(LN(2)/25)*Calculateur!V62*Calculateur!X62*VLOOKUP('Données projet'!$B$9,Paramètres!$A$1:$I$89,3,0)*0.475*44/12</f>
        <v>27.058641773366567</v>
      </c>
      <c r="AB62" s="21">
        <f>EXP(-LN(2)/2)*AB61+(1-EXP(-LN(2)/2))/(LN(2)/2)*V62*Y62*VLOOKUP('Données projet'!$B$9,Paramètres!$A$1:$I$89,3,0)*0.475*44/12</f>
        <v>2.8881674121285372</v>
      </c>
      <c r="AC62" s="22">
        <f t="shared" si="3"/>
        <v>98.373706814030456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3.4106051316484809E-13</v>
      </c>
      <c r="AJ62" s="13">
        <f>AI62*VLOOKUP('Données projet'!$B$10,Paramètres!$A$1:$I$89,3,0)*VLOOKUP('Données projet'!$B$10,Paramètres!$A$1:$I$89,5,0)</f>
        <v>1.5074874681886286E-13</v>
      </c>
      <c r="AK62" s="13">
        <f t="shared" si="35"/>
        <v>2.1590218794584103E-12</v>
      </c>
      <c r="AL62" s="20">
        <f t="shared" si="4"/>
        <v>4.0228505074329168E-12</v>
      </c>
      <c r="AM62" s="59">
        <f t="shared" si="5"/>
        <v>293.33333333333735</v>
      </c>
      <c r="AN62" s="59">
        <f ca="1">AVERAGE(OFFSET($AM$3,0,0,'Données projet'!$E$10+1,1))-AVERAGE(OFFSET($H$3,0,0,'Données projet'!$E$10+1,1))</f>
        <v>293.17014997061574</v>
      </c>
      <c r="AO62" s="59">
        <f t="shared" si="36"/>
        <v>394.32615745219954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176.70322394343796</v>
      </c>
      <c r="AV62" s="21">
        <f>EXP(-LN(2)/25)*AV61+(1-EXP(-LN(2)/25))/(LN(2)/25)*Calculateur!AQ62*Calculateur!AS62*VLOOKUP('Données projet'!$B$10,Paramètres!$A$1:$I$89,3,0)*0.475*44/12</f>
        <v>58.509594949082818</v>
      </c>
      <c r="AW62" s="21">
        <f>EXP(-LN(2)/2)*AW61+(1-EXP(-LN(2)/2))/(LN(2)/2)*AQ62*AT62*VLOOKUP('Données projet'!$B$10,Paramètres!$A$1:$I$89,3,0)*0.475*44/12</f>
        <v>12.790722390222429</v>
      </c>
      <c r="AX62" s="21">
        <f t="shared" si="6"/>
        <v>248.00354128274321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13.83888888888889</v>
      </c>
      <c r="BD62" s="12">
        <f>IF('Données projet'!$A$88&gt;35,BD61+BC62-BL61,IF(A62&lt;'Données projet'!$A$88,$BA$205^A62,IF(A62='Données projet'!$A$88,'Données projet'!$B$88,BD61+BC62-BL61)))</f>
        <v>275.31444444444429</v>
      </c>
      <c r="BE62" s="13">
        <f>BD62*VLOOKUP('Données projet'!$B$11,Paramètres!$A$1:$I$89,3,0)*VLOOKUP('Données projet'!$B$11,Paramètres!$A$1:$I$89,5,0)</f>
        <v>236.21979333333323</v>
      </c>
      <c r="BF62" s="13">
        <f t="shared" si="37"/>
        <v>57.625450616480578</v>
      </c>
      <c r="BG62" s="20">
        <f t="shared" si="7"/>
        <v>511.78046654592572</v>
      </c>
      <c r="BH62" s="59">
        <f t="shared" si="8"/>
        <v>805.11379987925898</v>
      </c>
      <c r="BI62" s="59">
        <f ca="1">AVERAGE(OFFSET($BH$3,0,0,'Données projet'!$E$11+1,1))-AVERAGE(OFFSET($H$3,0,0,'Données projet'!$E$11+1,1))</f>
        <v>395.14818708356353</v>
      </c>
      <c r="BJ62" s="59">
        <f t="shared" si="38"/>
        <v>311.78229491474491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36.830762172874593</v>
      </c>
      <c r="BR62" s="21">
        <f>EXP(-LN(2)/2)*BR61+(1-EXP(-LN(2)/2))/(LN(2)/2)*BL62*BO62*VLOOKUP('Données projet'!$B$11,Paramètres!$A$1:$I$89,3,0)*0.475*44/12</f>
        <v>5.025536754414146</v>
      </c>
      <c r="BS62" s="22">
        <f t="shared" si="9"/>
        <v>41.856298927288741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4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331.24128132887591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18.802857142857153</v>
      </c>
      <c r="N63" s="13">
        <f>IF('Données projet'!$A$36&gt;35,N62+M63-V62,IF(A63&lt;'Données projet'!$A$36,$K$205^A63,IF(A63='Données projet'!$A$36,'Données projet'!$B$36,N62+M63-V62)))</f>
        <v>522.96428571428589</v>
      </c>
      <c r="O63" s="13">
        <f>N63*VLOOKUP('Données projet'!$B$9,Paramètres!$A$1:$I$89,3,0)*VLOOKUP('Données projet'!$B$9,Paramètres!$A$1:$I$89,5,0)</f>
        <v>244.74728571428579</v>
      </c>
      <c r="P63" s="13">
        <f t="shared" si="33"/>
        <v>59.459764840712523</v>
      </c>
      <c r="Q63" s="20">
        <f t="shared" si="53"/>
        <v>529.827279716622</v>
      </c>
      <c r="R63" s="59">
        <f t="shared" si="0"/>
        <v>823.16061304995537</v>
      </c>
      <c r="S63" s="59">
        <f ca="1">AVERAGE(OFFSET($R$3,0,0,'Données projet'!$E$9+1,1))-AVERAGE(OFFSET($H$3,0,0,'Données projet'!$E$9+1,1))</f>
        <v>291.3013645858839</v>
      </c>
      <c r="T63" s="59">
        <f t="shared" si="34"/>
        <v>332.89241887762438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67.085087902326208</v>
      </c>
      <c r="AA63" s="21">
        <f>EXP(-LN(2)/25)*AA62+(1-EXP(-LN(2)/25))/(LN(2)/25)*Calculateur!V63*Calculateur!X63*VLOOKUP('Données projet'!$B$9,Paramètres!$A$1:$I$89,3,0)*0.475*44/12</f>
        <v>26.318721791121732</v>
      </c>
      <c r="AB63" s="21">
        <f>EXP(-LN(2)/2)*AB62+(1-EXP(-LN(2)/2))/(LN(2)/2)*V63*Y63*VLOOKUP('Données projet'!$B$9,Paramètres!$A$1:$I$89,3,0)*0.475*44/12</f>
        <v>2.0422427623180908</v>
      </c>
      <c r="AC63" s="22">
        <f t="shared" si="3"/>
        <v>95.446052455766036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3.4106051316484809E-13</v>
      </c>
      <c r="AJ63" s="13">
        <f>AI63*VLOOKUP('Données projet'!$B$10,Paramètres!$A$1:$I$89,3,0)*VLOOKUP('Données projet'!$B$10,Paramètres!$A$1:$I$89,5,0)</f>
        <v>1.5074874681886286E-13</v>
      </c>
      <c r="AK63" s="13">
        <f t="shared" si="35"/>
        <v>2.1590218794584103E-12</v>
      </c>
      <c r="AL63" s="20">
        <f t="shared" si="4"/>
        <v>4.0228505074329168E-12</v>
      </c>
      <c r="AM63" s="59">
        <f t="shared" si="5"/>
        <v>293.33333333333735</v>
      </c>
      <c r="AN63" s="59">
        <f ca="1">AVERAGE(OFFSET($AM$3,0,0,'Données projet'!$E$10+1,1))-AVERAGE(OFFSET($H$3,0,0,'Données projet'!$E$10+1,1))</f>
        <v>293.17014997061574</v>
      </c>
      <c r="AO63" s="59">
        <f t="shared" si="36"/>
        <v>394.32615745219954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173.23818150023152</v>
      </c>
      <c r="AV63" s="21">
        <f>EXP(-LN(2)/25)*AV62+(1-EXP(-LN(2)/25))/(LN(2)/25)*Calculateur!AQ63*Calculateur!AS63*VLOOKUP('Données projet'!$B$10,Paramètres!$A$1:$I$89,3,0)*0.475*44/12</f>
        <v>56.909646998314273</v>
      </c>
      <c r="AW63" s="21">
        <f>EXP(-LN(2)/2)*AW62+(1-EXP(-LN(2)/2))/(LN(2)/2)*AQ63*AT63*VLOOKUP('Données projet'!$B$10,Paramètres!$A$1:$I$89,3,0)*0.475*44/12</f>
        <v>9.0444065384008852</v>
      </c>
      <c r="AX63" s="21">
        <f t="shared" si="6"/>
        <v>239.19223503694667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13.83888888888889</v>
      </c>
      <c r="BD63" s="12">
        <f>IF('Données projet'!$A$88&gt;35,BD62+BC63-BL62,IF(A63&lt;'Données projet'!$A$88,$BA$205^A63,IF(A63='Données projet'!$A$88,'Données projet'!$B$88,BD62+BC63-BL62)))</f>
        <v>289.15333333333319</v>
      </c>
      <c r="BE63" s="13">
        <f>BD63*VLOOKUP('Données projet'!$B$11,Paramètres!$A$1:$I$89,3,0)*VLOOKUP('Données projet'!$B$11,Paramètres!$A$1:$I$89,5,0)</f>
        <v>248.09355999999991</v>
      </c>
      <c r="BF63" s="13">
        <f t="shared" si="37"/>
        <v>60.177523720527716</v>
      </c>
      <c r="BG63" s="20">
        <f t="shared" si="7"/>
        <v>536.90547081325224</v>
      </c>
      <c r="BH63" s="59">
        <f t="shared" si="8"/>
        <v>830.23880414658561</v>
      </c>
      <c r="BI63" s="59">
        <f ca="1">AVERAGE(OFFSET($BH$3,0,0,'Données projet'!$E$11+1,1))-AVERAGE(OFFSET($H$3,0,0,'Données projet'!$E$11+1,1))</f>
        <v>395.14818708356353</v>
      </c>
      <c r="BJ63" s="59">
        <f t="shared" si="38"/>
        <v>311.78229491474491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35.823623044411733</v>
      </c>
      <c r="BR63" s="21">
        <f>EXP(-LN(2)/2)*BR62+(1-EXP(-LN(2)/2))/(LN(2)/2)*BL63*BO63*VLOOKUP('Données projet'!$B$11,Paramètres!$A$1:$I$89,3,0)*0.475*44/12</f>
        <v>3.5535911181484758</v>
      </c>
      <c r="BS63" s="22">
        <f t="shared" si="9"/>
        <v>39.377214162560207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4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332.44995870249011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18.802857142857153</v>
      </c>
      <c r="N64" s="13">
        <f>IF('Données projet'!$A$36&gt;35,N63+M64-V63,IF(A64&lt;'Données projet'!$A$36,$K$205^A64,IF(A64='Données projet'!$A$36,'Données projet'!$B$36,N63+M64-V63)))</f>
        <v>541.76714285714309</v>
      </c>
      <c r="O64" s="13">
        <f>N64*VLOOKUP('Données projet'!$B$9,Paramètres!$A$1:$I$89,3,0)*VLOOKUP('Données projet'!$B$9,Paramètres!$A$1:$I$89,5,0)</f>
        <v>253.54702285714296</v>
      </c>
      <c r="P64" s="13">
        <f t="shared" si="33"/>
        <v>61.344858509923142</v>
      </c>
      <c r="Q64" s="20">
        <f t="shared" si="53"/>
        <v>548.43669338097345</v>
      </c>
      <c r="R64" s="59">
        <f t="shared" si="0"/>
        <v>841.77002671430682</v>
      </c>
      <c r="S64" s="59">
        <f ca="1">AVERAGE(OFFSET($R$3,0,0,'Données projet'!$E$9+1,1))-AVERAGE(OFFSET($H$3,0,0,'Données projet'!$E$9+1,1))</f>
        <v>291.3013645858839</v>
      </c>
      <c r="T64" s="59">
        <f t="shared" si="34"/>
        <v>332.89241887762438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65.769590246424912</v>
      </c>
      <c r="AA64" s="21">
        <f>EXP(-LN(2)/25)*AA63+(1-EXP(-LN(2)/25))/(LN(2)/25)*Calculateur!V64*Calculateur!X64*VLOOKUP('Données projet'!$B$9,Paramètres!$A$1:$I$89,3,0)*0.475*44/12</f>
        <v>25.599034959702081</v>
      </c>
      <c r="AB64" s="21">
        <f>EXP(-LN(2)/2)*AB63+(1-EXP(-LN(2)/2))/(LN(2)/2)*V64*Y64*VLOOKUP('Données projet'!$B$9,Paramètres!$A$1:$I$89,3,0)*0.475*44/12</f>
        <v>1.4440837060642686</v>
      </c>
      <c r="AC64" s="22">
        <f t="shared" si="3"/>
        <v>92.812708912191255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3.4106051316484809E-13</v>
      </c>
      <c r="AJ64" s="13">
        <f>AI64*VLOOKUP('Données projet'!$B$10,Paramètres!$A$1:$I$89,3,0)*VLOOKUP('Données projet'!$B$10,Paramètres!$A$1:$I$89,5,0)</f>
        <v>1.5074874681886286E-13</v>
      </c>
      <c r="AK64" s="13">
        <f t="shared" si="35"/>
        <v>2.1590218794584103E-12</v>
      </c>
      <c r="AL64" s="20">
        <f t="shared" si="4"/>
        <v>4.0228505074329168E-12</v>
      </c>
      <c r="AM64" s="59">
        <f t="shared" si="5"/>
        <v>293.33333333333735</v>
      </c>
      <c r="AN64" s="59">
        <f ca="1">AVERAGE(OFFSET($AM$3,0,0,'Données projet'!$E$10+1,1))-AVERAGE(OFFSET($H$3,0,0,'Données projet'!$E$10+1,1))</f>
        <v>293.17014997061574</v>
      </c>
      <c r="AO64" s="59">
        <f t="shared" si="36"/>
        <v>394.32615745219954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169.84108642586915</v>
      </c>
      <c r="AV64" s="21">
        <f>EXP(-LN(2)/25)*AV63+(1-EXP(-LN(2)/25))/(LN(2)/25)*Calculateur!AQ64*Calculateur!AS64*VLOOKUP('Données projet'!$B$10,Paramètres!$A$1:$I$89,3,0)*0.475*44/12</f>
        <v>55.3534497083971</v>
      </c>
      <c r="AW64" s="21">
        <f>EXP(-LN(2)/2)*AW63+(1-EXP(-LN(2)/2))/(LN(2)/2)*AQ64*AT64*VLOOKUP('Données projet'!$B$10,Paramètres!$A$1:$I$89,3,0)*0.475*44/12</f>
        <v>6.3953611951112146</v>
      </c>
      <c r="AX64" s="21">
        <f t="shared" si="6"/>
        <v>231.58989732937746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13.83888888888889</v>
      </c>
      <c r="BD64" s="12">
        <f>IF('Données projet'!$A$88&gt;35,BD63+BC64-BL63,IF(A64&lt;'Données projet'!$A$88,$BA$205^A64,IF(A64='Données projet'!$A$88,'Données projet'!$B$88,BD63+BC64-BL63)))</f>
        <v>302.9922222222221</v>
      </c>
      <c r="BE64" s="13">
        <f>BD64*VLOOKUP('Données projet'!$B$11,Paramètres!$A$1:$I$89,3,0)*VLOOKUP('Données projet'!$B$11,Paramètres!$A$1:$I$89,5,0)</f>
        <v>259.96732666666657</v>
      </c>
      <c r="BF64" s="13">
        <f t="shared" si="37"/>
        <v>62.715413270914951</v>
      </c>
      <c r="BG64" s="20">
        <f t="shared" si="7"/>
        <v>562.00577205795446</v>
      </c>
      <c r="BH64" s="59">
        <f t="shared" si="8"/>
        <v>855.33910539128783</v>
      </c>
      <c r="BI64" s="59">
        <f ca="1">AVERAGE(OFFSET($BH$3,0,0,'Données projet'!$E$11+1,1))-AVERAGE(OFFSET($H$3,0,0,'Données projet'!$E$11+1,1))</f>
        <v>395.14818708356353</v>
      </c>
      <c r="BJ64" s="59">
        <f t="shared" si="38"/>
        <v>311.78229491474491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34.844024188379834</v>
      </c>
      <c r="BR64" s="21">
        <f>EXP(-LN(2)/2)*BR63+(1-EXP(-LN(2)/2))/(LN(2)/2)*BL64*BO64*VLOOKUP('Données projet'!$B$11,Paramètres!$A$1:$I$89,3,0)*0.475*44/12</f>
        <v>2.512768377207073</v>
      </c>
      <c r="BS64" s="22">
        <f t="shared" si="9"/>
        <v>37.356792565586908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4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333.65814472722889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560.57000000000005</v>
      </c>
      <c r="L65" s="12">
        <f>VLOOKUP(A65,'Données projet'!$A$35:$I$55,9,0)</f>
        <v>18.802857142857153</v>
      </c>
      <c r="M65" s="12">
        <f t="array" ref="M65">INDEX(L:L,MIN(IF(ISNUMBER(L65:L261),ROW(L65:L261),"")))</f>
        <v>18.802857142857153</v>
      </c>
      <c r="N65" s="13">
        <f>IF('Données projet'!$A$36&gt;35,N64+M65-V64,IF(A65&lt;'Données projet'!$A$36,$K$205^A65,IF(A65='Données projet'!$A$36,'Données projet'!$B$36,N64+M65-V64)))</f>
        <v>560.57000000000028</v>
      </c>
      <c r="O65" s="13">
        <f>N65*VLOOKUP('Données projet'!$B$9,Paramètres!$A$1:$I$89,3,0)*VLOOKUP('Données projet'!$B$9,Paramètres!$A$1:$I$89,5,0)</f>
        <v>262.34676000000013</v>
      </c>
      <c r="P65" s="13">
        <f t="shared" si="33"/>
        <v>63.222350452164306</v>
      </c>
      <c r="Q65" s="20">
        <f t="shared" si="53"/>
        <v>567.03286737085307</v>
      </c>
      <c r="R65" s="59">
        <f t="shared" si="0"/>
        <v>860.36620070418644</v>
      </c>
      <c r="S65" s="59">
        <f ca="1">AVERAGE(OFFSET($R$3,0,0,'Données projet'!$E$9+1,1))-AVERAGE(OFFSET($H$3,0,0,'Données projet'!$E$9+1,1))</f>
        <v>291.3013645858839</v>
      </c>
      <c r="T65" s="59">
        <f t="shared" si="34"/>
        <v>332.89241887762438</v>
      </c>
      <c r="U65" s="15">
        <f>IF(ISNA(VLOOKUP(A65,'Données projet'!$A$35:$I$55,3,0)),0,VLOOKUP(A65,'Données projet'!$A$35:$I$55,3,0))</f>
        <v>7</v>
      </c>
      <c r="V65" s="15">
        <f>IF(ISNA(VLOOKUP(A65,'Données projet'!$A$35:$I$55,4,0)),0,VLOOKUP(A65,'Données projet'!$A$35:$I$55,4,0))</f>
        <v>121.06000000000006</v>
      </c>
      <c r="W65" s="16">
        <f>IF(ISNA(VLOOKUP(A65,'Données projet'!$A$35:$I$55,5,0)),0%,VLOOKUP(A65,'Données projet'!$A$35:$I$55,5,0)*VLOOKUP('Données projet'!$B$9,Paramètres!$A$1:$I$89,7,0))</f>
        <v>0.33</v>
      </c>
      <c r="X65" s="16">
        <f>IF(ISNA(VLOOKUP(A65,'Données projet'!$A$35:$I$55,6,0)),0%,VLOOKUP(A65,'Données projet'!$A$35:$I$55,6,0)*VLOOKUP('Données projet'!$B$9,Paramètres!$A$1:$I$89,7,0))</f>
        <v>0.11000000000000001</v>
      </c>
      <c r="Y65" s="16">
        <f>IF(ISNA(VLOOKUP(A65,'Données projet'!$A$35:$I$55,7,0)),0%,VLOOKUP(A65,'Données projet'!$A$35:$I$55,7,0))</f>
        <v>0.2</v>
      </c>
      <c r="Z65" s="21">
        <f>EXP(-LN(2)/35)*Z64+(1-EXP(-LN(2)/35))/(LN(2)/35)*V65*W65*VLOOKUP('Données projet'!$B$9,Paramètres!$A$1:$I$89,3,0)*0.475*44/12</f>
        <v>89.282009528319378</v>
      </c>
      <c r="AA65" s="21">
        <f>EXP(-LN(2)/25)*AA64+(1-EXP(-LN(2)/25))/(LN(2)/25)*Calculateur!V65*Calculateur!X65*VLOOKUP('Données projet'!$B$9,Paramètres!$A$1:$I$89,3,0)*0.475*44/12</f>
        <v>33.13384981289321</v>
      </c>
      <c r="AB65" s="21">
        <f>EXP(-LN(2)/2)*AB64+(1-EXP(-LN(2)/2))/(LN(2)/2)*V65*Y65*VLOOKUP('Données projet'!$B$9,Paramètres!$A$1:$I$89,3,0)*0.475*44/12</f>
        <v>13.850690106607702</v>
      </c>
      <c r="AC65" s="22">
        <f t="shared" si="3"/>
        <v>136.2665494478203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3.4106051316484809E-13</v>
      </c>
      <c r="AJ65" s="13">
        <f>AI65*VLOOKUP('Données projet'!$B$10,Paramètres!$A$1:$I$89,3,0)*VLOOKUP('Données projet'!$B$10,Paramètres!$A$1:$I$89,5,0)</f>
        <v>1.5074874681886286E-13</v>
      </c>
      <c r="AK65" s="13">
        <f t="shared" si="35"/>
        <v>2.1590218794584103E-12</v>
      </c>
      <c r="AL65" s="20">
        <f t="shared" si="4"/>
        <v>4.0228505074329168E-12</v>
      </c>
      <c r="AM65" s="59">
        <f t="shared" si="5"/>
        <v>293.33333333333735</v>
      </c>
      <c r="AN65" s="59">
        <f ca="1">AVERAGE(OFFSET($AM$3,0,0,'Données projet'!$E$10+1,1))-AVERAGE(OFFSET($H$3,0,0,'Données projet'!$E$10+1,1))</f>
        <v>293.17014997061574</v>
      </c>
      <c r="AO65" s="59">
        <f t="shared" si="36"/>
        <v>394.32615745219954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166.51060631389163</v>
      </c>
      <c r="AV65" s="21">
        <f>EXP(-LN(2)/25)*AV64+(1-EXP(-LN(2)/25))/(LN(2)/25)*Calculateur!AQ65*Calculateur!AS65*VLOOKUP('Données projet'!$B$10,Paramètres!$A$1:$I$89,3,0)*0.475*44/12</f>
        <v>53.839806715209576</v>
      </c>
      <c r="AW65" s="21">
        <f>EXP(-LN(2)/2)*AW64+(1-EXP(-LN(2)/2))/(LN(2)/2)*AQ65*AT65*VLOOKUP('Données projet'!$B$10,Paramètres!$A$1:$I$89,3,0)*0.475*44/12</f>
        <v>4.5222032692004426</v>
      </c>
      <c r="AX65" s="21">
        <f t="shared" si="6"/>
        <v>224.87261629830166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13.83888888888889</v>
      </c>
      <c r="BD65" s="12">
        <f>IF('Données projet'!$A$88&gt;35,BD64+BC65-BL64,IF(A65&lt;'Données projet'!$A$88,$BA$205^A65,IF(A65='Données projet'!$A$88,'Données projet'!$B$88,BD64+BC65-BL64)))</f>
        <v>316.831111111111</v>
      </c>
      <c r="BE65" s="13">
        <f>BD65*VLOOKUP('Données projet'!$B$11,Paramètres!$A$1:$I$89,3,0)*VLOOKUP('Données projet'!$B$11,Paramètres!$A$1:$I$89,5,0)</f>
        <v>271.84109333333328</v>
      </c>
      <c r="BF65" s="13">
        <f t="shared" si="37"/>
        <v>65.239841088426871</v>
      </c>
      <c r="BG65" s="20">
        <f t="shared" si="7"/>
        <v>587.08262745123227</v>
      </c>
      <c r="BH65" s="59">
        <f t="shared" si="8"/>
        <v>880.41596078456564</v>
      </c>
      <c r="BI65" s="59">
        <f ca="1">AVERAGE(OFFSET($BH$3,0,0,'Données projet'!$E$11+1,1))-AVERAGE(OFFSET($H$3,0,0,'Données projet'!$E$11+1,1))</f>
        <v>395.14818708356353</v>
      </c>
      <c r="BJ65" s="59">
        <f t="shared" si="38"/>
        <v>311.78229491474491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33.891212514580992</v>
      </c>
      <c r="BR65" s="21">
        <f>EXP(-LN(2)/2)*BR64+(1-EXP(-LN(2)/2))/(LN(2)/2)*BL65*BO65*VLOOKUP('Données projet'!$B$11,Paramètres!$A$1:$I$89,3,0)*0.475*44/12</f>
        <v>1.7767955590742379</v>
      </c>
      <c r="BS65" s="22">
        <f t="shared" si="9"/>
        <v>35.66800807365523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4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334.86584824301428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16.222857142857151</v>
      </c>
      <c r="N66" s="13">
        <f>IF('Données projet'!$A$36&gt;35,N65+M66-V65,IF(A66&lt;'Données projet'!$A$36,$K$205^A66,IF(A66='Données projet'!$A$36,'Données projet'!$B$36,N65+M66-V65)))</f>
        <v>455.73285714285737</v>
      </c>
      <c r="O66" s="13">
        <f>N66*VLOOKUP('Données projet'!$B$9,Paramètres!$A$1:$I$89,3,0)*VLOOKUP('Données projet'!$B$9,Paramètres!$A$1:$I$89,5,0)</f>
        <v>213.28297714285725</v>
      </c>
      <c r="P66" s="13">
        <f t="shared" si="33"/>
        <v>52.652349827881039</v>
      </c>
      <c r="Q66" s="20">
        <f t="shared" si="53"/>
        <v>463.17069447403583</v>
      </c>
      <c r="R66" s="59">
        <f t="shared" si="0"/>
        <v>756.50402780736908</v>
      </c>
      <c r="S66" s="59">
        <f ca="1">AVERAGE(OFFSET($R$3,0,0,'Données projet'!$E$9+1,1))-AVERAGE(OFFSET($H$3,0,0,'Données projet'!$E$9+1,1))</f>
        <v>291.3013645858839</v>
      </c>
      <c r="T66" s="59">
        <f t="shared" si="34"/>
        <v>332.89241887762438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87.531243778117698</v>
      </c>
      <c r="AA66" s="21">
        <f>EXP(-LN(2)/25)*AA65+(1-EXP(-LN(2)/25))/(LN(2)/25)*Calculateur!V66*Calculateur!X66*VLOOKUP('Données projet'!$B$9,Paramètres!$A$1:$I$89,3,0)*0.475*44/12</f>
        <v>32.227802947326211</v>
      </c>
      <c r="AB66" s="21">
        <f>EXP(-LN(2)/2)*AB65+(1-EXP(-LN(2)/2))/(LN(2)/2)*V66*Y66*VLOOKUP('Données projet'!$B$9,Paramètres!$A$1:$I$89,3,0)*0.475*44/12</f>
        <v>9.7939168984957323</v>
      </c>
      <c r="AC66" s="22">
        <f t="shared" si="3"/>
        <v>129.55296362393963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3.4106051316484809E-13</v>
      </c>
      <c r="AJ66" s="13">
        <f>AI66*VLOOKUP('Données projet'!$B$10,Paramètres!$A$1:$I$89,3,0)*VLOOKUP('Données projet'!$B$10,Paramètres!$A$1:$I$89,5,0)</f>
        <v>1.5074874681886286E-13</v>
      </c>
      <c r="AK66" s="13">
        <f t="shared" si="35"/>
        <v>2.1590218794584103E-12</v>
      </c>
      <c r="AL66" s="20">
        <f t="shared" si="4"/>
        <v>4.0228505074329168E-12</v>
      </c>
      <c r="AM66" s="59">
        <f t="shared" si="5"/>
        <v>293.33333333333735</v>
      </c>
      <c r="AN66" s="59">
        <f ca="1">AVERAGE(OFFSET($AM$3,0,0,'Données projet'!$E$10+1,1))-AVERAGE(OFFSET($H$3,0,0,'Données projet'!$E$10+1,1))</f>
        <v>293.17014997061574</v>
      </c>
      <c r="AO66" s="59">
        <f t="shared" si="36"/>
        <v>394.32615745219954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163.24543488551771</v>
      </c>
      <c r="AV66" s="21">
        <f>EXP(-LN(2)/25)*AV65+(1-EXP(-LN(2)/25))/(LN(2)/25)*Calculateur!AQ66*Calculateur!AS66*VLOOKUP('Données projet'!$B$10,Paramètres!$A$1:$I$89,3,0)*0.475*44/12</f>
        <v>52.36755436926979</v>
      </c>
      <c r="AW66" s="21">
        <f>EXP(-LN(2)/2)*AW65+(1-EXP(-LN(2)/2))/(LN(2)/2)*AQ66*AT66*VLOOKUP('Données projet'!$B$10,Paramètres!$A$1:$I$89,3,0)*0.475*44/12</f>
        <v>3.1976805975556073</v>
      </c>
      <c r="AX66" s="21">
        <f t="shared" si="6"/>
        <v>218.8106698523431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>
        <f>VLOOKUP(A66,'Données projet'!$A$87:$I$107,2,0)</f>
        <v>330.67</v>
      </c>
      <c r="BB66" s="12">
        <f>VLOOKUP(A66,'Données projet'!$A$87:$I$107,9,0)</f>
        <v>13.83888888888889</v>
      </c>
      <c r="BC66" s="12">
        <f t="array" ref="BC66">INDEX(BB:BB,MIN(IF(ISNUMBER(BB66:BB262),ROW(BB66:BB262),"")))</f>
        <v>13.83888888888889</v>
      </c>
      <c r="BD66" s="12">
        <f>IF('Données projet'!$A$88&gt;35,BD65+BC66-BL65,IF(A66&lt;'Données projet'!$A$88,$BA$205^A66,IF(A66='Données projet'!$A$88,'Données projet'!$B$88,BD65+BC66-BL65)))</f>
        <v>330.6699999999999</v>
      </c>
      <c r="BE66" s="13">
        <f>BD66*VLOOKUP('Données projet'!$B$11,Paramètres!$A$1:$I$89,3,0)*VLOOKUP('Données projet'!$B$11,Paramètres!$A$1:$I$89,5,0)</f>
        <v>283.71485999999993</v>
      </c>
      <c r="BF66" s="13">
        <f t="shared" si="37"/>
        <v>67.751462371218068</v>
      </c>
      <c r="BG66" s="20">
        <f t="shared" si="7"/>
        <v>612.13717812987136</v>
      </c>
      <c r="BH66" s="59">
        <f t="shared" si="8"/>
        <v>905.47051146320473</v>
      </c>
      <c r="BI66" s="59">
        <f ca="1">AVERAGE(OFFSET($BH$3,0,0,'Données projet'!$E$11+1,1))-AVERAGE(OFFSET($H$3,0,0,'Données projet'!$E$11+1,1))</f>
        <v>395.14818708356353</v>
      </c>
      <c r="BJ66" s="59">
        <f t="shared" si="38"/>
        <v>311.78229491474491</v>
      </c>
      <c r="BK66" s="15">
        <f>IF(ISNA(VLOOKUP(A66,'Données projet'!$A$87:$I$107,3,0)),0,VLOOKUP(A66,'Données projet'!$A$87:$I$107,3,0))</f>
        <v>4</v>
      </c>
      <c r="BL66" s="15">
        <f>IF(ISNA(VLOOKUP(A66,'Données projet'!$A$87:$I$107,4,0)),0,VLOOKUP(A66,'Données projet'!$A$87:$I$107,4,0))</f>
        <v>87.03000000000003</v>
      </c>
      <c r="BM66" s="16">
        <f>IF(ISNA(VLOOKUP(A66,'Données projet'!$A$87:$I$107,5,0)),0%,VLOOKUP(A66,'Données projet'!$A$87:$I$107,5,0)*VLOOKUP('Données projet'!$B$11,Paramètres!$A$1:$I$89,7,0))</f>
        <v>0.159</v>
      </c>
      <c r="BN66" s="16">
        <f>IF(ISNA(VLOOKUP(A66,'Données projet'!$A$87:$I$107,6,0)),0%,VLOOKUP(A66,'Données projet'!$A$87:$I$107,6,0)*VLOOKUP('Données projet'!$B$11,Paramètres!$A$1:$I$89,7,0))</f>
        <v>0.10600000000000001</v>
      </c>
      <c r="BO66" s="16">
        <f>IF(ISNA(VLOOKUP(A66,'Données projet'!$A$87:$I$107,7,0)),0%,VLOOKUP(A66,'Données projet'!$A$87:$I$107,7,0))</f>
        <v>0.2</v>
      </c>
      <c r="BP66" s="21">
        <f>EXP(-LN(2)/35)*BP65+(1-EXP(-LN(2)/35))/(LN(2)/35)*BL66*BM66*VLOOKUP('Données projet'!$B$11,Paramètres!$A$1:$I$89,3,0)*0.475*44/12</f>
        <v>13.125036084551544</v>
      </c>
      <c r="BQ66" s="21">
        <f>EXP(-LN(2)/25)*BQ65+(1-EXP(-LN(2)/25))/(LN(2)/25)*Calculateur!BL66*Calculateur!BN66*VLOOKUP('Données projet'!$B$11,Paramètres!$A$1:$I$89,3,0)*0.475*44/12</f>
        <v>41.680027403745598</v>
      </c>
      <c r="BR66" s="21">
        <f>EXP(-LN(2)/2)*BR65+(1-EXP(-LN(2)/2))/(LN(2)/2)*BL66*BO66*VLOOKUP('Données projet'!$B$11,Paramètres!$A$1:$I$89,3,0)*0.475*44/12</f>
        <v>15.347343478686694</v>
      </c>
      <c r="BS66" s="22">
        <f t="shared" si="9"/>
        <v>70.152406966983833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4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336.07307779303983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16.222857142857151</v>
      </c>
      <c r="N67" s="13">
        <f>IF('Données projet'!$A$36&gt;35,N66+M67-V66,IF(A67&lt;'Données projet'!$A$36,$K$205^A67,IF(A67='Données projet'!$A$36,'Données projet'!$B$36,N66+M67-V66)))</f>
        <v>471.95571428571452</v>
      </c>
      <c r="O67" s="13">
        <f>N67*VLOOKUP('Données projet'!$B$9,Paramètres!$A$1:$I$89,3,0)*VLOOKUP('Données projet'!$B$9,Paramètres!$A$1:$I$89,5,0)</f>
        <v>220.8752742857144</v>
      </c>
      <c r="P67" s="13">
        <f t="shared" si="33"/>
        <v>54.305078277875872</v>
      </c>
      <c r="Q67" s="20">
        <f t="shared" ref="Q67:Q98" si="54">(O67+P67)*0.475*44/12</f>
        <v>479.27244738158629</v>
      </c>
      <c r="R67" s="59">
        <f t="shared" ref="R67:R130" si="55">Q67+(I67+J67)*44/12</f>
        <v>772.60578071491955</v>
      </c>
      <c r="S67" s="59">
        <f ca="1">AVERAGE(OFFSET($R$3,0,0,'Données projet'!$E$9+1,1))-AVERAGE(OFFSET($H$3,0,0,'Données projet'!$E$9+1,1))</f>
        <v>291.3013645858839</v>
      </c>
      <c r="T67" s="59">
        <f t="shared" si="34"/>
        <v>332.89241887762438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85.814809476415803</v>
      </c>
      <c r="AA67" s="21">
        <f>EXP(-LN(2)/25)*AA66+(1-EXP(-LN(2)/25))/(LN(2)/25)*Calculateur!V67*Calculateur!X67*VLOOKUP('Données projet'!$B$9,Paramètres!$A$1:$I$89,3,0)*0.475*44/12</f>
        <v>31.346531980945077</v>
      </c>
      <c r="AB67" s="21">
        <f>EXP(-LN(2)/2)*AB66+(1-EXP(-LN(2)/2))/(LN(2)/2)*V67*Y67*VLOOKUP('Données projet'!$B$9,Paramètres!$A$1:$I$89,3,0)*0.475*44/12</f>
        <v>6.9253450533038521</v>
      </c>
      <c r="AC67" s="22">
        <f t="shared" si="3"/>
        <v>124.08668651066473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3.4106051316484809E-13</v>
      </c>
      <c r="AJ67" s="13">
        <f>AI67*VLOOKUP('Données projet'!$B$10,Paramètres!$A$1:$I$89,3,0)*VLOOKUP('Données projet'!$B$10,Paramètres!$A$1:$I$89,5,0)</f>
        <v>1.5074874681886286E-13</v>
      </c>
      <c r="AK67" s="13">
        <f t="shared" si="35"/>
        <v>2.1590218794584103E-12</v>
      </c>
      <c r="AL67" s="20">
        <f t="shared" si="4"/>
        <v>4.0228505074329168E-12</v>
      </c>
      <c r="AM67" s="59">
        <f t="shared" si="5"/>
        <v>293.33333333333735</v>
      </c>
      <c r="AN67" s="59">
        <f ca="1">AVERAGE(OFFSET($AM$3,0,0,'Données projet'!$E$10+1,1))-AVERAGE(OFFSET($H$3,0,0,'Données projet'!$E$10+1,1))</f>
        <v>293.17014997061574</v>
      </c>
      <c r="AO67" s="59">
        <f t="shared" si="36"/>
        <v>394.32615745219954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160.04429147729627</v>
      </c>
      <c r="AV67" s="21">
        <f>EXP(-LN(2)/25)*AV66+(1-EXP(-LN(2)/25))/(LN(2)/25)*Calculateur!AQ67*Calculateur!AS67*VLOOKUP('Données projet'!$B$10,Paramètres!$A$1:$I$89,3,0)*0.475*44/12</f>
        <v>50.93556084115211</v>
      </c>
      <c r="AW67" s="21">
        <f>EXP(-LN(2)/2)*AW66+(1-EXP(-LN(2)/2))/(LN(2)/2)*AQ67*AT67*VLOOKUP('Données projet'!$B$10,Paramètres!$A$1:$I$89,3,0)*0.475*44/12</f>
        <v>2.2611016346002213</v>
      </c>
      <c r="AX67" s="21">
        <f t="shared" si="6"/>
        <v>213.24095395304857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12.843333333333337</v>
      </c>
      <c r="BD67" s="12">
        <f>IF('Données projet'!$A$88&gt;35,BD66+BC67-BL66,IF(A67&lt;'Données projet'!$A$88,$BA$205^A67,IF(A67='Données projet'!$A$88,'Données projet'!$B$88,BD66+BC67-BL66)))</f>
        <v>256.48333333333323</v>
      </c>
      <c r="BE67" s="13">
        <f>BD67*VLOOKUP('Données projet'!$B$11,Paramètres!$A$1:$I$89,3,0)*VLOOKUP('Données projet'!$B$11,Paramètres!$A$1:$I$89,5,0)</f>
        <v>220.06269999999995</v>
      </c>
      <c r="BF67" s="13">
        <f t="shared" si="37"/>
        <v>54.128513029791506</v>
      </c>
      <c r="BG67" s="20">
        <f t="shared" si="7"/>
        <v>477.54969602688675</v>
      </c>
      <c r="BH67" s="59">
        <f t="shared" si="8"/>
        <v>770.88302936022001</v>
      </c>
      <c r="BI67" s="59">
        <f ca="1">AVERAGE(OFFSET($BH$3,0,0,'Données projet'!$E$11+1,1))-AVERAGE(OFFSET($H$3,0,0,'Données projet'!$E$11+1,1))</f>
        <v>395.14818708356353</v>
      </c>
      <c r="BJ67" s="59">
        <f t="shared" si="38"/>
        <v>311.78229491474491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12.867662132415024</v>
      </c>
      <c r="BQ67" s="21">
        <f>EXP(-LN(2)/25)*BQ66+(1-EXP(-LN(2)/25))/(LN(2)/25)*Calculateur!BL67*Calculateur!BN67*VLOOKUP('Données projet'!$B$11,Paramètres!$A$1:$I$89,3,0)*0.475*44/12</f>
        <v>40.540284862532793</v>
      </c>
      <c r="BR67" s="21">
        <f>EXP(-LN(2)/2)*BR66+(1-EXP(-LN(2)/2))/(LN(2)/2)*BL67*BO67*VLOOKUP('Données projet'!$B$11,Paramètres!$A$1:$I$89,3,0)*0.475*44/12</f>
        <v>10.8522106469785</v>
      </c>
      <c r="BS67" s="22">
        <f t="shared" si="9"/>
        <v>64.260157641926327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4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337.27984163820884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16.222857142857151</v>
      </c>
      <c r="N68" s="13">
        <f>IF('Données projet'!$A$36&gt;35,N67+M68-V67,IF(A68&lt;'Données projet'!$A$36,$K$205^A68,IF(A68='Données projet'!$A$36,'Données projet'!$B$36,N67+M68-V67)))</f>
        <v>488.17857142857167</v>
      </c>
      <c r="O68" s="13">
        <f>N68*VLOOKUP('Données projet'!$B$9,Paramètres!$A$1:$I$89,3,0)*VLOOKUP('Données projet'!$B$9,Paramètres!$A$1:$I$89,5,0)</f>
        <v>228.46757142857155</v>
      </c>
      <c r="P68" s="13">
        <f t="shared" si="33"/>
        <v>55.951205839379568</v>
      </c>
      <c r="Q68" s="20">
        <f t="shared" si="54"/>
        <v>495.36270374168151</v>
      </c>
      <c r="R68" s="59">
        <f t="shared" si="55"/>
        <v>788.69603707501483</v>
      </c>
      <c r="S68" s="59">
        <f ca="1">AVERAGE(OFFSET($R$3,0,0,'Données projet'!$E$9+1,1))-AVERAGE(OFFSET($H$3,0,0,'Données projet'!$E$9+1,1))</f>
        <v>291.3013645858839</v>
      </c>
      <c r="T68" s="59">
        <f t="shared" si="34"/>
        <v>332.89241887762438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84.132033404448734</v>
      </c>
      <c r="AA68" s="21">
        <f>EXP(-LN(2)/25)*AA67+(1-EXP(-LN(2)/25))/(LN(2)/25)*Calculateur!V68*Calculateur!X68*VLOOKUP('Données projet'!$B$9,Paramètres!$A$1:$I$89,3,0)*0.475*44/12</f>
        <v>30.489359415483662</v>
      </c>
      <c r="AB68" s="21">
        <f>EXP(-LN(2)/2)*AB67+(1-EXP(-LN(2)/2))/(LN(2)/2)*V68*Y68*VLOOKUP('Données projet'!$B$9,Paramètres!$A$1:$I$89,3,0)*0.475*44/12</f>
        <v>4.8969584492478662</v>
      </c>
      <c r="AC68" s="22">
        <f t="shared" ref="AC68:AC131" si="57">SUM(Z68:AB68)</f>
        <v>119.51835126918026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3.4106051316484809E-13</v>
      </c>
      <c r="AJ68" s="13">
        <f>AI68*VLOOKUP('Données projet'!$B$10,Paramètres!$A$1:$I$89,3,0)*VLOOKUP('Données projet'!$B$10,Paramètres!$A$1:$I$89,5,0)</f>
        <v>1.5074874681886286E-13</v>
      </c>
      <c r="AK68" s="13">
        <f t="shared" si="35"/>
        <v>2.1590218794584103E-12</v>
      </c>
      <c r="AL68" s="20">
        <f t="shared" ref="AL68:AL131" si="58">(AJ68+AK68)*0.475*44/12</f>
        <v>4.0228505074329168E-12</v>
      </c>
      <c r="AM68" s="59">
        <f t="shared" ref="AM68:AM131" si="59">AL68+(AD68+AE68)*44/12</f>
        <v>293.33333333333735</v>
      </c>
      <c r="AN68" s="59">
        <f ca="1">AVERAGE(OFFSET($AM$3,0,0,'Données projet'!$E$10+1,1))-AVERAGE(OFFSET($H$3,0,0,'Données projet'!$E$10+1,1))</f>
        <v>293.17014997061574</v>
      </c>
      <c r="AO68" s="59">
        <f t="shared" si="36"/>
        <v>394.32615745219954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156.90592053880536</v>
      </c>
      <c r="AV68" s="21">
        <f>EXP(-LN(2)/25)*AV67+(1-EXP(-LN(2)/25))/(LN(2)/25)*Calculateur!AQ68*Calculateur!AS68*VLOOKUP('Données projet'!$B$10,Paramètres!$A$1:$I$89,3,0)*0.475*44/12</f>
        <v>49.542725251366079</v>
      </c>
      <c r="AW68" s="21">
        <f>EXP(-LN(2)/2)*AW67+(1-EXP(-LN(2)/2))/(LN(2)/2)*AQ68*AT68*VLOOKUP('Données projet'!$B$10,Paramètres!$A$1:$I$89,3,0)*0.475*44/12</f>
        <v>1.5988402987778036</v>
      </c>
      <c r="AX68" s="21">
        <f t="shared" ref="AX68:AX131" si="60">SUM(AU68:AW68)</f>
        <v>208.04748608894926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12.843333333333337</v>
      </c>
      <c r="BD68" s="12">
        <f>IF('Données projet'!$A$88&gt;35,BD67+BC68-BL67,IF(A68&lt;'Données projet'!$A$88,$BA$205^A68,IF(A68='Données projet'!$A$88,'Données projet'!$B$88,BD67+BC68-BL67)))</f>
        <v>269.3266666666666</v>
      </c>
      <c r="BE68" s="13">
        <f>BD68*VLOOKUP('Données projet'!$B$11,Paramètres!$A$1:$I$89,3,0)*VLOOKUP('Données projet'!$B$11,Paramètres!$A$1:$I$89,5,0)</f>
        <v>231.08228</v>
      </c>
      <c r="BF68" s="13">
        <f t="shared" si="37"/>
        <v>56.516631794746246</v>
      </c>
      <c r="BG68" s="20">
        <f t="shared" ref="BG68:BG131" si="61">(BE68+BF68)*0.475*44/12</f>
        <v>500.90143804251642</v>
      </c>
      <c r="BH68" s="59">
        <f t="shared" ref="BH68:BH131" si="62">BG68+(AY68+AZ68)*44/12</f>
        <v>794.23477137584973</v>
      </c>
      <c r="BI68" s="59">
        <f ca="1">AVERAGE(OFFSET($BH$3,0,0,'Données projet'!$E$11+1,1))-AVERAGE(OFFSET($H$3,0,0,'Données projet'!$E$11+1,1))</f>
        <v>395.14818708356353</v>
      </c>
      <c r="BJ68" s="59">
        <f t="shared" si="38"/>
        <v>311.78229491474491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12.615335126497291</v>
      </c>
      <c r="BQ68" s="21">
        <f>EXP(-LN(2)/25)*BQ67+(1-EXP(-LN(2)/25))/(LN(2)/25)*Calculateur!BL68*Calculateur!BN68*VLOOKUP('Données projet'!$B$11,Paramètres!$A$1:$I$89,3,0)*0.475*44/12</f>
        <v>39.431708641045908</v>
      </c>
      <c r="BR68" s="21">
        <f>EXP(-LN(2)/2)*BR67+(1-EXP(-LN(2)/2))/(LN(2)/2)*BL68*BO68*VLOOKUP('Données projet'!$B$11,Paramètres!$A$1:$I$89,3,0)*0.475*44/12</f>
        <v>7.673671739343348</v>
      </c>
      <c r="BS68" s="22">
        <f t="shared" ref="BS68:BS131" si="63">SUM(BP68:BR68)</f>
        <v>59.720715506886549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4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338.48614777065865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16.222857142857151</v>
      </c>
      <c r="N69" s="13">
        <f>IF('Données projet'!$A$36&gt;35,N68+M69-V68,IF(A69&lt;'Données projet'!$A$36,$K$205^A69,IF(A69='Données projet'!$A$36,'Données projet'!$B$36,N68+M69-V68)))</f>
        <v>504.40142857142882</v>
      </c>
      <c r="O69" s="13">
        <f>N69*VLOOKUP('Données projet'!$B$9,Paramètres!$A$1:$I$89,3,0)*VLOOKUP('Données projet'!$B$9,Paramètres!$A$1:$I$89,5,0)</f>
        <v>236.05986857142867</v>
      </c>
      <c r="P69" s="13">
        <f t="shared" ref="P69:P132" si="87">EXP(-1.0587+0.8836*LN(O69)+0.284)</f>
        <v>57.590977020661526</v>
      </c>
      <c r="Q69" s="20">
        <f t="shared" si="54"/>
        <v>511.44188940622371</v>
      </c>
      <c r="R69" s="59">
        <f t="shared" si="55"/>
        <v>804.77522273955697</v>
      </c>
      <c r="S69" s="59">
        <f ca="1">AVERAGE(OFFSET($R$3,0,0,'Données projet'!$E$9+1,1))-AVERAGE(OFFSET($H$3,0,0,'Données projet'!$E$9+1,1))</f>
        <v>291.3013645858839</v>
      </c>
      <c r="T69" s="59">
        <f t="shared" ref="T69:T132" si="88">$T$3</f>
        <v>332.89241887762438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82.482255544860891</v>
      </c>
      <c r="AA69" s="21">
        <f>EXP(-LN(2)/25)*AA68+(1-EXP(-LN(2)/25))/(LN(2)/25)*Calculateur!V69*Calculateur!X69*VLOOKUP('Données projet'!$B$9,Paramètres!$A$1:$I$89,3,0)*0.475*44/12</f>
        <v>29.655626278901533</v>
      </c>
      <c r="AB69" s="21">
        <f>EXP(-LN(2)/2)*AB68+(1-EXP(-LN(2)/2))/(LN(2)/2)*V69*Y69*VLOOKUP('Données projet'!$B$9,Paramètres!$A$1:$I$89,3,0)*0.475*44/12</f>
        <v>3.462672526651926</v>
      </c>
      <c r="AC69" s="22">
        <f t="shared" si="57"/>
        <v>115.60055435041436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3.4106051316484809E-13</v>
      </c>
      <c r="AJ69" s="13">
        <f>AI69*VLOOKUP('Données projet'!$B$10,Paramètres!$A$1:$I$89,3,0)*VLOOKUP('Données projet'!$B$10,Paramètres!$A$1:$I$89,5,0)</f>
        <v>1.5074874681886286E-13</v>
      </c>
      <c r="AK69" s="13">
        <f t="shared" ref="AK69:AK132" si="89">EXP(-1.0587+0.8836*LN(AJ69)+0.284)</f>
        <v>2.1590218794584103E-12</v>
      </c>
      <c r="AL69" s="20">
        <f t="shared" si="58"/>
        <v>4.0228505074329168E-12</v>
      </c>
      <c r="AM69" s="59">
        <f t="shared" si="59"/>
        <v>293.33333333333735</v>
      </c>
      <c r="AN69" s="59">
        <f ca="1">AVERAGE(OFFSET($AM$3,0,0,'Données projet'!$E$10+1,1))-AVERAGE(OFFSET($H$3,0,0,'Données projet'!$E$10+1,1))</f>
        <v>293.17014997061574</v>
      </c>
      <c r="AO69" s="59">
        <f t="shared" ref="AO69:AO132" si="90">$AO$3</f>
        <v>394.32615745219954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153.829091140201</v>
      </c>
      <c r="AV69" s="21">
        <f>EXP(-LN(2)/25)*AV68+(1-EXP(-LN(2)/25))/(LN(2)/25)*Calculateur!AQ69*Calculateur!AS69*VLOOKUP('Données projet'!$B$10,Paramètres!$A$1:$I$89,3,0)*0.475*44/12</f>
        <v>48.187976824028787</v>
      </c>
      <c r="AW69" s="21">
        <f>EXP(-LN(2)/2)*AW68+(1-EXP(-LN(2)/2))/(LN(2)/2)*AQ69*AT69*VLOOKUP('Données projet'!$B$10,Paramètres!$A$1:$I$89,3,0)*0.475*44/12</f>
        <v>1.1305508173001106</v>
      </c>
      <c r="AX69" s="21">
        <f t="shared" si="60"/>
        <v>203.1476187815299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12.843333333333337</v>
      </c>
      <c r="BD69" s="12">
        <f>IF('Données projet'!$A$88&gt;35,BD68+BC69-BL68,IF(A69&lt;'Données projet'!$A$88,$BA$205^A69,IF(A69='Données projet'!$A$88,'Données projet'!$B$88,BD68+BC69-BL68)))</f>
        <v>282.16999999999996</v>
      </c>
      <c r="BE69" s="13">
        <f>BD69*VLOOKUP('Données projet'!$B$11,Paramètres!$A$1:$I$89,3,0)*VLOOKUP('Données projet'!$B$11,Paramètres!$A$1:$I$89,5,0)</f>
        <v>242.10186000000002</v>
      </c>
      <c r="BF69" s="13">
        <f t="shared" ref="BF69:BF132" si="91">EXP(-1.0587+0.8836*LN(BE69)+0.284)</f>
        <v>58.891526148176617</v>
      </c>
      <c r="BG69" s="20">
        <f t="shared" si="61"/>
        <v>524.23014754140752</v>
      </c>
      <c r="BH69" s="59">
        <f t="shared" si="62"/>
        <v>817.56348087474089</v>
      </c>
      <c r="BI69" s="59">
        <f ca="1">AVERAGE(OFFSET($BH$3,0,0,'Données projet'!$E$11+1,1))-AVERAGE(OFFSET($H$3,0,0,'Données projet'!$E$11+1,1))</f>
        <v>395.14818708356353</v>
      </c>
      <c r="BJ69" s="59">
        <f t="shared" ref="BJ69:BJ132" si="92">$BJ$3</f>
        <v>311.78229491474491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12.367956099261328</v>
      </c>
      <c r="BQ69" s="21">
        <f>EXP(-LN(2)/25)*BQ68+(1-EXP(-LN(2)/25))/(LN(2)/25)*Calculateur!BL69*Calculateur!BN69*VLOOKUP('Données projet'!$B$11,Paramètres!$A$1:$I$89,3,0)*0.475*44/12</f>
        <v>38.353446494633076</v>
      </c>
      <c r="BR69" s="21">
        <f>EXP(-LN(2)/2)*BR68+(1-EXP(-LN(2)/2))/(LN(2)/2)*BL69*BO69*VLOOKUP('Données projet'!$B$11,Paramètres!$A$1:$I$89,3,0)*0.475*44/12</f>
        <v>5.4261053234892511</v>
      </c>
      <c r="BS69" s="22">
        <f t="shared" si="63"/>
        <v>56.147507917383656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4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339.69200392644217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16.222857142857151</v>
      </c>
      <c r="N70" s="13">
        <f>IF('Données projet'!$A$36&gt;35,N69+M70-V69,IF(A70&lt;'Données projet'!$A$36,$K$205^A70,IF(A70='Données projet'!$A$36,'Données projet'!$B$36,N69+M70-V69)))</f>
        <v>520.62428571428597</v>
      </c>
      <c r="O70" s="13">
        <f>N70*VLOOKUP('Données projet'!$B$9,Paramètres!$A$1:$I$89,3,0)*VLOOKUP('Données projet'!$B$9,Paramètres!$A$1:$I$89,5,0)</f>
        <v>243.65216571428584</v>
      </c>
      <c r="P70" s="13">
        <f t="shared" si="87"/>
        <v>59.224619708992961</v>
      </c>
      <c r="Q70" s="20">
        <f t="shared" si="54"/>
        <v>527.51040127887734</v>
      </c>
      <c r="R70" s="59">
        <f t="shared" si="55"/>
        <v>820.84373461221071</v>
      </c>
      <c r="S70" s="59">
        <f ca="1">AVERAGE(OFFSET($R$3,0,0,'Données projet'!$E$9+1,1))-AVERAGE(OFFSET($H$3,0,0,'Données projet'!$E$9+1,1))</f>
        <v>291.3013645858839</v>
      </c>
      <c r="T70" s="59">
        <f t="shared" si="88"/>
        <v>332.89241887762438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80.864828822834426</v>
      </c>
      <c r="AA70" s="21">
        <f>EXP(-LN(2)/25)*AA69+(1-EXP(-LN(2)/25))/(LN(2)/25)*Calculateur!V70*Calculateur!X70*VLOOKUP('Données projet'!$B$9,Paramètres!$A$1:$I$89,3,0)*0.475*44/12</f>
        <v>28.844691618783362</v>
      </c>
      <c r="AB70" s="21">
        <f>EXP(-LN(2)/2)*AB69+(1-EXP(-LN(2)/2))/(LN(2)/2)*V70*Y70*VLOOKUP('Données projet'!$B$9,Paramètres!$A$1:$I$89,3,0)*0.475*44/12</f>
        <v>2.4484792246239331</v>
      </c>
      <c r="AC70" s="22">
        <f t="shared" si="57"/>
        <v>112.15799966624172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3.4106051316484809E-13</v>
      </c>
      <c r="AJ70" s="13">
        <f>AI70*VLOOKUP('Données projet'!$B$10,Paramètres!$A$1:$I$89,3,0)*VLOOKUP('Données projet'!$B$10,Paramètres!$A$1:$I$89,5,0)</f>
        <v>1.5074874681886286E-13</v>
      </c>
      <c r="AK70" s="13">
        <f t="shared" si="89"/>
        <v>2.1590218794584103E-12</v>
      </c>
      <c r="AL70" s="20">
        <f t="shared" si="58"/>
        <v>4.0228505074329168E-12</v>
      </c>
      <c r="AM70" s="59">
        <f t="shared" si="59"/>
        <v>293.33333333333735</v>
      </c>
      <c r="AN70" s="59">
        <f ca="1">AVERAGE(OFFSET($AM$3,0,0,'Données projet'!$E$10+1,1))-AVERAGE(OFFSET($H$3,0,0,'Données projet'!$E$10+1,1))</f>
        <v>293.17014997061574</v>
      </c>
      <c r="AO70" s="59">
        <f t="shared" si="90"/>
        <v>394.32615745219954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150.81259648942265</v>
      </c>
      <c r="AV70" s="21">
        <f>EXP(-LN(2)/25)*AV69+(1-EXP(-LN(2)/25))/(LN(2)/25)*Calculateur!AQ70*Calculateur!AS70*VLOOKUP('Données projet'!$B$10,Paramètres!$A$1:$I$89,3,0)*0.475*44/12</f>
        <v>46.870274063680156</v>
      </c>
      <c r="AW70" s="21">
        <f>EXP(-LN(2)/2)*AW69+(1-EXP(-LN(2)/2))/(LN(2)/2)*AQ70*AT70*VLOOKUP('Données projet'!$B$10,Paramètres!$A$1:$I$89,3,0)*0.475*44/12</f>
        <v>0.79942014938890182</v>
      </c>
      <c r="AX70" s="21">
        <f t="shared" si="60"/>
        <v>198.48229070249172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12.843333333333337</v>
      </c>
      <c r="BD70" s="12">
        <f>IF('Données projet'!$A$88&gt;35,BD69+BC70-BL69,IF(A70&lt;'Données projet'!$A$88,$BA$205^A70,IF(A70='Données projet'!$A$88,'Données projet'!$B$88,BD69+BC70-BL69)))</f>
        <v>295.01333333333332</v>
      </c>
      <c r="BE70" s="13">
        <f>BD70*VLOOKUP('Données projet'!$B$11,Paramètres!$A$1:$I$89,3,0)*VLOOKUP('Données projet'!$B$11,Paramètres!$A$1:$I$89,5,0)</f>
        <v>253.12144000000004</v>
      </c>
      <c r="BF70" s="13">
        <f t="shared" si="91"/>
        <v>61.253866776771019</v>
      </c>
      <c r="BG70" s="20">
        <f t="shared" si="61"/>
        <v>547.53699263620945</v>
      </c>
      <c r="BH70" s="59">
        <f t="shared" si="62"/>
        <v>840.87032596954282</v>
      </c>
      <c r="BI70" s="59">
        <f ca="1">AVERAGE(OFFSET($BH$3,0,0,'Données projet'!$E$11+1,1))-AVERAGE(OFFSET($H$3,0,0,'Données projet'!$E$11+1,1))</f>
        <v>395.14818708356353</v>
      </c>
      <c r="BJ70" s="59">
        <f t="shared" si="92"/>
        <v>311.78229491474491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12.125428023863154</v>
      </c>
      <c r="BQ70" s="21">
        <f>EXP(-LN(2)/25)*BQ69+(1-EXP(-LN(2)/25))/(LN(2)/25)*Calculateur!BL70*Calculateur!BN70*VLOOKUP('Données projet'!$B$11,Paramètres!$A$1:$I$89,3,0)*0.475*44/12</f>
        <v>37.304669483317241</v>
      </c>
      <c r="BR70" s="21">
        <f>EXP(-LN(2)/2)*BR69+(1-EXP(-LN(2)/2))/(LN(2)/2)*BL70*BO70*VLOOKUP('Données projet'!$B$11,Paramètres!$A$1:$I$89,3,0)*0.475*44/12</f>
        <v>3.8368358696716749</v>
      </c>
      <c r="BS70" s="22">
        <f t="shared" si="63"/>
        <v>53.266933376852066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4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340.89741759743021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16.222857142857151</v>
      </c>
      <c r="N71" s="13">
        <f>IF('Données projet'!$A$36&gt;35,N70+M71-V70,IF(A71&lt;'Données projet'!$A$36,$K$205^A71,IF(A71='Données projet'!$A$36,'Données projet'!$B$36,N70+M71-V70)))</f>
        <v>536.84714285714313</v>
      </c>
      <c r="O71" s="13">
        <f>N71*VLOOKUP('Données projet'!$B$9,Paramètres!$A$1:$I$89,3,0)*VLOOKUP('Données projet'!$B$9,Paramètres!$A$1:$I$89,5,0)</f>
        <v>251.24446285714299</v>
      </c>
      <c r="P71" s="13">
        <f t="shared" si="87"/>
        <v>60.852346782821257</v>
      </c>
      <c r="Q71" s="20">
        <f t="shared" si="54"/>
        <v>543.56861012293768</v>
      </c>
      <c r="R71" s="59">
        <f t="shared" si="55"/>
        <v>836.90194345627106</v>
      </c>
      <c r="S71" s="59">
        <f ca="1">AVERAGE(OFFSET($R$3,0,0,'Données projet'!$E$9+1,1))-AVERAGE(OFFSET($H$3,0,0,'Données projet'!$E$9+1,1))</f>
        <v>291.3013645858839</v>
      </c>
      <c r="T71" s="59">
        <f t="shared" si="88"/>
        <v>332.89241887762438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79.279118852294019</v>
      </c>
      <c r="AA71" s="21">
        <f>EXP(-LN(2)/25)*AA70+(1-EXP(-LN(2)/25))/(LN(2)/25)*Calculateur!V71*Calculateur!X71*VLOOKUP('Données projet'!$B$9,Paramètres!$A$1:$I$89,3,0)*0.475*44/12</f>
        <v>28.055932009591324</v>
      </c>
      <c r="AB71" s="21">
        <f>EXP(-LN(2)/2)*AB70+(1-EXP(-LN(2)/2))/(LN(2)/2)*V71*Y71*VLOOKUP('Données projet'!$B$9,Paramètres!$A$1:$I$89,3,0)*0.475*44/12</f>
        <v>1.731336263325963</v>
      </c>
      <c r="AC71" s="22">
        <f t="shared" si="57"/>
        <v>109.06638712521131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3.4106051316484809E-13</v>
      </c>
      <c r="AJ71" s="13">
        <f>AI71*VLOOKUP('Données projet'!$B$10,Paramètres!$A$1:$I$89,3,0)*VLOOKUP('Données projet'!$B$10,Paramètres!$A$1:$I$89,5,0)</f>
        <v>1.5074874681886286E-13</v>
      </c>
      <c r="AK71" s="13">
        <f t="shared" si="89"/>
        <v>2.1590218794584103E-12</v>
      </c>
      <c r="AL71" s="20">
        <f t="shared" si="58"/>
        <v>4.0228505074329168E-12</v>
      </c>
      <c r="AM71" s="59">
        <f t="shared" si="59"/>
        <v>293.33333333333735</v>
      </c>
      <c r="AN71" s="59">
        <f ca="1">AVERAGE(OFFSET($AM$3,0,0,'Données projet'!$E$10+1,1))-AVERAGE(OFFSET($H$3,0,0,'Données projet'!$E$10+1,1))</f>
        <v>293.17014997061574</v>
      </c>
      <c r="AO71" s="59">
        <f t="shared" si="90"/>
        <v>394.32615745219954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147.855253458866</v>
      </c>
      <c r="AV71" s="21">
        <f>EXP(-LN(2)/25)*AV70+(1-EXP(-LN(2)/25))/(LN(2)/25)*Calculateur!AQ71*Calculateur!AS71*VLOOKUP('Données projet'!$B$10,Paramètres!$A$1:$I$89,3,0)*0.475*44/12</f>
        <v>45.588603954608232</v>
      </c>
      <c r="AW71" s="21">
        <f>EXP(-LN(2)/2)*AW70+(1-EXP(-LN(2)/2))/(LN(2)/2)*AQ71*AT71*VLOOKUP('Données projet'!$B$10,Paramètres!$A$1:$I$89,3,0)*0.475*44/12</f>
        <v>0.56527540865005532</v>
      </c>
      <c r="AX71" s="21">
        <f t="shared" si="60"/>
        <v>194.00913282212429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12.843333333333337</v>
      </c>
      <c r="BD71" s="12">
        <f>IF('Données projet'!$A$88&gt;35,BD70+BC71-BL70,IF(A71&lt;'Données projet'!$A$88,$BA$205^A71,IF(A71='Données projet'!$A$88,'Données projet'!$B$88,BD70+BC71-BL70)))</f>
        <v>307.85666666666668</v>
      </c>
      <c r="BE71" s="13">
        <f>BD71*VLOOKUP('Données projet'!$B$11,Paramètres!$A$1:$I$89,3,0)*VLOOKUP('Données projet'!$B$11,Paramètres!$A$1:$I$89,5,0)</f>
        <v>264.14102000000008</v>
      </c>
      <c r="BF71" s="13">
        <f t="shared" si="91"/>
        <v>63.604262668582699</v>
      </c>
      <c r="BG71" s="20">
        <f t="shared" si="61"/>
        <v>570.82303398111492</v>
      </c>
      <c r="BH71" s="59">
        <f t="shared" si="62"/>
        <v>864.15636731444829</v>
      </c>
      <c r="BI71" s="59">
        <f ca="1">AVERAGE(OFFSET($BH$3,0,0,'Données projet'!$E$11+1,1))-AVERAGE(OFFSET($H$3,0,0,'Données projet'!$E$11+1,1))</f>
        <v>395.14818708356353</v>
      </c>
      <c r="BJ71" s="59">
        <f t="shared" si="92"/>
        <v>311.78229491474491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11.88765577609602</v>
      </c>
      <c r="BQ71" s="21">
        <f>EXP(-LN(2)/25)*BQ70+(1-EXP(-LN(2)/25))/(LN(2)/25)*Calculateur!BL71*Calculateur!BN71*VLOOKUP('Données projet'!$B$11,Paramètres!$A$1:$I$89,3,0)*0.475*44/12</f>
        <v>36.284571334528621</v>
      </c>
      <c r="BR71" s="21">
        <f>EXP(-LN(2)/2)*BR70+(1-EXP(-LN(2)/2))/(LN(2)/2)*BL71*BO71*VLOOKUP('Données projet'!$B$11,Paramètres!$A$1:$I$89,3,0)*0.475*44/12</f>
        <v>2.713052661744626</v>
      </c>
      <c r="BS71" s="22">
        <f t="shared" si="63"/>
        <v>50.885279772369266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4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342.10239604249472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>
        <f>VLOOKUP(A72,'Données projet'!$A$35:$I$55,2,0)</f>
        <v>553.07000000000005</v>
      </c>
      <c r="L72" s="12">
        <f>VLOOKUP(A72,'Données projet'!$A$35:$I$55,9,0)</f>
        <v>16.222857142857151</v>
      </c>
      <c r="M72" s="12">
        <f t="array" ref="M72">INDEX(L:L,MIN(IF(ISNUMBER(L72:L268),ROW(L72:L268),"")))</f>
        <v>16.222857142857151</v>
      </c>
      <c r="N72" s="13">
        <f>IF('Données projet'!$A$36&gt;35,N71+M72-V71,IF(A72&lt;'Données projet'!$A$36,$K$205^A72,IF(A72='Données projet'!$A$36,'Données projet'!$B$36,N71+M72-V71)))</f>
        <v>553.07000000000028</v>
      </c>
      <c r="O72" s="13">
        <f>N72*VLOOKUP('Données projet'!$B$9,Paramètres!$A$1:$I$89,3,0)*VLOOKUP('Données projet'!$B$9,Paramètres!$A$1:$I$89,5,0)</f>
        <v>258.83676000000014</v>
      </c>
      <c r="P72" s="13">
        <f t="shared" si="87"/>
        <v>62.474357523598563</v>
      </c>
      <c r="Q72" s="20">
        <f t="shared" si="54"/>
        <v>559.61686302026772</v>
      </c>
      <c r="R72" s="59">
        <f t="shared" si="55"/>
        <v>852.95019635360109</v>
      </c>
      <c r="S72" s="59">
        <f ca="1">AVERAGE(OFFSET($R$3,0,0,'Données projet'!$E$9+1,1))-AVERAGE(OFFSET($H$3,0,0,'Données projet'!$E$9+1,1))</f>
        <v>291.3013645858839</v>
      </c>
      <c r="T72" s="59">
        <f t="shared" si="88"/>
        <v>332.89241887762438</v>
      </c>
      <c r="U72" s="15">
        <f>IF(ISNA(VLOOKUP(A72,'Données projet'!$A$35:$I$55,3,0)),0,VLOOKUP(A72,'Données projet'!$A$35:$I$55,3,0))</f>
        <v>8</v>
      </c>
      <c r="V72" s="15">
        <f>IF(ISNA(VLOOKUP(A72,'Données projet'!$A$35:$I$55,4,0)),0,VLOOKUP(A72,'Données projet'!$A$35:$I$55,4,0))</f>
        <v>112.11000000000007</v>
      </c>
      <c r="W72" s="16">
        <f>IF(ISNA(VLOOKUP(A72,'Données projet'!$A$35:$I$55,5,0)),0%,VLOOKUP(A72,'Données projet'!$A$35:$I$55,5,0)*VLOOKUP('Données projet'!$B$9,Paramètres!$A$1:$I$89,7,0))</f>
        <v>0.33</v>
      </c>
      <c r="X72" s="16">
        <f>IF(ISNA(VLOOKUP(A72,'Données projet'!$A$35:$I$55,6,0)),0%,VLOOKUP(A72,'Données projet'!$A$35:$I$55,6,0)*VLOOKUP('Données projet'!$B$9,Paramètres!$A$1:$I$89,7,0))</f>
        <v>0.11000000000000001</v>
      </c>
      <c r="Y72" s="16">
        <f>IF(ISNA(VLOOKUP(A72,'Données projet'!$A$35:$I$55,7,0)),0%,VLOOKUP(A72,'Données projet'!$A$35:$I$55,7,0))</f>
        <v>0.2</v>
      </c>
      <c r="Z72" s="21">
        <f>EXP(-LN(2)/35)*Z71+(1-EXP(-LN(2)/35))/(LN(2)/35)*V72*W72*VLOOKUP('Données projet'!$B$9,Paramètres!$A$1:$I$89,3,0)*0.475*44/12</f>
        <v>100.69299671846838</v>
      </c>
      <c r="AA72" s="21">
        <f>EXP(-LN(2)/25)*AA71+(1-EXP(-LN(2)/25))/(LN(2)/25)*Calculateur!V72*Calculateur!X72*VLOOKUP('Données projet'!$B$9,Paramètres!$A$1:$I$89,3,0)*0.475*44/12</f>
        <v>34.914760180936227</v>
      </c>
      <c r="AB72" s="21">
        <f>EXP(-LN(2)/2)*AB71+(1-EXP(-LN(2)/2))/(LN(2)/2)*V72*Y72*VLOOKUP('Données projet'!$B$9,Paramètres!$A$1:$I$89,3,0)*0.475*44/12</f>
        <v>13.105314697476755</v>
      </c>
      <c r="AC72" s="22">
        <f t="shared" si="57"/>
        <v>148.71307159688135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3.4106051316484809E-13</v>
      </c>
      <c r="AJ72" s="13">
        <f>AI72*VLOOKUP('Données projet'!$B$10,Paramètres!$A$1:$I$89,3,0)*VLOOKUP('Données projet'!$B$10,Paramètres!$A$1:$I$89,5,0)</f>
        <v>1.5074874681886286E-13</v>
      </c>
      <c r="AK72" s="13">
        <f t="shared" si="89"/>
        <v>2.1590218794584103E-12</v>
      </c>
      <c r="AL72" s="20">
        <f t="shared" si="58"/>
        <v>4.0228505074329168E-12</v>
      </c>
      <c r="AM72" s="59">
        <f t="shared" si="59"/>
        <v>293.33333333333735</v>
      </c>
      <c r="AN72" s="59">
        <f ca="1">AVERAGE(OFFSET($AM$3,0,0,'Données projet'!$E$10+1,1))-AVERAGE(OFFSET($H$3,0,0,'Données projet'!$E$10+1,1))</f>
        <v>293.17014997061574</v>
      </c>
      <c r="AO72" s="59">
        <f t="shared" si="90"/>
        <v>394.32615745219954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144.95590212133743</v>
      </c>
      <c r="AV72" s="21">
        <f>EXP(-LN(2)/25)*AV71+(1-EXP(-LN(2)/25))/(LN(2)/25)*Calculateur!AQ72*Calculateur!AS72*VLOOKUP('Données projet'!$B$10,Paramètres!$A$1:$I$89,3,0)*0.475*44/12</f>
        <v>44.341981182068984</v>
      </c>
      <c r="AW72" s="21">
        <f>EXP(-LN(2)/2)*AW71+(1-EXP(-LN(2)/2))/(LN(2)/2)*AQ72*AT72*VLOOKUP('Données projet'!$B$10,Paramètres!$A$1:$I$89,3,0)*0.475*44/12</f>
        <v>0.39971007469445091</v>
      </c>
      <c r="AX72" s="21">
        <f t="shared" si="60"/>
        <v>189.69759337810086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12.843333333333337</v>
      </c>
      <c r="BD72" s="12">
        <f>IF('Données projet'!$A$88&gt;35,BD71+BC72-BL71,IF(A72&lt;'Données projet'!$A$88,$BA$205^A72,IF(A72='Données projet'!$A$88,'Données projet'!$B$88,BD71+BC72-BL71)))</f>
        <v>320.70000000000005</v>
      </c>
      <c r="BE72" s="13">
        <f>BD72*VLOOKUP('Données projet'!$B$11,Paramètres!$A$1:$I$89,3,0)*VLOOKUP('Données projet'!$B$11,Paramètres!$A$1:$I$89,5,0)</f>
        <v>275.1606000000001</v>
      </c>
      <c r="BF72" s="13">
        <f t="shared" si="91"/>
        <v>65.943269124762296</v>
      </c>
      <c r="BG72" s="20">
        <f t="shared" si="61"/>
        <v>594.08923872562775</v>
      </c>
      <c r="BH72" s="59">
        <f t="shared" si="62"/>
        <v>887.42257205896112</v>
      </c>
      <c r="BI72" s="59">
        <f ca="1">AVERAGE(OFFSET($BH$3,0,0,'Données projet'!$E$11+1,1))-AVERAGE(OFFSET($H$3,0,0,'Données projet'!$E$11+1,1))</f>
        <v>395.14818708356353</v>
      </c>
      <c r="BJ72" s="59">
        <f t="shared" si="92"/>
        <v>311.78229491474491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11.654546097080848</v>
      </c>
      <c r="BQ72" s="21">
        <f>EXP(-LN(2)/25)*BQ71+(1-EXP(-LN(2)/25))/(LN(2)/25)*Calculateur!BL72*Calculateur!BN72*VLOOKUP('Données projet'!$B$11,Paramètres!$A$1:$I$89,3,0)*0.475*44/12</f>
        <v>35.292367823263262</v>
      </c>
      <c r="BR72" s="21">
        <f>EXP(-LN(2)/2)*BR71+(1-EXP(-LN(2)/2))/(LN(2)/2)*BL72*BO72*VLOOKUP('Données projet'!$B$11,Paramètres!$A$1:$I$89,3,0)*0.475*44/12</f>
        <v>1.9184179348358377</v>
      </c>
      <c r="BS72" s="22">
        <f t="shared" si="63"/>
        <v>48.865331855179946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4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343.30694629802451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13.937500000000007</v>
      </c>
      <c r="N73" s="13">
        <f>IF('Données projet'!$A$36&gt;35,N72+M73-V72,IF(A73&lt;'Données projet'!$A$36,$K$205^A73,IF(A73='Données projet'!$A$36,'Données projet'!$B$36,N72+M73-V72)))</f>
        <v>454.89750000000021</v>
      </c>
      <c r="O73" s="13">
        <f>N73*VLOOKUP('Données projet'!$B$9,Paramètres!$A$1:$I$89,3,0)*VLOOKUP('Données projet'!$B$9,Paramètres!$A$1:$I$89,5,0)</f>
        <v>212.89203000000009</v>
      </c>
      <c r="P73" s="13">
        <f t="shared" si="87"/>
        <v>52.567063056415336</v>
      </c>
      <c r="Q73" s="20">
        <f t="shared" si="54"/>
        <v>462.34125373992356</v>
      </c>
      <c r="R73" s="59">
        <f t="shared" si="55"/>
        <v>755.67458707325682</v>
      </c>
      <c r="S73" s="59">
        <f ca="1">AVERAGE(OFFSET($R$3,0,0,'Données projet'!$E$9+1,1))-AVERAGE(OFFSET($H$3,0,0,'Données projet'!$E$9+1,1))</f>
        <v>291.3013645858839</v>
      </c>
      <c r="T73" s="59">
        <f t="shared" si="88"/>
        <v>332.89241887762438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98.718468469482815</v>
      </c>
      <c r="AA73" s="21">
        <f>EXP(-LN(2)/25)*AA72+(1-EXP(-LN(2)/25))/(LN(2)/25)*Calculateur!V73*Calculateur!X73*VLOOKUP('Données projet'!$B$9,Paramètres!$A$1:$I$89,3,0)*0.475*44/12</f>
        <v>33.960014227701087</v>
      </c>
      <c r="AB73" s="21">
        <f>EXP(-LN(2)/2)*AB72+(1-EXP(-LN(2)/2))/(LN(2)/2)*V73*Y73*VLOOKUP('Données projet'!$B$9,Paramètres!$A$1:$I$89,3,0)*0.475*44/12</f>
        <v>9.2668568921695424</v>
      </c>
      <c r="AC73" s="22">
        <f t="shared" si="57"/>
        <v>141.94533958935347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3.4106051316484809E-13</v>
      </c>
      <c r="AJ73" s="13">
        <f>AI73*VLOOKUP('Données projet'!$B$10,Paramètres!$A$1:$I$89,3,0)*VLOOKUP('Données projet'!$B$10,Paramètres!$A$1:$I$89,5,0)</f>
        <v>1.5074874681886286E-13</v>
      </c>
      <c r="AK73" s="13">
        <f t="shared" si="89"/>
        <v>2.1590218794584103E-12</v>
      </c>
      <c r="AL73" s="20">
        <f t="shared" si="58"/>
        <v>4.0228505074329168E-12</v>
      </c>
      <c r="AM73" s="59">
        <f t="shared" si="59"/>
        <v>293.33333333333735</v>
      </c>
      <c r="AN73" s="59">
        <f ca="1">AVERAGE(OFFSET($AM$3,0,0,'Données projet'!$E$10+1,1))-AVERAGE(OFFSET($H$3,0,0,'Données projet'!$E$10+1,1))</f>
        <v>293.17014997061574</v>
      </c>
      <c r="AO73" s="59">
        <f t="shared" si="90"/>
        <v>394.32615745219954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142.11340529510809</v>
      </c>
      <c r="AV73" s="21">
        <f>EXP(-LN(2)/25)*AV72+(1-EXP(-LN(2)/25))/(LN(2)/25)*Calculateur!AQ73*Calculateur!AS73*VLOOKUP('Données projet'!$B$10,Paramètres!$A$1:$I$89,3,0)*0.475*44/12</f>
        <v>43.129447374801863</v>
      </c>
      <c r="AW73" s="21">
        <f>EXP(-LN(2)/2)*AW72+(1-EXP(-LN(2)/2))/(LN(2)/2)*AQ73*AT73*VLOOKUP('Données projet'!$B$10,Paramètres!$A$1:$I$89,3,0)*0.475*44/12</f>
        <v>0.28263770432502766</v>
      </c>
      <c r="AX73" s="21">
        <f t="shared" si="60"/>
        <v>185.52549037423498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12.843333333333337</v>
      </c>
      <c r="BD73" s="12">
        <f>IF('Données projet'!$A$88&gt;35,BD72+BC73-BL72,IF(A73&lt;'Données projet'!$A$88,$BA$205^A73,IF(A73='Données projet'!$A$88,'Données projet'!$B$88,BD72+BC73-BL72)))</f>
        <v>333.54333333333341</v>
      </c>
      <c r="BE73" s="13">
        <f>BD73*VLOOKUP('Données projet'!$B$11,Paramètres!$A$1:$I$89,3,0)*VLOOKUP('Données projet'!$B$11,Paramètres!$A$1:$I$89,5,0)</f>
        <v>286.18018000000012</v>
      </c>
      <c r="BF73" s="13">
        <f t="shared" si="91"/>
        <v>68.271394451753991</v>
      </c>
      <c r="BG73" s="20">
        <f t="shared" si="61"/>
        <v>617.3364921701384</v>
      </c>
      <c r="BH73" s="59">
        <f t="shared" si="62"/>
        <v>910.66982550347166</v>
      </c>
      <c r="BI73" s="59">
        <f ca="1">AVERAGE(OFFSET($BH$3,0,0,'Données projet'!$E$11+1,1))-AVERAGE(OFFSET($H$3,0,0,'Données projet'!$E$11+1,1))</f>
        <v>395.14818708356353</v>
      </c>
      <c r="BJ73" s="59">
        <f t="shared" si="92"/>
        <v>311.78229491474491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11.426007556688299</v>
      </c>
      <c r="BQ73" s="21">
        <f>EXP(-LN(2)/25)*BQ72+(1-EXP(-LN(2)/25))/(LN(2)/25)*Calculateur!BL73*Calculateur!BN73*VLOOKUP('Données projet'!$B$11,Paramètres!$A$1:$I$89,3,0)*0.475*44/12</f>
        <v>34.327296169191165</v>
      </c>
      <c r="BR73" s="21">
        <f>EXP(-LN(2)/2)*BR72+(1-EXP(-LN(2)/2))/(LN(2)/2)*BL73*BO73*VLOOKUP('Données projet'!$B$11,Paramètres!$A$1:$I$89,3,0)*0.475*44/12</f>
        <v>1.3565263308723132</v>
      </c>
      <c r="BS73" s="22">
        <f t="shared" si="63"/>
        <v>47.109830056751775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4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344.51107518782362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13.937500000000007</v>
      </c>
      <c r="N74" s="13">
        <f>IF('Données projet'!$A$36&gt;35,N73+M74-V73,IF(A74&lt;'Données projet'!$A$36,$K$205^A74,IF(A74='Données projet'!$A$36,'Données projet'!$B$36,N73+M74-V73)))</f>
        <v>468.83500000000021</v>
      </c>
      <c r="O74" s="13">
        <f>N74*VLOOKUP('Données projet'!$B$9,Paramètres!$A$1:$I$89,3,0)*VLOOKUP('Données projet'!$B$9,Paramètres!$A$1:$I$89,5,0)</f>
        <v>219.41478000000012</v>
      </c>
      <c r="P74" s="13">
        <f t="shared" si="87"/>
        <v>53.987671333598627</v>
      </c>
      <c r="Q74" s="20">
        <f t="shared" si="54"/>
        <v>476.17593607268441</v>
      </c>
      <c r="R74" s="59">
        <f t="shared" si="55"/>
        <v>769.50926940601767</v>
      </c>
      <c r="S74" s="59">
        <f ca="1">AVERAGE(OFFSET($R$3,0,0,'Données projet'!$E$9+1,1))-AVERAGE(OFFSET($H$3,0,0,'Données projet'!$E$9+1,1))</f>
        <v>291.3013645858839</v>
      </c>
      <c r="T74" s="59">
        <f t="shared" si="88"/>
        <v>332.89241887762438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96.782659515116549</v>
      </c>
      <c r="AA74" s="21">
        <f>EXP(-LN(2)/25)*AA73+(1-EXP(-LN(2)/25))/(LN(2)/25)*Calculateur!V74*Calculateur!X74*VLOOKUP('Données projet'!$B$9,Paramètres!$A$1:$I$89,3,0)*0.475*44/12</f>
        <v>33.031375852765066</v>
      </c>
      <c r="AB74" s="21">
        <f>EXP(-LN(2)/2)*AB73+(1-EXP(-LN(2)/2))/(LN(2)/2)*V74*Y74*VLOOKUP('Données projet'!$B$9,Paramètres!$A$1:$I$89,3,0)*0.475*44/12</f>
        <v>6.5526573487383786</v>
      </c>
      <c r="AC74" s="22">
        <f t="shared" si="57"/>
        <v>136.36669271661998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3.4106051316484809E-13</v>
      </c>
      <c r="AJ74" s="13">
        <f>AI74*VLOOKUP('Données projet'!$B$10,Paramètres!$A$1:$I$89,3,0)*VLOOKUP('Données projet'!$B$10,Paramètres!$A$1:$I$89,5,0)</f>
        <v>1.5074874681886286E-13</v>
      </c>
      <c r="AK74" s="13">
        <f t="shared" si="89"/>
        <v>2.1590218794584103E-12</v>
      </c>
      <c r="AL74" s="20">
        <f t="shared" si="58"/>
        <v>4.0228505074329168E-12</v>
      </c>
      <c r="AM74" s="59">
        <f t="shared" si="59"/>
        <v>293.33333333333735</v>
      </c>
      <c r="AN74" s="59">
        <f ca="1">AVERAGE(OFFSET($AM$3,0,0,'Données projet'!$E$10+1,1))-AVERAGE(OFFSET($H$3,0,0,'Données projet'!$E$10+1,1))</f>
        <v>293.17014997061574</v>
      </c>
      <c r="AO74" s="59">
        <f t="shared" si="90"/>
        <v>394.32615745219954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139.32664809788926</v>
      </c>
      <c r="AV74" s="21">
        <f>EXP(-LN(2)/25)*AV73+(1-EXP(-LN(2)/25))/(LN(2)/25)*Calculateur!AQ74*Calculateur!AS74*VLOOKUP('Données projet'!$B$10,Paramètres!$A$1:$I$89,3,0)*0.475*44/12</f>
        <v>41.950070368258842</v>
      </c>
      <c r="AW74" s="21">
        <f>EXP(-LN(2)/2)*AW73+(1-EXP(-LN(2)/2))/(LN(2)/2)*AQ74*AT74*VLOOKUP('Données projet'!$B$10,Paramètres!$A$1:$I$89,3,0)*0.475*44/12</f>
        <v>0.19985503734722546</v>
      </c>
      <c r="AX74" s="21">
        <f t="shared" si="60"/>
        <v>181.47657350349533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12.843333333333337</v>
      </c>
      <c r="BD74" s="12">
        <f>IF('Données projet'!$A$88&gt;35,BD73+BC74-BL73,IF(A74&lt;'Données projet'!$A$88,$BA$205^A74,IF(A74='Données projet'!$A$88,'Données projet'!$B$88,BD73+BC74-BL73)))</f>
        <v>346.38666666666677</v>
      </c>
      <c r="BE74" s="13">
        <f>BD74*VLOOKUP('Données projet'!$B$11,Paramètres!$A$1:$I$89,3,0)*VLOOKUP('Données projet'!$B$11,Paramètres!$A$1:$I$89,5,0)</f>
        <v>297.19976000000014</v>
      </c>
      <c r="BF74" s="13">
        <f t="shared" si="91"/>
        <v>70.589105593746808</v>
      </c>
      <c r="BG74" s="20">
        <f t="shared" si="61"/>
        <v>640.56560757577586</v>
      </c>
      <c r="BH74" s="59">
        <f t="shared" si="62"/>
        <v>933.89894090910911</v>
      </c>
      <c r="BI74" s="59">
        <f ca="1">AVERAGE(OFFSET($BH$3,0,0,'Données projet'!$E$11+1,1))-AVERAGE(OFFSET($H$3,0,0,'Données projet'!$E$11+1,1))</f>
        <v>395.14818708356353</v>
      </c>
      <c r="BJ74" s="59">
        <f t="shared" si="92"/>
        <v>311.78229491474491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11.201950517678103</v>
      </c>
      <c r="BQ74" s="21">
        <f>EXP(-LN(2)/25)*BQ73+(1-EXP(-LN(2)/25))/(LN(2)/25)*Calculateur!BL74*Calculateur!BN74*VLOOKUP('Données projet'!$B$11,Paramètres!$A$1:$I$89,3,0)*0.475*44/12</f>
        <v>33.388614450250586</v>
      </c>
      <c r="BR74" s="21">
        <f>EXP(-LN(2)/2)*BR73+(1-EXP(-LN(2)/2))/(LN(2)/2)*BL74*BO74*VLOOKUP('Données projet'!$B$11,Paramètres!$A$1:$I$89,3,0)*0.475*44/12</f>
        <v>0.95920896741791906</v>
      </c>
      <c r="BS74" s="22">
        <f t="shared" si="63"/>
        <v>45.549773935346607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4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345.71478933243532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13.937500000000007</v>
      </c>
      <c r="N75" s="13">
        <f>IF('Données projet'!$A$36&gt;35,N74+M75-V74,IF(A75&lt;'Données projet'!$A$36,$K$205^A75,IF(A75='Données projet'!$A$36,'Données projet'!$B$36,N74+M75-V74)))</f>
        <v>482.77250000000021</v>
      </c>
      <c r="O75" s="13">
        <f>N75*VLOOKUP('Données projet'!$B$9,Paramètres!$A$1:$I$89,3,0)*VLOOKUP('Données projet'!$B$9,Paramètres!$A$1:$I$89,5,0)</f>
        <v>225.93753000000009</v>
      </c>
      <c r="P75" s="13">
        <f t="shared" si="87"/>
        <v>55.403371565233883</v>
      </c>
      <c r="Q75" s="20">
        <f t="shared" si="54"/>
        <v>490.0020702261159</v>
      </c>
      <c r="R75" s="59">
        <f t="shared" si="55"/>
        <v>783.33540355944922</v>
      </c>
      <c r="S75" s="59">
        <f ca="1">AVERAGE(OFFSET($R$3,0,0,'Données projet'!$E$9+1,1))-AVERAGE(OFFSET($H$3,0,0,'Données projet'!$E$9+1,1))</f>
        <v>291.3013645858839</v>
      </c>
      <c r="T75" s="59">
        <f t="shared" si="88"/>
        <v>332.89241887762438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94.884810593618539</v>
      </c>
      <c r="AA75" s="21">
        <f>EXP(-LN(2)/25)*AA74+(1-EXP(-LN(2)/25))/(LN(2)/25)*Calculateur!V75*Calculateur!X75*VLOOKUP('Données projet'!$B$9,Paramètres!$A$1:$I$89,3,0)*0.475*44/12</f>
        <v>32.128131143026643</v>
      </c>
      <c r="AB75" s="21">
        <f>EXP(-LN(2)/2)*AB74+(1-EXP(-LN(2)/2))/(LN(2)/2)*V75*Y75*VLOOKUP('Données projet'!$B$9,Paramètres!$A$1:$I$89,3,0)*0.475*44/12</f>
        <v>4.6334284460847712</v>
      </c>
      <c r="AC75" s="22">
        <f t="shared" si="57"/>
        <v>131.64637018272995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3.4106051316484809E-13</v>
      </c>
      <c r="AJ75" s="13">
        <f>AI75*VLOOKUP('Données projet'!$B$10,Paramètres!$A$1:$I$89,3,0)*VLOOKUP('Données projet'!$B$10,Paramètres!$A$1:$I$89,5,0)</f>
        <v>1.5074874681886286E-13</v>
      </c>
      <c r="AK75" s="13">
        <f t="shared" si="89"/>
        <v>2.1590218794584103E-12</v>
      </c>
      <c r="AL75" s="20">
        <f t="shared" si="58"/>
        <v>4.0228505074329168E-12</v>
      </c>
      <c r="AM75" s="59">
        <f t="shared" si="59"/>
        <v>293.33333333333735</v>
      </c>
      <c r="AN75" s="59">
        <f ca="1">AVERAGE(OFFSET($AM$3,0,0,'Données projet'!$E$10+1,1))-AVERAGE(OFFSET($H$3,0,0,'Données projet'!$E$10+1,1))</f>
        <v>293.17014997061574</v>
      </c>
      <c r="AO75" s="59">
        <f t="shared" si="90"/>
        <v>394.32615745219954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136.59453750955382</v>
      </c>
      <c r="AV75" s="21">
        <f>EXP(-LN(2)/25)*AV74+(1-EXP(-LN(2)/25))/(LN(2)/25)*Calculateur!AQ75*Calculateur!AS75*VLOOKUP('Données projet'!$B$10,Paramètres!$A$1:$I$89,3,0)*0.475*44/12</f>
        <v>40.802943487980478</v>
      </c>
      <c r="AW75" s="21">
        <f>EXP(-LN(2)/2)*AW74+(1-EXP(-LN(2)/2))/(LN(2)/2)*AQ75*AT75*VLOOKUP('Données projet'!$B$10,Paramètres!$A$1:$I$89,3,0)*0.475*44/12</f>
        <v>0.14131885216251383</v>
      </c>
      <c r="AX75" s="21">
        <f t="shared" si="60"/>
        <v>177.53879984969683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>
        <f>VLOOKUP(A75,'Données projet'!$A$87:$I$107,2,0)</f>
        <v>359.23</v>
      </c>
      <c r="BB75" s="12">
        <f>VLOOKUP(A75,'Données projet'!$A$87:$I$107,9,0)</f>
        <v>12.843333333333337</v>
      </c>
      <c r="BC75" s="12">
        <f t="array" ref="BC75">INDEX(BB:BB,MIN(IF(ISNUMBER(BB75:BB271),ROW(BB75:BB271),"")))</f>
        <v>12.843333333333337</v>
      </c>
      <c r="BD75" s="12">
        <f>IF('Données projet'!$A$88&gt;35,BD74+BC75-BL74,IF(A75&lt;'Données projet'!$A$88,$BA$205^A75,IF(A75='Données projet'!$A$88,'Données projet'!$B$88,BD74+BC75-BL74)))</f>
        <v>359.23000000000013</v>
      </c>
      <c r="BE75" s="13">
        <f>BD75*VLOOKUP('Données projet'!$B$11,Paramètres!$A$1:$I$89,3,0)*VLOOKUP('Données projet'!$B$11,Paramètres!$A$1:$I$89,5,0)</f>
        <v>308.21934000000016</v>
      </c>
      <c r="BF75" s="13">
        <f t="shared" si="91"/>
        <v>72.896832906281233</v>
      </c>
      <c r="BG75" s="20">
        <f t="shared" si="61"/>
        <v>663.77733447844014</v>
      </c>
      <c r="BH75" s="59">
        <f t="shared" si="62"/>
        <v>957.11066781177351</v>
      </c>
      <c r="BI75" s="59">
        <f ca="1">AVERAGE(OFFSET($BH$3,0,0,'Données projet'!$E$11+1,1))-AVERAGE(OFFSET($H$3,0,0,'Données projet'!$E$11+1,1))</f>
        <v>395.14818708356353</v>
      </c>
      <c r="BJ75" s="59">
        <f t="shared" si="92"/>
        <v>311.78229491474491</v>
      </c>
      <c r="BK75" s="15">
        <f>IF(ISNA(VLOOKUP(A75,'Données projet'!$A$87:$I$107,3,0)),0,VLOOKUP(A75,'Données projet'!$A$87:$I$107,3,0))</f>
        <v>5</v>
      </c>
      <c r="BL75" s="15">
        <f>IF(ISNA(VLOOKUP(A75,'Données projet'!$A$87:$I$107,4,0)),0,VLOOKUP(A75,'Données projet'!$A$87:$I$107,4,0))</f>
        <v>86.12</v>
      </c>
      <c r="BM75" s="16">
        <f>IF(ISNA(VLOOKUP(A75,'Données projet'!$A$87:$I$107,5,0)),0%,VLOOKUP(A75,'Données projet'!$A$87:$I$107,5,0)*VLOOKUP('Données projet'!$B$11,Paramètres!$A$1:$I$89,7,0))</f>
        <v>0.159</v>
      </c>
      <c r="BN75" s="16">
        <f>IF(ISNA(VLOOKUP(A75,'Données projet'!$A$87:$I$107,6,0)),0%,VLOOKUP(A75,'Données projet'!$A$87:$I$107,6,0)*VLOOKUP('Données projet'!$B$11,Paramètres!$A$1:$I$89,7,0))</f>
        <v>0.10600000000000001</v>
      </c>
      <c r="BO75" s="16">
        <f>IF(ISNA(VLOOKUP(A75,'Données projet'!$A$87:$I$107,7,0)),0%,VLOOKUP(A75,'Données projet'!$A$87:$I$107,7,0))</f>
        <v>0.2</v>
      </c>
      <c r="BP75" s="21">
        <f>EXP(-LN(2)/35)*BP74+(1-EXP(-LN(2)/35))/(LN(2)/35)*BL75*BM75*VLOOKUP('Données projet'!$B$11,Paramètres!$A$1:$I$89,3,0)*0.475*44/12</f>
        <v>23.970085648186991</v>
      </c>
      <c r="BQ75" s="21">
        <f>EXP(-LN(2)/25)*BQ74+(1-EXP(-LN(2)/25))/(LN(2)/25)*Calculateur!BL75*Calculateur!BN75*VLOOKUP('Données projet'!$B$11,Paramètres!$A$1:$I$89,3,0)*0.475*44/12</f>
        <v>41.100041456293624</v>
      </c>
      <c r="BR75" s="21">
        <f>EXP(-LN(2)/2)*BR74+(1-EXP(-LN(2)/2))/(LN(2)/2)*BL75*BO75*VLOOKUP('Données projet'!$B$11,Paramètres!$A$1:$I$89,3,0)*0.475*44/12</f>
        <v>14.621885066642191</v>
      </c>
      <c r="BS75" s="22">
        <f t="shared" si="63"/>
        <v>79.692012171122812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4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346.9180951579346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13.937500000000007</v>
      </c>
      <c r="N76" s="13">
        <f>IF('Données projet'!$A$36&gt;35,N75+M76-V75,IF(A76&lt;'Données projet'!$A$36,$K$205^A76,IF(A76='Données projet'!$A$36,'Données projet'!$B$36,N75+M76-V75)))</f>
        <v>496.71000000000021</v>
      </c>
      <c r="O76" s="13">
        <f>N76*VLOOKUP('Données projet'!$B$9,Paramètres!$A$1:$I$89,3,0)*VLOOKUP('Données projet'!$B$9,Paramètres!$A$1:$I$89,5,0)</f>
        <v>232.4602800000001</v>
      </c>
      <c r="P76" s="13">
        <f t="shared" si="87"/>
        <v>56.814321717296011</v>
      </c>
      <c r="Q76" s="20">
        <f t="shared" si="54"/>
        <v>503.81993132429062</v>
      </c>
      <c r="R76" s="59">
        <f t="shared" si="55"/>
        <v>797.15326465762394</v>
      </c>
      <c r="S76" s="59">
        <f ca="1">AVERAGE(OFFSET($R$3,0,0,'Données projet'!$E$9+1,1))-AVERAGE(OFFSET($H$3,0,0,'Données projet'!$E$9+1,1))</f>
        <v>291.3013645858839</v>
      </c>
      <c r="T76" s="59">
        <f t="shared" si="88"/>
        <v>332.89241887762438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93.024177331897562</v>
      </c>
      <c r="AA76" s="21">
        <f>EXP(-LN(2)/25)*AA75+(1-EXP(-LN(2)/25))/(LN(2)/25)*Calculateur!V76*Calculateur!X76*VLOOKUP('Données projet'!$B$9,Paramètres!$A$1:$I$89,3,0)*0.475*44/12</f>
        <v>31.249585707375591</v>
      </c>
      <c r="AB76" s="21">
        <f>EXP(-LN(2)/2)*AB75+(1-EXP(-LN(2)/2))/(LN(2)/2)*V76*Y76*VLOOKUP('Données projet'!$B$9,Paramètres!$A$1:$I$89,3,0)*0.475*44/12</f>
        <v>3.2763286743691893</v>
      </c>
      <c r="AC76" s="22">
        <f t="shared" si="57"/>
        <v>127.55009171364233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3.4106051316484809E-13</v>
      </c>
      <c r="AJ76" s="13">
        <f>AI76*VLOOKUP('Données projet'!$B$10,Paramètres!$A$1:$I$89,3,0)*VLOOKUP('Données projet'!$B$10,Paramètres!$A$1:$I$89,5,0)</f>
        <v>1.5074874681886286E-13</v>
      </c>
      <c r="AK76" s="13">
        <f t="shared" si="89"/>
        <v>2.1590218794584103E-12</v>
      </c>
      <c r="AL76" s="20">
        <f t="shared" si="58"/>
        <v>4.0228505074329168E-12</v>
      </c>
      <c r="AM76" s="59">
        <f t="shared" si="59"/>
        <v>293.33333333333735</v>
      </c>
      <c r="AN76" s="59">
        <f ca="1">AVERAGE(OFFSET($AM$3,0,0,'Données projet'!$E$10+1,1))-AVERAGE(OFFSET($H$3,0,0,'Données projet'!$E$10+1,1))</f>
        <v>293.17014997061574</v>
      </c>
      <c r="AO76" s="59">
        <f t="shared" si="90"/>
        <v>394.32615745219954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133.91600194343272</v>
      </c>
      <c r="AV76" s="21">
        <f>EXP(-LN(2)/25)*AV75+(1-EXP(-LN(2)/25))/(LN(2)/25)*Calculateur!AQ76*Calculateur!AS76*VLOOKUP('Données projet'!$B$10,Paramètres!$A$1:$I$89,3,0)*0.475*44/12</f>
        <v>39.687184852568109</v>
      </c>
      <c r="AW76" s="21">
        <f>EXP(-LN(2)/2)*AW75+(1-EXP(-LN(2)/2))/(LN(2)/2)*AQ76*AT76*VLOOKUP('Données projet'!$B$10,Paramètres!$A$1:$I$89,3,0)*0.475*44/12</f>
        <v>9.9927518673612728E-2</v>
      </c>
      <c r="AX76" s="21">
        <f t="shared" si="60"/>
        <v>173.70311431467445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11.540000000000001</v>
      </c>
      <c r="BD76" s="12">
        <f>IF('Données projet'!$A$88&gt;35,BD75+BC76-BL75,IF(A76&lt;'Données projet'!$A$88,$BA$205^A76,IF(A76='Données projet'!$A$88,'Données projet'!$B$88,BD75+BC76-BL75)))</f>
        <v>284.65000000000015</v>
      </c>
      <c r="BE76" s="13">
        <f>BD76*VLOOKUP('Données projet'!$B$11,Paramètres!$A$1:$I$89,3,0)*VLOOKUP('Données projet'!$B$11,Paramètres!$A$1:$I$89,5,0)</f>
        <v>244.22970000000015</v>
      </c>
      <c r="BF76" s="13">
        <f t="shared" si="91"/>
        <v>59.348643676424778</v>
      </c>
      <c r="BG76" s="20">
        <f t="shared" si="61"/>
        <v>528.7322819031067</v>
      </c>
      <c r="BH76" s="59">
        <f t="shared" si="62"/>
        <v>822.06561523643995</v>
      </c>
      <c r="BI76" s="59">
        <f ca="1">AVERAGE(OFFSET($BH$3,0,0,'Données projet'!$E$11+1,1))-AVERAGE(OFFSET($H$3,0,0,'Données projet'!$E$11+1,1))</f>
        <v>395.14818708356353</v>
      </c>
      <c r="BJ76" s="59">
        <f t="shared" si="92"/>
        <v>311.78229491474491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23.500046888934655</v>
      </c>
      <c r="BQ76" s="21">
        <f>EXP(-LN(2)/25)*BQ75+(1-EXP(-LN(2)/25))/(LN(2)/25)*Calculateur!BL76*Calculateur!BN76*VLOOKUP('Données projet'!$B$11,Paramètres!$A$1:$I$89,3,0)*0.475*44/12</f>
        <v>39.976158661314031</v>
      </c>
      <c r="BR76" s="21">
        <f>EXP(-LN(2)/2)*BR75+(1-EXP(-LN(2)/2))/(LN(2)/2)*BL76*BO76*VLOOKUP('Données projet'!$B$11,Paramètres!$A$1:$I$89,3,0)*0.475*44/12</f>
        <v>10.339234084353008</v>
      </c>
      <c r="BS76" s="22">
        <f t="shared" si="63"/>
        <v>73.815439634601688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4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348.12099890422405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13.937500000000007</v>
      </c>
      <c r="N77" s="13">
        <f>IF('Données projet'!$A$36&gt;35,N76+M77-V76,IF(A77&lt;'Données projet'!$A$36,$K$205^A77,IF(A77='Données projet'!$A$36,'Données projet'!$B$36,N76+M77-V76)))</f>
        <v>510.64750000000021</v>
      </c>
      <c r="O77" s="13">
        <f>N77*VLOOKUP('Données projet'!$B$9,Paramètres!$A$1:$I$89,3,0)*VLOOKUP('Données projet'!$B$9,Paramètres!$A$1:$I$89,5,0)</f>
        <v>238.98303000000007</v>
      </c>
      <c r="P77" s="13">
        <f t="shared" si="87"/>
        <v>58.220670386471305</v>
      </c>
      <c r="Q77" s="20">
        <f t="shared" si="54"/>
        <v>517.62977817310423</v>
      </c>
      <c r="R77" s="59">
        <f t="shared" si="55"/>
        <v>810.9631115064376</v>
      </c>
      <c r="S77" s="59">
        <f ca="1">AVERAGE(OFFSET($R$3,0,0,'Données projet'!$E$9+1,1))-AVERAGE(OFFSET($H$3,0,0,'Données projet'!$E$9+1,1))</f>
        <v>291.3013645858839</v>
      </c>
      <c r="T77" s="59">
        <f t="shared" si="88"/>
        <v>332.89241887762438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91.200029953564695</v>
      </c>
      <c r="AA77" s="21">
        <f>EXP(-LN(2)/25)*AA76+(1-EXP(-LN(2)/25))/(LN(2)/25)*Calculateur!V77*Calculateur!X77*VLOOKUP('Données projet'!$B$9,Paramètres!$A$1:$I$89,3,0)*0.475*44/12</f>
        <v>30.395064142863113</v>
      </c>
      <c r="AB77" s="21">
        <f>EXP(-LN(2)/2)*AB76+(1-EXP(-LN(2)/2))/(LN(2)/2)*V77*Y77*VLOOKUP('Données projet'!$B$9,Paramètres!$A$1:$I$89,3,0)*0.475*44/12</f>
        <v>2.3167142230423856</v>
      </c>
      <c r="AC77" s="22">
        <f t="shared" si="57"/>
        <v>123.91180831947018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3.4106051316484809E-13</v>
      </c>
      <c r="AJ77" s="13">
        <f>AI77*VLOOKUP('Données projet'!$B$10,Paramètres!$A$1:$I$89,3,0)*VLOOKUP('Données projet'!$B$10,Paramètres!$A$1:$I$89,5,0)</f>
        <v>1.5074874681886286E-13</v>
      </c>
      <c r="AK77" s="13">
        <f t="shared" si="89"/>
        <v>2.1590218794584103E-12</v>
      </c>
      <c r="AL77" s="20">
        <f t="shared" si="58"/>
        <v>4.0228505074329168E-12</v>
      </c>
      <c r="AM77" s="59">
        <f t="shared" si="59"/>
        <v>293.33333333333735</v>
      </c>
      <c r="AN77" s="59">
        <f ca="1">AVERAGE(OFFSET($AM$3,0,0,'Données projet'!$E$10+1,1))-AVERAGE(OFFSET($H$3,0,0,'Données projet'!$E$10+1,1))</f>
        <v>293.17014997061574</v>
      </c>
      <c r="AO77" s="59">
        <f t="shared" si="90"/>
        <v>394.32615745219954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131.28999082601788</v>
      </c>
      <c r="AV77" s="21">
        <f>EXP(-LN(2)/25)*AV76+(1-EXP(-LN(2)/25))/(LN(2)/25)*Calculateur!AQ77*Calculateur!AS77*VLOOKUP('Données projet'!$B$10,Paramètres!$A$1:$I$89,3,0)*0.475*44/12</f>
        <v>38.60193669571629</v>
      </c>
      <c r="AW77" s="21">
        <f>EXP(-LN(2)/2)*AW76+(1-EXP(-LN(2)/2))/(LN(2)/2)*AQ77*AT77*VLOOKUP('Données projet'!$B$10,Paramètres!$A$1:$I$89,3,0)*0.475*44/12</f>
        <v>7.0659426081256915E-2</v>
      </c>
      <c r="AX77" s="21">
        <f t="shared" si="60"/>
        <v>169.96258694781542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11.540000000000001</v>
      </c>
      <c r="BD77" s="12">
        <f>IF('Données projet'!$A$88&gt;35,BD76+BC77-BL76,IF(A77&lt;'Données projet'!$A$88,$BA$205^A77,IF(A77='Données projet'!$A$88,'Données projet'!$B$88,BD76+BC77-BL76)))</f>
        <v>296.19000000000017</v>
      </c>
      <c r="BE77" s="13">
        <f>BD77*VLOOKUP('Données projet'!$B$11,Paramètres!$A$1:$I$89,3,0)*VLOOKUP('Données projet'!$B$11,Paramètres!$A$1:$I$89,5,0)</f>
        <v>254.13102000000015</v>
      </c>
      <c r="BF77" s="13">
        <f t="shared" si="91"/>
        <v>61.469691079699579</v>
      </c>
      <c r="BG77" s="20">
        <f t="shared" si="61"/>
        <v>549.67123846381037</v>
      </c>
      <c r="BH77" s="59">
        <f t="shared" si="62"/>
        <v>843.00457179714363</v>
      </c>
      <c r="BI77" s="59">
        <f ca="1">AVERAGE(OFFSET($BH$3,0,0,'Données projet'!$E$11+1,1))-AVERAGE(OFFSET($H$3,0,0,'Données projet'!$E$11+1,1))</f>
        <v>395.14818708356353</v>
      </c>
      <c r="BJ77" s="59">
        <f t="shared" si="92"/>
        <v>311.78229491474491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23.039225303055922</v>
      </c>
      <c r="BQ77" s="21">
        <f>EXP(-LN(2)/25)*BQ76+(1-EXP(-LN(2)/25))/(LN(2)/25)*Calculateur!BL77*Calculateur!BN77*VLOOKUP('Données projet'!$B$11,Paramètres!$A$1:$I$89,3,0)*0.475*44/12</f>
        <v>38.883008500465579</v>
      </c>
      <c r="BR77" s="21">
        <f>EXP(-LN(2)/2)*BR76+(1-EXP(-LN(2)/2))/(LN(2)/2)*BL77*BO77*VLOOKUP('Données projet'!$B$11,Paramètres!$A$1:$I$89,3,0)*0.475*44/12</f>
        <v>7.3109425333210964</v>
      </c>
      <c r="BS77" s="22">
        <f t="shared" si="63"/>
        <v>69.233176336842604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4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349.32350663286911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13.937500000000007</v>
      </c>
      <c r="N78" s="13">
        <f>IF('Données projet'!$A$36&gt;35,N77+M78-V77,IF(A78&lt;'Données projet'!$A$36,$K$205^A78,IF(A78='Données projet'!$A$36,'Données projet'!$B$36,N77+M78-V77)))</f>
        <v>524.58500000000026</v>
      </c>
      <c r="O78" s="13">
        <f>N78*VLOOKUP('Données projet'!$B$9,Paramètres!$A$1:$I$89,3,0)*VLOOKUP('Données projet'!$B$9,Paramètres!$A$1:$I$89,5,0)</f>
        <v>245.50578000000013</v>
      </c>
      <c r="P78" s="13">
        <f t="shared" si="87"/>
        <v>59.62255759622888</v>
      </c>
      <c r="Q78" s="20">
        <f t="shared" si="54"/>
        <v>531.43185464676549</v>
      </c>
      <c r="R78" s="59">
        <f t="shared" si="55"/>
        <v>824.76518798009874</v>
      </c>
      <c r="S78" s="59">
        <f ca="1">AVERAGE(OFFSET($R$3,0,0,'Données projet'!$E$9+1,1))-AVERAGE(OFFSET($H$3,0,0,'Données projet'!$E$9+1,1))</f>
        <v>291.3013645858839</v>
      </c>
      <c r="T78" s="59">
        <f t="shared" si="88"/>
        <v>332.89241887762438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89.411652992700894</v>
      </c>
      <c r="AA78" s="21">
        <f>EXP(-LN(2)/25)*AA77+(1-EXP(-LN(2)/25))/(LN(2)/25)*Calculateur!V78*Calculateur!X78*VLOOKUP('Données projet'!$B$9,Paramètres!$A$1:$I$89,3,0)*0.475*44/12</f>
        <v>29.563909515469568</v>
      </c>
      <c r="AB78" s="21">
        <f>EXP(-LN(2)/2)*AB77+(1-EXP(-LN(2)/2))/(LN(2)/2)*V78*Y78*VLOOKUP('Données projet'!$B$9,Paramètres!$A$1:$I$89,3,0)*0.475*44/12</f>
        <v>1.6381643371845946</v>
      </c>
      <c r="AC78" s="22">
        <f t="shared" si="57"/>
        <v>120.61372684535506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3.4106051316484809E-13</v>
      </c>
      <c r="AJ78" s="13">
        <f>AI78*VLOOKUP('Données projet'!$B$10,Paramètres!$A$1:$I$89,3,0)*VLOOKUP('Données projet'!$B$10,Paramètres!$A$1:$I$89,5,0)</f>
        <v>1.5074874681886286E-13</v>
      </c>
      <c r="AK78" s="13">
        <f t="shared" si="89"/>
        <v>2.1590218794584103E-12</v>
      </c>
      <c r="AL78" s="20">
        <f t="shared" si="58"/>
        <v>4.0228505074329168E-12</v>
      </c>
      <c r="AM78" s="59">
        <f t="shared" si="59"/>
        <v>293.33333333333735</v>
      </c>
      <c r="AN78" s="59">
        <f ca="1">AVERAGE(OFFSET($AM$3,0,0,'Données projet'!$E$10+1,1))-AVERAGE(OFFSET($H$3,0,0,'Données projet'!$E$10+1,1))</f>
        <v>293.17014997061574</v>
      </c>
      <c r="AO78" s="59">
        <f t="shared" si="90"/>
        <v>394.32615745219954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128.71547418490692</v>
      </c>
      <c r="AV78" s="21">
        <f>EXP(-LN(2)/25)*AV77+(1-EXP(-LN(2)/25))/(LN(2)/25)*Calculateur!AQ78*Calculateur!AS78*VLOOKUP('Données projet'!$B$10,Paramètres!$A$1:$I$89,3,0)*0.475*44/12</f>
        <v>37.546364706784303</v>
      </c>
      <c r="AW78" s="21">
        <f>EXP(-LN(2)/2)*AW77+(1-EXP(-LN(2)/2))/(LN(2)/2)*AQ78*AT78*VLOOKUP('Données projet'!$B$10,Paramètres!$A$1:$I$89,3,0)*0.475*44/12</f>
        <v>4.9963759336806364E-2</v>
      </c>
      <c r="AX78" s="21">
        <f t="shared" si="60"/>
        <v>166.31180265102805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11.540000000000001</v>
      </c>
      <c r="BD78" s="12">
        <f>IF('Données projet'!$A$88&gt;35,BD77+BC78-BL77,IF(A78&lt;'Données projet'!$A$88,$BA$205^A78,IF(A78='Données projet'!$A$88,'Données projet'!$B$88,BD77+BC78-BL77)))</f>
        <v>307.73000000000019</v>
      </c>
      <c r="BE78" s="13">
        <f>BD78*VLOOKUP('Données projet'!$B$11,Paramètres!$A$1:$I$89,3,0)*VLOOKUP('Données projet'!$B$11,Paramètres!$A$1:$I$89,5,0)</f>
        <v>264.03234000000015</v>
      </c>
      <c r="BF78" s="13">
        <f t="shared" si="91"/>
        <v>63.581138500898717</v>
      </c>
      <c r="BG78" s="20">
        <f t="shared" si="61"/>
        <v>570.59347505573214</v>
      </c>
      <c r="BH78" s="59">
        <f t="shared" si="62"/>
        <v>863.9268083890654</v>
      </c>
      <c r="BI78" s="59">
        <f ca="1">AVERAGE(OFFSET($BH$3,0,0,'Données projet'!$E$11+1,1))-AVERAGE(OFFSET($H$3,0,0,'Données projet'!$E$11+1,1))</f>
        <v>395.14818708356353</v>
      </c>
      <c r="BJ78" s="59">
        <f t="shared" si="92"/>
        <v>311.78229491474491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22.587440147402855</v>
      </c>
      <c r="BQ78" s="21">
        <f>EXP(-LN(2)/25)*BQ77+(1-EXP(-LN(2)/25))/(LN(2)/25)*Calculateur!BL78*Calculateur!BN78*VLOOKUP('Données projet'!$B$11,Paramètres!$A$1:$I$89,3,0)*0.475*44/12</f>
        <v>37.8197505882518</v>
      </c>
      <c r="BR78" s="21">
        <f>EXP(-LN(2)/2)*BR77+(1-EXP(-LN(2)/2))/(LN(2)/2)*BL78*BO78*VLOOKUP('Données projet'!$B$11,Paramètres!$A$1:$I$89,3,0)*0.475*44/12</f>
        <v>5.1696170421765046</v>
      </c>
      <c r="BS78" s="22">
        <f t="shared" si="63"/>
        <v>65.576807777831164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4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350.5256242345036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13.937500000000007</v>
      </c>
      <c r="N79" s="13">
        <f>IF('Données projet'!$A$36&gt;35,N78+M79-V78,IF(A79&lt;'Données projet'!$A$36,$K$205^A79,IF(A79='Données projet'!$A$36,'Données projet'!$B$36,N78+M79-V78)))</f>
        <v>538.52250000000026</v>
      </c>
      <c r="O79" s="13">
        <f>N79*VLOOKUP('Données projet'!$B$9,Paramètres!$A$1:$I$89,3,0)*VLOOKUP('Données projet'!$B$9,Paramètres!$A$1:$I$89,5,0)</f>
        <v>252.02853000000013</v>
      </c>
      <c r="P79" s="13">
        <f t="shared" si="87"/>
        <v>61.020115505910461</v>
      </c>
      <c r="Q79" s="20">
        <f t="shared" si="54"/>
        <v>545.22639092279428</v>
      </c>
      <c r="R79" s="59">
        <f t="shared" si="55"/>
        <v>838.55972425612754</v>
      </c>
      <c r="S79" s="59">
        <f ca="1">AVERAGE(OFFSET($R$3,0,0,'Données projet'!$E$9+1,1))-AVERAGE(OFFSET($H$3,0,0,'Données projet'!$E$9+1,1))</f>
        <v>291.3013645858839</v>
      </c>
      <c r="T79" s="59">
        <f t="shared" si="88"/>
        <v>332.89241887762438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87.658345013237394</v>
      </c>
      <c r="AA79" s="21">
        <f>EXP(-LN(2)/25)*AA78+(1-EXP(-LN(2)/25))/(LN(2)/25)*Calculateur!V79*Calculateur!X79*VLOOKUP('Données projet'!$B$9,Paramètres!$A$1:$I$89,3,0)*0.475*44/12</f>
        <v>28.755482855070621</v>
      </c>
      <c r="AB79" s="21">
        <f>EXP(-LN(2)/2)*AB78+(1-EXP(-LN(2)/2))/(LN(2)/2)*V79*Y79*VLOOKUP('Données projet'!$B$9,Paramètres!$A$1:$I$89,3,0)*0.475*44/12</f>
        <v>1.1583571115211928</v>
      </c>
      <c r="AC79" s="22">
        <f t="shared" si="57"/>
        <v>117.57218497982922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3.4106051316484809E-13</v>
      </c>
      <c r="AJ79" s="13">
        <f>AI79*VLOOKUP('Données projet'!$B$10,Paramètres!$A$1:$I$89,3,0)*VLOOKUP('Données projet'!$B$10,Paramètres!$A$1:$I$89,5,0)</f>
        <v>1.5074874681886286E-13</v>
      </c>
      <c r="AK79" s="13">
        <f t="shared" si="89"/>
        <v>2.1590218794584103E-12</v>
      </c>
      <c r="AL79" s="20">
        <f t="shared" si="58"/>
        <v>4.0228505074329168E-12</v>
      </c>
      <c r="AM79" s="59">
        <f t="shared" si="59"/>
        <v>293.33333333333735</v>
      </c>
      <c r="AN79" s="59">
        <f ca="1">AVERAGE(OFFSET($AM$3,0,0,'Données projet'!$E$10+1,1))-AVERAGE(OFFSET($H$3,0,0,'Données projet'!$E$10+1,1))</f>
        <v>293.17014997061574</v>
      </c>
      <c r="AO79" s="59">
        <f t="shared" si="90"/>
        <v>394.32615745219954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126.19144224482807</v>
      </c>
      <c r="AV79" s="21">
        <f>EXP(-LN(2)/25)*AV78+(1-EXP(-LN(2)/25))/(LN(2)/25)*Calculateur!AQ79*Calculateur!AS79*VLOOKUP('Données projet'!$B$10,Paramètres!$A$1:$I$89,3,0)*0.475*44/12</f>
        <v>36.519657389399782</v>
      </c>
      <c r="AW79" s="21">
        <f>EXP(-LN(2)/2)*AW78+(1-EXP(-LN(2)/2))/(LN(2)/2)*AQ79*AT79*VLOOKUP('Données projet'!$B$10,Paramètres!$A$1:$I$89,3,0)*0.475*44/12</f>
        <v>3.5329713040628458E-2</v>
      </c>
      <c r="AX79" s="21">
        <f t="shared" si="60"/>
        <v>162.74642934726847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11.540000000000001</v>
      </c>
      <c r="BD79" s="12">
        <f>IF('Données projet'!$A$88&gt;35,BD78+BC79-BL78,IF(A79&lt;'Données projet'!$A$88,$BA$205^A79,IF(A79='Données projet'!$A$88,'Données projet'!$B$88,BD78+BC79-BL78)))</f>
        <v>319.27000000000021</v>
      </c>
      <c r="BE79" s="13">
        <f>BD79*VLOOKUP('Données projet'!$B$11,Paramètres!$A$1:$I$89,3,0)*VLOOKUP('Données projet'!$B$11,Paramètres!$A$1:$I$89,5,0)</f>
        <v>273.9336600000002</v>
      </c>
      <c r="BF79" s="13">
        <f t="shared" si="91"/>
        <v>65.683387163126284</v>
      </c>
      <c r="BG79" s="20">
        <f t="shared" si="61"/>
        <v>591.49969047577861</v>
      </c>
      <c r="BH79" s="59">
        <f t="shared" si="62"/>
        <v>884.83302380911186</v>
      </c>
      <c r="BI79" s="59">
        <f ca="1">AVERAGE(OFFSET($BH$3,0,0,'Données projet'!$E$11+1,1))-AVERAGE(OFFSET($H$3,0,0,'Données projet'!$E$11+1,1))</f>
        <v>395.14818708356353</v>
      </c>
      <c r="BJ79" s="59">
        <f t="shared" si="92"/>
        <v>311.78229491474491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22.144514223090411</v>
      </c>
      <c r="BQ79" s="21">
        <f>EXP(-LN(2)/25)*BQ78+(1-EXP(-LN(2)/25))/(LN(2)/25)*Calculateur!BL79*Calculateur!BN79*VLOOKUP('Données projet'!$B$11,Paramètres!$A$1:$I$89,3,0)*0.475*44/12</f>
        <v>36.785567519561809</v>
      </c>
      <c r="BR79" s="21">
        <f>EXP(-LN(2)/2)*BR78+(1-EXP(-LN(2)/2))/(LN(2)/2)*BL79*BO79*VLOOKUP('Données projet'!$B$11,Paramètres!$A$1:$I$89,3,0)*0.475*44/12</f>
        <v>3.6554712666605491</v>
      </c>
      <c r="BS79" s="22">
        <f t="shared" si="63"/>
        <v>62.585553009312768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4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351.72735743583411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>
        <f>VLOOKUP(A80,'Données projet'!$A$35:$I$55,2,0)</f>
        <v>552.46</v>
      </c>
      <c r="L80" s="12">
        <f>VLOOKUP(A80,'Données projet'!$A$35:$I$55,9,0)</f>
        <v>13.937500000000007</v>
      </c>
      <c r="M80" s="12">
        <f t="array" ref="M80">INDEX(L:L,MIN(IF(ISNUMBER(L80:L276),ROW(L80:L276),"")))</f>
        <v>13.937500000000007</v>
      </c>
      <c r="N80" s="13">
        <f>IF('Données projet'!$A$36&gt;35,N79+M80-V79,IF(A80&lt;'Données projet'!$A$36,$K$205^A80,IF(A80='Données projet'!$A$36,'Données projet'!$B$36,N79+M80-V79)))</f>
        <v>552.46000000000026</v>
      </c>
      <c r="O80" s="13">
        <f>N80*VLOOKUP('Données projet'!$B$9,Paramètres!$A$1:$I$89,3,0)*VLOOKUP('Données projet'!$B$9,Paramètres!$A$1:$I$89,5,0)</f>
        <v>258.55128000000013</v>
      </c>
      <c r="P80" s="13">
        <f t="shared" si="87"/>
        <v>62.413469044347373</v>
      </c>
      <c r="Q80" s="20">
        <f t="shared" si="54"/>
        <v>559.0136045855719</v>
      </c>
      <c r="R80" s="59">
        <f t="shared" si="55"/>
        <v>852.34693791890527</v>
      </c>
      <c r="S80" s="59">
        <f ca="1">AVERAGE(OFFSET($R$3,0,0,'Données projet'!$E$9+1,1))-AVERAGE(OFFSET($H$3,0,0,'Données projet'!$E$9+1,1))</f>
        <v>291.3013645858839</v>
      </c>
      <c r="T80" s="59">
        <f t="shared" si="88"/>
        <v>332.89241887762438</v>
      </c>
      <c r="U80" s="15">
        <f>IF(ISNA(VLOOKUP(A80,'Données projet'!$A$35:$I$55,3,0)),0,VLOOKUP(A80,'Données projet'!$A$35:$I$55,3,0))</f>
        <v>9</v>
      </c>
      <c r="V80" s="15">
        <f>IF(ISNA(VLOOKUP(A80,'Données projet'!$A$35:$I$55,4,0)),0,VLOOKUP(A80,'Données projet'!$A$35:$I$55,4,0))</f>
        <v>552.46</v>
      </c>
      <c r="W80" s="16">
        <f>IF(ISNA(VLOOKUP(A80,'Données projet'!$A$35:$I$55,5,0)),0%,VLOOKUP(A80,'Données projet'!$A$35:$I$55,5,0)*VLOOKUP('Données projet'!$B$9,Paramètres!$A$1:$I$89,7,0))</f>
        <v>0.33</v>
      </c>
      <c r="X80" s="16">
        <f>IF(ISNA(VLOOKUP(A80,'Données projet'!$A$35:$I$55,6,0)),0%,VLOOKUP(A80,'Données projet'!$A$35:$I$55,6,0)*VLOOKUP('Données projet'!$B$9,Paramètres!$A$1:$I$89,7,0))</f>
        <v>0.11000000000000001</v>
      </c>
      <c r="Y80" s="16">
        <f>IF(ISNA(VLOOKUP(A80,'Données projet'!$A$35:$I$55,7,0)),0%,VLOOKUP(A80,'Données projet'!$A$35:$I$55,7,0))</f>
        <v>0.2</v>
      </c>
      <c r="Z80" s="21">
        <f>EXP(-LN(2)/35)*Z79+(1-EXP(-LN(2)/35))/(LN(2)/35)*V80*W80*VLOOKUP('Données projet'!$B$9,Paramètres!$A$1:$I$89,3,0)*0.475*44/12</f>
        <v>199.12444785944962</v>
      </c>
      <c r="AA80" s="21">
        <f>EXP(-LN(2)/25)*AA79+(1-EXP(-LN(2)/25))/(LN(2)/25)*Calculateur!V80*Calculateur!X80*VLOOKUP('Données projet'!$B$9,Paramètres!$A$1:$I$89,3,0)*0.475*44/12</f>
        <v>65.548954976710618</v>
      </c>
      <c r="AB80" s="21">
        <f>EXP(-LN(2)/2)*AB79+(1-EXP(-LN(2)/2))/(LN(2)/2)*V80*Y80*VLOOKUP('Données projet'!$B$9,Paramètres!$A$1:$I$89,3,0)*0.475*44/12</f>
        <v>59.367104125154029</v>
      </c>
      <c r="AC80" s="22">
        <f t="shared" si="57"/>
        <v>324.04050696131424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3.4106051316484809E-13</v>
      </c>
      <c r="AJ80" s="13">
        <f>AI80*VLOOKUP('Données projet'!$B$10,Paramètres!$A$1:$I$89,3,0)*VLOOKUP('Données projet'!$B$10,Paramètres!$A$1:$I$89,5,0)</f>
        <v>1.5074874681886286E-13</v>
      </c>
      <c r="AK80" s="13">
        <f t="shared" si="89"/>
        <v>2.1590218794584103E-12</v>
      </c>
      <c r="AL80" s="20">
        <f t="shared" si="58"/>
        <v>4.0228505074329168E-12</v>
      </c>
      <c r="AM80" s="59">
        <f t="shared" si="59"/>
        <v>293.33333333333735</v>
      </c>
      <c r="AN80" s="59">
        <f ca="1">AVERAGE(OFFSET($AM$3,0,0,'Données projet'!$E$10+1,1))-AVERAGE(OFFSET($H$3,0,0,'Données projet'!$E$10+1,1))</f>
        <v>293.17014997061574</v>
      </c>
      <c r="AO80" s="59">
        <f t="shared" si="90"/>
        <v>394.32615745219954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123.71690503158668</v>
      </c>
      <c r="AV80" s="21">
        <f>EXP(-LN(2)/25)*AV79+(1-EXP(-LN(2)/25))/(LN(2)/25)*Calculateur!AQ80*Calculateur!AS80*VLOOKUP('Données projet'!$B$10,Paramètres!$A$1:$I$89,3,0)*0.475*44/12</f>
        <v>35.521025437601331</v>
      </c>
      <c r="AW80" s="21">
        <f>EXP(-LN(2)/2)*AW79+(1-EXP(-LN(2)/2))/(LN(2)/2)*AQ80*AT80*VLOOKUP('Données projet'!$B$10,Paramètres!$A$1:$I$89,3,0)*0.475*44/12</f>
        <v>2.4981879668403182E-2</v>
      </c>
      <c r="AX80" s="21">
        <f t="shared" si="60"/>
        <v>159.26291234885642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11.540000000000001</v>
      </c>
      <c r="BD80" s="12">
        <f>IF('Données projet'!$A$88&gt;35,BD79+BC80-BL79,IF(A80&lt;'Données projet'!$A$88,$BA$205^A80,IF(A80='Données projet'!$A$88,'Données projet'!$B$88,BD79+BC80-BL79)))</f>
        <v>330.81000000000023</v>
      </c>
      <c r="BE80" s="13">
        <f>BD80*VLOOKUP('Données projet'!$B$11,Paramètres!$A$1:$I$89,3,0)*VLOOKUP('Données projet'!$B$11,Paramètres!$A$1:$I$89,5,0)</f>
        <v>283.83498000000026</v>
      </c>
      <c r="BF80" s="13">
        <f t="shared" si="91"/>
        <v>67.776807641171104</v>
      </c>
      <c r="BG80" s="20">
        <f t="shared" si="61"/>
        <v>612.39053014170679</v>
      </c>
      <c r="BH80" s="59">
        <f t="shared" si="62"/>
        <v>905.72386347504016</v>
      </c>
      <c r="BI80" s="59">
        <f ca="1">AVERAGE(OFFSET($BH$3,0,0,'Données projet'!$E$11+1,1))-AVERAGE(OFFSET($H$3,0,0,'Données projet'!$E$11+1,1))</f>
        <v>395.14818708356353</v>
      </c>
      <c r="BJ80" s="59">
        <f t="shared" si="92"/>
        <v>311.78229491474491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21.710273805995598</v>
      </c>
      <c r="BQ80" s="21">
        <f>EXP(-LN(2)/25)*BQ79+(1-EXP(-LN(2)/25))/(LN(2)/25)*Calculateur!BL80*Calculateur!BN80*VLOOKUP('Données projet'!$B$11,Paramètres!$A$1:$I$89,3,0)*0.475*44/12</f>
        <v>35.779664241270467</v>
      </c>
      <c r="BR80" s="21">
        <f>EXP(-LN(2)/2)*BR79+(1-EXP(-LN(2)/2))/(LN(2)/2)*BL80*BO80*VLOOKUP('Données projet'!$B$11,Paramètres!$A$1:$I$89,3,0)*0.475*44/12</f>
        <v>2.5848085210882528</v>
      </c>
      <c r="BS80" s="22">
        <f t="shared" si="63"/>
        <v>60.074746568354321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4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352.92871180627031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1.064108801074326E-13</v>
      </c>
      <c r="P81" s="13">
        <f t="shared" si="87"/>
        <v>1.5870730813698654E-12</v>
      </c>
      <c r="Q81" s="20">
        <f t="shared" si="54"/>
        <v>2.9494845662396269E-12</v>
      </c>
      <c r="R81" s="59">
        <f t="shared" si="55"/>
        <v>293.33333333333627</v>
      </c>
      <c r="S81" s="59">
        <f ca="1">AVERAGE(OFFSET($R$3,0,0,'Données projet'!$E$9+1,1))-AVERAGE(OFFSET($H$3,0,0,'Données projet'!$E$9+1,1))</f>
        <v>291.3013645858839</v>
      </c>
      <c r="T81" s="59">
        <f t="shared" si="88"/>
        <v>332.89241887762438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195.21973889084643</v>
      </c>
      <c r="AA81" s="21">
        <f>EXP(-LN(2)/25)*AA80+(1-EXP(-LN(2)/25))/(LN(2)/25)*Calculateur!V81*Calculateur!X81*VLOOKUP('Données projet'!$B$9,Paramètres!$A$1:$I$89,3,0)*0.475*44/12</f>
        <v>63.75651535580274</v>
      </c>
      <c r="AB81" s="21">
        <f>EXP(-LN(2)/2)*AB80+(1-EXP(-LN(2)/2))/(LN(2)/2)*V81*Y81*VLOOKUP('Données projet'!$B$9,Paramètres!$A$1:$I$89,3,0)*0.475*44/12</f>
        <v>41.978881906304274</v>
      </c>
      <c r="AC81" s="22">
        <f t="shared" si="57"/>
        <v>300.9551361529534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3.4106051316484809E-13</v>
      </c>
      <c r="AJ81" s="13">
        <f>AI81*VLOOKUP('Données projet'!$B$10,Paramètres!$A$1:$I$89,3,0)*VLOOKUP('Données projet'!$B$10,Paramètres!$A$1:$I$89,5,0)</f>
        <v>1.5074874681886286E-13</v>
      </c>
      <c r="AK81" s="13">
        <f t="shared" si="89"/>
        <v>2.1590218794584103E-12</v>
      </c>
      <c r="AL81" s="20">
        <f t="shared" si="58"/>
        <v>4.0228505074329168E-12</v>
      </c>
      <c r="AM81" s="59">
        <f t="shared" si="59"/>
        <v>293.33333333333735</v>
      </c>
      <c r="AN81" s="59">
        <f ca="1">AVERAGE(OFFSET($AM$3,0,0,'Données projet'!$E$10+1,1))-AVERAGE(OFFSET($H$3,0,0,'Données projet'!$E$10+1,1))</f>
        <v>293.17014997061574</v>
      </c>
      <c r="AO81" s="59">
        <f t="shared" si="90"/>
        <v>394.32615745219954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121.29089198377829</v>
      </c>
      <c r="AV81" s="21">
        <f>EXP(-LN(2)/25)*AV80+(1-EXP(-LN(2)/25))/(LN(2)/25)*Calculateur!AQ81*Calculateur!AS81*VLOOKUP('Données projet'!$B$10,Paramètres!$A$1:$I$89,3,0)*0.475*44/12</f>
        <v>34.549701129040578</v>
      </c>
      <c r="AW81" s="21">
        <f>EXP(-LN(2)/2)*AW80+(1-EXP(-LN(2)/2))/(LN(2)/2)*AQ81*AT81*VLOOKUP('Données projet'!$B$10,Paramètres!$A$1:$I$89,3,0)*0.475*44/12</f>
        <v>1.7664856520314229E-2</v>
      </c>
      <c r="AX81" s="21">
        <f t="shared" si="60"/>
        <v>155.85825796933921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11.540000000000001</v>
      </c>
      <c r="BD81" s="12">
        <f>IF('Données projet'!$A$88&gt;35,BD80+BC81-BL80,IF(A81&lt;'Données projet'!$A$88,$BA$205^A81,IF(A81='Données projet'!$A$88,'Données projet'!$B$88,BD80+BC81-BL80)))</f>
        <v>342.35000000000025</v>
      </c>
      <c r="BE81" s="13">
        <f>BD81*VLOOKUP('Données projet'!$B$11,Paramètres!$A$1:$I$89,3,0)*VLOOKUP('Données projet'!$B$11,Paramètres!$A$1:$I$89,5,0)</f>
        <v>293.73630000000026</v>
      </c>
      <c r="BF81" s="13">
        <f t="shared" si="91"/>
        <v>69.861743189379126</v>
      </c>
      <c r="BG81" s="20">
        <f t="shared" si="61"/>
        <v>633.26659188816905</v>
      </c>
      <c r="BH81" s="59">
        <f t="shared" si="62"/>
        <v>926.59992522150242</v>
      </c>
      <c r="BI81" s="59">
        <f ca="1">AVERAGE(OFFSET($BH$3,0,0,'Données projet'!$E$11+1,1))-AVERAGE(OFFSET($H$3,0,0,'Données projet'!$E$11+1,1))</f>
        <v>395.14818708356353</v>
      </c>
      <c r="BJ81" s="59">
        <f t="shared" si="92"/>
        <v>311.78229491474491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21.284548578619511</v>
      </c>
      <c r="BQ81" s="21">
        <f>EXP(-LN(2)/25)*BQ80+(1-EXP(-LN(2)/25))/(LN(2)/25)*Calculateur!BL81*Calculateur!BN81*VLOOKUP('Données projet'!$B$11,Paramètres!$A$1:$I$89,3,0)*0.475*44/12</f>
        <v>34.801267441022162</v>
      </c>
      <c r="BR81" s="21">
        <f>EXP(-LN(2)/2)*BR80+(1-EXP(-LN(2)/2))/(LN(2)/2)*BL81*BO81*VLOOKUP('Données projet'!$B$11,Paramètres!$A$1:$I$89,3,0)*0.475*44/12</f>
        <v>1.8277356333302748</v>
      </c>
      <c r="BS81" s="22">
        <f t="shared" si="63"/>
        <v>57.913551652971947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4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354.12969276420569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1.064108801074326E-13</v>
      </c>
      <c r="P82" s="13">
        <f t="shared" si="87"/>
        <v>1.5870730813698654E-12</v>
      </c>
      <c r="Q82" s="20">
        <f t="shared" si="54"/>
        <v>2.9494845662396269E-12</v>
      </c>
      <c r="R82" s="59">
        <f t="shared" si="55"/>
        <v>293.33333333333627</v>
      </c>
      <c r="S82" s="59">
        <f ca="1">AVERAGE(OFFSET($R$3,0,0,'Données projet'!$E$9+1,1))-AVERAGE(OFFSET($H$3,0,0,'Données projet'!$E$9+1,1))</f>
        <v>291.3013645858839</v>
      </c>
      <c r="T82" s="59">
        <f t="shared" si="88"/>
        <v>332.89241887762438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191.39159888348024</v>
      </c>
      <c r="AA82" s="21">
        <f>EXP(-LN(2)/25)*AA81+(1-EXP(-LN(2)/25))/(LN(2)/25)*Calculateur!V82*Calculateur!X82*VLOOKUP('Données projet'!$B$9,Paramètres!$A$1:$I$89,3,0)*0.475*44/12</f>
        <v>62.013090090588889</v>
      </c>
      <c r="AB82" s="21">
        <f>EXP(-LN(2)/2)*AB81+(1-EXP(-LN(2)/2))/(LN(2)/2)*V82*Y82*VLOOKUP('Données projet'!$B$9,Paramètres!$A$1:$I$89,3,0)*0.475*44/12</f>
        <v>29.683552062577018</v>
      </c>
      <c r="AC82" s="22">
        <f t="shared" si="57"/>
        <v>283.08824103664614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3.4106051316484809E-13</v>
      </c>
      <c r="AJ82" s="13">
        <f>AI82*VLOOKUP('Données projet'!$B$10,Paramètres!$A$1:$I$89,3,0)*VLOOKUP('Données projet'!$B$10,Paramètres!$A$1:$I$89,5,0)</f>
        <v>1.5074874681886286E-13</v>
      </c>
      <c r="AK82" s="13">
        <f t="shared" si="89"/>
        <v>2.1590218794584103E-12</v>
      </c>
      <c r="AL82" s="20">
        <f t="shared" si="58"/>
        <v>4.0228505074329168E-12</v>
      </c>
      <c r="AM82" s="59">
        <f t="shared" si="59"/>
        <v>293.33333333333735</v>
      </c>
      <c r="AN82" s="59">
        <f ca="1">AVERAGE(OFFSET($AM$3,0,0,'Données projet'!$E$10+1,1))-AVERAGE(OFFSET($H$3,0,0,'Données projet'!$E$10+1,1))</f>
        <v>293.17014997061574</v>
      </c>
      <c r="AO82" s="59">
        <f t="shared" si="90"/>
        <v>394.32615745219954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118.91245157211559</v>
      </c>
      <c r="AV82" s="21">
        <f>EXP(-LN(2)/25)*AV81+(1-EXP(-LN(2)/25))/(LN(2)/25)*Calculateur!AQ82*Calculateur!AS82*VLOOKUP('Données projet'!$B$10,Paramètres!$A$1:$I$89,3,0)*0.475*44/12</f>
        <v>33.604937734777145</v>
      </c>
      <c r="AW82" s="21">
        <f>EXP(-LN(2)/2)*AW81+(1-EXP(-LN(2)/2))/(LN(2)/2)*AQ82*AT82*VLOOKUP('Données projet'!$B$10,Paramètres!$A$1:$I$89,3,0)*0.475*44/12</f>
        <v>1.2490939834201591E-2</v>
      </c>
      <c r="AX82" s="21">
        <f t="shared" si="60"/>
        <v>152.52988024672695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11.540000000000001</v>
      </c>
      <c r="BD82" s="12">
        <f>IF('Données projet'!$A$88&gt;35,BD81+BC82-BL81,IF(A82&lt;'Données projet'!$A$88,$BA$205^A82,IF(A82='Données projet'!$A$88,'Données projet'!$B$88,BD81+BC82-BL81)))</f>
        <v>353.89000000000027</v>
      </c>
      <c r="BE82" s="13">
        <f>BD82*VLOOKUP('Données projet'!$B$11,Paramètres!$A$1:$I$89,3,0)*VLOOKUP('Données projet'!$B$11,Paramètres!$A$1:$I$89,5,0)</f>
        <v>303.63762000000025</v>
      </c>
      <c r="BF82" s="13">
        <f t="shared" si="91"/>
        <v>71.938512608215021</v>
      </c>
      <c r="BG82" s="20">
        <f t="shared" si="61"/>
        <v>654.12843095930828</v>
      </c>
      <c r="BH82" s="59">
        <f t="shared" si="62"/>
        <v>947.46176429264165</v>
      </c>
      <c r="BI82" s="59">
        <f ca="1">AVERAGE(OFFSET($BH$3,0,0,'Données projet'!$E$11+1,1))-AVERAGE(OFFSET($H$3,0,0,'Données projet'!$E$11+1,1))</f>
        <v>395.14818708356353</v>
      </c>
      <c r="BJ82" s="59">
        <f t="shared" si="92"/>
        <v>311.78229491474491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20.86717156328552</v>
      </c>
      <c r="BQ82" s="21">
        <f>EXP(-LN(2)/25)*BQ81+(1-EXP(-LN(2)/25))/(LN(2)/25)*Calculateur!BL82*Calculateur!BN82*VLOOKUP('Données projet'!$B$11,Paramètres!$A$1:$I$89,3,0)*0.475*44/12</f>
        <v>33.849624952728298</v>
      </c>
      <c r="BR82" s="21">
        <f>EXP(-LN(2)/2)*BR81+(1-EXP(-LN(2)/2))/(LN(2)/2)*BL82*BO82*VLOOKUP('Données projet'!$B$11,Paramètres!$A$1:$I$89,3,0)*0.475*44/12</f>
        <v>1.2924042605441266</v>
      </c>
      <c r="BS82" s="22">
        <f t="shared" si="63"/>
        <v>56.00920077655794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4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355.33030558297088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1.064108801074326E-13</v>
      </c>
      <c r="P83" s="13">
        <f t="shared" si="87"/>
        <v>1.5870730813698654E-12</v>
      </c>
      <c r="Q83" s="20">
        <f t="shared" si="54"/>
        <v>2.9494845662396269E-12</v>
      </c>
      <c r="R83" s="59">
        <f t="shared" si="55"/>
        <v>293.33333333333627</v>
      </c>
      <c r="S83" s="59">
        <f ca="1">AVERAGE(OFFSET($R$3,0,0,'Données projet'!$E$9+1,1))-AVERAGE(OFFSET($H$3,0,0,'Données projet'!$E$9+1,1))</f>
        <v>291.3013645858839</v>
      </c>
      <c r="T83" s="59">
        <f t="shared" si="88"/>
        <v>332.89241887762438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187.63852636672365</v>
      </c>
      <c r="AA83" s="21">
        <f>EXP(-LN(2)/25)*AA82+(1-EXP(-LN(2)/25))/(LN(2)/25)*Calculateur!V83*Calculateur!X83*VLOOKUP('Données projet'!$B$9,Paramètres!$A$1:$I$89,3,0)*0.475*44/12</f>
        <v>60.317338880935061</v>
      </c>
      <c r="AB83" s="21">
        <f>EXP(-LN(2)/2)*AB82+(1-EXP(-LN(2)/2))/(LN(2)/2)*V83*Y83*VLOOKUP('Données projet'!$B$9,Paramètres!$A$1:$I$89,3,0)*0.475*44/12</f>
        <v>20.98944095315214</v>
      </c>
      <c r="AC83" s="22">
        <f t="shared" si="57"/>
        <v>268.94530620081088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3.4106051316484809E-13</v>
      </c>
      <c r="AJ83" s="13">
        <f>AI83*VLOOKUP('Données projet'!$B$10,Paramètres!$A$1:$I$89,3,0)*VLOOKUP('Données projet'!$B$10,Paramètres!$A$1:$I$89,5,0)</f>
        <v>1.5074874681886286E-13</v>
      </c>
      <c r="AK83" s="13">
        <f t="shared" si="89"/>
        <v>2.1590218794584103E-12</v>
      </c>
      <c r="AL83" s="20">
        <f t="shared" si="58"/>
        <v>4.0228505074329168E-12</v>
      </c>
      <c r="AM83" s="59">
        <f t="shared" si="59"/>
        <v>293.33333333333735</v>
      </c>
      <c r="AN83" s="59">
        <f ca="1">AVERAGE(OFFSET($AM$3,0,0,'Données projet'!$E$10+1,1))-AVERAGE(OFFSET($H$3,0,0,'Données projet'!$E$10+1,1))</f>
        <v>293.17014997061574</v>
      </c>
      <c r="AO83" s="59">
        <f t="shared" si="90"/>
        <v>394.32615745219954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116.58065092622017</v>
      </c>
      <c r="AV83" s="21">
        <f>EXP(-LN(2)/25)*AV82+(1-EXP(-LN(2)/25))/(LN(2)/25)*Calculateur!AQ83*Calculateur!AS83*VLOOKUP('Données projet'!$B$10,Paramètres!$A$1:$I$89,3,0)*0.475*44/12</f>
        <v>32.686008945212791</v>
      </c>
      <c r="AW83" s="21">
        <f>EXP(-LN(2)/2)*AW82+(1-EXP(-LN(2)/2))/(LN(2)/2)*AQ83*AT83*VLOOKUP('Données projet'!$B$10,Paramètres!$A$1:$I$89,3,0)*0.475*44/12</f>
        <v>8.8324282601571144E-3</v>
      </c>
      <c r="AX83" s="21">
        <f t="shared" si="60"/>
        <v>149.27549229969313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11.540000000000001</v>
      </c>
      <c r="BD83" s="12">
        <f>IF('Données projet'!$A$88&gt;35,BD82+BC83-BL82,IF(A83&lt;'Données projet'!$A$88,$BA$205^A83,IF(A83='Données projet'!$A$88,'Données projet'!$B$88,BD82+BC83-BL82)))</f>
        <v>365.43000000000029</v>
      </c>
      <c r="BE83" s="13">
        <f>BD83*VLOOKUP('Données projet'!$B$11,Paramètres!$A$1:$I$89,3,0)*VLOOKUP('Données projet'!$B$11,Paramètres!$A$1:$I$89,5,0)</f>
        <v>313.53894000000031</v>
      </c>
      <c r="BF83" s="13">
        <f t="shared" si="91"/>
        <v>74.007412726416703</v>
      </c>
      <c r="BG83" s="20">
        <f t="shared" si="61"/>
        <v>674.97656433184295</v>
      </c>
      <c r="BH83" s="59">
        <f t="shared" si="62"/>
        <v>968.30989766517632</v>
      </c>
      <c r="BI83" s="59">
        <f ca="1">AVERAGE(OFFSET($BH$3,0,0,'Données projet'!$E$11+1,1))-AVERAGE(OFFSET($H$3,0,0,'Données projet'!$E$11+1,1))</f>
        <v>395.14818708356353</v>
      </c>
      <c r="BJ83" s="59">
        <f t="shared" si="92"/>
        <v>311.78229491474491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20.457979056647389</v>
      </c>
      <c r="BQ83" s="21">
        <f>EXP(-LN(2)/25)*BQ82+(1-EXP(-LN(2)/25))/(LN(2)/25)*Calculateur!BL83*Calculateur!BN83*VLOOKUP('Données projet'!$B$11,Paramètres!$A$1:$I$89,3,0)*0.475*44/12</f>
        <v>32.924005178321529</v>
      </c>
      <c r="BR83" s="21">
        <f>EXP(-LN(2)/2)*BR82+(1-EXP(-LN(2)/2))/(LN(2)/2)*BL83*BO83*VLOOKUP('Données projet'!$B$11,Paramètres!$A$1:$I$89,3,0)*0.475*44/12</f>
        <v>0.9138678166651375</v>
      </c>
      <c r="BS83" s="22">
        <f t="shared" si="63"/>
        <v>54.295852051634057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4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356.53055539648136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1.064108801074326E-13</v>
      </c>
      <c r="P84" s="13">
        <f t="shared" si="87"/>
        <v>1.5870730813698654E-12</v>
      </c>
      <c r="Q84" s="20">
        <f t="shared" si="54"/>
        <v>2.9494845662396269E-12</v>
      </c>
      <c r="R84" s="59">
        <f t="shared" si="55"/>
        <v>293.33333333333627</v>
      </c>
      <c r="S84" s="59">
        <f ca="1">AVERAGE(OFFSET($R$3,0,0,'Données projet'!$E$9+1,1))-AVERAGE(OFFSET($H$3,0,0,'Données projet'!$E$9+1,1))</f>
        <v>291.3013645858839</v>
      </c>
      <c r="T84" s="59">
        <f t="shared" si="88"/>
        <v>332.89241887762438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183.95904931287245</v>
      </c>
      <c r="AA84" s="21">
        <f>EXP(-LN(2)/25)*AA83+(1-EXP(-LN(2)/25))/(LN(2)/25)*Calculateur!V84*Calculateur!X84*VLOOKUP('Données projet'!$B$9,Paramètres!$A$1:$I$89,3,0)*0.475*44/12</f>
        <v>58.667958077284901</v>
      </c>
      <c r="AB84" s="21">
        <f>EXP(-LN(2)/2)*AB83+(1-EXP(-LN(2)/2))/(LN(2)/2)*V84*Y84*VLOOKUP('Données projet'!$B$9,Paramètres!$A$1:$I$89,3,0)*0.475*44/12</f>
        <v>14.841776031288511</v>
      </c>
      <c r="AC84" s="22">
        <f t="shared" si="57"/>
        <v>257.46878342144589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3.4106051316484809E-13</v>
      </c>
      <c r="AJ84" s="13">
        <f>AI84*VLOOKUP('Données projet'!$B$10,Paramètres!$A$1:$I$89,3,0)*VLOOKUP('Données projet'!$B$10,Paramètres!$A$1:$I$89,5,0)</f>
        <v>1.5074874681886286E-13</v>
      </c>
      <c r="AK84" s="13">
        <f t="shared" si="89"/>
        <v>2.1590218794584103E-12</v>
      </c>
      <c r="AL84" s="20">
        <f t="shared" si="58"/>
        <v>4.0228505074329168E-12</v>
      </c>
      <c r="AM84" s="59">
        <f t="shared" si="59"/>
        <v>293.33333333333735</v>
      </c>
      <c r="AN84" s="59">
        <f ca="1">AVERAGE(OFFSET($AM$3,0,0,'Données projet'!$E$10+1,1))-AVERAGE(OFFSET($H$3,0,0,'Données projet'!$E$10+1,1))</f>
        <v>293.17014997061574</v>
      </c>
      <c r="AO84" s="59">
        <f t="shared" si="90"/>
        <v>394.32615745219954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114.29457546873282</v>
      </c>
      <c r="AV84" s="21">
        <f>EXP(-LN(2)/25)*AV83+(1-EXP(-LN(2)/25))/(LN(2)/25)*Calculateur!AQ84*Calculateur!AS84*VLOOKUP('Données projet'!$B$10,Paramètres!$A$1:$I$89,3,0)*0.475*44/12</f>
        <v>31.792208311723442</v>
      </c>
      <c r="AW84" s="21">
        <f>EXP(-LN(2)/2)*AW83+(1-EXP(-LN(2)/2))/(LN(2)/2)*AQ84*AT84*VLOOKUP('Données projet'!$B$10,Paramètres!$A$1:$I$89,3,0)*0.475*44/12</f>
        <v>6.2454699171007955E-3</v>
      </c>
      <c r="AX84" s="21">
        <f t="shared" si="60"/>
        <v>146.09302925037335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>
        <f>VLOOKUP(A84,'Données projet'!$A$87:$I$107,2,0)</f>
        <v>376.97</v>
      </c>
      <c r="BB84" s="12">
        <f>VLOOKUP(A84,'Données projet'!$A$87:$I$107,9,0)</f>
        <v>11.540000000000001</v>
      </c>
      <c r="BC84" s="12">
        <f t="array" ref="BC84">INDEX(BB:BB,MIN(IF(ISNUMBER(BB84:BB280),ROW(BB84:BB280),"")))</f>
        <v>11.540000000000001</v>
      </c>
      <c r="BD84" s="12">
        <f>IF('Données projet'!$A$88&gt;35,BD83+BC84-BL83,IF(A84&lt;'Données projet'!$A$88,$BA$205^A84,IF(A84='Données projet'!$A$88,'Données projet'!$B$88,BD83+BC84-BL83)))</f>
        <v>376.97000000000031</v>
      </c>
      <c r="BE84" s="13">
        <f>BD84*VLOOKUP('Données projet'!$B$11,Paramètres!$A$1:$I$89,3,0)*VLOOKUP('Données projet'!$B$11,Paramètres!$A$1:$I$89,5,0)</f>
        <v>323.44026000000031</v>
      </c>
      <c r="BF84" s="13">
        <f t="shared" si="91"/>
        <v>76.068720560805019</v>
      </c>
      <c r="BG84" s="20">
        <f t="shared" si="61"/>
        <v>695.81147447673584</v>
      </c>
      <c r="BH84" s="59">
        <f t="shared" si="62"/>
        <v>989.1448078100691</v>
      </c>
      <c r="BI84" s="59">
        <f ca="1">AVERAGE(OFFSET($BH$3,0,0,'Données projet'!$E$11+1,1))-AVERAGE(OFFSET($H$3,0,0,'Données projet'!$E$11+1,1))</f>
        <v>395.14818708356353</v>
      </c>
      <c r="BJ84" s="59">
        <f t="shared" si="92"/>
        <v>311.78229491474491</v>
      </c>
      <c r="BK84" s="15">
        <f>IF(ISNA(VLOOKUP(A84,'Données projet'!$A$87:$I$107,3,0)),0,VLOOKUP(A84,'Données projet'!$A$87:$I$107,3,0))</f>
        <v>6</v>
      </c>
      <c r="BL84" s="15">
        <f>IF(ISNA(VLOOKUP(A84,'Données projet'!$A$87:$I$107,4,0)),0,VLOOKUP(A84,'Données projet'!$A$87:$I$107,4,0))</f>
        <v>79.700000000000045</v>
      </c>
      <c r="BM84" s="16">
        <f>IF(ISNA(VLOOKUP(A84,'Données projet'!$A$87:$I$107,5,0)),0%,VLOOKUP(A84,'Données projet'!$A$87:$I$107,5,0)*VLOOKUP('Données projet'!$B$11,Paramètres!$A$1:$I$89,7,0))</f>
        <v>0.159</v>
      </c>
      <c r="BN84" s="16">
        <f>IF(ISNA(VLOOKUP(A84,'Données projet'!$A$87:$I$107,6,0)),0%,VLOOKUP(A84,'Données projet'!$A$87:$I$107,6,0)*VLOOKUP('Données projet'!$B$11,Paramètres!$A$1:$I$89,7,0))</f>
        <v>0.10600000000000001</v>
      </c>
      <c r="BO84" s="16">
        <f>IF(ISNA(VLOOKUP(A84,'Données projet'!$A$87:$I$107,7,0)),0%,VLOOKUP(A84,'Données projet'!$A$87:$I$107,7,0))</f>
        <v>0.2</v>
      </c>
      <c r="BP84" s="21">
        <f>EXP(-LN(2)/35)*BP83+(1-EXP(-LN(2)/35))/(LN(2)/35)*BL84*BM84*VLOOKUP('Données projet'!$B$11,Paramètres!$A$1:$I$89,3,0)*0.475*44/12</f>
        <v>32.076405830778185</v>
      </c>
      <c r="BQ84" s="21">
        <f>EXP(-LN(2)/25)*BQ83+(1-EXP(-LN(2)/25))/(LN(2)/25)*Calculateur!BL84*Calculateur!BN84*VLOOKUP('Données projet'!$B$11,Paramètres!$A$1:$I$89,3,0)*0.475*44/12</f>
        <v>40.005209551263626</v>
      </c>
      <c r="BR84" s="21">
        <f>EXP(-LN(2)/2)*BR83+(1-EXP(-LN(2)/2))/(LN(2)/2)*BL84*BO84*VLOOKUP('Données projet'!$B$11,Paramètres!$A$1:$I$89,3,0)*0.475*44/12</f>
        <v>13.550366848410958</v>
      </c>
      <c r="BS84" s="22">
        <f t="shared" si="63"/>
        <v>85.631982230452763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4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357.73044720459762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1.064108801074326E-13</v>
      </c>
      <c r="P85" s="13">
        <f t="shared" si="87"/>
        <v>1.5870730813698654E-12</v>
      </c>
      <c r="Q85" s="20">
        <f t="shared" si="54"/>
        <v>2.9494845662396269E-12</v>
      </c>
      <c r="R85" s="59">
        <f t="shared" si="55"/>
        <v>293.33333333333627</v>
      </c>
      <c r="S85" s="59">
        <f ca="1">AVERAGE(OFFSET($R$3,0,0,'Données projet'!$E$9+1,1))-AVERAGE(OFFSET($H$3,0,0,'Données projet'!$E$9+1,1))</f>
        <v>291.3013645858839</v>
      </c>
      <c r="T85" s="59">
        <f t="shared" si="88"/>
        <v>332.89241887762438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180.3517245597879</v>
      </c>
      <c r="AA85" s="21">
        <f>EXP(-LN(2)/25)*AA84+(1-EXP(-LN(2)/25))/(LN(2)/25)*Calculateur!V85*Calculateur!X85*VLOOKUP('Données projet'!$B$9,Paramètres!$A$1:$I$89,3,0)*0.475*44/12</f>
        <v>57.06367967844772</v>
      </c>
      <c r="AB85" s="21">
        <f>EXP(-LN(2)/2)*AB84+(1-EXP(-LN(2)/2))/(LN(2)/2)*V85*Y85*VLOOKUP('Données projet'!$B$9,Paramètres!$A$1:$I$89,3,0)*0.475*44/12</f>
        <v>10.494720476576072</v>
      </c>
      <c r="AC85" s="22">
        <f t="shared" si="57"/>
        <v>247.9101247148117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3.4106051316484809E-13</v>
      </c>
      <c r="AJ85" s="13">
        <f>AI85*VLOOKUP('Données projet'!$B$10,Paramètres!$A$1:$I$89,3,0)*VLOOKUP('Données projet'!$B$10,Paramètres!$A$1:$I$89,5,0)</f>
        <v>1.5074874681886286E-13</v>
      </c>
      <c r="AK85" s="13">
        <f t="shared" si="89"/>
        <v>2.1590218794584103E-12</v>
      </c>
      <c r="AL85" s="20">
        <f t="shared" si="58"/>
        <v>4.0228505074329168E-12</v>
      </c>
      <c r="AM85" s="59">
        <f t="shared" si="59"/>
        <v>293.33333333333735</v>
      </c>
      <c r="AN85" s="59">
        <f ca="1">AVERAGE(OFFSET($AM$3,0,0,'Données projet'!$E$10+1,1))-AVERAGE(OFFSET($H$3,0,0,'Données projet'!$E$10+1,1))</f>
        <v>293.17014997061574</v>
      </c>
      <c r="AO85" s="59">
        <f t="shared" si="90"/>
        <v>394.32615745219954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112.05332855659843</v>
      </c>
      <c r="AV85" s="21">
        <f>EXP(-LN(2)/25)*AV84+(1-EXP(-LN(2)/25))/(LN(2)/25)*Calculateur!AQ85*Calculateur!AS85*VLOOKUP('Données projet'!$B$10,Paramètres!$A$1:$I$89,3,0)*0.475*44/12</f>
        <v>30.92284870355979</v>
      </c>
      <c r="AW85" s="21">
        <f>EXP(-LN(2)/2)*AW84+(1-EXP(-LN(2)/2))/(LN(2)/2)*AQ85*AT85*VLOOKUP('Données projet'!$B$10,Paramètres!$A$1:$I$89,3,0)*0.475*44/12</f>
        <v>4.4162141300785572E-3</v>
      </c>
      <c r="AX85" s="21">
        <f t="shared" si="60"/>
        <v>142.9805934742883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10.35777777777778</v>
      </c>
      <c r="BD85" s="12">
        <f>IF('Données projet'!$A$88&gt;35,BD84+BC85-BL84,IF(A85&lt;'Données projet'!$A$88,$BA$205^A85,IF(A85='Données projet'!$A$88,'Données projet'!$B$88,BD84+BC85-BL84)))</f>
        <v>307.62777777777802</v>
      </c>
      <c r="BE85" s="13">
        <f>BD85*VLOOKUP('Données projet'!$B$11,Paramètres!$A$1:$I$89,3,0)*VLOOKUP('Données projet'!$B$11,Paramètres!$A$1:$I$89,5,0)</f>
        <v>263.94463333333357</v>
      </c>
      <c r="BF85" s="13">
        <f t="shared" si="91"/>
        <v>63.562476084052179</v>
      </c>
      <c r="BG85" s="20">
        <f t="shared" si="61"/>
        <v>570.40821556861363</v>
      </c>
      <c r="BH85" s="59">
        <f t="shared" si="62"/>
        <v>863.741548901947</v>
      </c>
      <c r="BI85" s="59">
        <f ca="1">AVERAGE(OFFSET($BH$3,0,0,'Données projet'!$E$11+1,1))-AVERAGE(OFFSET($H$3,0,0,'Données projet'!$E$11+1,1))</f>
        <v>395.14818708356353</v>
      </c>
      <c r="BJ85" s="59">
        <f t="shared" si="92"/>
        <v>311.78229491474491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31.447407077112331</v>
      </c>
      <c r="BQ85" s="21">
        <f>EXP(-LN(2)/25)*BQ84+(1-EXP(-LN(2)/25))/(LN(2)/25)*Calculateur!BL85*Calculateur!BN85*VLOOKUP('Données projet'!$B$11,Paramètres!$A$1:$I$89,3,0)*0.475*44/12</f>
        <v>38.911264992301781</v>
      </c>
      <c r="BR85" s="21">
        <f>EXP(-LN(2)/2)*BR84+(1-EXP(-LN(2)/2))/(LN(2)/2)*BL85*BO85*VLOOKUP('Données projet'!$B$11,Paramètres!$A$1:$I$89,3,0)*0.475*44/12</f>
        <v>9.5815562860767756</v>
      </c>
      <c r="BS85" s="22">
        <f t="shared" si="63"/>
        <v>79.940228355490888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4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358.92998587821728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1.064108801074326E-13</v>
      </c>
      <c r="P86" s="13">
        <f t="shared" si="87"/>
        <v>1.5870730813698654E-12</v>
      </c>
      <c r="Q86" s="20">
        <f t="shared" si="54"/>
        <v>2.9494845662396269E-12</v>
      </c>
      <c r="R86" s="59">
        <f t="shared" si="55"/>
        <v>293.33333333333627</v>
      </c>
      <c r="S86" s="59">
        <f ca="1">AVERAGE(OFFSET($R$3,0,0,'Données projet'!$E$9+1,1))-AVERAGE(OFFSET($H$3,0,0,'Données projet'!$E$9+1,1))</f>
        <v>291.3013645858839</v>
      </c>
      <c r="T86" s="59">
        <f t="shared" si="88"/>
        <v>332.89241887762438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176.81513724486047</v>
      </c>
      <c r="AA86" s="21">
        <f>EXP(-LN(2)/25)*AA85+(1-EXP(-LN(2)/25))/(LN(2)/25)*Calculateur!V86*Calculateur!X86*VLOOKUP('Données projet'!$B$9,Paramètres!$A$1:$I$89,3,0)*0.475*44/12</f>
        <v>55.503270356792072</v>
      </c>
      <c r="AB86" s="21">
        <f>EXP(-LN(2)/2)*AB85+(1-EXP(-LN(2)/2))/(LN(2)/2)*V86*Y86*VLOOKUP('Données projet'!$B$9,Paramètres!$A$1:$I$89,3,0)*0.475*44/12</f>
        <v>7.4208880156442572</v>
      </c>
      <c r="AC86" s="22">
        <f t="shared" si="57"/>
        <v>239.73929561729682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3.4106051316484809E-13</v>
      </c>
      <c r="AJ86" s="13">
        <f>AI86*VLOOKUP('Données projet'!$B$10,Paramètres!$A$1:$I$89,3,0)*VLOOKUP('Données projet'!$B$10,Paramètres!$A$1:$I$89,5,0)</f>
        <v>1.5074874681886286E-13</v>
      </c>
      <c r="AK86" s="13">
        <f t="shared" si="89"/>
        <v>2.1590218794584103E-12</v>
      </c>
      <c r="AL86" s="20">
        <f t="shared" si="58"/>
        <v>4.0228505074329168E-12</v>
      </c>
      <c r="AM86" s="59">
        <f t="shared" si="59"/>
        <v>293.33333333333735</v>
      </c>
      <c r="AN86" s="59">
        <f ca="1">AVERAGE(OFFSET($AM$3,0,0,'Données projet'!$E$10+1,1))-AVERAGE(OFFSET($H$3,0,0,'Données projet'!$E$10+1,1))</f>
        <v>293.17014997061574</v>
      </c>
      <c r="AO86" s="59">
        <f t="shared" si="90"/>
        <v>394.32615745219954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109.85603112938537</v>
      </c>
      <c r="AV86" s="21">
        <f>EXP(-LN(2)/25)*AV85+(1-EXP(-LN(2)/25))/(LN(2)/25)*Calculateur!AQ86*Calculateur!AS86*VLOOKUP('Données projet'!$B$10,Paramètres!$A$1:$I$89,3,0)*0.475*44/12</f>
        <v>30.077261779599009</v>
      </c>
      <c r="AW86" s="21">
        <f>EXP(-LN(2)/2)*AW85+(1-EXP(-LN(2)/2))/(LN(2)/2)*AQ86*AT86*VLOOKUP('Données projet'!$B$10,Paramètres!$A$1:$I$89,3,0)*0.475*44/12</f>
        <v>3.1227349585503977E-3</v>
      </c>
      <c r="AX86" s="21">
        <f t="shared" si="60"/>
        <v>139.93641564394292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10.35777777777778</v>
      </c>
      <c r="BD86" s="12">
        <f>IF('Données projet'!$A$88&gt;35,BD85+BC86-BL85,IF(A86&lt;'Données projet'!$A$88,$BA$205^A86,IF(A86='Données projet'!$A$88,'Données projet'!$B$88,BD85+BC86-BL85)))</f>
        <v>317.98555555555578</v>
      </c>
      <c r="BE86" s="13">
        <f>BD86*VLOOKUP('Données projet'!$B$11,Paramètres!$A$1:$I$89,3,0)*VLOOKUP('Données projet'!$B$11,Paramètres!$A$1:$I$89,5,0)</f>
        <v>272.83160666666686</v>
      </c>
      <c r="BF86" s="13">
        <f t="shared" si="91"/>
        <v>65.449842317166969</v>
      </c>
      <c r="BG86" s="20">
        <f t="shared" si="61"/>
        <v>589.17352364684382</v>
      </c>
      <c r="BH86" s="59">
        <f t="shared" si="62"/>
        <v>882.50685698017719</v>
      </c>
      <c r="BI86" s="59">
        <f ca="1">AVERAGE(OFFSET($BH$3,0,0,'Données projet'!$E$11+1,1))-AVERAGE(OFFSET($H$3,0,0,'Données projet'!$E$11+1,1))</f>
        <v>395.14818708356353</v>
      </c>
      <c r="BJ86" s="59">
        <f t="shared" si="92"/>
        <v>311.78229491474491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30.830742605354505</v>
      </c>
      <c r="BQ86" s="21">
        <f>EXP(-LN(2)/25)*BQ85+(1-EXP(-LN(2)/25))/(LN(2)/25)*Calculateur!BL86*Calculateur!BN86*VLOOKUP('Données projet'!$B$11,Paramètres!$A$1:$I$89,3,0)*0.475*44/12</f>
        <v>37.847234404832797</v>
      </c>
      <c r="BR86" s="21">
        <f>EXP(-LN(2)/2)*BR85+(1-EXP(-LN(2)/2))/(LN(2)/2)*BL86*BO86*VLOOKUP('Données projet'!$B$11,Paramètres!$A$1:$I$89,3,0)*0.475*44/12</f>
        <v>6.7751834242054798</v>
      </c>
      <c r="BS86" s="22">
        <f t="shared" si="63"/>
        <v>75.453160434392785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4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360.12917616411374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1.064108801074326E-13</v>
      </c>
      <c r="P87" s="13">
        <f t="shared" si="87"/>
        <v>1.5870730813698654E-12</v>
      </c>
      <c r="Q87" s="20">
        <f t="shared" si="54"/>
        <v>2.9494845662396269E-12</v>
      </c>
      <c r="R87" s="59">
        <f t="shared" si="55"/>
        <v>293.33333333333627</v>
      </c>
      <c r="S87" s="59">
        <f ca="1">AVERAGE(OFFSET($R$3,0,0,'Données projet'!$E$9+1,1))-AVERAGE(OFFSET($H$3,0,0,'Données projet'!$E$9+1,1))</f>
        <v>291.3013645858839</v>
      </c>
      <c r="T87" s="59">
        <f t="shared" si="88"/>
        <v>332.89241887762438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173.34790025007351</v>
      </c>
      <c r="AA87" s="21">
        <f>EXP(-LN(2)/25)*AA86+(1-EXP(-LN(2)/25))/(LN(2)/25)*Calculateur!V87*Calculateur!X87*VLOOKUP('Données projet'!$B$9,Paramètres!$A$1:$I$89,3,0)*0.475*44/12</f>
        <v>53.985530510095458</v>
      </c>
      <c r="AB87" s="21">
        <f>EXP(-LN(2)/2)*AB86+(1-EXP(-LN(2)/2))/(LN(2)/2)*V87*Y87*VLOOKUP('Données projet'!$B$9,Paramètres!$A$1:$I$89,3,0)*0.475*44/12</f>
        <v>5.2473602382880369</v>
      </c>
      <c r="AC87" s="22">
        <f t="shared" si="57"/>
        <v>232.58079099845699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3.4106051316484809E-13</v>
      </c>
      <c r="AJ87" s="13">
        <f>AI87*VLOOKUP('Données projet'!$B$10,Paramètres!$A$1:$I$89,3,0)*VLOOKUP('Données projet'!$B$10,Paramètres!$A$1:$I$89,5,0)</f>
        <v>1.5074874681886286E-13</v>
      </c>
      <c r="AK87" s="13">
        <f t="shared" si="89"/>
        <v>2.1590218794584103E-12</v>
      </c>
      <c r="AL87" s="20">
        <f t="shared" si="58"/>
        <v>4.0228505074329168E-12</v>
      </c>
      <c r="AM87" s="59">
        <f t="shared" si="59"/>
        <v>293.33333333333735</v>
      </c>
      <c r="AN87" s="59">
        <f ca="1">AVERAGE(OFFSET($AM$3,0,0,'Données projet'!$E$10+1,1))-AVERAGE(OFFSET($H$3,0,0,'Données projet'!$E$10+1,1))</f>
        <v>293.17014997061574</v>
      </c>
      <c r="AO87" s="59">
        <f t="shared" si="90"/>
        <v>394.32615745219954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107.70182136450086</v>
      </c>
      <c r="AV87" s="21">
        <f>EXP(-LN(2)/25)*AV86+(1-EXP(-LN(2)/25))/(LN(2)/25)*Calculateur!AQ87*Calculateur!AS87*VLOOKUP('Données projet'!$B$10,Paramètres!$A$1:$I$89,3,0)*0.475*44/12</f>
        <v>29.254797474541419</v>
      </c>
      <c r="AW87" s="21">
        <f>EXP(-LN(2)/2)*AW86+(1-EXP(-LN(2)/2))/(LN(2)/2)*AQ87*AT87*VLOOKUP('Données projet'!$B$10,Paramètres!$A$1:$I$89,3,0)*0.475*44/12</f>
        <v>2.2081070650392786E-3</v>
      </c>
      <c r="AX87" s="21">
        <f t="shared" si="60"/>
        <v>136.95882694610731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10.35777777777778</v>
      </c>
      <c r="BD87" s="12">
        <f>IF('Données projet'!$A$88&gt;35,BD86+BC87-BL86,IF(A87&lt;'Données projet'!$A$88,$BA$205^A87,IF(A87='Données projet'!$A$88,'Données projet'!$B$88,BD86+BC87-BL86)))</f>
        <v>328.34333333333353</v>
      </c>
      <c r="BE87" s="13">
        <f>BD87*VLOOKUP('Données projet'!$B$11,Paramètres!$A$1:$I$89,3,0)*VLOOKUP('Données projet'!$B$11,Paramètres!$A$1:$I$89,5,0)</f>
        <v>281.7185800000002</v>
      </c>
      <c r="BF87" s="13">
        <f t="shared" si="91"/>
        <v>67.33006479704882</v>
      </c>
      <c r="BG87" s="20">
        <f t="shared" si="61"/>
        <v>607.92638968819369</v>
      </c>
      <c r="BH87" s="59">
        <f t="shared" si="62"/>
        <v>901.25972302152695</v>
      </c>
      <c r="BI87" s="59">
        <f ca="1">AVERAGE(OFFSET($BH$3,0,0,'Données projet'!$E$11+1,1))-AVERAGE(OFFSET($H$3,0,0,'Données projet'!$E$11+1,1))</f>
        <v>395.14818708356353</v>
      </c>
      <c r="BJ87" s="59">
        <f t="shared" si="92"/>
        <v>311.78229491474491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30.226170547759665</v>
      </c>
      <c r="BQ87" s="21">
        <f>EXP(-LN(2)/25)*BQ86+(1-EXP(-LN(2)/25))/(LN(2)/25)*Calculateur!BL87*Calculateur!BN87*VLOOKUP('Données projet'!$B$11,Paramètres!$A$1:$I$89,3,0)*0.475*44/12</f>
        <v>36.812299789733089</v>
      </c>
      <c r="BR87" s="21">
        <f>EXP(-LN(2)/2)*BR86+(1-EXP(-LN(2)/2))/(LN(2)/2)*BL87*BO87*VLOOKUP('Données projet'!$B$11,Paramètres!$A$1:$I$89,3,0)*0.475*44/12</f>
        <v>4.7907781430383887</v>
      </c>
      <c r="BS87" s="22">
        <f t="shared" si="63"/>
        <v>71.829248480531149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4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361.32802268953901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1.064108801074326E-13</v>
      </c>
      <c r="P88" s="13">
        <f t="shared" si="87"/>
        <v>1.5870730813698654E-12</v>
      </c>
      <c r="Q88" s="20">
        <f t="shared" si="54"/>
        <v>2.9494845662396269E-12</v>
      </c>
      <c r="R88" s="59">
        <f t="shared" si="55"/>
        <v>293.33333333333627</v>
      </c>
      <c r="S88" s="59">
        <f ca="1">AVERAGE(OFFSET($R$3,0,0,'Données projet'!$E$9+1,1))-AVERAGE(OFFSET($H$3,0,0,'Données projet'!$E$9+1,1))</f>
        <v>291.3013645858839</v>
      </c>
      <c r="T88" s="59">
        <f t="shared" si="88"/>
        <v>332.89241887762438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169.94865365794857</v>
      </c>
      <c r="AA88" s="21">
        <f>EXP(-LN(2)/25)*AA87+(1-EXP(-LN(2)/25))/(LN(2)/25)*Calculateur!V88*Calculateur!X88*VLOOKUP('Données projet'!$B$9,Paramètres!$A$1:$I$89,3,0)*0.475*44/12</f>
        <v>52.509293339321232</v>
      </c>
      <c r="AB88" s="21">
        <f>EXP(-LN(2)/2)*AB87+(1-EXP(-LN(2)/2))/(LN(2)/2)*V88*Y88*VLOOKUP('Données projet'!$B$9,Paramètres!$A$1:$I$89,3,0)*0.475*44/12</f>
        <v>3.710444007822129</v>
      </c>
      <c r="AC88" s="22">
        <f t="shared" si="57"/>
        <v>226.16839100509193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3.4106051316484809E-13</v>
      </c>
      <c r="AJ88" s="13">
        <f>AI88*VLOOKUP('Données projet'!$B$10,Paramètres!$A$1:$I$89,3,0)*VLOOKUP('Données projet'!$B$10,Paramètres!$A$1:$I$89,5,0)</f>
        <v>1.5074874681886286E-13</v>
      </c>
      <c r="AK88" s="13">
        <f t="shared" si="89"/>
        <v>2.1590218794584103E-12</v>
      </c>
      <c r="AL88" s="20">
        <f t="shared" si="58"/>
        <v>4.0228505074329168E-12</v>
      </c>
      <c r="AM88" s="59">
        <f t="shared" si="59"/>
        <v>293.33333333333735</v>
      </c>
      <c r="AN88" s="59">
        <f ca="1">AVERAGE(OFFSET($AM$3,0,0,'Données projet'!$E$10+1,1))-AVERAGE(OFFSET($H$3,0,0,'Données projet'!$E$10+1,1))</f>
        <v>293.17014997061574</v>
      </c>
      <c r="AO88" s="59">
        <f t="shared" si="90"/>
        <v>394.32615745219954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105.58985433916752</v>
      </c>
      <c r="AV88" s="21">
        <f>EXP(-LN(2)/25)*AV87+(1-EXP(-LN(2)/25))/(LN(2)/25)*Calculateur!AQ88*Calculateur!AS88*VLOOKUP('Données projet'!$B$10,Paramètres!$A$1:$I$89,3,0)*0.475*44/12</f>
        <v>28.454823499157147</v>
      </c>
      <c r="AW88" s="21">
        <f>EXP(-LN(2)/2)*AW87+(1-EXP(-LN(2)/2))/(LN(2)/2)*AQ88*AT88*VLOOKUP('Données projet'!$B$10,Paramètres!$A$1:$I$89,3,0)*0.475*44/12</f>
        <v>1.5613674792751989E-3</v>
      </c>
      <c r="AX88" s="21">
        <f t="shared" si="60"/>
        <v>134.04623920580394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10.35777777777778</v>
      </c>
      <c r="BD88" s="12">
        <f>IF('Données projet'!$A$88&gt;35,BD87+BC88-BL87,IF(A88&lt;'Données projet'!$A$88,$BA$205^A88,IF(A88='Données projet'!$A$88,'Données projet'!$B$88,BD87+BC88-BL87)))</f>
        <v>338.70111111111129</v>
      </c>
      <c r="BE88" s="13">
        <f>BD88*VLOOKUP('Données projet'!$B$11,Paramètres!$A$1:$I$89,3,0)*VLOOKUP('Données projet'!$B$11,Paramètres!$A$1:$I$89,5,0)</f>
        <v>290.60555333333349</v>
      </c>
      <c r="BF88" s="13">
        <f t="shared" si="91"/>
        <v>69.203394731867135</v>
      </c>
      <c r="BG88" s="20">
        <f t="shared" si="61"/>
        <v>626.66725121355773</v>
      </c>
      <c r="BH88" s="59">
        <f t="shared" si="62"/>
        <v>920.0005845468911</v>
      </c>
      <c r="BI88" s="59">
        <f ca="1">AVERAGE(OFFSET($BH$3,0,0,'Données projet'!$E$11+1,1))-AVERAGE(OFFSET($H$3,0,0,'Données projet'!$E$11+1,1))</f>
        <v>395.14818708356353</v>
      </c>
      <c r="BJ88" s="59">
        <f t="shared" si="92"/>
        <v>311.78229491474491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29.633453779461714</v>
      </c>
      <c r="BQ88" s="21">
        <f>EXP(-LN(2)/25)*BQ87+(1-EXP(-LN(2)/25))/(LN(2)/25)*Calculateur!BL88*Calculateur!BN88*VLOOKUP('Données projet'!$B$11,Paramètres!$A$1:$I$89,3,0)*0.475*44/12</f>
        <v>35.805665516108128</v>
      </c>
      <c r="BR88" s="21">
        <f>EXP(-LN(2)/2)*BR87+(1-EXP(-LN(2)/2))/(LN(2)/2)*BL88*BO88*VLOOKUP('Données projet'!$B$11,Paramètres!$A$1:$I$89,3,0)*0.475*44/12</f>
        <v>3.3875917121027408</v>
      </c>
      <c r="BS88" s="22">
        <f t="shared" si="63"/>
        <v>68.826711007672586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4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362.52652996660277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1.064108801074326E-13</v>
      </c>
      <c r="P89" s="13">
        <f t="shared" si="87"/>
        <v>1.5870730813698654E-12</v>
      </c>
      <c r="Q89" s="20">
        <f t="shared" si="54"/>
        <v>2.9494845662396269E-12</v>
      </c>
      <c r="R89" s="59">
        <f t="shared" si="55"/>
        <v>293.33333333333627</v>
      </c>
      <c r="S89" s="59">
        <f ca="1">AVERAGE(OFFSET($R$3,0,0,'Données projet'!$E$9+1,1))-AVERAGE(OFFSET($H$3,0,0,'Données projet'!$E$9+1,1))</f>
        <v>291.3013645858839</v>
      </c>
      <c r="T89" s="59">
        <f t="shared" si="88"/>
        <v>332.89241887762438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166.61606421815949</v>
      </c>
      <c r="AA89" s="21">
        <f>EXP(-LN(2)/25)*AA88+(1-EXP(-LN(2)/25))/(LN(2)/25)*Calculateur!V89*Calculateur!X89*VLOOKUP('Données projet'!$B$9,Paramètres!$A$1:$I$89,3,0)*0.475*44/12</f>
        <v>51.073423951613769</v>
      </c>
      <c r="AB89" s="21">
        <f>EXP(-LN(2)/2)*AB88+(1-EXP(-LN(2)/2))/(LN(2)/2)*V89*Y89*VLOOKUP('Données projet'!$B$9,Paramètres!$A$1:$I$89,3,0)*0.475*44/12</f>
        <v>2.6236801191440189</v>
      </c>
      <c r="AC89" s="22">
        <f t="shared" si="57"/>
        <v>220.31316828891727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3.4106051316484809E-13</v>
      </c>
      <c r="AJ89" s="13">
        <f>AI89*VLOOKUP('Données projet'!$B$10,Paramètres!$A$1:$I$89,3,0)*VLOOKUP('Données projet'!$B$10,Paramètres!$A$1:$I$89,5,0)</f>
        <v>1.5074874681886286E-13</v>
      </c>
      <c r="AK89" s="13">
        <f t="shared" si="89"/>
        <v>2.1590218794584103E-12</v>
      </c>
      <c r="AL89" s="20">
        <f t="shared" si="58"/>
        <v>4.0228505074329168E-12</v>
      </c>
      <c r="AM89" s="59">
        <f t="shared" si="59"/>
        <v>293.33333333333735</v>
      </c>
      <c r="AN89" s="59">
        <f ca="1">AVERAGE(OFFSET($AM$3,0,0,'Données projet'!$E$10+1,1))-AVERAGE(OFFSET($H$3,0,0,'Données projet'!$E$10+1,1))</f>
        <v>293.17014997061574</v>
      </c>
      <c r="AO89" s="59">
        <f t="shared" si="90"/>
        <v>394.32615745219954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103.51930169902828</v>
      </c>
      <c r="AV89" s="21">
        <f>EXP(-LN(2)/25)*AV88+(1-EXP(-LN(2)/25))/(LN(2)/25)*Calculateur!AQ89*Calculateur!AS89*VLOOKUP('Données projet'!$B$10,Paramètres!$A$1:$I$89,3,0)*0.475*44/12</f>
        <v>27.676724854198561</v>
      </c>
      <c r="AW89" s="21">
        <f>EXP(-LN(2)/2)*AW88+(1-EXP(-LN(2)/2))/(LN(2)/2)*AQ89*AT89*VLOOKUP('Données projet'!$B$10,Paramètres!$A$1:$I$89,3,0)*0.475*44/12</f>
        <v>1.1040535325196393E-3</v>
      </c>
      <c r="AX89" s="21">
        <f t="shared" si="60"/>
        <v>131.19713060675934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10.35777777777778</v>
      </c>
      <c r="BD89" s="12">
        <f>IF('Données projet'!$A$88&gt;35,BD88+BC89-BL88,IF(A89&lt;'Données projet'!$A$88,$BA$205^A89,IF(A89='Données projet'!$A$88,'Données projet'!$B$88,BD88+BC89-BL88)))</f>
        <v>349.05888888888904</v>
      </c>
      <c r="BE89" s="13">
        <f>BD89*VLOOKUP('Données projet'!$B$11,Paramètres!$A$1:$I$89,3,0)*VLOOKUP('Données projet'!$B$11,Paramètres!$A$1:$I$89,5,0)</f>
        <v>299.49252666666683</v>
      </c>
      <c r="BF89" s="13">
        <f t="shared" si="91"/>
        <v>71.070067092483185</v>
      </c>
      <c r="BG89" s="20">
        <f t="shared" si="61"/>
        <v>645.39651746385289</v>
      </c>
      <c r="BH89" s="59">
        <f t="shared" si="62"/>
        <v>938.72985079718615</v>
      </c>
      <c r="BI89" s="59">
        <f ca="1">AVERAGE(OFFSET($BH$3,0,0,'Données projet'!$E$11+1,1))-AVERAGE(OFFSET($H$3,0,0,'Données projet'!$E$11+1,1))</f>
        <v>395.14818708356353</v>
      </c>
      <c r="BJ89" s="59">
        <f t="shared" si="92"/>
        <v>311.78229491474491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29.052359825468553</v>
      </c>
      <c r="BQ89" s="21">
        <f>EXP(-LN(2)/25)*BQ88+(1-EXP(-LN(2)/25))/(LN(2)/25)*Calculateur!BL89*Calculateur!BN89*VLOOKUP('Données projet'!$B$11,Paramètres!$A$1:$I$89,3,0)*0.475*44/12</f>
        <v>34.826557709632034</v>
      </c>
      <c r="BR89" s="21">
        <f>EXP(-LN(2)/2)*BR88+(1-EXP(-LN(2)/2))/(LN(2)/2)*BL89*BO89*VLOOKUP('Données projet'!$B$11,Paramètres!$A$1:$I$89,3,0)*0.475*44/12</f>
        <v>2.3953890715191948</v>
      </c>
      <c r="BS89" s="22">
        <f t="shared" si="63"/>
        <v>66.274306606619774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4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363.72470239644252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1.064108801074326E-13</v>
      </c>
      <c r="P90" s="13">
        <f t="shared" si="87"/>
        <v>1.5870730813698654E-12</v>
      </c>
      <c r="Q90" s="20">
        <f t="shared" si="54"/>
        <v>2.9494845662396269E-12</v>
      </c>
      <c r="R90" s="59">
        <f t="shared" si="55"/>
        <v>293.33333333333627</v>
      </c>
      <c r="S90" s="59">
        <f ca="1">AVERAGE(OFFSET($R$3,0,0,'Données projet'!$E$9+1,1))-AVERAGE(OFFSET($H$3,0,0,'Données projet'!$E$9+1,1))</f>
        <v>291.3013645858839</v>
      </c>
      <c r="T90" s="59">
        <f t="shared" si="88"/>
        <v>332.89241887762438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163.34882482460586</v>
      </c>
      <c r="AA90" s="21">
        <f>EXP(-LN(2)/25)*AA89+(1-EXP(-LN(2)/25))/(LN(2)/25)*Calculateur!V90*Calculateur!X90*VLOOKUP('Données projet'!$B$9,Paramètres!$A$1:$I$89,3,0)*0.475*44/12</f>
        <v>49.676818487822253</v>
      </c>
      <c r="AB90" s="21">
        <f>EXP(-LN(2)/2)*AB89+(1-EXP(-LN(2)/2))/(LN(2)/2)*V90*Y90*VLOOKUP('Données projet'!$B$9,Paramètres!$A$1:$I$89,3,0)*0.475*44/12</f>
        <v>1.8552220039110647</v>
      </c>
      <c r="AC90" s="22">
        <f t="shared" si="57"/>
        <v>214.88086531633917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3.4106051316484809E-13</v>
      </c>
      <c r="AJ90" s="13">
        <f>AI90*VLOOKUP('Données projet'!$B$10,Paramètres!$A$1:$I$89,3,0)*VLOOKUP('Données projet'!$B$10,Paramètres!$A$1:$I$89,5,0)</f>
        <v>1.5074874681886286E-13</v>
      </c>
      <c r="AK90" s="13">
        <f t="shared" si="89"/>
        <v>2.1590218794584103E-12</v>
      </c>
      <c r="AL90" s="20">
        <f t="shared" si="58"/>
        <v>4.0228505074329168E-12</v>
      </c>
      <c r="AM90" s="59">
        <f t="shared" si="59"/>
        <v>293.33333333333735</v>
      </c>
      <c r="AN90" s="59">
        <f ca="1">AVERAGE(OFFSET($AM$3,0,0,'Données projet'!$E$10+1,1))-AVERAGE(OFFSET($H$3,0,0,'Données projet'!$E$10+1,1))</f>
        <v>293.17014997061574</v>
      </c>
      <c r="AO90" s="59">
        <f t="shared" si="90"/>
        <v>394.32615745219954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101.48935133324976</v>
      </c>
      <c r="AV90" s="21">
        <f>EXP(-LN(2)/25)*AV89+(1-EXP(-LN(2)/25))/(LN(2)/25)*Calculateur!AQ90*Calculateur!AS90*VLOOKUP('Données projet'!$B$10,Paramètres!$A$1:$I$89,3,0)*0.475*44/12</f>
        <v>26.919903357604799</v>
      </c>
      <c r="AW90" s="21">
        <f>EXP(-LN(2)/2)*AW89+(1-EXP(-LN(2)/2))/(LN(2)/2)*AQ90*AT90*VLOOKUP('Données projet'!$B$10,Paramètres!$A$1:$I$89,3,0)*0.475*44/12</f>
        <v>7.8068373963759944E-4</v>
      </c>
      <c r="AX90" s="21">
        <f t="shared" si="60"/>
        <v>128.4100353745942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10.35777777777778</v>
      </c>
      <c r="BD90" s="12">
        <f>IF('Données projet'!$A$88&gt;35,BD89+BC90-BL89,IF(A90&lt;'Données projet'!$A$88,$BA$205^A90,IF(A90='Données projet'!$A$88,'Données projet'!$B$88,BD89+BC90-BL89)))</f>
        <v>359.4166666666668</v>
      </c>
      <c r="BE90" s="13">
        <f>BD90*VLOOKUP('Données projet'!$B$11,Paramètres!$A$1:$I$89,3,0)*VLOOKUP('Données projet'!$B$11,Paramètres!$A$1:$I$89,5,0)</f>
        <v>308.37950000000018</v>
      </c>
      <c r="BF90" s="13">
        <f t="shared" si="91"/>
        <v>72.930302112287521</v>
      </c>
      <c r="BG90" s="20">
        <f t="shared" si="61"/>
        <v>664.11457201223436</v>
      </c>
      <c r="BH90" s="59">
        <f t="shared" si="62"/>
        <v>957.44790534556773</v>
      </c>
      <c r="BI90" s="59">
        <f ca="1">AVERAGE(OFFSET($BH$3,0,0,'Données projet'!$E$11+1,1))-AVERAGE(OFFSET($H$3,0,0,'Données projet'!$E$11+1,1))</f>
        <v>395.14818708356353</v>
      </c>
      <c r="BJ90" s="59">
        <f t="shared" si="92"/>
        <v>311.78229491474491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28.482660769480884</v>
      </c>
      <c r="BQ90" s="21">
        <f>EXP(-LN(2)/25)*BQ89+(1-EXP(-LN(2)/25))/(LN(2)/25)*Calculateur!BL90*Calculateur!BN90*VLOOKUP('Données projet'!$B$11,Paramètres!$A$1:$I$89,3,0)*0.475*44/12</f>
        <v>33.874223657613072</v>
      </c>
      <c r="BR90" s="21">
        <f>EXP(-LN(2)/2)*BR89+(1-EXP(-LN(2)/2))/(LN(2)/2)*BL90*BO90*VLOOKUP('Données projet'!$B$11,Paramètres!$A$1:$I$89,3,0)*0.475*44/12</f>
        <v>1.6937958560513706</v>
      </c>
      <c r="BS90" s="22">
        <f t="shared" si="63"/>
        <v>64.050680283145326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4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364.92254427319637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1.064108801074326E-13</v>
      </c>
      <c r="P91" s="13">
        <f t="shared" si="87"/>
        <v>1.5870730813698654E-12</v>
      </c>
      <c r="Q91" s="20">
        <f t="shared" si="54"/>
        <v>2.9494845662396269E-12</v>
      </c>
      <c r="R91" s="59">
        <f t="shared" si="55"/>
        <v>293.33333333333627</v>
      </c>
      <c r="S91" s="59">
        <f ca="1">AVERAGE(OFFSET($R$3,0,0,'Données projet'!$E$9+1,1))-AVERAGE(OFFSET($H$3,0,0,'Données projet'!$E$9+1,1))</f>
        <v>291.3013645858839</v>
      </c>
      <c r="T91" s="59">
        <f t="shared" si="88"/>
        <v>332.89241887762438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160.14565400274054</v>
      </c>
      <c r="AA91" s="21">
        <f>EXP(-LN(2)/25)*AA90+(1-EXP(-LN(2)/25))/(LN(2)/25)*Calculateur!V91*Calculateur!X91*VLOOKUP('Données projet'!$B$9,Paramètres!$A$1:$I$89,3,0)*0.475*44/12</f>
        <v>48.31840327388241</v>
      </c>
      <c r="AB91" s="21">
        <f>EXP(-LN(2)/2)*AB90+(1-EXP(-LN(2)/2))/(LN(2)/2)*V91*Y91*VLOOKUP('Données projet'!$B$9,Paramètres!$A$1:$I$89,3,0)*0.475*44/12</f>
        <v>1.3118400595720097</v>
      </c>
      <c r="AC91" s="22">
        <f t="shared" si="57"/>
        <v>209.77589733619496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3.4106051316484809E-13</v>
      </c>
      <c r="AJ91" s="13">
        <f>AI91*VLOOKUP('Données projet'!$B$10,Paramètres!$A$1:$I$89,3,0)*VLOOKUP('Données projet'!$B$10,Paramètres!$A$1:$I$89,5,0)</f>
        <v>1.5074874681886286E-13</v>
      </c>
      <c r="AK91" s="13">
        <f t="shared" si="89"/>
        <v>2.1590218794584103E-12</v>
      </c>
      <c r="AL91" s="20">
        <f t="shared" si="58"/>
        <v>4.0228505074329168E-12</v>
      </c>
      <c r="AM91" s="59">
        <f t="shared" si="59"/>
        <v>293.33333333333735</v>
      </c>
      <c r="AN91" s="59">
        <f ca="1">AVERAGE(OFFSET($AM$3,0,0,'Données projet'!$E$10+1,1))-AVERAGE(OFFSET($H$3,0,0,'Données projet'!$E$10+1,1))</f>
        <v>293.17014997061574</v>
      </c>
      <c r="AO91" s="59">
        <f t="shared" si="90"/>
        <v>394.32615745219954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99.499207055996692</v>
      </c>
      <c r="AV91" s="21">
        <f>EXP(-LN(2)/25)*AV90+(1-EXP(-LN(2)/25))/(LN(2)/25)*Calculateur!AQ91*Calculateur!AS91*VLOOKUP('Données projet'!$B$10,Paramètres!$A$1:$I$89,3,0)*0.475*44/12</f>
        <v>26.183777184634906</v>
      </c>
      <c r="AW91" s="21">
        <f>EXP(-LN(2)/2)*AW90+(1-EXP(-LN(2)/2))/(LN(2)/2)*AQ91*AT91*VLOOKUP('Données projet'!$B$10,Paramètres!$A$1:$I$89,3,0)*0.475*44/12</f>
        <v>5.5202676625981965E-4</v>
      </c>
      <c r="AX91" s="21">
        <f t="shared" si="60"/>
        <v>125.68353626739786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10.35777777777778</v>
      </c>
      <c r="BD91" s="12">
        <f>IF('Données projet'!$A$88&gt;35,BD90+BC91-BL90,IF(A91&lt;'Données projet'!$A$88,$BA$205^A91,IF(A91='Données projet'!$A$88,'Données projet'!$B$88,BD90+BC91-BL90)))</f>
        <v>369.77444444444455</v>
      </c>
      <c r="BE91" s="13">
        <f>BD91*VLOOKUP('Données projet'!$B$11,Paramètres!$A$1:$I$89,3,0)*VLOOKUP('Données projet'!$B$11,Paramètres!$A$1:$I$89,5,0)</f>
        <v>317.26647333333347</v>
      </c>
      <c r="BF91" s="13">
        <f t="shared" si="91"/>
        <v>74.784306609288123</v>
      </c>
      <c r="BG91" s="20">
        <f t="shared" si="61"/>
        <v>682.82177506673258</v>
      </c>
      <c r="BH91" s="59">
        <f t="shared" si="62"/>
        <v>976.15510840006596</v>
      </c>
      <c r="BI91" s="59">
        <f ca="1">AVERAGE(OFFSET($BH$3,0,0,'Données projet'!$E$11+1,1))-AVERAGE(OFFSET($H$3,0,0,'Données projet'!$E$11+1,1))</f>
        <v>395.14818708356353</v>
      </c>
      <c r="BJ91" s="59">
        <f t="shared" si="92"/>
        <v>311.78229491474491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27.924133164499022</v>
      </c>
      <c r="BQ91" s="21">
        <f>EXP(-LN(2)/25)*BQ90+(1-EXP(-LN(2)/25))/(LN(2)/25)*Calculateur!BL91*Calculateur!BN91*VLOOKUP('Données projet'!$B$11,Paramètres!$A$1:$I$89,3,0)*0.475*44/12</f>
        <v>32.94793123032764</v>
      </c>
      <c r="BR91" s="21">
        <f>EXP(-LN(2)/2)*BR90+(1-EXP(-LN(2)/2))/(LN(2)/2)*BL91*BO91*VLOOKUP('Données projet'!$B$11,Paramètres!$A$1:$I$89,3,0)*0.475*44/12</f>
        <v>1.1976945357595976</v>
      </c>
      <c r="BS91" s="22">
        <f t="shared" si="63"/>
        <v>62.069758930586261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4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366.12005978779001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1.064108801074326E-13</v>
      </c>
      <c r="P92" s="13">
        <f t="shared" si="87"/>
        <v>1.5870730813698654E-12</v>
      </c>
      <c r="Q92" s="20">
        <f t="shared" si="54"/>
        <v>2.9494845662396269E-12</v>
      </c>
      <c r="R92" s="59">
        <f t="shared" si="55"/>
        <v>293.33333333333627</v>
      </c>
      <c r="S92" s="59">
        <f ca="1">AVERAGE(OFFSET($R$3,0,0,'Données projet'!$E$9+1,1))-AVERAGE(OFFSET($H$3,0,0,'Données projet'!$E$9+1,1))</f>
        <v>291.3013645858839</v>
      </c>
      <c r="T92" s="59">
        <f t="shared" si="88"/>
        <v>332.89241887762438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157.00529540695072</v>
      </c>
      <c r="AA92" s="21">
        <f>EXP(-LN(2)/25)*AA91+(1-EXP(-LN(2)/25))/(LN(2)/25)*Calculateur!V92*Calculateur!X92*VLOOKUP('Données projet'!$B$9,Paramètres!$A$1:$I$89,3,0)*0.475*44/12</f>
        <v>46.997133995403701</v>
      </c>
      <c r="AB92" s="21">
        <f>EXP(-LN(2)/2)*AB91+(1-EXP(-LN(2)/2))/(LN(2)/2)*V92*Y92*VLOOKUP('Données projet'!$B$9,Paramètres!$A$1:$I$89,3,0)*0.475*44/12</f>
        <v>0.92761100195553259</v>
      </c>
      <c r="AC92" s="22">
        <f t="shared" si="57"/>
        <v>204.93004040430998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3.4106051316484809E-13</v>
      </c>
      <c r="AJ92" s="13">
        <f>AI92*VLOOKUP('Données projet'!$B$10,Paramètres!$A$1:$I$89,3,0)*VLOOKUP('Données projet'!$B$10,Paramètres!$A$1:$I$89,5,0)</f>
        <v>1.5074874681886286E-13</v>
      </c>
      <c r="AK92" s="13">
        <f t="shared" si="89"/>
        <v>2.1590218794584103E-12</v>
      </c>
      <c r="AL92" s="20">
        <f t="shared" si="58"/>
        <v>4.0228505074329168E-12</v>
      </c>
      <c r="AM92" s="59">
        <f t="shared" si="59"/>
        <v>293.33333333333735</v>
      </c>
      <c r="AN92" s="59">
        <f ca="1">AVERAGE(OFFSET($AM$3,0,0,'Données projet'!$E$10+1,1))-AVERAGE(OFFSET($H$3,0,0,'Données projet'!$E$10+1,1))</f>
        <v>293.17014997061574</v>
      </c>
      <c r="AO92" s="59">
        <f t="shared" si="90"/>
        <v>394.32615745219954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97.548088294152407</v>
      </c>
      <c r="AV92" s="21">
        <f>EXP(-LN(2)/25)*AV91+(1-EXP(-LN(2)/25))/(LN(2)/25)*Calculateur!AQ92*Calculateur!AS92*VLOOKUP('Données projet'!$B$10,Paramètres!$A$1:$I$89,3,0)*0.475*44/12</f>
        <v>25.467780420576066</v>
      </c>
      <c r="AW92" s="21">
        <f>EXP(-LN(2)/2)*AW91+(1-EXP(-LN(2)/2))/(LN(2)/2)*AQ92*AT92*VLOOKUP('Données projet'!$B$10,Paramètres!$A$1:$I$89,3,0)*0.475*44/12</f>
        <v>3.9034186981879972E-4</v>
      </c>
      <c r="AX92" s="21">
        <f t="shared" si="60"/>
        <v>123.01625905659829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10.35777777777778</v>
      </c>
      <c r="BD92" s="12">
        <f>IF('Données projet'!$A$88&gt;35,BD91+BC92-BL91,IF(A92&lt;'Données projet'!$A$88,$BA$205^A92,IF(A92='Données projet'!$A$88,'Données projet'!$B$88,BD91+BC92-BL91)))</f>
        <v>380.13222222222231</v>
      </c>
      <c r="BE92" s="13">
        <f>BD92*VLOOKUP('Données projet'!$B$11,Paramètres!$A$1:$I$89,3,0)*VLOOKUP('Données projet'!$B$11,Paramètres!$A$1:$I$89,5,0)</f>
        <v>326.15344666666681</v>
      </c>
      <c r="BF92" s="13">
        <f t="shared" si="91"/>
        <v>76.632275155901951</v>
      </c>
      <c r="BG92" s="20">
        <f t="shared" si="61"/>
        <v>701.5184655076406</v>
      </c>
      <c r="BH92" s="59">
        <f t="shared" si="62"/>
        <v>994.85179884097397</v>
      </c>
      <c r="BI92" s="59">
        <f ca="1">AVERAGE(OFFSET($BH$3,0,0,'Données projet'!$E$11+1,1))-AVERAGE(OFFSET($H$3,0,0,'Données projet'!$E$11+1,1))</f>
        <v>395.14818708356353</v>
      </c>
      <c r="BJ92" s="59">
        <f t="shared" si="92"/>
        <v>311.78229491474491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27.37655794518265</v>
      </c>
      <c r="BQ92" s="21">
        <f>EXP(-LN(2)/25)*BQ91+(1-EXP(-LN(2)/25))/(LN(2)/25)*Calculateur!BL92*Calculateur!BN92*VLOOKUP('Données projet'!$B$11,Paramètres!$A$1:$I$89,3,0)*0.475*44/12</f>
        <v>32.046968318177932</v>
      </c>
      <c r="BR92" s="21">
        <f>EXP(-LN(2)/2)*BR91+(1-EXP(-LN(2)/2))/(LN(2)/2)*BL92*BO92*VLOOKUP('Données projet'!$B$11,Paramètres!$A$1:$I$89,3,0)*0.475*44/12</f>
        <v>0.84689792802568542</v>
      </c>
      <c r="BS92" s="22">
        <f t="shared" si="63"/>
        <v>60.270424191386269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4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367.31725303154894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1.064108801074326E-13</v>
      </c>
      <c r="P93" s="13">
        <f t="shared" si="87"/>
        <v>1.5870730813698654E-12</v>
      </c>
      <c r="Q93" s="20">
        <f t="shared" si="54"/>
        <v>2.9494845662396269E-12</v>
      </c>
      <c r="R93" s="59">
        <f t="shared" si="55"/>
        <v>293.33333333333627</v>
      </c>
      <c r="S93" s="59">
        <f ca="1">AVERAGE(OFFSET($R$3,0,0,'Données projet'!$E$9+1,1))-AVERAGE(OFFSET($H$3,0,0,'Données projet'!$E$9+1,1))</f>
        <v>291.3013645858839</v>
      </c>
      <c r="T93" s="59">
        <f t="shared" si="88"/>
        <v>332.89241887762438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153.92651732779473</v>
      </c>
      <c r="AA93" s="21">
        <f>EXP(-LN(2)/25)*AA92+(1-EXP(-LN(2)/25))/(LN(2)/25)*Calculateur!V93*Calculateur!X93*VLOOKUP('Données projet'!$B$9,Paramètres!$A$1:$I$89,3,0)*0.475*44/12</f>
        <v>45.711994894827527</v>
      </c>
      <c r="AB93" s="21">
        <f>EXP(-LN(2)/2)*AB92+(1-EXP(-LN(2)/2))/(LN(2)/2)*V93*Y93*VLOOKUP('Données projet'!$B$9,Paramètres!$A$1:$I$89,3,0)*0.475*44/12</f>
        <v>0.65592002978600494</v>
      </c>
      <c r="AC93" s="22">
        <f t="shared" si="57"/>
        <v>200.29443225240826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3.4106051316484809E-13</v>
      </c>
      <c r="AJ93" s="13">
        <f>AI93*VLOOKUP('Données projet'!$B$10,Paramètres!$A$1:$I$89,3,0)*VLOOKUP('Données projet'!$B$10,Paramètres!$A$1:$I$89,5,0)</f>
        <v>1.5074874681886286E-13</v>
      </c>
      <c r="AK93" s="13">
        <f t="shared" si="89"/>
        <v>2.1590218794584103E-12</v>
      </c>
      <c r="AL93" s="20">
        <f t="shared" si="58"/>
        <v>4.0228505074329168E-12</v>
      </c>
      <c r="AM93" s="59">
        <f t="shared" si="59"/>
        <v>293.33333333333735</v>
      </c>
      <c r="AN93" s="59">
        <f ca="1">AVERAGE(OFFSET($AM$3,0,0,'Données projet'!$E$10+1,1))-AVERAGE(OFFSET($H$3,0,0,'Données projet'!$E$10+1,1))</f>
        <v>293.17014997061574</v>
      </c>
      <c r="AO93" s="59">
        <f t="shared" si="90"/>
        <v>394.32615745219954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95.635229781162948</v>
      </c>
      <c r="AV93" s="21">
        <f>EXP(-LN(2)/25)*AV92+(1-EXP(-LN(2)/25))/(LN(2)/25)*Calculateur!AQ93*Calculateur!AS93*VLOOKUP('Données projet'!$B$10,Paramètres!$A$1:$I$89,3,0)*0.475*44/12</f>
        <v>24.77136262568305</v>
      </c>
      <c r="AW93" s="21">
        <f>EXP(-LN(2)/2)*AW92+(1-EXP(-LN(2)/2))/(LN(2)/2)*AQ93*AT93*VLOOKUP('Données projet'!$B$10,Paramètres!$A$1:$I$89,3,0)*0.475*44/12</f>
        <v>2.7601338312990983E-4</v>
      </c>
      <c r="AX93" s="21">
        <f t="shared" si="60"/>
        <v>120.40686842022913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390.49</v>
      </c>
      <c r="BB93" s="12">
        <f>VLOOKUP(A93,'Données projet'!$A$87:$I$107,9,0)</f>
        <v>10.35777777777778</v>
      </c>
      <c r="BC93" s="12">
        <f t="array" ref="BC93">INDEX(BB:BB,MIN(IF(ISNUMBER(BB93:BB289),ROW(BB93:BB289),"")))</f>
        <v>10.35777777777778</v>
      </c>
      <c r="BD93" s="12">
        <f>IF('Données projet'!$A$88&gt;35,BD92+BC93-BL92,IF(A93&lt;'Données projet'!$A$88,$BA$205^A93,IF(A93='Données projet'!$A$88,'Données projet'!$B$88,BD92+BC93-BL92)))</f>
        <v>390.49000000000007</v>
      </c>
      <c r="BE93" s="13">
        <f>BD93*VLOOKUP('Données projet'!$B$11,Paramètres!$A$1:$I$89,3,0)*VLOOKUP('Données projet'!$B$11,Paramètres!$A$1:$I$89,5,0)</f>
        <v>335.0404200000001</v>
      </c>
      <c r="BF93" s="13">
        <f t="shared" si="91"/>
        <v>78.474391117663274</v>
      </c>
      <c r="BG93" s="20">
        <f t="shared" si="61"/>
        <v>720.20496269659714</v>
      </c>
      <c r="BH93" s="59">
        <f t="shared" si="62"/>
        <v>1013.5382960299305</v>
      </c>
      <c r="BI93" s="59">
        <f ca="1">AVERAGE(OFFSET($BH$3,0,0,'Données projet'!$E$11+1,1))-AVERAGE(OFFSET($H$3,0,0,'Données projet'!$E$11+1,1))</f>
        <v>395.14818708356353</v>
      </c>
      <c r="BJ93" s="59">
        <f t="shared" si="92"/>
        <v>311.78229491474491</v>
      </c>
      <c r="BK93" s="15">
        <f>IF(ISNA(VLOOKUP(A93,'Données projet'!$A$87:$I$107,3,0)),0,VLOOKUP(A93,'Données projet'!$A$87:$I$107,3,0))</f>
        <v>7</v>
      </c>
      <c r="BL93" s="15">
        <f>IF(ISNA(VLOOKUP(A93,'Données projet'!$A$87:$I$107,4,0)),0,VLOOKUP(A93,'Données projet'!$A$87:$I$107,4,0))</f>
        <v>74.100000000000023</v>
      </c>
      <c r="BM93" s="16">
        <f>IF(ISNA(VLOOKUP(A93,'Données projet'!$A$87:$I$107,5,0)),0%,VLOOKUP(A93,'Données projet'!$A$87:$I$107,5,0)*VLOOKUP('Données projet'!$B$11,Paramètres!$A$1:$I$89,7,0))</f>
        <v>0.159</v>
      </c>
      <c r="BN93" s="16">
        <f>IF(ISNA(VLOOKUP(A93,'Données projet'!$A$87:$I$107,6,0)),0%,VLOOKUP(A93,'Données projet'!$A$87:$I$107,6,0)*VLOOKUP('Données projet'!$B$11,Paramètres!$A$1:$I$89,7,0))</f>
        <v>0.10600000000000001</v>
      </c>
      <c r="BO93" s="16">
        <f>IF(ISNA(VLOOKUP(A93,'Données projet'!$A$87:$I$107,7,0)),0%,VLOOKUP(A93,'Données projet'!$A$87:$I$107,7,0))</f>
        <v>0.2</v>
      </c>
      <c r="BP93" s="21">
        <f>EXP(-LN(2)/35)*BP92+(1-EXP(-LN(2)/35))/(LN(2)/35)*BL93*BM93*VLOOKUP('Données projet'!$B$11,Paramètres!$A$1:$I$89,3,0)*0.475*44/12</f>
        <v>38.014776918572508</v>
      </c>
      <c r="BQ93" s="21">
        <f>EXP(-LN(2)/25)*BQ92+(1-EXP(-LN(2)/25))/(LN(2)/25)*Calculateur!BL93*Calculateur!BN93*VLOOKUP('Données projet'!$B$11,Paramètres!$A$1:$I$89,3,0)*0.475*44/12</f>
        <v>38.591346364821007</v>
      </c>
      <c r="BR93" s="21">
        <f>EXP(-LN(2)/2)*BR92+(1-EXP(-LN(2)/2))/(LN(2)/2)*BL93*BO93*VLOOKUP('Données projet'!$B$11,Paramètres!$A$1:$I$89,3,0)*0.475*44/12</f>
        <v>12.596320362159496</v>
      </c>
      <c r="BS93" s="22">
        <f t="shared" si="63"/>
        <v>89.202443645553018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4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368.51412799964498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1.064108801074326E-13</v>
      </c>
      <c r="P94" s="13">
        <f t="shared" si="87"/>
        <v>1.5870730813698654E-12</v>
      </c>
      <c r="Q94" s="20">
        <f t="shared" si="54"/>
        <v>2.9494845662396269E-12</v>
      </c>
      <c r="R94" s="59">
        <f t="shared" si="55"/>
        <v>293.33333333333627</v>
      </c>
      <c r="S94" s="59">
        <f ca="1">AVERAGE(OFFSET($R$3,0,0,'Données projet'!$E$9+1,1))-AVERAGE(OFFSET($H$3,0,0,'Données projet'!$E$9+1,1))</f>
        <v>291.3013645858839</v>
      </c>
      <c r="T94" s="59">
        <f t="shared" si="88"/>
        <v>332.89241887762438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150.90811220890177</v>
      </c>
      <c r="AA94" s="21">
        <f>EXP(-LN(2)/25)*AA93+(1-EXP(-LN(2)/25))/(LN(2)/25)*Calculateur!V94*Calculateur!X94*VLOOKUP('Données projet'!$B$9,Paramètres!$A$1:$I$89,3,0)*0.475*44/12</f>
        <v>44.461997990539132</v>
      </c>
      <c r="AB94" s="21">
        <f>EXP(-LN(2)/2)*AB93+(1-EXP(-LN(2)/2))/(LN(2)/2)*V94*Y94*VLOOKUP('Données projet'!$B$9,Paramètres!$A$1:$I$89,3,0)*0.475*44/12</f>
        <v>0.46380550097776635</v>
      </c>
      <c r="AC94" s="22">
        <f t="shared" si="57"/>
        <v>195.83391570041866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3.4106051316484809E-13</v>
      </c>
      <c r="AJ94" s="13">
        <f>AI94*VLOOKUP('Données projet'!$B$10,Paramètres!$A$1:$I$89,3,0)*VLOOKUP('Données projet'!$B$10,Paramètres!$A$1:$I$89,5,0)</f>
        <v>1.5074874681886286E-13</v>
      </c>
      <c r="AK94" s="13">
        <f t="shared" si="89"/>
        <v>2.1590218794584103E-12</v>
      </c>
      <c r="AL94" s="20">
        <f t="shared" si="58"/>
        <v>4.0228505074329168E-12</v>
      </c>
      <c r="AM94" s="59">
        <f t="shared" si="59"/>
        <v>293.33333333333735</v>
      </c>
      <c r="AN94" s="59">
        <f ca="1">AVERAGE(OFFSET($AM$3,0,0,'Données projet'!$E$10+1,1))-AVERAGE(OFFSET($H$3,0,0,'Données projet'!$E$10+1,1))</f>
        <v>293.17014997061574</v>
      </c>
      <c r="AO94" s="59">
        <f t="shared" si="90"/>
        <v>394.32615745219954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93.759881256884725</v>
      </c>
      <c r="AV94" s="21">
        <f>EXP(-LN(2)/25)*AV93+(1-EXP(-LN(2)/25))/(LN(2)/25)*Calculateur!AQ94*Calculateur!AS94*VLOOKUP('Données projet'!$B$10,Paramètres!$A$1:$I$89,3,0)*0.475*44/12</f>
        <v>24.093988412014401</v>
      </c>
      <c r="AW94" s="21">
        <f>EXP(-LN(2)/2)*AW93+(1-EXP(-LN(2)/2))/(LN(2)/2)*AQ94*AT94*VLOOKUP('Données projet'!$B$10,Paramètres!$A$1:$I$89,3,0)*0.475*44/12</f>
        <v>1.9517093490939986E-4</v>
      </c>
      <c r="AX94" s="21">
        <f t="shared" si="60"/>
        <v>117.85406483983404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9.266666666666671</v>
      </c>
      <c r="BD94" s="12">
        <f>IF('Données projet'!$A$88&gt;35,BD93+BC94-BL93,IF(A94&lt;'Données projet'!$A$88,$BA$205^A94,IF(A94='Données projet'!$A$88,'Données projet'!$B$88,BD93+BC94-BL93)))</f>
        <v>325.65666666666669</v>
      </c>
      <c r="BE94" s="13">
        <f>BD94*VLOOKUP('Données projet'!$B$11,Paramètres!$A$1:$I$89,3,0)*VLOOKUP('Données projet'!$B$11,Paramètres!$A$1:$I$89,5,0)</f>
        <v>279.41342000000003</v>
      </c>
      <c r="BF94" s="13">
        <f t="shared" si="91"/>
        <v>66.84303253918111</v>
      </c>
      <c r="BG94" s="20">
        <f t="shared" si="61"/>
        <v>603.06332150574053</v>
      </c>
      <c r="BH94" s="59">
        <f t="shared" si="62"/>
        <v>896.39665483907379</v>
      </c>
      <c r="BI94" s="59">
        <f ca="1">AVERAGE(OFFSET($BH$3,0,0,'Données projet'!$E$11+1,1))-AVERAGE(OFFSET($H$3,0,0,'Données projet'!$E$11+1,1))</f>
        <v>395.14818708356353</v>
      </c>
      <c r="BJ94" s="59">
        <f t="shared" si="92"/>
        <v>311.78229491474491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37.269330329923726</v>
      </c>
      <c r="BQ94" s="21">
        <f>EXP(-LN(2)/25)*BQ93+(1-EXP(-LN(2)/25))/(LN(2)/25)*Calculateur!BL94*Calculateur!BN94*VLOOKUP('Données projet'!$B$11,Paramètres!$A$1:$I$89,3,0)*0.475*44/12</f>
        <v>37.536063969044271</v>
      </c>
      <c r="BR94" s="21">
        <f>EXP(-LN(2)/2)*BR93+(1-EXP(-LN(2)/2))/(LN(2)/2)*BL94*BO94*VLOOKUP('Données projet'!$B$11,Paramètres!$A$1:$I$89,3,0)*0.475*44/12</f>
        <v>8.9069435460811679</v>
      </c>
      <c r="BS94" s="22">
        <f t="shared" si="63"/>
        <v>83.712337845049163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4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369.71068859438765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1.064108801074326E-13</v>
      </c>
      <c r="P95" s="13">
        <f t="shared" si="87"/>
        <v>1.5870730813698654E-12</v>
      </c>
      <c r="Q95" s="20">
        <f t="shared" si="54"/>
        <v>2.9494845662396269E-12</v>
      </c>
      <c r="R95" s="59">
        <f t="shared" si="55"/>
        <v>293.33333333333627</v>
      </c>
      <c r="S95" s="59">
        <f ca="1">AVERAGE(OFFSET($R$3,0,0,'Données projet'!$E$9+1,1))-AVERAGE(OFFSET($H$3,0,0,'Données projet'!$E$9+1,1))</f>
        <v>291.3013645858839</v>
      </c>
      <c r="T95" s="59">
        <f t="shared" si="88"/>
        <v>332.89241887762438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147.94889617334499</v>
      </c>
      <c r="AA95" s="21">
        <f>EXP(-LN(2)/25)*AA94+(1-EXP(-LN(2)/25))/(LN(2)/25)*Calculateur!V95*Calculateur!X95*VLOOKUP('Données projet'!$B$9,Paramètres!$A$1:$I$89,3,0)*0.475*44/12</f>
        <v>43.246182317332988</v>
      </c>
      <c r="AB95" s="21">
        <f>EXP(-LN(2)/2)*AB94+(1-EXP(-LN(2)/2))/(LN(2)/2)*V95*Y95*VLOOKUP('Données projet'!$B$9,Paramètres!$A$1:$I$89,3,0)*0.475*44/12</f>
        <v>0.32796001489300253</v>
      </c>
      <c r="AC95" s="22">
        <f t="shared" si="57"/>
        <v>191.52303850557098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3.4106051316484809E-13</v>
      </c>
      <c r="AJ95" s="13">
        <f>AI95*VLOOKUP('Données projet'!$B$10,Paramètres!$A$1:$I$89,3,0)*VLOOKUP('Données projet'!$B$10,Paramètres!$A$1:$I$89,5,0)</f>
        <v>1.5074874681886286E-13</v>
      </c>
      <c r="AK95" s="13">
        <f t="shared" si="89"/>
        <v>2.1590218794584103E-12</v>
      </c>
      <c r="AL95" s="20">
        <f t="shared" si="58"/>
        <v>4.0228505074329168E-12</v>
      </c>
      <c r="AM95" s="59">
        <f t="shared" si="59"/>
        <v>293.33333333333735</v>
      </c>
      <c r="AN95" s="59">
        <f ca="1">AVERAGE(OFFSET($AM$3,0,0,'Données projet'!$E$10+1,1))-AVERAGE(OFFSET($H$3,0,0,'Données projet'!$E$10+1,1))</f>
        <v>293.17014997061574</v>
      </c>
      <c r="AO95" s="59">
        <f t="shared" si="90"/>
        <v>394.32615745219954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91.921307173317942</v>
      </c>
      <c r="AV95" s="21">
        <f>EXP(-LN(2)/25)*AV94+(1-EXP(-LN(2)/25))/(LN(2)/25)*Calculateur!AQ95*Calculateur!AS95*VLOOKUP('Données projet'!$B$10,Paramètres!$A$1:$I$89,3,0)*0.475*44/12</f>
        <v>23.435137031840085</v>
      </c>
      <c r="AW95" s="21">
        <f>EXP(-LN(2)/2)*AW94+(1-EXP(-LN(2)/2))/(LN(2)/2)*AQ95*AT95*VLOOKUP('Données projet'!$B$10,Paramètres!$A$1:$I$89,3,0)*0.475*44/12</f>
        <v>1.3800669156495491E-4</v>
      </c>
      <c r="AX95" s="21">
        <f t="shared" si="60"/>
        <v>115.3565822118496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9.266666666666671</v>
      </c>
      <c r="BD95" s="12">
        <f>IF('Données projet'!$A$88&gt;35,BD94+BC95-BL94,IF(A95&lt;'Données projet'!$A$88,$BA$205^A95,IF(A95='Données projet'!$A$88,'Données projet'!$B$88,BD94+BC95-BL94)))</f>
        <v>334.92333333333335</v>
      </c>
      <c r="BE95" s="13">
        <f>BD95*VLOOKUP('Données projet'!$B$11,Paramètres!$A$1:$I$89,3,0)*VLOOKUP('Données projet'!$B$11,Paramètres!$A$1:$I$89,5,0)</f>
        <v>287.36422000000005</v>
      </c>
      <c r="BF95" s="13">
        <f t="shared" si="91"/>
        <v>68.520921066108272</v>
      </c>
      <c r="BG95" s="20">
        <f t="shared" si="61"/>
        <v>619.83328735680527</v>
      </c>
      <c r="BH95" s="59">
        <f t="shared" si="62"/>
        <v>913.16662069013864</v>
      </c>
      <c r="BI95" s="59">
        <f ca="1">AVERAGE(OFFSET($BH$3,0,0,'Données projet'!$E$11+1,1))-AVERAGE(OFFSET($H$3,0,0,'Données projet'!$E$11+1,1))</f>
        <v>395.14818708356353</v>
      </c>
      <c r="BJ95" s="59">
        <f t="shared" si="92"/>
        <v>311.78229491474491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36.538501494200823</v>
      </c>
      <c r="BQ95" s="21">
        <f>EXP(-LN(2)/25)*BQ94+(1-EXP(-LN(2)/25))/(LN(2)/25)*Calculateur!BL95*Calculateur!BN95*VLOOKUP('Données projet'!$B$11,Paramètres!$A$1:$I$89,3,0)*0.475*44/12</f>
        <v>36.509638325874938</v>
      </c>
      <c r="BR95" s="21">
        <f>EXP(-LN(2)/2)*BR94+(1-EXP(-LN(2)/2))/(LN(2)/2)*BL95*BO95*VLOOKUP('Données projet'!$B$11,Paramètres!$A$1:$I$89,3,0)*0.475*44/12</f>
        <v>6.2981601810797487</v>
      </c>
      <c r="BS95" s="22">
        <f t="shared" si="63"/>
        <v>79.346300001155512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4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370.90693862836775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1.064108801074326E-13</v>
      </c>
      <c r="P96" s="13">
        <f t="shared" si="87"/>
        <v>1.5870730813698654E-12</v>
      </c>
      <c r="Q96" s="20">
        <f t="shared" si="54"/>
        <v>2.9494845662396269E-12</v>
      </c>
      <c r="R96" s="59">
        <f t="shared" si="55"/>
        <v>293.33333333333627</v>
      </c>
      <c r="S96" s="59">
        <f ca="1">AVERAGE(OFFSET($R$3,0,0,'Données projet'!$E$9+1,1))-AVERAGE(OFFSET($H$3,0,0,'Données projet'!$E$9+1,1))</f>
        <v>291.3013645858839</v>
      </c>
      <c r="T96" s="59">
        <f t="shared" si="88"/>
        <v>332.89241887762438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145.04770855930192</v>
      </c>
      <c r="AA96" s="21">
        <f>EXP(-LN(2)/25)*AA95+(1-EXP(-LN(2)/25))/(LN(2)/25)*Calculateur!V96*Calculateur!X96*VLOOKUP('Données projet'!$B$9,Paramètres!$A$1:$I$89,3,0)*0.475*44/12</f>
        <v>42.063613187647633</v>
      </c>
      <c r="AB96" s="21">
        <f>EXP(-LN(2)/2)*AB95+(1-EXP(-LN(2)/2))/(LN(2)/2)*V96*Y96*VLOOKUP('Données projet'!$B$9,Paramètres!$A$1:$I$89,3,0)*0.475*44/12</f>
        <v>0.23190275048888323</v>
      </c>
      <c r="AC96" s="22">
        <f t="shared" si="57"/>
        <v>187.34322449743843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3.4106051316484809E-13</v>
      </c>
      <c r="AJ96" s="13">
        <f>AI96*VLOOKUP('Données projet'!$B$10,Paramètres!$A$1:$I$89,3,0)*VLOOKUP('Données projet'!$B$10,Paramètres!$A$1:$I$89,5,0)</f>
        <v>1.5074874681886286E-13</v>
      </c>
      <c r="AK96" s="13">
        <f t="shared" si="89"/>
        <v>2.1590218794584103E-12</v>
      </c>
      <c r="AL96" s="20">
        <f t="shared" si="58"/>
        <v>4.0228505074329168E-12</v>
      </c>
      <c r="AM96" s="59">
        <f t="shared" si="59"/>
        <v>293.33333333333735</v>
      </c>
      <c r="AN96" s="59">
        <f ca="1">AVERAGE(OFFSET($AM$3,0,0,'Données projet'!$E$10+1,1))-AVERAGE(OFFSET($H$3,0,0,'Données projet'!$E$10+1,1))</f>
        <v>293.17014997061574</v>
      </c>
      <c r="AO96" s="59">
        <f t="shared" si="90"/>
        <v>394.32615745219954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90.118786406110445</v>
      </c>
      <c r="AV96" s="21">
        <f>EXP(-LN(2)/25)*AV95+(1-EXP(-LN(2)/25))/(LN(2)/25)*Calculateur!AQ96*Calculateur!AS96*VLOOKUP('Données projet'!$B$10,Paramètres!$A$1:$I$89,3,0)*0.475*44/12</f>
        <v>22.794301977304123</v>
      </c>
      <c r="AW96" s="21">
        <f>EXP(-LN(2)/2)*AW95+(1-EXP(-LN(2)/2))/(LN(2)/2)*AQ96*AT96*VLOOKUP('Données projet'!$B$10,Paramètres!$A$1:$I$89,3,0)*0.475*44/12</f>
        <v>9.758546745469993E-5</v>
      </c>
      <c r="AX96" s="21">
        <f t="shared" si="60"/>
        <v>112.91318596888202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9.266666666666671</v>
      </c>
      <c r="BD96" s="12">
        <f>IF('Données projet'!$A$88&gt;35,BD95+BC96-BL95,IF(A96&lt;'Données projet'!$A$88,$BA$205^A96,IF(A96='Données projet'!$A$88,'Données projet'!$B$88,BD95+BC96-BL95)))</f>
        <v>344.19</v>
      </c>
      <c r="BE96" s="13">
        <f>BD96*VLOOKUP('Données projet'!$B$11,Paramètres!$A$1:$I$89,3,0)*VLOOKUP('Données projet'!$B$11,Paramètres!$A$1:$I$89,5,0)</f>
        <v>295.31502000000006</v>
      </c>
      <c r="BF96" s="13">
        <f t="shared" si="91"/>
        <v>70.193413820553275</v>
      </c>
      <c r="BG96" s="20">
        <f t="shared" si="61"/>
        <v>636.59385557079702</v>
      </c>
      <c r="BH96" s="59">
        <f t="shared" si="62"/>
        <v>929.92718890413039</v>
      </c>
      <c r="BI96" s="59">
        <f ca="1">AVERAGE(OFFSET($BH$3,0,0,'Données projet'!$E$11+1,1))-AVERAGE(OFFSET($H$3,0,0,'Données projet'!$E$11+1,1))</f>
        <v>395.14818708356353</v>
      </c>
      <c r="BJ96" s="59">
        <f t="shared" si="92"/>
        <v>311.78229491474491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35.822003766184871</v>
      </c>
      <c r="BQ96" s="21">
        <f>EXP(-LN(2)/25)*BQ95+(1-EXP(-LN(2)/25))/(LN(2)/25)*Calculateur!BL96*Calculateur!BN96*VLOOKUP('Données projet'!$B$11,Paramètres!$A$1:$I$89,3,0)*0.475*44/12</f>
        <v>35.51128034589545</v>
      </c>
      <c r="BR96" s="21">
        <f>EXP(-LN(2)/2)*BR95+(1-EXP(-LN(2)/2))/(LN(2)/2)*BL96*BO96*VLOOKUP('Données projet'!$B$11,Paramètres!$A$1:$I$89,3,0)*0.475*44/12</f>
        <v>4.4534717730405848</v>
      </c>
      <c r="BS96" s="22">
        <f t="shared" si="63"/>
        <v>75.786755885120911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4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372.10288182746245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1.064108801074326E-13</v>
      </c>
      <c r="P97" s="13">
        <f t="shared" si="87"/>
        <v>1.5870730813698654E-12</v>
      </c>
      <c r="Q97" s="20">
        <f t="shared" si="54"/>
        <v>2.9494845662396269E-12</v>
      </c>
      <c r="R97" s="59">
        <f t="shared" si="55"/>
        <v>293.33333333333627</v>
      </c>
      <c r="S97" s="59">
        <f ca="1">AVERAGE(OFFSET($R$3,0,0,'Données projet'!$E$9+1,1))-AVERAGE(OFFSET($H$3,0,0,'Données projet'!$E$9+1,1))</f>
        <v>291.3013645858839</v>
      </c>
      <c r="T97" s="59">
        <f t="shared" si="88"/>
        <v>332.89241887762438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142.2034114648205</v>
      </c>
      <c r="AA97" s="21">
        <f>EXP(-LN(2)/25)*AA96+(1-EXP(-LN(2)/25))/(LN(2)/25)*Calculateur!V97*Calculateur!X97*VLOOKUP('Données projet'!$B$9,Paramètres!$A$1:$I$89,3,0)*0.475*44/12</f>
        <v>40.913381473002126</v>
      </c>
      <c r="AB97" s="21">
        <f>EXP(-LN(2)/2)*AB96+(1-EXP(-LN(2)/2))/(LN(2)/2)*V97*Y97*VLOOKUP('Données projet'!$B$9,Paramètres!$A$1:$I$89,3,0)*0.475*44/12</f>
        <v>0.16398000744650129</v>
      </c>
      <c r="AC97" s="22">
        <f t="shared" si="57"/>
        <v>183.28077294526912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3.4106051316484809E-13</v>
      </c>
      <c r="AJ97" s="13">
        <f>AI97*VLOOKUP('Données projet'!$B$10,Paramètres!$A$1:$I$89,3,0)*VLOOKUP('Données projet'!$B$10,Paramètres!$A$1:$I$89,5,0)</f>
        <v>1.5074874681886286E-13</v>
      </c>
      <c r="AK97" s="13">
        <f t="shared" si="89"/>
        <v>2.1590218794584103E-12</v>
      </c>
      <c r="AL97" s="20">
        <f t="shared" si="58"/>
        <v>4.0228505074329168E-12</v>
      </c>
      <c r="AM97" s="59">
        <f t="shared" si="59"/>
        <v>293.33333333333735</v>
      </c>
      <c r="AN97" s="59">
        <f ca="1">AVERAGE(OFFSET($AM$3,0,0,'Données projet'!$E$10+1,1))-AVERAGE(OFFSET($H$3,0,0,'Données projet'!$E$10+1,1))</f>
        <v>293.17014997061574</v>
      </c>
      <c r="AO97" s="59">
        <f t="shared" si="90"/>
        <v>394.32615745219954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88.351611971718782</v>
      </c>
      <c r="AV97" s="21">
        <f>EXP(-LN(2)/25)*AV96+(1-EXP(-LN(2)/25))/(LN(2)/25)*Calculateur!AQ97*Calculateur!AS97*VLOOKUP('Données projet'!$B$10,Paramètres!$A$1:$I$89,3,0)*0.475*44/12</f>
        <v>22.170990591034499</v>
      </c>
      <c r="AW97" s="21">
        <f>EXP(-LN(2)/2)*AW96+(1-EXP(-LN(2)/2))/(LN(2)/2)*AQ97*AT97*VLOOKUP('Données projet'!$B$10,Paramètres!$A$1:$I$89,3,0)*0.475*44/12</f>
        <v>6.9003345782477456E-5</v>
      </c>
      <c r="AX97" s="21">
        <f t="shared" si="60"/>
        <v>110.52267156609906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9.266666666666671</v>
      </c>
      <c r="BD97" s="12">
        <f>IF('Données projet'!$A$88&gt;35,BD96+BC97-BL96,IF(A97&lt;'Données projet'!$A$88,$BA$205^A97,IF(A97='Données projet'!$A$88,'Données projet'!$B$88,BD96+BC97-BL96)))</f>
        <v>353.45666666666665</v>
      </c>
      <c r="BE97" s="13">
        <f>BD97*VLOOKUP('Données projet'!$B$11,Paramètres!$A$1:$I$89,3,0)*VLOOKUP('Données projet'!$B$11,Paramètres!$A$1:$I$89,5,0)</f>
        <v>303.26582000000002</v>
      </c>
      <c r="BF97" s="13">
        <f t="shared" si="91"/>
        <v>71.860672768820095</v>
      </c>
      <c r="BG97" s="20">
        <f t="shared" si="61"/>
        <v>653.34530823902844</v>
      </c>
      <c r="BH97" s="59">
        <f t="shared" si="62"/>
        <v>946.67864157236181</v>
      </c>
      <c r="BI97" s="59">
        <f ca="1">AVERAGE(OFFSET($BH$3,0,0,'Données projet'!$E$11+1,1))-AVERAGE(OFFSET($H$3,0,0,'Données projet'!$E$11+1,1))</f>
        <v>395.14818708356353</v>
      </c>
      <c r="BJ97" s="59">
        <f t="shared" si="92"/>
        <v>311.78229491474491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35.119556121594847</v>
      </c>
      <c r="BQ97" s="21">
        <f>EXP(-LN(2)/25)*BQ96+(1-EXP(-LN(2)/25))/(LN(2)/25)*Calculateur!BL97*Calculateur!BN97*VLOOKUP('Données projet'!$B$11,Paramètres!$A$1:$I$89,3,0)*0.475*44/12</f>
        <v>34.540222517379867</v>
      </c>
      <c r="BR97" s="21">
        <f>EXP(-LN(2)/2)*BR96+(1-EXP(-LN(2)/2))/(LN(2)/2)*BL97*BO97*VLOOKUP('Données projet'!$B$11,Paramètres!$A$1:$I$89,3,0)*0.475*44/12</f>
        <v>3.1490800905398748</v>
      </c>
      <c r="BS97" s="22">
        <f t="shared" si="63"/>
        <v>72.808858729514583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4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373.29852183370838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1.064108801074326E-13</v>
      </c>
      <c r="P98" s="13">
        <f t="shared" si="87"/>
        <v>1.5870730813698654E-12</v>
      </c>
      <c r="Q98" s="20">
        <f t="shared" si="54"/>
        <v>2.9494845662396269E-12</v>
      </c>
      <c r="R98" s="59">
        <f t="shared" si="55"/>
        <v>293.33333333333627</v>
      </c>
      <c r="S98" s="59">
        <f ca="1">AVERAGE(OFFSET($R$3,0,0,'Données projet'!$E$9+1,1))-AVERAGE(OFFSET($H$3,0,0,'Données projet'!$E$9+1,1))</f>
        <v>291.3013645858839</v>
      </c>
      <c r="T98" s="59">
        <f t="shared" si="88"/>
        <v>332.89241887762438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139.41488930151195</v>
      </c>
      <c r="AA98" s="21">
        <f>EXP(-LN(2)/25)*AA97+(1-EXP(-LN(2)/25))/(LN(2)/25)*Calculateur!V98*Calculateur!X98*VLOOKUP('Données projet'!$B$9,Paramètres!$A$1:$I$89,3,0)*0.475*44/12</f>
        <v>39.794602905081661</v>
      </c>
      <c r="AB98" s="21">
        <f>EXP(-LN(2)/2)*AB97+(1-EXP(-LN(2)/2))/(LN(2)/2)*V98*Y98*VLOOKUP('Données projet'!$B$9,Paramètres!$A$1:$I$89,3,0)*0.475*44/12</f>
        <v>0.11595137524444163</v>
      </c>
      <c r="AC98" s="22">
        <f t="shared" si="57"/>
        <v>179.32544358183804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3.4106051316484809E-13</v>
      </c>
      <c r="AJ98" s="13">
        <f>AI98*VLOOKUP('Données projet'!$B$10,Paramètres!$A$1:$I$89,3,0)*VLOOKUP('Données projet'!$B$10,Paramètres!$A$1:$I$89,5,0)</f>
        <v>1.5074874681886286E-13</v>
      </c>
      <c r="AK98" s="13">
        <f t="shared" si="89"/>
        <v>2.1590218794584103E-12</v>
      </c>
      <c r="AL98" s="20">
        <f t="shared" si="58"/>
        <v>4.0228505074329168E-12</v>
      </c>
      <c r="AM98" s="59">
        <f t="shared" si="59"/>
        <v>293.33333333333735</v>
      </c>
      <c r="AN98" s="59">
        <f ca="1">AVERAGE(OFFSET($AM$3,0,0,'Données projet'!$E$10+1,1))-AVERAGE(OFFSET($H$3,0,0,'Données projet'!$E$10+1,1))</f>
        <v>293.17014997061574</v>
      </c>
      <c r="AO98" s="59">
        <f t="shared" si="90"/>
        <v>394.32615745219954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86.619090750115561</v>
      </c>
      <c r="AV98" s="21">
        <f>EXP(-LN(2)/25)*AV97+(1-EXP(-LN(2)/25))/(LN(2)/25)*Calculateur!AQ98*Calculateur!AS98*VLOOKUP('Données projet'!$B$10,Paramètres!$A$1:$I$89,3,0)*0.475*44/12</f>
        <v>21.564723687400939</v>
      </c>
      <c r="AW98" s="21">
        <f>EXP(-LN(2)/2)*AW97+(1-EXP(-LN(2)/2))/(LN(2)/2)*AQ98*AT98*VLOOKUP('Données projet'!$B$10,Paramètres!$A$1:$I$89,3,0)*0.475*44/12</f>
        <v>4.8792733727349965E-5</v>
      </c>
      <c r="AX98" s="21">
        <f t="shared" si="60"/>
        <v>108.18386323025022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9.266666666666671</v>
      </c>
      <c r="BD98" s="12">
        <f>IF('Données projet'!$A$88&gt;35,BD97+BC98-BL97,IF(A98&lt;'Données projet'!$A$88,$BA$205^A98,IF(A98='Données projet'!$A$88,'Données projet'!$B$88,BD97+BC98-BL97)))</f>
        <v>362.7233333333333</v>
      </c>
      <c r="BE98" s="13">
        <f>BD98*VLOOKUP('Données projet'!$B$11,Paramètres!$A$1:$I$89,3,0)*VLOOKUP('Données projet'!$B$11,Paramètres!$A$1:$I$89,5,0)</f>
        <v>311.21661999999998</v>
      </c>
      <c r="BF98" s="13">
        <f t="shared" si="91"/>
        <v>73.522850900910072</v>
      </c>
      <c r="BG98" s="20">
        <f t="shared" si="61"/>
        <v>670.08791181908498</v>
      </c>
      <c r="BH98" s="59">
        <f t="shared" si="62"/>
        <v>963.42124515241835</v>
      </c>
      <c r="BI98" s="59">
        <f ca="1">AVERAGE(OFFSET($BH$3,0,0,'Données projet'!$E$11+1,1))-AVERAGE(OFFSET($H$3,0,0,'Données projet'!$E$11+1,1))</f>
        <v>395.14818708356353</v>
      </c>
      <c r="BJ98" s="59">
        <f t="shared" si="92"/>
        <v>311.78229491474491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34.43088304686448</v>
      </c>
      <c r="BQ98" s="21">
        <f>EXP(-LN(2)/25)*BQ97+(1-EXP(-LN(2)/25))/(LN(2)/25)*Calculateur!BL98*Calculateur!BN98*VLOOKUP('Données projet'!$B$11,Paramètres!$A$1:$I$89,3,0)*0.475*44/12</f>
        <v>33.595718316250753</v>
      </c>
      <c r="BR98" s="21">
        <f>EXP(-LN(2)/2)*BR97+(1-EXP(-LN(2)/2))/(LN(2)/2)*BL98*BO98*VLOOKUP('Données projet'!$B$11,Paramètres!$A$1:$I$89,3,0)*0.475*44/12</f>
        <v>2.2267358865202929</v>
      </c>
      <c r="BS98" s="22">
        <f t="shared" si="63"/>
        <v>70.253337249635521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4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374.49386220805047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1.064108801074326E-13</v>
      </c>
      <c r="P99" s="13">
        <f t="shared" si="87"/>
        <v>1.5870730813698654E-12</v>
      </c>
      <c r="Q99" s="20">
        <f t="shared" ref="Q99:Q130" si="107">(O99+P99)*0.475*44/12</f>
        <v>2.9494845662396269E-12</v>
      </c>
      <c r="R99" s="59">
        <f t="shared" si="55"/>
        <v>293.33333333333627</v>
      </c>
      <c r="S99" s="59">
        <f ca="1">AVERAGE(OFFSET($R$3,0,0,'Données projet'!$E$9+1,1))-AVERAGE(OFFSET($H$3,0,0,'Données projet'!$E$9+1,1))</f>
        <v>291.3013645858839</v>
      </c>
      <c r="T99" s="59">
        <f t="shared" si="88"/>
        <v>332.89241887762438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136.68104835699529</v>
      </c>
      <c r="AA99" s="21">
        <f>EXP(-LN(2)/25)*AA98+(1-EXP(-LN(2)/25))/(LN(2)/25)*Calculateur!V99*Calculateur!X99*VLOOKUP('Données projet'!$B$9,Paramètres!$A$1:$I$89,3,0)*0.475*44/12</f>
        <v>38.706417395934984</v>
      </c>
      <c r="AB99" s="21">
        <f>EXP(-LN(2)/2)*AB98+(1-EXP(-LN(2)/2))/(LN(2)/2)*V99*Y99*VLOOKUP('Données projet'!$B$9,Paramètres!$A$1:$I$89,3,0)*0.475*44/12</f>
        <v>8.199000372325066E-2</v>
      </c>
      <c r="AC99" s="22">
        <f t="shared" si="57"/>
        <v>175.46945575665353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3.4106051316484809E-13</v>
      </c>
      <c r="AJ99" s="13">
        <f>AI99*VLOOKUP('Données projet'!$B$10,Paramètres!$A$1:$I$89,3,0)*VLOOKUP('Données projet'!$B$10,Paramètres!$A$1:$I$89,5,0)</f>
        <v>1.5074874681886286E-13</v>
      </c>
      <c r="AK99" s="13">
        <f t="shared" si="89"/>
        <v>2.1590218794584103E-12</v>
      </c>
      <c r="AL99" s="20">
        <f t="shared" si="58"/>
        <v>4.0228505074329168E-12</v>
      </c>
      <c r="AM99" s="59">
        <f t="shared" si="59"/>
        <v>293.33333333333735</v>
      </c>
      <c r="AN99" s="59">
        <f ca="1">AVERAGE(OFFSET($AM$3,0,0,'Données projet'!$E$10+1,1))-AVERAGE(OFFSET($H$3,0,0,'Données projet'!$E$10+1,1))</f>
        <v>293.17014997061574</v>
      </c>
      <c r="AO99" s="59">
        <f t="shared" si="90"/>
        <v>394.32615745219954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84.920543212934376</v>
      </c>
      <c r="AV99" s="21">
        <f>EXP(-LN(2)/25)*AV98+(1-EXP(-LN(2)/25))/(LN(2)/25)*Calculateur!AQ99*Calculateur!AS99*VLOOKUP('Données projet'!$B$10,Paramètres!$A$1:$I$89,3,0)*0.475*44/12</f>
        <v>20.975035184129428</v>
      </c>
      <c r="AW99" s="21">
        <f>EXP(-LN(2)/2)*AW98+(1-EXP(-LN(2)/2))/(LN(2)/2)*AQ99*AT99*VLOOKUP('Données projet'!$B$10,Paramètres!$A$1:$I$89,3,0)*0.475*44/12</f>
        <v>3.4501672891238728E-5</v>
      </c>
      <c r="AX99" s="21">
        <f t="shared" si="60"/>
        <v>105.89561289873669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9.266666666666671</v>
      </c>
      <c r="BD99" s="12">
        <f>IF('Données projet'!$A$88&gt;35,BD98+BC99-BL98,IF(A99&lt;'Données projet'!$A$88,$BA$205^A99,IF(A99='Données projet'!$A$88,'Données projet'!$B$88,BD98+BC99-BL98)))</f>
        <v>371.98999999999995</v>
      </c>
      <c r="BE99" s="13">
        <f>BD99*VLOOKUP('Données projet'!$B$11,Paramètres!$A$1:$I$89,3,0)*VLOOKUP('Données projet'!$B$11,Paramètres!$A$1:$I$89,5,0)</f>
        <v>319.16741999999999</v>
      </c>
      <c r="BF99" s="13">
        <f t="shared" si="91"/>
        <v>75.180092944432346</v>
      </c>
      <c r="BG99" s="20">
        <f t="shared" si="61"/>
        <v>686.82191837821972</v>
      </c>
      <c r="BH99" s="59">
        <f t="shared" si="62"/>
        <v>980.15525171155309</v>
      </c>
      <c r="BI99" s="59">
        <f ca="1">AVERAGE(OFFSET($BH$3,0,0,'Données projet'!$E$11+1,1))-AVERAGE(OFFSET($H$3,0,0,'Données projet'!$E$11+1,1))</f>
        <v>395.14818708356353</v>
      </c>
      <c r="BJ99" s="59">
        <f t="shared" si="92"/>
        <v>311.78229491474491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33.75571443108047</v>
      </c>
      <c r="BQ99" s="21">
        <f>EXP(-LN(2)/25)*BQ98+(1-EXP(-LN(2)/25))/(LN(2)/25)*Calculateur!BL99*Calculateur!BN99*VLOOKUP('Données projet'!$B$11,Paramètres!$A$1:$I$89,3,0)*0.475*44/12</f>
        <v>32.677041632170834</v>
      </c>
      <c r="BR99" s="21">
        <f>EXP(-LN(2)/2)*BR98+(1-EXP(-LN(2)/2))/(LN(2)/2)*BL99*BO99*VLOOKUP('Données projet'!$B$11,Paramètres!$A$1:$I$89,3,0)*0.475*44/12</f>
        <v>1.5745400452699378</v>
      </c>
      <c r="BS99" s="22">
        <f t="shared" si="63"/>
        <v>68.007296108521246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4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375.68890643297289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1.064108801074326E-13</v>
      </c>
      <c r="P100" s="13">
        <f t="shared" si="87"/>
        <v>1.5870730813698654E-12</v>
      </c>
      <c r="Q100" s="20">
        <f t="shared" si="107"/>
        <v>2.9494845662396269E-12</v>
      </c>
      <c r="R100" s="59">
        <f t="shared" si="55"/>
        <v>293.33333333333627</v>
      </c>
      <c r="S100" s="59">
        <f ca="1">AVERAGE(OFFSET($R$3,0,0,'Données projet'!$E$9+1,1))-AVERAGE(OFFSET($H$3,0,0,'Données projet'!$E$9+1,1))</f>
        <v>291.3013645858839</v>
      </c>
      <c r="T100" s="59">
        <f t="shared" si="88"/>
        <v>332.89241887762438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134.00081636592228</v>
      </c>
      <c r="AA100" s="21">
        <f>EXP(-LN(2)/25)*AA99+(1-EXP(-LN(2)/25))/(LN(2)/25)*Calculateur!V100*Calculateur!X100*VLOOKUP('Données projet'!$B$9,Paramètres!$A$1:$I$89,3,0)*0.475*44/12</f>
        <v>37.647988376761113</v>
      </c>
      <c r="AB100" s="21">
        <f>EXP(-LN(2)/2)*AB99+(1-EXP(-LN(2)/2))/(LN(2)/2)*V100*Y100*VLOOKUP('Données projet'!$B$9,Paramètres!$A$1:$I$89,3,0)*0.475*44/12</f>
        <v>5.7975687622220821E-2</v>
      </c>
      <c r="AC100" s="22">
        <f t="shared" si="57"/>
        <v>171.7067804303056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3.4106051316484809E-13</v>
      </c>
      <c r="AJ100" s="13">
        <f>AI100*VLOOKUP('Données projet'!$B$10,Paramètres!$A$1:$I$89,3,0)*VLOOKUP('Données projet'!$B$10,Paramètres!$A$1:$I$89,5,0)</f>
        <v>1.5074874681886286E-13</v>
      </c>
      <c r="AK100" s="13">
        <f t="shared" si="89"/>
        <v>2.1590218794584103E-12</v>
      </c>
      <c r="AL100" s="20">
        <f t="shared" si="58"/>
        <v>4.0228505074329168E-12</v>
      </c>
      <c r="AM100" s="59">
        <f t="shared" si="59"/>
        <v>293.33333333333735</v>
      </c>
      <c r="AN100" s="59">
        <f ca="1">AVERAGE(OFFSET($AM$3,0,0,'Données projet'!$E$10+1,1))-AVERAGE(OFFSET($H$3,0,0,'Données projet'!$E$10+1,1))</f>
        <v>293.17014997061574</v>
      </c>
      <c r="AO100" s="59">
        <f t="shared" si="90"/>
        <v>394.32615745219954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83.255303156945615</v>
      </c>
      <c r="AV100" s="21">
        <f>EXP(-LN(2)/25)*AV99+(1-EXP(-LN(2)/25))/(LN(2)/25)*Calculateur!AQ100*Calculateur!AS100*VLOOKUP('Données projet'!$B$10,Paramètres!$A$1:$I$89,3,0)*0.475*44/12</f>
        <v>20.401471743990246</v>
      </c>
      <c r="AW100" s="21">
        <f>EXP(-LN(2)/2)*AW99+(1-EXP(-LN(2)/2))/(LN(2)/2)*AQ100*AT100*VLOOKUP('Données projet'!$B$10,Paramètres!$A$1:$I$89,3,0)*0.475*44/12</f>
        <v>2.4396366863674982E-5</v>
      </c>
      <c r="AX100" s="21">
        <f t="shared" si="60"/>
        <v>103.65679929730273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9.266666666666671</v>
      </c>
      <c r="BD100" s="12">
        <f>IF('Données projet'!$A$88&gt;35,BD99+BC100-BL99,IF(A100&lt;'Données projet'!$A$88,$BA$205^A100,IF(A100='Données projet'!$A$88,'Données projet'!$B$88,BD99+BC100-BL99)))</f>
        <v>381.2566666666666</v>
      </c>
      <c r="BE100" s="13">
        <f>BD100*VLOOKUP('Données projet'!$B$11,Paramètres!$A$1:$I$89,3,0)*VLOOKUP('Données projet'!$B$11,Paramètres!$A$1:$I$89,5,0)</f>
        <v>327.11821999999995</v>
      </c>
      <c r="BF100" s="13">
        <f t="shared" si="91"/>
        <v>76.832536005375545</v>
      </c>
      <c r="BG100" s="20">
        <f t="shared" si="61"/>
        <v>703.5475667093624</v>
      </c>
      <c r="BH100" s="59">
        <f t="shared" si="62"/>
        <v>996.88090004269566</v>
      </c>
      <c r="BI100" s="59">
        <f ca="1">AVERAGE(OFFSET($BH$3,0,0,'Données projet'!$E$11+1,1))-AVERAGE(OFFSET($H$3,0,0,'Données projet'!$E$11+1,1))</f>
        <v>395.14818708356353</v>
      </c>
      <c r="BJ100" s="59">
        <f t="shared" si="92"/>
        <v>311.78229491474491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33.093785460039797</v>
      </c>
      <c r="BQ100" s="21">
        <f>EXP(-LN(2)/25)*BQ99+(1-EXP(-LN(2)/25))/(LN(2)/25)*Calculateur!BL100*Calculateur!BN100*VLOOKUP('Données projet'!$B$11,Paramètres!$A$1:$I$89,3,0)*0.475*44/12</f>
        <v>31.783486210328189</v>
      </c>
      <c r="BR100" s="21">
        <f>EXP(-LN(2)/2)*BR99+(1-EXP(-LN(2)/2))/(LN(2)/2)*BL100*BO100*VLOOKUP('Données projet'!$B$11,Paramètres!$A$1:$I$89,3,0)*0.475*44/12</f>
        <v>1.1133679432601467</v>
      </c>
      <c r="BS100" s="22">
        <f t="shared" si="63"/>
        <v>65.990639613628133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4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376.88365791501889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1.064108801074326E-13</v>
      </c>
      <c r="P101" s="13">
        <f t="shared" si="87"/>
        <v>1.5870730813698654E-12</v>
      </c>
      <c r="Q101" s="20">
        <f t="shared" si="107"/>
        <v>2.9494845662396269E-12</v>
      </c>
      <c r="R101" s="59">
        <f t="shared" si="55"/>
        <v>293.33333333333627</v>
      </c>
      <c r="S101" s="59">
        <f ca="1">AVERAGE(OFFSET($R$3,0,0,'Données projet'!$E$9+1,1))-AVERAGE(OFFSET($H$3,0,0,'Données projet'!$E$9+1,1))</f>
        <v>291.3013645858839</v>
      </c>
      <c r="T101" s="59">
        <f t="shared" si="88"/>
        <v>332.89241887762438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131.3731420894141</v>
      </c>
      <c r="AA101" s="21">
        <f>EXP(-LN(2)/25)*AA100+(1-EXP(-LN(2)/25))/(LN(2)/25)*Calculateur!V101*Calculateur!X101*VLOOKUP('Données projet'!$B$9,Paramètres!$A$1:$I$89,3,0)*0.475*44/12</f>
        <v>36.61850215477692</v>
      </c>
      <c r="AB101" s="21">
        <f>EXP(-LN(2)/2)*AB100+(1-EXP(-LN(2)/2))/(LN(2)/2)*V101*Y101*VLOOKUP('Données projet'!$B$9,Paramètres!$A$1:$I$89,3,0)*0.475*44/12</f>
        <v>4.099500186162533E-2</v>
      </c>
      <c r="AC101" s="22">
        <f t="shared" si="57"/>
        <v>168.03263924605267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3.4106051316484809E-13</v>
      </c>
      <c r="AJ101" s="13">
        <f>AI101*VLOOKUP('Données projet'!$B$10,Paramètres!$A$1:$I$89,3,0)*VLOOKUP('Données projet'!$B$10,Paramètres!$A$1:$I$89,5,0)</f>
        <v>1.5074874681886286E-13</v>
      </c>
      <c r="AK101" s="13">
        <f t="shared" si="89"/>
        <v>2.1590218794584103E-12</v>
      </c>
      <c r="AL101" s="20">
        <f t="shared" si="58"/>
        <v>4.0228505074329168E-12</v>
      </c>
      <c r="AM101" s="59">
        <f t="shared" si="59"/>
        <v>293.33333333333735</v>
      </c>
      <c r="AN101" s="59">
        <f ca="1">AVERAGE(OFFSET($AM$3,0,0,'Données projet'!$E$10+1,1))-AVERAGE(OFFSET($H$3,0,0,'Données projet'!$E$10+1,1))</f>
        <v>293.17014997061574</v>
      </c>
      <c r="AO101" s="59">
        <f t="shared" si="90"/>
        <v>394.32615745219954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81.622717442758656</v>
      </c>
      <c r="AV101" s="21">
        <f>EXP(-LN(2)/25)*AV100+(1-EXP(-LN(2)/25))/(LN(2)/25)*Calculateur!AQ101*Calculateur!AS101*VLOOKUP('Données projet'!$B$10,Paramètres!$A$1:$I$89,3,0)*0.475*44/12</f>
        <v>19.843592426284062</v>
      </c>
      <c r="AW101" s="21">
        <f>EXP(-LN(2)/2)*AW100+(1-EXP(-LN(2)/2))/(LN(2)/2)*AQ101*AT101*VLOOKUP('Données projet'!$B$10,Paramètres!$A$1:$I$89,3,0)*0.475*44/12</f>
        <v>1.7250836445619364E-5</v>
      </c>
      <c r="AX101" s="21">
        <f t="shared" si="60"/>
        <v>101.46632711987917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9.266666666666671</v>
      </c>
      <c r="BD101" s="12">
        <f>IF('Données projet'!$A$88&gt;35,BD100+BC101-BL100,IF(A101&lt;'Données projet'!$A$88,$BA$205^A101,IF(A101='Données projet'!$A$88,'Données projet'!$B$88,BD100+BC101-BL100)))</f>
        <v>390.52333333333326</v>
      </c>
      <c r="BE101" s="13">
        <f>BD101*VLOOKUP('Données projet'!$B$11,Paramètres!$A$1:$I$89,3,0)*VLOOKUP('Données projet'!$B$11,Paramètres!$A$1:$I$89,5,0)</f>
        <v>335.06901999999997</v>
      </c>
      <c r="BF101" s="13">
        <f t="shared" si="91"/>
        <v>78.480310144826859</v>
      </c>
      <c r="BG101" s="20">
        <f t="shared" si="61"/>
        <v>720.26508333557331</v>
      </c>
      <c r="BH101" s="59">
        <f t="shared" si="62"/>
        <v>1013.5984166689066</v>
      </c>
      <c r="BI101" s="59">
        <f ca="1">AVERAGE(OFFSET($BH$3,0,0,'Données projet'!$E$11+1,1))-AVERAGE(OFFSET($H$3,0,0,'Données projet'!$E$11+1,1))</f>
        <v>395.14818708356353</v>
      </c>
      <c r="BJ101" s="59">
        <f t="shared" si="92"/>
        <v>311.78229491474491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32.44483651238442</v>
      </c>
      <c r="BQ101" s="21">
        <f>EXP(-LN(2)/25)*BQ100+(1-EXP(-LN(2)/25))/(LN(2)/25)*Calculateur!BL101*Calculateur!BN101*VLOOKUP('Données projet'!$B$11,Paramètres!$A$1:$I$89,3,0)*0.475*44/12</f>
        <v>30.914365108485867</v>
      </c>
      <c r="BR101" s="21">
        <f>EXP(-LN(2)/2)*BR100+(1-EXP(-LN(2)/2))/(LN(2)/2)*BL101*BO101*VLOOKUP('Données projet'!$B$11,Paramètres!$A$1:$I$89,3,0)*0.475*44/12</f>
        <v>0.78727002263496904</v>
      </c>
      <c r="BS101" s="22">
        <f t="shared" si="63"/>
        <v>64.146471643505251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4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378.07811998720388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1.064108801074326E-13</v>
      </c>
      <c r="P102" s="13">
        <f t="shared" si="87"/>
        <v>1.5870730813698654E-12</v>
      </c>
      <c r="Q102" s="20">
        <f t="shared" si="107"/>
        <v>2.9494845662396269E-12</v>
      </c>
      <c r="R102" s="59">
        <f t="shared" si="55"/>
        <v>293.33333333333627</v>
      </c>
      <c r="S102" s="59">
        <f ca="1">AVERAGE(OFFSET($R$3,0,0,'Données projet'!$E$9+1,1))-AVERAGE(OFFSET($H$3,0,0,'Données projet'!$E$9+1,1))</f>
        <v>291.3013645858839</v>
      </c>
      <c r="T102" s="59">
        <f t="shared" si="88"/>
        <v>332.89241887762438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128.79699490274521</v>
      </c>
      <c r="AA102" s="21">
        <f>EXP(-LN(2)/25)*AA101+(1-EXP(-LN(2)/25))/(LN(2)/25)*Calculateur!V102*Calculateur!X102*VLOOKUP('Données projet'!$B$9,Paramètres!$A$1:$I$89,3,0)*0.475*44/12</f>
        <v>35.617167287671208</v>
      </c>
      <c r="AB102" s="21">
        <f>EXP(-LN(2)/2)*AB101+(1-EXP(-LN(2)/2))/(LN(2)/2)*V102*Y102*VLOOKUP('Données projet'!$B$9,Paramètres!$A$1:$I$89,3,0)*0.475*44/12</f>
        <v>2.8987843811110411E-2</v>
      </c>
      <c r="AC102" s="22">
        <f t="shared" si="57"/>
        <v>164.44315003422753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3.4106051316484809E-13</v>
      </c>
      <c r="AJ102" s="13">
        <f>AI102*VLOOKUP('Données projet'!$B$10,Paramètres!$A$1:$I$89,3,0)*VLOOKUP('Données projet'!$B$10,Paramètres!$A$1:$I$89,5,0)</f>
        <v>1.5074874681886286E-13</v>
      </c>
      <c r="AK102" s="13">
        <f t="shared" si="89"/>
        <v>2.1590218794584103E-12</v>
      </c>
      <c r="AL102" s="20">
        <f t="shared" si="58"/>
        <v>4.0228505074329168E-12</v>
      </c>
      <c r="AM102" s="59">
        <f t="shared" si="59"/>
        <v>293.33333333333735</v>
      </c>
      <c r="AN102" s="59">
        <f ca="1">AVERAGE(OFFSET($AM$3,0,0,'Données projet'!$E$10+1,1))-AVERAGE(OFFSET($H$3,0,0,'Données projet'!$E$10+1,1))</f>
        <v>293.17014997061574</v>
      </c>
      <c r="AO102" s="59">
        <f t="shared" si="90"/>
        <v>394.32615745219954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80.02214573864795</v>
      </c>
      <c r="AV102" s="21">
        <f>EXP(-LN(2)/25)*AV101+(1-EXP(-LN(2)/25))/(LN(2)/25)*Calculateur!AQ102*Calculateur!AS102*VLOOKUP('Données projet'!$B$10,Paramètres!$A$1:$I$89,3,0)*0.475*44/12</f>
        <v>19.300968347858152</v>
      </c>
      <c r="AW102" s="21">
        <f>EXP(-LN(2)/2)*AW101+(1-EXP(-LN(2)/2))/(LN(2)/2)*AQ102*AT102*VLOOKUP('Données projet'!$B$10,Paramètres!$A$1:$I$89,3,0)*0.475*44/12</f>
        <v>1.2198183431837491E-5</v>
      </c>
      <c r="AX102" s="21">
        <f t="shared" si="60"/>
        <v>99.323126284689536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>
        <f>VLOOKUP(A102,'Données projet'!$A$87:$I$107,2,0)</f>
        <v>399.79</v>
      </c>
      <c r="BB102" s="12">
        <f>VLOOKUP(A102,'Données projet'!$A$87:$I$107,9,0)</f>
        <v>9.266666666666671</v>
      </c>
      <c r="BC102" s="12">
        <f t="array" ref="BC102">INDEX(BB:BB,MIN(IF(ISNUMBER(BB102:BB298),ROW(BB102:BB298),"")))</f>
        <v>9.266666666666671</v>
      </c>
      <c r="BD102" s="12">
        <f>IF('Données projet'!$A$88&gt;35,BD101+BC102-BL101,IF(A102&lt;'Données projet'!$A$88,$BA$205^A102,IF(A102='Données projet'!$A$88,'Données projet'!$B$88,BD101+BC102-BL101)))</f>
        <v>399.78999999999991</v>
      </c>
      <c r="BE102" s="13">
        <f>BD102*VLOOKUP('Données projet'!$B$11,Paramètres!$A$1:$I$89,3,0)*VLOOKUP('Données projet'!$B$11,Paramètres!$A$1:$I$89,5,0)</f>
        <v>343.01981999999998</v>
      </c>
      <c r="BF102" s="13">
        <f t="shared" si="91"/>
        <v>80.123538899410192</v>
      </c>
      <c r="BG102" s="20">
        <f t="shared" si="61"/>
        <v>736.97468341647266</v>
      </c>
      <c r="BH102" s="59">
        <f t="shared" si="62"/>
        <v>1030.308016749806</v>
      </c>
      <c r="BI102" s="59">
        <f ca="1">AVERAGE(OFFSET($BH$3,0,0,'Données projet'!$E$11+1,1))-AVERAGE(OFFSET($H$3,0,0,'Données projet'!$E$11+1,1))</f>
        <v>395.14818708356353</v>
      </c>
      <c r="BJ102" s="59">
        <f t="shared" si="92"/>
        <v>311.78229491474491</v>
      </c>
      <c r="BK102" s="15">
        <f>IF(ISNA(VLOOKUP(A102,'Données projet'!$A$87:$I$107,3,0)),0,VLOOKUP(A102,'Données projet'!$A$87:$I$107,3,0))</f>
        <v>8</v>
      </c>
      <c r="BL102" s="15">
        <f>IF(ISNA(VLOOKUP(A102,'Données projet'!$A$87:$I$107,4,0)),0,VLOOKUP(A102,'Données projet'!$A$87:$I$107,4,0))</f>
        <v>76.03000000000003</v>
      </c>
      <c r="BM102" s="16">
        <f>IF(ISNA(VLOOKUP(A102,'Données projet'!$A$87:$I$107,5,0)),0%,VLOOKUP(A102,'Données projet'!$A$87:$I$107,5,0)*VLOOKUP('Données projet'!$B$11,Paramètres!$A$1:$I$89,7,0))</f>
        <v>0.159</v>
      </c>
      <c r="BN102" s="16">
        <f>IF(ISNA(VLOOKUP(A102,'Données projet'!$A$87:$I$107,6,0)),0%,VLOOKUP(A102,'Données projet'!$A$87:$I$107,6,0)*VLOOKUP('Données projet'!$B$11,Paramètres!$A$1:$I$89,7,0))</f>
        <v>0.10600000000000001</v>
      </c>
      <c r="BO102" s="16">
        <f>IF(ISNA(VLOOKUP(A102,'Données projet'!$A$87:$I$107,7,0)),0%,VLOOKUP(A102,'Données projet'!$A$87:$I$107,7,0))</f>
        <v>0.2</v>
      </c>
      <c r="BP102" s="21">
        <f>EXP(-LN(2)/35)*BP101+(1-EXP(-LN(2)/35))/(LN(2)/35)*BL102*BM102*VLOOKUP('Données projet'!$B$11,Paramètres!$A$1:$I$89,3,0)*0.475*44/12</f>
        <v>43.274733861041248</v>
      </c>
      <c r="BQ102" s="21">
        <f>EXP(-LN(2)/25)*BQ101+(1-EXP(-LN(2)/25))/(LN(2)/25)*Calculateur!BL102*Calculateur!BN102*VLOOKUP('Données projet'!$B$11,Paramètres!$A$1:$I$89,3,0)*0.475*44/12</f>
        <v>37.68299304669948</v>
      </c>
      <c r="BR102" s="21">
        <f>EXP(-LN(2)/2)*BR101+(1-EXP(-LN(2)/2))/(LN(2)/2)*BL102*BO102*VLOOKUP('Données projet'!$B$11,Paramètres!$A$1:$I$89,3,0)*0.475*44/12</f>
        <v>12.866641857704099</v>
      </c>
      <c r="BS102" s="22">
        <f t="shared" si="63"/>
        <v>93.824368765444817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4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379.27229591132925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1.064108801074326E-13</v>
      </c>
      <c r="P103" s="13">
        <f t="shared" si="87"/>
        <v>1.5870730813698654E-12</v>
      </c>
      <c r="Q103" s="20">
        <f t="shared" si="107"/>
        <v>2.9494845662396269E-12</v>
      </c>
      <c r="R103" s="59">
        <f t="shared" si="55"/>
        <v>293.33333333333627</v>
      </c>
      <c r="S103" s="59">
        <f ca="1">AVERAGE(OFFSET($R$3,0,0,'Données projet'!$E$9+1,1))-AVERAGE(OFFSET($H$3,0,0,'Données projet'!$E$9+1,1))</f>
        <v>291.3013645858839</v>
      </c>
      <c r="T103" s="59">
        <f t="shared" si="88"/>
        <v>332.89241887762438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126.27136439111227</v>
      </c>
      <c r="AA103" s="21">
        <f>EXP(-LN(2)/25)*AA102+(1-EXP(-LN(2)/25))/(LN(2)/25)*Calculateur!V103*Calculateur!X103*VLOOKUP('Données projet'!$B$9,Paramètres!$A$1:$I$89,3,0)*0.475*44/12</f>
        <v>34.643213975164414</v>
      </c>
      <c r="AB103" s="21">
        <f>EXP(-LN(2)/2)*AB102+(1-EXP(-LN(2)/2))/(LN(2)/2)*V103*Y103*VLOOKUP('Données projet'!$B$9,Paramètres!$A$1:$I$89,3,0)*0.475*44/12</f>
        <v>2.0497500930812665E-2</v>
      </c>
      <c r="AC103" s="22">
        <f t="shared" si="57"/>
        <v>160.9350758672075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3.4106051316484809E-13</v>
      </c>
      <c r="AJ103" s="13">
        <f>AI103*VLOOKUP('Données projet'!$B$10,Paramètres!$A$1:$I$89,3,0)*VLOOKUP('Données projet'!$B$10,Paramètres!$A$1:$I$89,5,0)</f>
        <v>1.5074874681886286E-13</v>
      </c>
      <c r="AK103" s="13">
        <f t="shared" si="89"/>
        <v>2.1590218794584103E-12</v>
      </c>
      <c r="AL103" s="20">
        <f t="shared" si="58"/>
        <v>4.0228505074329168E-12</v>
      </c>
      <c r="AM103" s="59">
        <f t="shared" si="59"/>
        <v>293.33333333333735</v>
      </c>
      <c r="AN103" s="59">
        <f ca="1">AVERAGE(OFFSET($AM$3,0,0,'Données projet'!$E$10+1,1))-AVERAGE(OFFSET($H$3,0,0,'Données projet'!$E$10+1,1))</f>
        <v>293.17014997061574</v>
      </c>
      <c r="AO103" s="59">
        <f t="shared" si="90"/>
        <v>394.32615745219954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78.45296026940251</v>
      </c>
      <c r="AV103" s="21">
        <f>EXP(-LN(2)/25)*AV102+(1-EXP(-LN(2)/25))/(LN(2)/25)*Calculateur!AQ103*Calculateur!AS103*VLOOKUP('Données projet'!$B$10,Paramètres!$A$1:$I$89,3,0)*0.475*44/12</f>
        <v>18.773182353392158</v>
      </c>
      <c r="AW103" s="21">
        <f>EXP(-LN(2)/2)*AW102+(1-EXP(-LN(2)/2))/(LN(2)/2)*AQ103*AT103*VLOOKUP('Données projet'!$B$10,Paramètres!$A$1:$I$89,3,0)*0.475*44/12</f>
        <v>8.625418222809682E-6</v>
      </c>
      <c r="AX103" s="21">
        <f t="shared" si="60"/>
        <v>97.226151248212886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8.1741666666666699</v>
      </c>
      <c r="BD103" s="12">
        <f>IF('Données projet'!$A$88&gt;35,BD102+BC103-BL102,IF(A103&lt;'Données projet'!$A$88,$BA$205^A103,IF(A103='Données projet'!$A$88,'Données projet'!$B$88,BD102+BC103-BL102)))</f>
        <v>331.93416666666656</v>
      </c>
      <c r="BE103" s="13">
        <f>BD103*VLOOKUP('Données projet'!$B$11,Paramètres!$A$1:$I$89,3,0)*VLOOKUP('Données projet'!$B$11,Paramètres!$A$1:$I$89,5,0)</f>
        <v>284.79951499999993</v>
      </c>
      <c r="BF103" s="13">
        <f t="shared" si="91"/>
        <v>67.980278911923818</v>
      </c>
      <c r="BG103" s="20">
        <f t="shared" si="61"/>
        <v>614.42480772993383</v>
      </c>
      <c r="BH103" s="59">
        <f t="shared" si="62"/>
        <v>907.7581410632672</v>
      </c>
      <c r="BI103" s="59">
        <f ca="1">AVERAGE(OFFSET($BH$3,0,0,'Données projet'!$E$11+1,1))-AVERAGE(OFFSET($H$3,0,0,'Données projet'!$E$11+1,1))</f>
        <v>395.14818708356353</v>
      </c>
      <c r="BJ103" s="59">
        <f t="shared" si="92"/>
        <v>311.78229491474491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42.426142725007594</v>
      </c>
      <c r="BQ103" s="21">
        <f>EXP(-LN(2)/25)*BQ102+(1-EXP(-LN(2)/25))/(LN(2)/25)*Calculateur!BL103*Calculateur!BN103*VLOOKUP('Données projet'!$B$11,Paramètres!$A$1:$I$89,3,0)*0.475*44/12</f>
        <v>36.652549620175002</v>
      </c>
      <c r="BR103" s="21">
        <f>EXP(-LN(2)/2)*BR102+(1-EXP(-LN(2)/2))/(LN(2)/2)*BL103*BO103*VLOOKUP('Données projet'!$B$11,Paramètres!$A$1:$I$89,3,0)*0.475*44/12</f>
        <v>9.0980897086812469</v>
      </c>
      <c r="BS103" s="22">
        <f t="shared" si="63"/>
        <v>88.176782053863832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4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380.46618888020032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1.064108801074326E-13</v>
      </c>
      <c r="P104" s="13">
        <f t="shared" si="87"/>
        <v>1.5870730813698654E-12</v>
      </c>
      <c r="Q104" s="20">
        <f t="shared" si="107"/>
        <v>2.9494845662396269E-12</v>
      </c>
      <c r="R104" s="59">
        <f t="shared" si="55"/>
        <v>293.33333333333627</v>
      </c>
      <c r="S104" s="59">
        <f ca="1">AVERAGE(OFFSET($R$3,0,0,'Données projet'!$E$9+1,1))-AVERAGE(OFFSET($H$3,0,0,'Données projet'!$E$9+1,1))</f>
        <v>291.3013645858839</v>
      </c>
      <c r="T104" s="59">
        <f t="shared" si="88"/>
        <v>332.89241887762438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123.79525995332995</v>
      </c>
      <c r="AA104" s="21">
        <f>EXP(-LN(2)/25)*AA103+(1-EXP(-LN(2)/25))/(LN(2)/25)*Calculateur!V104*Calculateur!X104*VLOOKUP('Données projet'!$B$9,Paramètres!$A$1:$I$89,3,0)*0.475*44/12</f>
        <v>33.695893467206098</v>
      </c>
      <c r="AB104" s="21">
        <f>EXP(-LN(2)/2)*AB103+(1-EXP(-LN(2)/2))/(LN(2)/2)*V104*Y104*VLOOKUP('Données projet'!$B$9,Paramètres!$A$1:$I$89,3,0)*0.475*44/12</f>
        <v>1.4493921905555205E-2</v>
      </c>
      <c r="AC104" s="22">
        <f t="shared" si="57"/>
        <v>157.50564734244162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3.4106051316484809E-13</v>
      </c>
      <c r="AJ104" s="13">
        <f>AI104*VLOOKUP('Données projet'!$B$10,Paramètres!$A$1:$I$89,3,0)*VLOOKUP('Données projet'!$B$10,Paramètres!$A$1:$I$89,5,0)</f>
        <v>1.5074874681886286E-13</v>
      </c>
      <c r="AK104" s="13">
        <f t="shared" si="89"/>
        <v>2.1590218794584103E-12</v>
      </c>
      <c r="AL104" s="20">
        <f t="shared" si="58"/>
        <v>4.0228505074329168E-12</v>
      </c>
      <c r="AM104" s="59">
        <f t="shared" si="59"/>
        <v>293.33333333333735</v>
      </c>
      <c r="AN104" s="59">
        <f ca="1">AVERAGE(OFFSET($AM$3,0,0,'Données projet'!$E$10+1,1))-AVERAGE(OFFSET($H$3,0,0,'Données projet'!$E$10+1,1))</f>
        <v>293.17014997061574</v>
      </c>
      <c r="AO104" s="59">
        <f t="shared" si="90"/>
        <v>394.32615745219954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76.914545570100344</v>
      </c>
      <c r="AV104" s="21">
        <f>EXP(-LN(2)/25)*AV103+(1-EXP(-LN(2)/25))/(LN(2)/25)*Calculateur!AQ104*Calculateur!AS104*VLOOKUP('Données projet'!$B$10,Paramètres!$A$1:$I$89,3,0)*0.475*44/12</f>
        <v>18.259828694699898</v>
      </c>
      <c r="AW104" s="21">
        <f>EXP(-LN(2)/2)*AW103+(1-EXP(-LN(2)/2))/(LN(2)/2)*AQ104*AT104*VLOOKUP('Données projet'!$B$10,Paramètres!$A$1:$I$89,3,0)*0.475*44/12</f>
        <v>6.0990917159187456E-6</v>
      </c>
      <c r="AX104" s="21">
        <f t="shared" si="60"/>
        <v>95.174380363891956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8.1741666666666699</v>
      </c>
      <c r="BD104" s="12">
        <f>IF('Données projet'!$A$88&gt;35,BD103+BC104-BL103,IF(A104&lt;'Données projet'!$A$88,$BA$205^A104,IF(A104='Données projet'!$A$88,'Données projet'!$B$88,BD103+BC104-BL103)))</f>
        <v>340.10833333333323</v>
      </c>
      <c r="BE104" s="13">
        <f>BD104*VLOOKUP('Données projet'!$B$11,Paramètres!$A$1:$I$89,3,0)*VLOOKUP('Données projet'!$B$11,Paramètres!$A$1:$I$89,5,0)</f>
        <v>291.81294999999994</v>
      </c>
      <c r="BF104" s="13">
        <f t="shared" si="91"/>
        <v>69.457389226564032</v>
      </c>
      <c r="BG104" s="20">
        <f t="shared" si="61"/>
        <v>629.21250748626551</v>
      </c>
      <c r="BH104" s="59">
        <f t="shared" si="62"/>
        <v>922.54584081959888</v>
      </c>
      <c r="BI104" s="59">
        <f ca="1">AVERAGE(OFFSET($BH$3,0,0,'Données projet'!$E$11+1,1))-AVERAGE(OFFSET($H$3,0,0,'Données projet'!$E$11+1,1))</f>
        <v>395.14818708356353</v>
      </c>
      <c r="BJ104" s="59">
        <f t="shared" si="92"/>
        <v>311.78229491474491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41.59419194356208</v>
      </c>
      <c r="BQ104" s="21">
        <f>EXP(-LN(2)/25)*BQ103+(1-EXP(-LN(2)/25))/(LN(2)/25)*Calculateur!BL104*Calculateur!BN104*VLOOKUP('Données projet'!$B$11,Paramètres!$A$1:$I$89,3,0)*0.475*44/12</f>
        <v>35.650283723337502</v>
      </c>
      <c r="BR104" s="21">
        <f>EXP(-LN(2)/2)*BR103+(1-EXP(-LN(2)/2))/(LN(2)/2)*BL104*BO104*VLOOKUP('Données projet'!$B$11,Paramètres!$A$1:$I$89,3,0)*0.475*44/12</f>
        <v>6.4333209288520505</v>
      </c>
      <c r="BS104" s="22">
        <f t="shared" si="63"/>
        <v>83.67779659575163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4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381.6598020197543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1.064108801074326E-13</v>
      </c>
      <c r="P105" s="13">
        <f t="shared" si="87"/>
        <v>1.5870730813698654E-12</v>
      </c>
      <c r="Q105" s="20">
        <f t="shared" si="107"/>
        <v>2.9494845662396269E-12</v>
      </c>
      <c r="R105" s="59">
        <f t="shared" si="55"/>
        <v>293.33333333333627</v>
      </c>
      <c r="S105" s="59">
        <f ca="1">AVERAGE(OFFSET($R$3,0,0,'Données projet'!$E$9+1,1))-AVERAGE(OFFSET($H$3,0,0,'Données projet'!$E$9+1,1))</f>
        <v>291.3013645858839</v>
      </c>
      <c r="T105" s="59">
        <f t="shared" si="88"/>
        <v>332.89241887762438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121.36771041329796</v>
      </c>
      <c r="AA105" s="21">
        <f>EXP(-LN(2)/25)*AA104+(1-EXP(-LN(2)/25))/(LN(2)/25)*Calculateur!V105*Calculateur!X105*VLOOKUP('Données projet'!$B$9,Paramètres!$A$1:$I$89,3,0)*0.475*44/12</f>
        <v>32.774477488355323</v>
      </c>
      <c r="AB105" s="21">
        <f>EXP(-LN(2)/2)*AB104+(1-EXP(-LN(2)/2))/(LN(2)/2)*V105*Y105*VLOOKUP('Données projet'!$B$9,Paramètres!$A$1:$I$89,3,0)*0.475*44/12</f>
        <v>1.0248750465406332E-2</v>
      </c>
      <c r="AC105" s="22">
        <f t="shared" si="57"/>
        <v>154.15243665211867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3.4106051316484809E-13</v>
      </c>
      <c r="AJ105" s="13">
        <f>AI105*VLOOKUP('Données projet'!$B$10,Paramètres!$A$1:$I$89,3,0)*VLOOKUP('Données projet'!$B$10,Paramètres!$A$1:$I$89,5,0)</f>
        <v>1.5074874681886286E-13</v>
      </c>
      <c r="AK105" s="13">
        <f t="shared" si="89"/>
        <v>2.1590218794584103E-12</v>
      </c>
      <c r="AL105" s="20">
        <f t="shared" si="58"/>
        <v>4.0228505074329168E-12</v>
      </c>
      <c r="AM105" s="59">
        <f t="shared" si="59"/>
        <v>293.33333333333735</v>
      </c>
      <c r="AN105" s="59">
        <f ca="1">AVERAGE(OFFSET($AM$3,0,0,'Données projet'!$E$10+1,1))-AVERAGE(OFFSET($H$3,0,0,'Données projet'!$E$10+1,1))</f>
        <v>293.17014997061574</v>
      </c>
      <c r="AO105" s="59">
        <f t="shared" si="90"/>
        <v>394.32615745219954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75.406298244711181</v>
      </c>
      <c r="AV105" s="21">
        <f>EXP(-LN(2)/25)*AV104+(1-EXP(-LN(2)/25))/(LN(2)/25)*Calculateur!AQ105*Calculateur!AS105*VLOOKUP('Données projet'!$B$10,Paramètres!$A$1:$I$89,3,0)*0.475*44/12</f>
        <v>17.760512718800673</v>
      </c>
      <c r="AW105" s="21">
        <f>EXP(-LN(2)/2)*AW104+(1-EXP(-LN(2)/2))/(LN(2)/2)*AQ105*AT105*VLOOKUP('Données projet'!$B$10,Paramètres!$A$1:$I$89,3,0)*0.475*44/12</f>
        <v>4.312709111404841E-6</v>
      </c>
      <c r="AX105" s="21">
        <f t="shared" si="60"/>
        <v>93.166815276220959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8.1741666666666699</v>
      </c>
      <c r="BD105" s="12">
        <f>IF('Données projet'!$A$88&gt;35,BD104+BC105-BL104,IF(A105&lt;'Données projet'!$A$88,$BA$205^A105,IF(A105='Données projet'!$A$88,'Données projet'!$B$88,BD104+BC105-BL104)))</f>
        <v>348.28249999999991</v>
      </c>
      <c r="BE105" s="13">
        <f>BD105*VLOOKUP('Données projet'!$B$11,Paramètres!$A$1:$I$89,3,0)*VLOOKUP('Données projet'!$B$11,Paramètres!$A$1:$I$89,5,0)</f>
        <v>298.82638499999996</v>
      </c>
      <c r="BF105" s="13">
        <f t="shared" si="91"/>
        <v>70.930372593397351</v>
      </c>
      <c r="BG105" s="20">
        <f t="shared" si="61"/>
        <v>643.99301947516699</v>
      </c>
      <c r="BH105" s="59">
        <f t="shared" si="62"/>
        <v>937.32635280850036</v>
      </c>
      <c r="BI105" s="59">
        <f ca="1">AVERAGE(OFFSET($BH$3,0,0,'Données projet'!$E$11+1,1))-AVERAGE(OFFSET($H$3,0,0,'Données projet'!$E$11+1,1))</f>
        <v>395.14818708356353</v>
      </c>
      <c r="BJ105" s="59">
        <f t="shared" si="92"/>
        <v>311.78229491474491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40.778555209500837</v>
      </c>
      <c r="BQ105" s="21">
        <f>EXP(-LN(2)/25)*BQ104+(1-EXP(-LN(2)/25))/(LN(2)/25)*Calculateur!BL105*Calculateur!BN105*VLOOKUP('Données projet'!$B$11,Paramètres!$A$1:$I$89,3,0)*0.475*44/12</f>
        <v>34.675424840155898</v>
      </c>
      <c r="BR105" s="21">
        <f>EXP(-LN(2)/2)*BR104+(1-EXP(-LN(2)/2))/(LN(2)/2)*BL105*BO105*VLOOKUP('Données projet'!$B$11,Paramètres!$A$1:$I$89,3,0)*0.475*44/12</f>
        <v>4.5490448543406234</v>
      </c>
      <c r="BS105" s="22">
        <f t="shared" si="63"/>
        <v>80.003024903997357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4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382.85313839110199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1.064108801074326E-13</v>
      </c>
      <c r="P106" s="13">
        <f t="shared" si="87"/>
        <v>1.5870730813698654E-12</v>
      </c>
      <c r="Q106" s="20">
        <f t="shared" si="107"/>
        <v>2.9494845662396269E-12</v>
      </c>
      <c r="R106" s="59">
        <f t="shared" si="55"/>
        <v>293.33333333333627</v>
      </c>
      <c r="S106" s="59">
        <f ca="1">AVERAGE(OFFSET($R$3,0,0,'Données projet'!$E$9+1,1))-AVERAGE(OFFSET($H$3,0,0,'Données projet'!$E$9+1,1))</f>
        <v>291.3013645858839</v>
      </c>
      <c r="T106" s="59">
        <f t="shared" si="88"/>
        <v>332.89241887762438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118.98776363908698</v>
      </c>
      <c r="AA106" s="21">
        <f>EXP(-LN(2)/25)*AA105+(1-EXP(-LN(2)/25))/(LN(2)/25)*Calculateur!V106*Calculateur!X106*VLOOKUP('Données projet'!$B$9,Paramètres!$A$1:$I$89,3,0)*0.475*44/12</f>
        <v>31.878257677901384</v>
      </c>
      <c r="AB106" s="21">
        <f>EXP(-LN(2)/2)*AB105+(1-EXP(-LN(2)/2))/(LN(2)/2)*V106*Y106*VLOOKUP('Données projet'!$B$9,Paramètres!$A$1:$I$89,3,0)*0.475*44/12</f>
        <v>7.2469609527776027E-3</v>
      </c>
      <c r="AC106" s="22">
        <f t="shared" si="57"/>
        <v>150.87326827794115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3.4106051316484809E-13</v>
      </c>
      <c r="AJ106" s="13">
        <f>AI106*VLOOKUP('Données projet'!$B$10,Paramètres!$A$1:$I$89,3,0)*VLOOKUP('Données projet'!$B$10,Paramètres!$A$1:$I$89,5,0)</f>
        <v>1.5074874681886286E-13</v>
      </c>
      <c r="AK106" s="13">
        <f t="shared" si="89"/>
        <v>2.1590218794584103E-12</v>
      </c>
      <c r="AL106" s="20">
        <f t="shared" si="58"/>
        <v>4.0228505074329168E-12</v>
      </c>
      <c r="AM106" s="59">
        <f t="shared" si="59"/>
        <v>293.33333333333735</v>
      </c>
      <c r="AN106" s="59">
        <f ca="1">AVERAGE(OFFSET($AM$3,0,0,'Données projet'!$E$10+1,1))-AVERAGE(OFFSET($H$3,0,0,'Données projet'!$E$10+1,1))</f>
        <v>293.17014997061574</v>
      </c>
      <c r="AO106" s="59">
        <f t="shared" si="90"/>
        <v>394.32615745219954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73.927626729432859</v>
      </c>
      <c r="AV106" s="21">
        <f>EXP(-LN(2)/25)*AV105+(1-EXP(-LN(2)/25))/(LN(2)/25)*Calculateur!AQ106*Calculateur!AS106*VLOOKUP('Données projet'!$B$10,Paramètres!$A$1:$I$89,3,0)*0.475*44/12</f>
        <v>17.274850564520296</v>
      </c>
      <c r="AW106" s="21">
        <f>EXP(-LN(2)/2)*AW105+(1-EXP(-LN(2)/2))/(LN(2)/2)*AQ106*AT106*VLOOKUP('Données projet'!$B$10,Paramètres!$A$1:$I$89,3,0)*0.475*44/12</f>
        <v>3.0495458579593728E-6</v>
      </c>
      <c r="AX106" s="21">
        <f t="shared" si="60"/>
        <v>91.202480343499005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8.1741666666666699</v>
      </c>
      <c r="BD106" s="12">
        <f>IF('Données projet'!$A$88&gt;35,BD105+BC106-BL105,IF(A106&lt;'Données projet'!$A$88,$BA$205^A106,IF(A106='Données projet'!$A$88,'Données projet'!$B$88,BD105+BC106-BL105)))</f>
        <v>356.45666666666659</v>
      </c>
      <c r="BE106" s="13">
        <f>BD106*VLOOKUP('Données projet'!$B$11,Paramètres!$A$1:$I$89,3,0)*VLOOKUP('Données projet'!$B$11,Paramètres!$A$1:$I$89,5,0)</f>
        <v>305.83981999999997</v>
      </c>
      <c r="BF106" s="13">
        <f t="shared" si="91"/>
        <v>72.399337018492645</v>
      </c>
      <c r="BG106" s="20">
        <f t="shared" si="61"/>
        <v>658.76653180720803</v>
      </c>
      <c r="BH106" s="59">
        <f t="shared" si="62"/>
        <v>952.0998651405414</v>
      </c>
      <c r="BI106" s="59">
        <f ca="1">AVERAGE(OFFSET($BH$3,0,0,'Données projet'!$E$11+1,1))-AVERAGE(OFFSET($H$3,0,0,'Données projet'!$E$11+1,1))</f>
        <v>395.14818708356353</v>
      </c>
      <c r="BJ106" s="59">
        <f t="shared" si="92"/>
        <v>311.78229491474491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39.978912614305251</v>
      </c>
      <c r="BQ106" s="21">
        <f>EXP(-LN(2)/25)*BQ105+(1-EXP(-LN(2)/25))/(LN(2)/25)*Calculateur!BL106*Calculateur!BN106*VLOOKUP('Données projet'!$B$11,Paramètres!$A$1:$I$89,3,0)*0.475*44/12</f>
        <v>33.727223524400493</v>
      </c>
      <c r="BR106" s="21">
        <f>EXP(-LN(2)/2)*BR105+(1-EXP(-LN(2)/2))/(LN(2)/2)*BL106*BO106*VLOOKUP('Données projet'!$B$11,Paramètres!$A$1:$I$89,3,0)*0.475*44/12</f>
        <v>3.2166604644260253</v>
      </c>
      <c r="BS106" s="22">
        <f t="shared" si="63"/>
        <v>76.922796603131772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4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384.04620099248854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1.064108801074326E-13</v>
      </c>
      <c r="P107" s="13">
        <f t="shared" si="87"/>
        <v>1.5870730813698654E-12</v>
      </c>
      <c r="Q107" s="20">
        <f t="shared" si="107"/>
        <v>2.9494845662396269E-12</v>
      </c>
      <c r="R107" s="59">
        <f t="shared" si="55"/>
        <v>293.33333333333627</v>
      </c>
      <c r="S107" s="59">
        <f ca="1">AVERAGE(OFFSET($R$3,0,0,'Données projet'!$E$9+1,1))-AVERAGE(OFFSET($H$3,0,0,'Données projet'!$E$9+1,1))</f>
        <v>291.3013645858839</v>
      </c>
      <c r="T107" s="59">
        <f t="shared" si="88"/>
        <v>332.89241887762438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116.65448616949408</v>
      </c>
      <c r="AA107" s="21">
        <f>EXP(-LN(2)/25)*AA106+(1-EXP(-LN(2)/25))/(LN(2)/25)*Calculateur!V107*Calculateur!X107*VLOOKUP('Données projet'!$B$9,Paramètres!$A$1:$I$89,3,0)*0.475*44/12</f>
        <v>31.006545045294459</v>
      </c>
      <c r="AB107" s="21">
        <f>EXP(-LN(2)/2)*AB106+(1-EXP(-LN(2)/2))/(LN(2)/2)*V107*Y107*VLOOKUP('Données projet'!$B$9,Paramètres!$A$1:$I$89,3,0)*0.475*44/12</f>
        <v>5.1243752327031662E-3</v>
      </c>
      <c r="AC107" s="22">
        <f t="shared" si="57"/>
        <v>147.66615559002122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3.4106051316484809E-13</v>
      </c>
      <c r="AJ107" s="13">
        <f>AI107*VLOOKUP('Données projet'!$B$10,Paramètres!$A$1:$I$89,3,0)*VLOOKUP('Données projet'!$B$10,Paramètres!$A$1:$I$89,5,0)</f>
        <v>1.5074874681886286E-13</v>
      </c>
      <c r="AK107" s="13">
        <f t="shared" si="89"/>
        <v>2.1590218794584103E-12</v>
      </c>
      <c r="AL107" s="20">
        <f t="shared" si="58"/>
        <v>4.0228505074329168E-12</v>
      </c>
      <c r="AM107" s="59">
        <f t="shared" si="59"/>
        <v>293.33333333333735</v>
      </c>
      <c r="AN107" s="59">
        <f ca="1">AVERAGE(OFFSET($AM$3,0,0,'Données projet'!$E$10+1,1))-AVERAGE(OFFSET($H$3,0,0,'Données projet'!$E$10+1,1))</f>
        <v>293.17014997061574</v>
      </c>
      <c r="AO107" s="59">
        <f t="shared" si="90"/>
        <v>394.32615745219954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72.477951060668573</v>
      </c>
      <c r="AV107" s="21">
        <f>EXP(-LN(2)/25)*AV106+(1-EXP(-LN(2)/25))/(LN(2)/25)*Calculateur!AQ107*Calculateur!AS107*VLOOKUP('Données projet'!$B$10,Paramètres!$A$1:$I$89,3,0)*0.475*44/12</f>
        <v>16.80246886738858</v>
      </c>
      <c r="AW107" s="21">
        <f>EXP(-LN(2)/2)*AW106+(1-EXP(-LN(2)/2))/(LN(2)/2)*AQ107*AT107*VLOOKUP('Données projet'!$B$10,Paramètres!$A$1:$I$89,3,0)*0.475*44/12</f>
        <v>2.1563545557024205E-6</v>
      </c>
      <c r="AX107" s="21">
        <f t="shared" si="60"/>
        <v>89.280422084411711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8.1741666666666699</v>
      </c>
      <c r="BD107" s="12">
        <f>IF('Données projet'!$A$88&gt;35,BD106+BC107-BL106,IF(A107&lt;'Données projet'!$A$88,$BA$205^A107,IF(A107='Données projet'!$A$88,'Données projet'!$B$88,BD106+BC107-BL106)))</f>
        <v>364.63083333333327</v>
      </c>
      <c r="BE107" s="13">
        <f>BD107*VLOOKUP('Données projet'!$B$11,Paramètres!$A$1:$I$89,3,0)*VLOOKUP('Données projet'!$B$11,Paramètres!$A$1:$I$89,5,0)</f>
        <v>312.85325499999999</v>
      </c>
      <c r="BF107" s="13">
        <f t="shared" si="91"/>
        <v>73.864385271700755</v>
      </c>
      <c r="BG107" s="20">
        <f t="shared" si="61"/>
        <v>673.53322347321216</v>
      </c>
      <c r="BH107" s="59">
        <f t="shared" si="62"/>
        <v>966.86655680654553</v>
      </c>
      <c r="BI107" s="59">
        <f ca="1">AVERAGE(OFFSET($BH$3,0,0,'Données projet'!$E$11+1,1))-AVERAGE(OFFSET($H$3,0,0,'Données projet'!$E$11+1,1))</f>
        <v>395.14818708356353</v>
      </c>
      <c r="BJ107" s="59">
        <f t="shared" si="92"/>
        <v>311.78229491474491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39.194950522667625</v>
      </c>
      <c r="BQ107" s="21">
        <f>EXP(-LN(2)/25)*BQ106+(1-EXP(-LN(2)/25))/(LN(2)/25)*Calculateur!BL107*Calculateur!BN107*VLOOKUP('Données projet'!$B$11,Paramètres!$A$1:$I$89,3,0)*0.475*44/12</f>
        <v>32.804950823488163</v>
      </c>
      <c r="BR107" s="21">
        <f>EXP(-LN(2)/2)*BR106+(1-EXP(-LN(2)/2))/(LN(2)/2)*BL107*BO107*VLOOKUP('Données projet'!$B$11,Paramètres!$A$1:$I$89,3,0)*0.475*44/12</f>
        <v>2.2745224271703117</v>
      </c>
      <c r="BS107" s="22">
        <f t="shared" si="63"/>
        <v>74.274423773326092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4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385.23899276117606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1.064108801074326E-13</v>
      </c>
      <c r="P108" s="13">
        <f t="shared" si="87"/>
        <v>1.5870730813698654E-12</v>
      </c>
      <c r="Q108" s="20">
        <f t="shared" si="107"/>
        <v>2.9494845662396269E-12</v>
      </c>
      <c r="R108" s="59">
        <f t="shared" si="55"/>
        <v>293.33333333333627</v>
      </c>
      <c r="S108" s="59">
        <f ca="1">AVERAGE(OFFSET($R$3,0,0,'Données projet'!$E$9+1,1))-AVERAGE(OFFSET($H$3,0,0,'Données projet'!$E$9+1,1))</f>
        <v>291.3013645858839</v>
      </c>
      <c r="T108" s="59">
        <f t="shared" si="88"/>
        <v>332.89241887762438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114.36696284792116</v>
      </c>
      <c r="AA108" s="21">
        <f>EXP(-LN(2)/25)*AA107+(1-EXP(-LN(2)/25))/(LN(2)/25)*Calculateur!V108*Calculateur!X108*VLOOKUP('Données projet'!$B$9,Paramètres!$A$1:$I$89,3,0)*0.475*44/12</f>
        <v>30.158669440467545</v>
      </c>
      <c r="AB108" s="21">
        <f>EXP(-LN(2)/2)*AB107+(1-EXP(-LN(2)/2))/(LN(2)/2)*V108*Y108*VLOOKUP('Données projet'!$B$9,Paramètres!$A$1:$I$89,3,0)*0.475*44/12</f>
        <v>3.6234804763888013E-3</v>
      </c>
      <c r="AC108" s="22">
        <f t="shared" si="57"/>
        <v>144.52925576886508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3.4106051316484809E-13</v>
      </c>
      <c r="AJ108" s="13">
        <f>AI108*VLOOKUP('Données projet'!$B$10,Paramètres!$A$1:$I$89,3,0)*VLOOKUP('Données projet'!$B$10,Paramètres!$A$1:$I$89,5,0)</f>
        <v>1.5074874681886286E-13</v>
      </c>
      <c r="AK108" s="13">
        <f t="shared" si="89"/>
        <v>2.1590218794584103E-12</v>
      </c>
      <c r="AL108" s="20">
        <f t="shared" si="58"/>
        <v>4.0228505074329168E-12</v>
      </c>
      <c r="AM108" s="59">
        <f t="shared" si="59"/>
        <v>293.33333333333735</v>
      </c>
      <c r="AN108" s="59">
        <f ca="1">AVERAGE(OFFSET($AM$3,0,0,'Données projet'!$E$10+1,1))-AVERAGE(OFFSET($H$3,0,0,'Données projet'!$E$10+1,1))</f>
        <v>293.17014997061574</v>
      </c>
      <c r="AO108" s="59">
        <f t="shared" si="90"/>
        <v>394.32615745219954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71.056702647553919</v>
      </c>
      <c r="AV108" s="21">
        <f>EXP(-LN(2)/25)*AV107+(1-EXP(-LN(2)/25))/(LN(2)/25)*Calculateur!AQ108*Calculateur!AS108*VLOOKUP('Données projet'!$B$10,Paramètres!$A$1:$I$89,3,0)*0.475*44/12</f>
        <v>16.343004472606403</v>
      </c>
      <c r="AW108" s="21">
        <f>EXP(-LN(2)/2)*AW107+(1-EXP(-LN(2)/2))/(LN(2)/2)*AQ108*AT108*VLOOKUP('Données projet'!$B$10,Paramètres!$A$1:$I$89,3,0)*0.475*44/12</f>
        <v>1.5247729289796864E-6</v>
      </c>
      <c r="AX108" s="21">
        <f t="shared" si="60"/>
        <v>87.399708644933241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8.1741666666666699</v>
      </c>
      <c r="BD108" s="12">
        <f>IF('Données projet'!$A$88&gt;35,BD107+BC108-BL107,IF(A108&lt;'Données projet'!$A$88,$BA$205^A108,IF(A108='Données projet'!$A$88,'Données projet'!$B$88,BD107+BC108-BL107)))</f>
        <v>372.80499999999995</v>
      </c>
      <c r="BE108" s="13">
        <f>BD108*VLOOKUP('Données projet'!$B$11,Paramètres!$A$1:$I$89,3,0)*VLOOKUP('Données projet'!$B$11,Paramètres!$A$1:$I$89,5,0)</f>
        <v>319.86669000000001</v>
      </c>
      <c r="BF108" s="13">
        <f t="shared" si="91"/>
        <v>75.325615252116023</v>
      </c>
      <c r="BG108" s="20">
        <f t="shared" si="61"/>
        <v>688.29326498076864</v>
      </c>
      <c r="BH108" s="59">
        <f t="shared" si="62"/>
        <v>981.62659831410201</v>
      </c>
      <c r="BI108" s="59">
        <f ca="1">AVERAGE(OFFSET($BH$3,0,0,'Données projet'!$E$11+1,1))-AVERAGE(OFFSET($H$3,0,0,'Données projet'!$E$11+1,1))</f>
        <v>395.14818708356353</v>
      </c>
      <c r="BJ108" s="59">
        <f t="shared" si="92"/>
        <v>311.78229491474491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38.426361449477355</v>
      </c>
      <c r="BQ108" s="21">
        <f>EXP(-LN(2)/25)*BQ107+(1-EXP(-LN(2)/25))/(LN(2)/25)*Calculateur!BL108*Calculateur!BN108*VLOOKUP('Données projet'!$B$11,Paramètres!$A$1:$I$89,3,0)*0.475*44/12</f>
        <v>31.907897718082491</v>
      </c>
      <c r="BR108" s="21">
        <f>EXP(-LN(2)/2)*BR107+(1-EXP(-LN(2)/2))/(LN(2)/2)*BL108*BO108*VLOOKUP('Données projet'!$B$11,Paramètres!$A$1:$I$89,3,0)*0.475*44/12</f>
        <v>1.6083302322130126</v>
      </c>
      <c r="BS108" s="22">
        <f t="shared" si="63"/>
        <v>71.942589399772856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4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386.43151657525294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1.064108801074326E-13</v>
      </c>
      <c r="P109" s="13">
        <f t="shared" si="87"/>
        <v>1.5870730813698654E-12</v>
      </c>
      <c r="Q109" s="20">
        <f t="shared" si="107"/>
        <v>2.9494845662396269E-12</v>
      </c>
      <c r="R109" s="59">
        <f t="shared" si="55"/>
        <v>293.33333333333627</v>
      </c>
      <c r="S109" s="59">
        <f ca="1">AVERAGE(OFFSET($R$3,0,0,'Données projet'!$E$9+1,1))-AVERAGE(OFFSET($H$3,0,0,'Données projet'!$E$9+1,1))</f>
        <v>291.3013645858839</v>
      </c>
      <c r="T109" s="59">
        <f t="shared" si="88"/>
        <v>332.89241887762438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112.12429646343283</v>
      </c>
      <c r="AA109" s="21">
        <f>EXP(-LN(2)/25)*AA108+(1-EXP(-LN(2)/25))/(LN(2)/25)*Calculateur!V109*Calculateur!X109*VLOOKUP('Données projet'!$B$9,Paramètres!$A$1:$I$89,3,0)*0.475*44/12</f>
        <v>29.333979038642461</v>
      </c>
      <c r="AB109" s="21">
        <f>EXP(-LN(2)/2)*AB108+(1-EXP(-LN(2)/2))/(LN(2)/2)*V109*Y109*VLOOKUP('Données projet'!$B$9,Paramètres!$A$1:$I$89,3,0)*0.475*44/12</f>
        <v>2.5621876163515831E-3</v>
      </c>
      <c r="AC109" s="22">
        <f t="shared" si="57"/>
        <v>141.46083768969163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3.4106051316484809E-13</v>
      </c>
      <c r="AJ109" s="13">
        <f>AI109*VLOOKUP('Données projet'!$B$10,Paramètres!$A$1:$I$89,3,0)*VLOOKUP('Données projet'!$B$10,Paramètres!$A$1:$I$89,5,0)</f>
        <v>1.5074874681886286E-13</v>
      </c>
      <c r="AK109" s="13">
        <f t="shared" si="89"/>
        <v>2.1590218794584103E-12</v>
      </c>
      <c r="AL109" s="20">
        <f t="shared" si="58"/>
        <v>4.0228505074329168E-12</v>
      </c>
      <c r="AM109" s="59">
        <f t="shared" si="59"/>
        <v>293.33333333333735</v>
      </c>
      <c r="AN109" s="59">
        <f ca="1">AVERAGE(OFFSET($AM$3,0,0,'Données projet'!$E$10+1,1))-AVERAGE(OFFSET($H$3,0,0,'Données projet'!$E$10+1,1))</f>
        <v>293.17014997061574</v>
      </c>
      <c r="AO109" s="59">
        <f t="shared" si="90"/>
        <v>394.32615745219954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69.663324048944503</v>
      </c>
      <c r="AV109" s="21">
        <f>EXP(-LN(2)/25)*AV108+(1-EXP(-LN(2)/25))/(LN(2)/25)*Calculateur!AQ109*Calculateur!AS109*VLOOKUP('Données projet'!$B$10,Paramètres!$A$1:$I$89,3,0)*0.475*44/12</f>
        <v>15.896104155861728</v>
      </c>
      <c r="AW109" s="21">
        <f>EXP(-LN(2)/2)*AW108+(1-EXP(-LN(2)/2))/(LN(2)/2)*AQ109*AT109*VLOOKUP('Données projet'!$B$10,Paramètres!$A$1:$I$89,3,0)*0.475*44/12</f>
        <v>1.0781772778512103E-6</v>
      </c>
      <c r="AX109" s="21">
        <f t="shared" si="60"/>
        <v>85.559429282983515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8.1741666666666699</v>
      </c>
      <c r="BD109" s="12">
        <f>IF('Données projet'!$A$88&gt;35,BD108+BC109-BL108,IF(A109&lt;'Données projet'!$A$88,$BA$205^A109,IF(A109='Données projet'!$A$88,'Données projet'!$B$88,BD108+BC109-BL108)))</f>
        <v>380.97916666666663</v>
      </c>
      <c r="BE109" s="13">
        <f>BD109*VLOOKUP('Données projet'!$B$11,Paramètres!$A$1:$I$89,3,0)*VLOOKUP('Données projet'!$B$11,Paramètres!$A$1:$I$89,5,0)</f>
        <v>326.88012500000002</v>
      </c>
      <c r="BF109" s="13">
        <f t="shared" si="91"/>
        <v>76.783120320579457</v>
      </c>
      <c r="BG109" s="20">
        <f t="shared" si="61"/>
        <v>703.04681893334248</v>
      </c>
      <c r="BH109" s="59">
        <f t="shared" si="62"/>
        <v>996.38015226667585</v>
      </c>
      <c r="BI109" s="59">
        <f ca="1">AVERAGE(OFFSET($BH$3,0,0,'Données projet'!$E$11+1,1))-AVERAGE(OFFSET($H$3,0,0,'Données projet'!$E$11+1,1))</f>
        <v>395.14818708356353</v>
      </c>
      <c r="BJ109" s="59">
        <f t="shared" si="92"/>
        <v>311.78229491474491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37.672843939219298</v>
      </c>
      <c r="BQ109" s="21">
        <f>EXP(-LN(2)/25)*BQ108+(1-EXP(-LN(2)/25))/(LN(2)/25)*Calculateur!BL109*Calculateur!BN109*VLOOKUP('Données projet'!$B$11,Paramètres!$A$1:$I$89,3,0)*0.475*44/12</f>
        <v>31.035374577018111</v>
      </c>
      <c r="BR109" s="21">
        <f>EXP(-LN(2)/2)*BR108+(1-EXP(-LN(2)/2))/(LN(2)/2)*BL109*BO109*VLOOKUP('Données projet'!$B$11,Paramètres!$A$1:$I$89,3,0)*0.475*44/12</f>
        <v>1.1372612135851559</v>
      </c>
      <c r="BS109" s="22">
        <f t="shared" si="63"/>
        <v>69.845479729822571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4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387.62377525537238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1.064108801074326E-13</v>
      </c>
      <c r="P110" s="13">
        <f t="shared" si="87"/>
        <v>1.5870730813698654E-12</v>
      </c>
      <c r="Q110" s="20">
        <f t="shared" si="107"/>
        <v>2.9494845662396269E-12</v>
      </c>
      <c r="R110" s="59">
        <f t="shared" si="55"/>
        <v>293.33333333333627</v>
      </c>
      <c r="S110" s="59">
        <f ca="1">AVERAGE(OFFSET($R$3,0,0,'Données projet'!$E$9+1,1))-AVERAGE(OFFSET($H$3,0,0,'Données projet'!$E$9+1,1))</f>
        <v>291.3013645858839</v>
      </c>
      <c r="T110" s="59">
        <f t="shared" si="88"/>
        <v>332.89241887762438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109.92560739885289</v>
      </c>
      <c r="AA110" s="21">
        <f>EXP(-LN(2)/25)*AA109+(1-EXP(-LN(2)/25))/(LN(2)/25)*Calculateur!V110*Calculateur!X110*VLOOKUP('Données projet'!$B$9,Paramètres!$A$1:$I$89,3,0)*0.475*44/12</f>
        <v>28.531839839223871</v>
      </c>
      <c r="AB110" s="21">
        <f>EXP(-LN(2)/2)*AB109+(1-EXP(-LN(2)/2))/(LN(2)/2)*V110*Y110*VLOOKUP('Données projet'!$B$9,Paramètres!$A$1:$I$89,3,0)*0.475*44/12</f>
        <v>1.8117402381944007E-3</v>
      </c>
      <c r="AC110" s="22">
        <f t="shared" si="57"/>
        <v>138.45925897831495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3.4106051316484809E-13</v>
      </c>
      <c r="AJ110" s="13">
        <f>AI110*VLOOKUP('Données projet'!$B$10,Paramètres!$A$1:$I$89,3,0)*VLOOKUP('Données projet'!$B$10,Paramètres!$A$1:$I$89,5,0)</f>
        <v>1.5074874681886286E-13</v>
      </c>
      <c r="AK110" s="13">
        <f t="shared" si="89"/>
        <v>2.1590218794584103E-12</v>
      </c>
      <c r="AL110" s="20">
        <f t="shared" si="58"/>
        <v>4.0228505074329168E-12</v>
      </c>
      <c r="AM110" s="59">
        <f t="shared" si="59"/>
        <v>293.33333333333735</v>
      </c>
      <c r="AN110" s="59">
        <f ca="1">AVERAGE(OFFSET($AM$3,0,0,'Données projet'!$E$10+1,1))-AVERAGE(OFFSET($H$3,0,0,'Données projet'!$E$10+1,1))</f>
        <v>293.17014997061574</v>
      </c>
      <c r="AO110" s="59">
        <f t="shared" si="90"/>
        <v>394.32615745219954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68.297268754776795</v>
      </c>
      <c r="AV110" s="21">
        <f>EXP(-LN(2)/25)*AV109+(1-EXP(-LN(2)/25))/(LN(2)/25)*Calculateur!AQ110*Calculateur!AS110*VLOOKUP('Données projet'!$B$10,Paramètres!$A$1:$I$89,3,0)*0.475*44/12</f>
        <v>15.461424351779902</v>
      </c>
      <c r="AW110" s="21">
        <f>EXP(-LN(2)/2)*AW109+(1-EXP(-LN(2)/2))/(LN(2)/2)*AQ110*AT110*VLOOKUP('Données projet'!$B$10,Paramètres!$A$1:$I$89,3,0)*0.475*44/12</f>
        <v>7.623864644898432E-7</v>
      </c>
      <c r="AX110" s="21">
        <f t="shared" si="60"/>
        <v>83.758693868943155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8.1741666666666699</v>
      </c>
      <c r="BD110" s="12">
        <f>IF('Données projet'!$A$88&gt;35,BD109+BC110-BL109,IF(A110&lt;'Données projet'!$A$88,$BA$205^A110,IF(A110='Données projet'!$A$88,'Données projet'!$B$88,BD109+BC110-BL109)))</f>
        <v>389.15333333333331</v>
      </c>
      <c r="BE110" s="13">
        <f>BD110*VLOOKUP('Données projet'!$B$11,Paramètres!$A$1:$I$89,3,0)*VLOOKUP('Données projet'!$B$11,Paramètres!$A$1:$I$89,5,0)</f>
        <v>333.89356000000004</v>
      </c>
      <c r="BF110" s="13">
        <f t="shared" si="91"/>
        <v>78.236989602842002</v>
      </c>
      <c r="BG110" s="20">
        <f t="shared" si="61"/>
        <v>717.7940405582832</v>
      </c>
      <c r="BH110" s="59">
        <f t="shared" si="62"/>
        <v>1011.1273738916166</v>
      </c>
      <c r="BI110" s="59">
        <f ca="1">AVERAGE(OFFSET($BH$3,0,0,'Données projet'!$E$11+1,1))-AVERAGE(OFFSET($H$3,0,0,'Données projet'!$E$11+1,1))</f>
        <v>395.14818708356353</v>
      </c>
      <c r="BJ110" s="59">
        <f t="shared" si="92"/>
        <v>311.78229491474491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36.934102447737104</v>
      </c>
      <c r="BQ110" s="21">
        <f>EXP(-LN(2)/25)*BQ109+(1-EXP(-LN(2)/25))/(LN(2)/25)*Calculateur!BL110*Calculateur!BN110*VLOOKUP('Données projet'!$B$11,Paramètres!$A$1:$I$89,3,0)*0.475*44/12</f>
        <v>30.186710627130132</v>
      </c>
      <c r="BR110" s="21">
        <f>EXP(-LN(2)/2)*BR109+(1-EXP(-LN(2)/2))/(LN(2)/2)*BL110*BO110*VLOOKUP('Données projet'!$B$11,Paramètres!$A$1:$I$89,3,0)*0.475*44/12</f>
        <v>0.80416511610650632</v>
      </c>
      <c r="BS110" s="22">
        <f t="shared" si="63"/>
        <v>67.924978190973746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4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388.81577156642459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1.064108801074326E-13</v>
      </c>
      <c r="P111" s="13">
        <f t="shared" si="87"/>
        <v>1.5870730813698654E-12</v>
      </c>
      <c r="Q111" s="20">
        <f t="shared" si="107"/>
        <v>2.9494845662396269E-12</v>
      </c>
      <c r="R111" s="59">
        <f t="shared" si="55"/>
        <v>293.33333333333627</v>
      </c>
      <c r="S111" s="59">
        <f ca="1">AVERAGE(OFFSET($R$3,0,0,'Données projet'!$E$9+1,1))-AVERAGE(OFFSET($H$3,0,0,'Données projet'!$E$9+1,1))</f>
        <v>291.3013645858839</v>
      </c>
      <c r="T111" s="59">
        <f t="shared" si="88"/>
        <v>332.89241887762438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107.77003328576146</v>
      </c>
      <c r="AA111" s="21">
        <f>EXP(-LN(2)/25)*AA110+(1-EXP(-LN(2)/25))/(LN(2)/25)*Calculateur!V111*Calculateur!X111*VLOOKUP('Données projet'!$B$9,Paramètres!$A$1:$I$89,3,0)*0.475*44/12</f>
        <v>27.751635178396047</v>
      </c>
      <c r="AB111" s="21">
        <f>EXP(-LN(2)/2)*AB110+(1-EXP(-LN(2)/2))/(LN(2)/2)*V111*Y111*VLOOKUP('Données projet'!$B$9,Paramètres!$A$1:$I$89,3,0)*0.475*44/12</f>
        <v>1.2810938081757916E-3</v>
      </c>
      <c r="AC111" s="22">
        <f t="shared" si="57"/>
        <v>135.52294955796569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3.4106051316484809E-13</v>
      </c>
      <c r="AJ111" s="13">
        <f>AI111*VLOOKUP('Données projet'!$B$10,Paramètres!$A$1:$I$89,3,0)*VLOOKUP('Données projet'!$B$10,Paramètres!$A$1:$I$89,5,0)</f>
        <v>1.5074874681886286E-13</v>
      </c>
      <c r="AK111" s="13">
        <f t="shared" si="89"/>
        <v>2.1590218794584103E-12</v>
      </c>
      <c r="AL111" s="20">
        <f t="shared" si="58"/>
        <v>4.0228505074329168E-12</v>
      </c>
      <c r="AM111" s="59">
        <f t="shared" si="59"/>
        <v>293.33333333333735</v>
      </c>
      <c r="AN111" s="59">
        <f ca="1">AVERAGE(OFFSET($AM$3,0,0,'Données projet'!$E$10+1,1))-AVERAGE(OFFSET($H$3,0,0,'Données projet'!$E$10+1,1))</f>
        <v>293.17014997061574</v>
      </c>
      <c r="AO111" s="59">
        <f t="shared" si="90"/>
        <v>394.32615745219954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66.95800097171626</v>
      </c>
      <c r="AV111" s="21">
        <f>EXP(-LN(2)/25)*AV110+(1-EXP(-LN(2)/25))/(LN(2)/25)*Calculateur!AQ111*Calculateur!AS111*VLOOKUP('Données projet'!$B$10,Paramètres!$A$1:$I$89,3,0)*0.475*44/12</f>
        <v>15.038630889799512</v>
      </c>
      <c r="AW111" s="21">
        <f>EXP(-LN(2)/2)*AW110+(1-EXP(-LN(2)/2))/(LN(2)/2)*AQ111*AT111*VLOOKUP('Données projet'!$B$10,Paramètres!$A$1:$I$89,3,0)*0.475*44/12</f>
        <v>5.3908863892560513E-7</v>
      </c>
      <c r="AX111" s="21">
        <f t="shared" si="60"/>
        <v>81.996632400604412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8.1741666666666699</v>
      </c>
      <c r="BD111" s="12">
        <f>IF('Données projet'!$A$88&gt;35,BD110+BC111-BL110,IF(A111&lt;'Données projet'!$A$88,$BA$205^A111,IF(A111='Données projet'!$A$88,'Données projet'!$B$88,BD110+BC111-BL110)))</f>
        <v>397.32749999999999</v>
      </c>
      <c r="BE111" s="13">
        <f>BD111*VLOOKUP('Données projet'!$B$11,Paramètres!$A$1:$I$89,3,0)*VLOOKUP('Données projet'!$B$11,Paramètres!$A$1:$I$89,5,0)</f>
        <v>340.90699499999999</v>
      </c>
      <c r="BF111" s="13">
        <f t="shared" si="91"/>
        <v>79.687308266536192</v>
      </c>
      <c r="BG111" s="20">
        <f t="shared" si="61"/>
        <v>732.53507818921719</v>
      </c>
      <c r="BH111" s="59">
        <f t="shared" si="62"/>
        <v>1025.8684115225506</v>
      </c>
      <c r="BI111" s="59">
        <f ca="1">AVERAGE(OFFSET($BH$3,0,0,'Données projet'!$E$11+1,1))-AVERAGE(OFFSET($H$3,0,0,'Données projet'!$E$11+1,1))</f>
        <v>395.14818708356353</v>
      </c>
      <c r="BJ111" s="59">
        <f t="shared" si="92"/>
        <v>311.78229491474491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36.209847226315055</v>
      </c>
      <c r="BQ111" s="21">
        <f>EXP(-LN(2)/25)*BQ110+(1-EXP(-LN(2)/25))/(LN(2)/25)*Calculateur!BL111*Calculateur!BN111*VLOOKUP('Données projet'!$B$11,Paramètres!$A$1:$I$89,3,0)*0.475*44/12</f>
        <v>29.361253437581141</v>
      </c>
      <c r="BR111" s="21">
        <f>EXP(-LN(2)/2)*BR110+(1-EXP(-LN(2)/2))/(LN(2)/2)*BL111*BO111*VLOOKUP('Données projet'!$B$11,Paramètres!$A$1:$I$89,3,0)*0.475*44/12</f>
        <v>0.56863060679257793</v>
      </c>
      <c r="BS111" s="22">
        <f t="shared" si="63"/>
        <v>66.139731270688785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4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390.00750821914528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1.064108801074326E-13</v>
      </c>
      <c r="P112" s="13">
        <f t="shared" si="87"/>
        <v>1.5870730813698654E-12</v>
      </c>
      <c r="Q112" s="20">
        <f t="shared" si="107"/>
        <v>2.9494845662396269E-12</v>
      </c>
      <c r="R112" s="59">
        <f t="shared" si="55"/>
        <v>293.33333333333627</v>
      </c>
      <c r="S112" s="59">
        <f ca="1">AVERAGE(OFFSET($R$3,0,0,'Données projet'!$E$9+1,1))-AVERAGE(OFFSET($H$3,0,0,'Données projet'!$E$9+1,1))</f>
        <v>291.3013645858839</v>
      </c>
      <c r="T112" s="59">
        <f t="shared" si="88"/>
        <v>332.89241887762438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105.65672866625737</v>
      </c>
      <c r="AA112" s="21">
        <f>EXP(-LN(2)/25)*AA111+(1-EXP(-LN(2)/25))/(LN(2)/25)*Calculateur!V112*Calculateur!X112*VLOOKUP('Données projet'!$B$9,Paramètres!$A$1:$I$89,3,0)*0.475*44/12</f>
        <v>26.99276525504774</v>
      </c>
      <c r="AB112" s="21">
        <f>EXP(-LN(2)/2)*AB111+(1-EXP(-LN(2)/2))/(LN(2)/2)*V112*Y112*VLOOKUP('Données projet'!$B$9,Paramètres!$A$1:$I$89,3,0)*0.475*44/12</f>
        <v>9.0587011909720034E-4</v>
      </c>
      <c r="AC112" s="22">
        <f t="shared" si="57"/>
        <v>132.65039979142418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3.4106051316484809E-13</v>
      </c>
      <c r="AJ112" s="13">
        <f>AI112*VLOOKUP('Données projet'!$B$10,Paramètres!$A$1:$I$89,3,0)*VLOOKUP('Données projet'!$B$10,Paramètres!$A$1:$I$89,5,0)</f>
        <v>1.5074874681886286E-13</v>
      </c>
      <c r="AK112" s="13">
        <f t="shared" si="89"/>
        <v>2.1590218794584103E-12</v>
      </c>
      <c r="AL112" s="20">
        <f t="shared" si="58"/>
        <v>4.0228505074329168E-12</v>
      </c>
      <c r="AM112" s="59">
        <f t="shared" si="59"/>
        <v>293.33333333333735</v>
      </c>
      <c r="AN112" s="59">
        <f ca="1">AVERAGE(OFFSET($AM$3,0,0,'Données projet'!$E$10+1,1))-AVERAGE(OFFSET($H$3,0,0,'Données projet'!$E$10+1,1))</f>
        <v>293.17014997061574</v>
      </c>
      <c r="AO112" s="59">
        <f t="shared" si="90"/>
        <v>394.32615745219954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65.644995413008843</v>
      </c>
      <c r="AV112" s="21">
        <f>EXP(-LN(2)/25)*AV111+(1-EXP(-LN(2)/25))/(LN(2)/25)*Calculateur!AQ112*Calculateur!AS112*VLOOKUP('Données projet'!$B$10,Paramètres!$A$1:$I$89,3,0)*0.475*44/12</f>
        <v>14.627398737270717</v>
      </c>
      <c r="AW112" s="21">
        <f>EXP(-LN(2)/2)*AW111+(1-EXP(-LN(2)/2))/(LN(2)/2)*AQ112*AT112*VLOOKUP('Données projet'!$B$10,Paramètres!$A$1:$I$89,3,0)*0.475*44/12</f>
        <v>3.811932322449216E-7</v>
      </c>
      <c r="AX112" s="21">
        <f t="shared" si="60"/>
        <v>80.272394531472784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8.1741666666666699</v>
      </c>
      <c r="BD112" s="12">
        <f>IF('Données projet'!$A$88&gt;35,BD111+BC112-BL111,IF(A112&lt;'Données projet'!$A$88,$BA$205^A112,IF(A112='Données projet'!$A$88,'Données projet'!$B$88,BD111+BC112-BL111)))</f>
        <v>405.50166666666667</v>
      </c>
      <c r="BE112" s="13">
        <f>BD112*VLOOKUP('Données projet'!$B$11,Paramètres!$A$1:$I$89,3,0)*VLOOKUP('Données projet'!$B$11,Paramètres!$A$1:$I$89,5,0)</f>
        <v>347.92043000000007</v>
      </c>
      <c r="BF112" s="13">
        <f t="shared" si="91"/>
        <v>81.134157774712477</v>
      </c>
      <c r="BG112" s="20">
        <f t="shared" si="61"/>
        <v>747.27007370762431</v>
      </c>
      <c r="BH112" s="59">
        <f t="shared" si="62"/>
        <v>1040.6034070409576</v>
      </c>
      <c r="BI112" s="59">
        <f ca="1">AVERAGE(OFFSET($BH$3,0,0,'Données projet'!$E$11+1,1))-AVERAGE(OFFSET($H$3,0,0,'Données projet'!$E$11+1,1))</f>
        <v>395.14818708356353</v>
      </c>
      <c r="BJ112" s="59">
        <f t="shared" si="92"/>
        <v>311.78229491474491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35.49979420803303</v>
      </c>
      <c r="BQ112" s="21">
        <f>EXP(-LN(2)/25)*BQ111+(1-EXP(-LN(2)/25))/(LN(2)/25)*Calculateur!BL112*Calculateur!BN112*VLOOKUP('Données projet'!$B$11,Paramètres!$A$1:$I$89,3,0)*0.475*44/12</f>
        <v>28.558368418289273</v>
      </c>
      <c r="BR112" s="21">
        <f>EXP(-LN(2)/2)*BR111+(1-EXP(-LN(2)/2))/(LN(2)/2)*BL112*BO112*VLOOKUP('Données projet'!$B$11,Paramètres!$A$1:$I$89,3,0)*0.475*44/12</f>
        <v>0.40208255805325316</v>
      </c>
      <c r="BS112" s="22">
        <f t="shared" si="63"/>
        <v>64.460245184375552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4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391.19898787166267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1.064108801074326E-13</v>
      </c>
      <c r="P113" s="13">
        <f t="shared" si="87"/>
        <v>1.5870730813698654E-12</v>
      </c>
      <c r="Q113" s="20">
        <f t="shared" si="107"/>
        <v>2.9494845662396269E-12</v>
      </c>
      <c r="R113" s="59">
        <f t="shared" si="55"/>
        <v>293.33333333333627</v>
      </c>
      <c r="S113" s="59">
        <f ca="1">AVERAGE(OFFSET($R$3,0,0,'Données projet'!$E$9+1,1))-AVERAGE(OFFSET($H$3,0,0,'Données projet'!$E$9+1,1))</f>
        <v>291.3013645858839</v>
      </c>
      <c r="T113" s="59">
        <f t="shared" si="88"/>
        <v>332.89241887762438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103.58486466135321</v>
      </c>
      <c r="AA113" s="21">
        <f>EXP(-LN(2)/25)*AA112+(1-EXP(-LN(2)/25))/(LN(2)/25)*Calculateur!V113*Calculateur!X113*VLOOKUP('Données projet'!$B$9,Paramètres!$A$1:$I$89,3,0)*0.475*44/12</f>
        <v>26.254646669660627</v>
      </c>
      <c r="AB113" s="21">
        <f>EXP(-LN(2)/2)*AB112+(1-EXP(-LN(2)/2))/(LN(2)/2)*V113*Y113*VLOOKUP('Données projet'!$B$9,Paramètres!$A$1:$I$89,3,0)*0.475*44/12</f>
        <v>6.4054690408789578E-4</v>
      </c>
      <c r="AC113" s="22">
        <f t="shared" si="57"/>
        <v>129.84015187791792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3.4106051316484809E-13</v>
      </c>
      <c r="AJ113" s="13">
        <f>AI113*VLOOKUP('Données projet'!$B$10,Paramètres!$A$1:$I$89,3,0)*VLOOKUP('Données projet'!$B$10,Paramètres!$A$1:$I$89,5,0)</f>
        <v>1.5074874681886286E-13</v>
      </c>
      <c r="AK113" s="13">
        <f t="shared" si="89"/>
        <v>2.1590218794584103E-12</v>
      </c>
      <c r="AL113" s="20">
        <f t="shared" si="58"/>
        <v>4.0228505074329168E-12</v>
      </c>
      <c r="AM113" s="59">
        <f t="shared" si="59"/>
        <v>293.33333333333735</v>
      </c>
      <c r="AN113" s="59">
        <f ca="1">AVERAGE(OFFSET($AM$3,0,0,'Données projet'!$E$10+1,1))-AVERAGE(OFFSET($H$3,0,0,'Données projet'!$E$10+1,1))</f>
        <v>293.17014997061574</v>
      </c>
      <c r="AO113" s="59">
        <f t="shared" si="90"/>
        <v>394.32615745219954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64.357737092453377</v>
      </c>
      <c r="AV113" s="21">
        <f>EXP(-LN(2)/25)*AV112+(1-EXP(-LN(2)/25))/(LN(2)/25)*Calculateur!AQ113*Calculateur!AS113*VLOOKUP('Données projet'!$B$10,Paramètres!$A$1:$I$89,3,0)*0.475*44/12</f>
        <v>14.227411749578581</v>
      </c>
      <c r="AW113" s="21">
        <f>EXP(-LN(2)/2)*AW112+(1-EXP(-LN(2)/2))/(LN(2)/2)*AQ113*AT113*VLOOKUP('Données projet'!$B$10,Paramètres!$A$1:$I$89,3,0)*0.475*44/12</f>
        <v>2.6954431946280256E-7</v>
      </c>
      <c r="AX113" s="21">
        <f t="shared" si="60"/>
        <v>78.585149111576271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8.1741666666666699</v>
      </c>
      <c r="BD113" s="12">
        <f>IF('Données projet'!$A$88&gt;35,BD112+BC113-BL112,IF(A113&lt;'Données projet'!$A$88,$BA$205^A113,IF(A113='Données projet'!$A$88,'Données projet'!$B$88,BD112+BC113-BL112)))</f>
        <v>413.67583333333334</v>
      </c>
      <c r="BE113" s="13">
        <f>BD113*VLOOKUP('Données projet'!$B$11,Paramètres!$A$1:$I$89,3,0)*VLOOKUP('Données projet'!$B$11,Paramètres!$A$1:$I$89,5,0)</f>
        <v>354.93386500000003</v>
      </c>
      <c r="BF113" s="13">
        <f t="shared" si="91"/>
        <v>82.577616118353887</v>
      </c>
      <c r="BG113" s="20">
        <f t="shared" si="61"/>
        <v>761.99916294779962</v>
      </c>
      <c r="BH113" s="59">
        <f t="shared" si="62"/>
        <v>1055.332496281133</v>
      </c>
      <c r="BI113" s="59">
        <f ca="1">AVERAGE(OFFSET($BH$3,0,0,'Données projet'!$E$11+1,1))-AVERAGE(OFFSET($H$3,0,0,'Données projet'!$E$11+1,1))</f>
        <v>395.14818708356353</v>
      </c>
      <c r="BJ113" s="59">
        <f t="shared" si="92"/>
        <v>311.78229491474491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34.803664896349936</v>
      </c>
      <c r="BQ113" s="21">
        <f>EXP(-LN(2)/25)*BQ112+(1-EXP(-LN(2)/25))/(LN(2)/25)*Calculateur!BL113*Calculateur!BN113*VLOOKUP('Données projet'!$B$11,Paramètres!$A$1:$I$89,3,0)*0.475*44/12</f>
        <v>27.777438332071828</v>
      </c>
      <c r="BR113" s="21">
        <f>EXP(-LN(2)/2)*BR112+(1-EXP(-LN(2)/2))/(LN(2)/2)*BL113*BO113*VLOOKUP('Données projet'!$B$11,Paramètres!$A$1:$I$89,3,0)*0.475*44/12</f>
        <v>0.28431530339628897</v>
      </c>
      <c r="BS113" s="22">
        <f t="shared" si="63"/>
        <v>62.865418531818058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4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392.39021313098795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1.064108801074326E-13</v>
      </c>
      <c r="P114" s="13">
        <f t="shared" si="87"/>
        <v>1.5870730813698654E-12</v>
      </c>
      <c r="Q114" s="20">
        <f t="shared" si="107"/>
        <v>2.9494845662396269E-12</v>
      </c>
      <c r="R114" s="59">
        <f t="shared" si="55"/>
        <v>293.33333333333627</v>
      </c>
      <c r="S114" s="59">
        <f ca="1">AVERAGE(OFFSET($R$3,0,0,'Données projet'!$E$9+1,1))-AVERAGE(OFFSET($H$3,0,0,'Données projet'!$E$9+1,1))</f>
        <v>291.3013645858839</v>
      </c>
      <c r="T114" s="59">
        <f t="shared" si="88"/>
        <v>332.89241887762438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101.55362864587296</v>
      </c>
      <c r="AA114" s="21">
        <f>EXP(-LN(2)/25)*AA113+(1-EXP(-LN(2)/25))/(LN(2)/25)*Calculateur!V114*Calculateur!X114*VLOOKUP('Données projet'!$B$9,Paramètres!$A$1:$I$89,3,0)*0.475*44/12</f>
        <v>25.536711975806895</v>
      </c>
      <c r="AB114" s="21">
        <f>EXP(-LN(2)/2)*AB113+(1-EXP(-LN(2)/2))/(LN(2)/2)*V114*Y114*VLOOKUP('Données projet'!$B$9,Paramètres!$A$1:$I$89,3,0)*0.475*44/12</f>
        <v>4.5293505954860017E-4</v>
      </c>
      <c r="AC114" s="22">
        <f t="shared" si="57"/>
        <v>127.0907935567394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3.4106051316484809E-13</v>
      </c>
      <c r="AJ114" s="13">
        <f>AI114*VLOOKUP('Données projet'!$B$10,Paramètres!$A$1:$I$89,3,0)*VLOOKUP('Données projet'!$B$10,Paramètres!$A$1:$I$89,5,0)</f>
        <v>1.5074874681886286E-13</v>
      </c>
      <c r="AK114" s="13">
        <f t="shared" si="89"/>
        <v>2.1590218794584103E-12</v>
      </c>
      <c r="AL114" s="20">
        <f t="shared" si="58"/>
        <v>4.0228505074329168E-12</v>
      </c>
      <c r="AM114" s="59">
        <f t="shared" si="59"/>
        <v>293.33333333333735</v>
      </c>
      <c r="AN114" s="59">
        <f ca="1">AVERAGE(OFFSET($AM$3,0,0,'Données projet'!$E$10+1,1))-AVERAGE(OFFSET($H$3,0,0,'Données projet'!$E$10+1,1))</f>
        <v>293.17014997061574</v>
      </c>
      <c r="AO114" s="59">
        <f t="shared" si="90"/>
        <v>394.32615745219954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63.095721122413948</v>
      </c>
      <c r="AV114" s="21">
        <f>EXP(-LN(2)/25)*AV113+(1-EXP(-LN(2)/25))/(LN(2)/25)*Calculateur!AQ114*Calculateur!AS114*VLOOKUP('Données projet'!$B$10,Paramètres!$A$1:$I$89,3,0)*0.475*44/12</f>
        <v>13.838362427099288</v>
      </c>
      <c r="AW114" s="21">
        <f>EXP(-LN(2)/2)*AW113+(1-EXP(-LN(2)/2))/(LN(2)/2)*AQ114*AT114*VLOOKUP('Données projet'!$B$10,Paramètres!$A$1:$I$89,3,0)*0.475*44/12</f>
        <v>1.905966161224608E-7</v>
      </c>
      <c r="AX114" s="21">
        <f t="shared" si="60"/>
        <v>76.934083740109855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>
        <f>VLOOKUP(A114,'Données projet'!$A$87:$I$107,2,0)</f>
        <v>421.85</v>
      </c>
      <c r="BB114" s="12">
        <f>VLOOKUP(A114,'Données projet'!$A$87:$I$107,9,0)</f>
        <v>8.1741666666666699</v>
      </c>
      <c r="BC114" s="12">
        <f t="array" ref="BC114">INDEX(BB:BB,MIN(IF(ISNUMBER(BB114:BB310),ROW(BB114:BB310),"")))</f>
        <v>8.1741666666666699</v>
      </c>
      <c r="BD114" s="12">
        <f>IF('Données projet'!$A$88&gt;35,BD113+BC114-BL113,IF(A114&lt;'Données projet'!$A$88,$BA$205^A114,IF(A114='Données projet'!$A$88,'Données projet'!$B$88,BD113+BC114-BL113)))</f>
        <v>421.85</v>
      </c>
      <c r="BE114" s="13">
        <f>BD114*VLOOKUP('Données projet'!$B$11,Paramètres!$A$1:$I$89,3,0)*VLOOKUP('Données projet'!$B$11,Paramètres!$A$1:$I$89,5,0)</f>
        <v>361.9473000000001</v>
      </c>
      <c r="BF114" s="13">
        <f t="shared" si="91"/>
        <v>84.017758029994994</v>
      </c>
      <c r="BG114" s="20">
        <f t="shared" si="61"/>
        <v>776.72247606890812</v>
      </c>
      <c r="BH114" s="59">
        <f t="shared" si="62"/>
        <v>1070.0558094022415</v>
      </c>
      <c r="BI114" s="59">
        <f ca="1">AVERAGE(OFFSET($BH$3,0,0,'Données projet'!$E$11+1,1))-AVERAGE(OFFSET($H$3,0,0,'Données projet'!$E$11+1,1))</f>
        <v>395.14818708356353</v>
      </c>
      <c r="BJ114" s="59">
        <f t="shared" si="92"/>
        <v>311.78229491474491</v>
      </c>
      <c r="BK114" s="15">
        <f>IF(ISNA(VLOOKUP(A114,'Données projet'!$A$87:$I$107,3,0)),0,VLOOKUP(A114,'Données projet'!$A$87:$I$107,3,0))</f>
        <v>9</v>
      </c>
      <c r="BL114" s="15">
        <f>IF(ISNA(VLOOKUP(A114,'Données projet'!$A$87:$I$107,4,0)),0,VLOOKUP(A114,'Données projet'!$A$87:$I$107,4,0))</f>
        <v>154.10000000000002</v>
      </c>
      <c r="BM114" s="16">
        <f>IF(ISNA(VLOOKUP(A114,'Données projet'!$A$87:$I$107,5,0)),0%,VLOOKUP(A114,'Données projet'!$A$87:$I$107,5,0)*VLOOKUP('Données projet'!$B$11,Paramètres!$A$1:$I$89,7,0))</f>
        <v>0.23850000000000002</v>
      </c>
      <c r="BN114" s="16">
        <f>IF(ISNA(VLOOKUP(A114,'Données projet'!$A$87:$I$107,6,0)),0%,VLOOKUP(A114,'Données projet'!$A$87:$I$107,6,0)*VLOOKUP('Données projet'!$B$11,Paramètres!$A$1:$I$89,7,0))</f>
        <v>2.6500000000000003E-2</v>
      </c>
      <c r="BO114" s="16">
        <f>IF(ISNA(VLOOKUP(A114,'Données projet'!$A$87:$I$107,7,0)),0%,VLOOKUP(A114,'Données projet'!$A$87:$I$107,7,0))</f>
        <v>0.05</v>
      </c>
      <c r="BP114" s="21">
        <f>EXP(-LN(2)/35)*BP113+(1-EXP(-LN(2)/35))/(LN(2)/35)*BL114*BM114*VLOOKUP('Données projet'!$B$11,Paramètres!$A$1:$I$89,3,0)*0.475*44/12</f>
        <v>68.981028734834297</v>
      </c>
      <c r="BQ114" s="21">
        <f>EXP(-LN(2)/25)*BQ113+(1-EXP(-LN(2)/25))/(LN(2)/25)*Calculateur!BL114*Calculateur!BN114*VLOOKUP('Données projet'!$B$11,Paramètres!$A$1:$I$89,3,0)*0.475*44/12</f>
        <v>30.875927930849471</v>
      </c>
      <c r="BR114" s="21">
        <f>EXP(-LN(2)/2)*BR113+(1-EXP(-LN(2)/2))/(LN(2)/2)*BL114*BO114*VLOOKUP('Données projet'!$B$11,Paramètres!$A$1:$I$89,3,0)*0.475*44/12</f>
        <v>6.4385939235222445</v>
      </c>
      <c r="BS114" s="22">
        <f t="shared" si="63"/>
        <v>106.29555058920602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4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393.581186554449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1.064108801074326E-13</v>
      </c>
      <c r="P115" s="13">
        <f t="shared" si="87"/>
        <v>1.5870730813698654E-12</v>
      </c>
      <c r="Q115" s="20">
        <f t="shared" si="107"/>
        <v>2.9494845662396269E-12</v>
      </c>
      <c r="R115" s="59">
        <f t="shared" si="55"/>
        <v>293.33333333333627</v>
      </c>
      <c r="S115" s="59">
        <f ca="1">AVERAGE(OFFSET($R$3,0,0,'Données projet'!$E$9+1,1))-AVERAGE(OFFSET($H$3,0,0,'Données projet'!$E$9+1,1))</f>
        <v>291.3013645858839</v>
      </c>
      <c r="T115" s="59">
        <f t="shared" si="88"/>
        <v>332.89241887762438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99.562223929724638</v>
      </c>
      <c r="AA115" s="21">
        <f>EXP(-LN(2)/25)*AA114+(1-EXP(-LN(2)/25))/(LN(2)/25)*Calculateur!V115*Calculateur!X115*VLOOKUP('Données projet'!$B$9,Paramètres!$A$1:$I$89,3,0)*0.475*44/12</f>
        <v>24.838409243911137</v>
      </c>
      <c r="AB115" s="21">
        <f>EXP(-LN(2)/2)*AB114+(1-EXP(-LN(2)/2))/(LN(2)/2)*V115*Y115*VLOOKUP('Données projet'!$B$9,Paramètres!$A$1:$I$89,3,0)*0.475*44/12</f>
        <v>3.2027345204394789E-4</v>
      </c>
      <c r="AC115" s="22">
        <f t="shared" si="57"/>
        <v>124.40095344708783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3.4106051316484809E-13</v>
      </c>
      <c r="AJ115" s="13">
        <f>AI115*VLOOKUP('Données projet'!$B$10,Paramètres!$A$1:$I$89,3,0)*VLOOKUP('Données projet'!$B$10,Paramètres!$A$1:$I$89,5,0)</f>
        <v>1.5074874681886286E-13</v>
      </c>
      <c r="AK115" s="13">
        <f t="shared" si="89"/>
        <v>2.1590218794584103E-12</v>
      </c>
      <c r="AL115" s="20">
        <f t="shared" si="58"/>
        <v>4.0228505074329168E-12</v>
      </c>
      <c r="AM115" s="59">
        <f t="shared" si="59"/>
        <v>293.33333333333735</v>
      </c>
      <c r="AN115" s="59">
        <f ca="1">AVERAGE(OFFSET($AM$3,0,0,'Données projet'!$E$10+1,1))-AVERAGE(OFFSET($H$3,0,0,'Données projet'!$E$10+1,1))</f>
        <v>293.17014997061574</v>
      </c>
      <c r="AO115" s="59">
        <f t="shared" si="90"/>
        <v>394.32615745219954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61.85845251579326</v>
      </c>
      <c r="AV115" s="21">
        <f>EXP(-LN(2)/25)*AV114+(1-EXP(-LN(2)/25))/(LN(2)/25)*Calculateur!AQ115*Calculateur!AS115*VLOOKUP('Données projet'!$B$10,Paramètres!$A$1:$I$89,3,0)*0.475*44/12</f>
        <v>13.459951678802405</v>
      </c>
      <c r="AW115" s="21">
        <f>EXP(-LN(2)/2)*AW114+(1-EXP(-LN(2)/2))/(LN(2)/2)*AQ115*AT115*VLOOKUP('Données projet'!$B$10,Paramètres!$A$1:$I$89,3,0)*0.475*44/12</f>
        <v>1.3477215973140128E-7</v>
      </c>
      <c r="AX115" s="21">
        <f t="shared" si="60"/>
        <v>75.318404329367837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6.6759999999999993</v>
      </c>
      <c r="BD115" s="12">
        <f>IF('Données projet'!$A$88&gt;35,BD114+BC115-BL114,IF(A115&lt;'Données projet'!$A$88,$BA$205^A115,IF(A115='Données projet'!$A$88,'Données projet'!$B$88,BD114+BC115-BL114)))</f>
        <v>274.42599999999999</v>
      </c>
      <c r="BE115" s="13">
        <f>BD115*VLOOKUP('Données projet'!$B$11,Paramètres!$A$1:$I$89,3,0)*VLOOKUP('Données projet'!$B$11,Paramètres!$A$1:$I$89,5,0)</f>
        <v>235.45750800000002</v>
      </c>
      <c r="BF115" s="13">
        <f t="shared" si="91"/>
        <v>57.461106948156782</v>
      </c>
      <c r="BG115" s="20">
        <f t="shared" si="61"/>
        <v>510.16658770137309</v>
      </c>
      <c r="BH115" s="59">
        <f t="shared" si="62"/>
        <v>803.4999210347064</v>
      </c>
      <c r="BI115" s="59">
        <f ca="1">AVERAGE(OFFSET($BH$3,0,0,'Données projet'!$E$11+1,1))-AVERAGE(OFFSET($H$3,0,0,'Données projet'!$E$11+1,1))</f>
        <v>395.14818708356353</v>
      </c>
      <c r="BJ115" s="59">
        <f t="shared" si="92"/>
        <v>311.78229491474491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67.628352835617235</v>
      </c>
      <c r="BQ115" s="21">
        <f>EXP(-LN(2)/25)*BQ114+(1-EXP(-LN(2)/25))/(LN(2)/25)*Calculateur!BL115*Calculateur!BN115*VLOOKUP('Données projet'!$B$11,Paramètres!$A$1:$I$89,3,0)*0.475*44/12</f>
        <v>30.03162405788591</v>
      </c>
      <c r="BR115" s="21">
        <f>EXP(-LN(2)/2)*BR114+(1-EXP(-LN(2)/2))/(LN(2)/2)*BL115*BO115*VLOOKUP('Données projet'!$B$11,Paramètres!$A$1:$I$89,3,0)*0.475*44/12</f>
        <v>4.5527734246290787</v>
      </c>
      <c r="BS115" s="22">
        <f t="shared" si="63"/>
        <v>102.21275031813222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4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394.77191065107274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1.064108801074326E-13</v>
      </c>
      <c r="P116" s="13">
        <f t="shared" si="87"/>
        <v>1.5870730813698654E-12</v>
      </c>
      <c r="Q116" s="20">
        <f t="shared" si="107"/>
        <v>2.9494845662396269E-12</v>
      </c>
      <c r="R116" s="59">
        <f t="shared" si="55"/>
        <v>293.33333333333627</v>
      </c>
      <c r="S116" s="59">
        <f ca="1">AVERAGE(OFFSET($R$3,0,0,'Données projet'!$E$9+1,1))-AVERAGE(OFFSET($H$3,0,0,'Données projet'!$E$9+1,1))</f>
        <v>291.3013645858839</v>
      </c>
      <c r="T116" s="59">
        <f t="shared" si="88"/>
        <v>332.89241887762438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97.609869445423044</v>
      </c>
      <c r="AA116" s="21">
        <f>EXP(-LN(2)/25)*AA115+(1-EXP(-LN(2)/25))/(LN(2)/25)*Calculateur!V116*Calculateur!X116*VLOOKUP('Données projet'!$B$9,Paramètres!$A$1:$I$89,3,0)*0.475*44/12</f>
        <v>24.159201636941212</v>
      </c>
      <c r="AB116" s="21">
        <f>EXP(-LN(2)/2)*AB115+(1-EXP(-LN(2)/2))/(LN(2)/2)*V116*Y116*VLOOKUP('Données projet'!$B$9,Paramètres!$A$1:$I$89,3,0)*0.475*44/12</f>
        <v>2.2646752977430008E-4</v>
      </c>
      <c r="AC116" s="22">
        <f t="shared" si="57"/>
        <v>121.76929754989403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3.4106051316484809E-13</v>
      </c>
      <c r="AJ116" s="13">
        <f>AI116*VLOOKUP('Données projet'!$B$10,Paramètres!$A$1:$I$89,3,0)*VLOOKUP('Données projet'!$B$10,Paramètres!$A$1:$I$89,5,0)</f>
        <v>1.5074874681886286E-13</v>
      </c>
      <c r="AK116" s="13">
        <f t="shared" si="89"/>
        <v>2.1590218794584103E-12</v>
      </c>
      <c r="AL116" s="20">
        <f t="shared" si="58"/>
        <v>4.0228505074329168E-12</v>
      </c>
      <c r="AM116" s="59">
        <f t="shared" si="59"/>
        <v>293.33333333333735</v>
      </c>
      <c r="AN116" s="59">
        <f ca="1">AVERAGE(OFFSET($AM$3,0,0,'Données projet'!$E$10+1,1))-AVERAGE(OFFSET($H$3,0,0,'Données projet'!$E$10+1,1))</f>
        <v>293.17014997061574</v>
      </c>
      <c r="AO116" s="59">
        <f t="shared" si="90"/>
        <v>394.32615745219954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60.645445991889069</v>
      </c>
      <c r="AV116" s="21">
        <f>EXP(-LN(2)/25)*AV115+(1-EXP(-LN(2)/25))/(LN(2)/25)*Calculateur!AQ116*Calculateur!AS116*VLOOKUP('Données projet'!$B$10,Paramètres!$A$1:$I$89,3,0)*0.475*44/12</f>
        <v>13.091888592317458</v>
      </c>
      <c r="AW116" s="21">
        <f>EXP(-LN(2)/2)*AW115+(1-EXP(-LN(2)/2))/(LN(2)/2)*AQ116*AT116*VLOOKUP('Données projet'!$B$10,Paramètres!$A$1:$I$89,3,0)*0.475*44/12</f>
        <v>9.52983080612304E-8</v>
      </c>
      <c r="AX116" s="21">
        <f t="shared" si="60"/>
        <v>73.737334679504826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6.6759999999999993</v>
      </c>
      <c r="BD116" s="12">
        <f>IF('Données projet'!$A$88&gt;35,BD115+BC116-BL115,IF(A116&lt;'Données projet'!$A$88,$BA$205^A116,IF(A116='Données projet'!$A$88,'Données projet'!$B$88,BD115+BC116-BL115)))</f>
        <v>281.10199999999998</v>
      </c>
      <c r="BE116" s="13">
        <f>BD116*VLOOKUP('Données projet'!$B$11,Paramètres!$A$1:$I$89,3,0)*VLOOKUP('Données projet'!$B$11,Paramètres!$A$1:$I$89,5,0)</f>
        <v>241.18551600000001</v>
      </c>
      <c r="BF116" s="13">
        <f t="shared" si="91"/>
        <v>58.694526829832839</v>
      </c>
      <c r="BG116" s="20">
        <f t="shared" si="61"/>
        <v>522.29107459529223</v>
      </c>
      <c r="BH116" s="59">
        <f t="shared" si="62"/>
        <v>815.62440792862549</v>
      </c>
      <c r="BI116" s="59">
        <f ca="1">AVERAGE(OFFSET($BH$3,0,0,'Données projet'!$E$11+1,1))-AVERAGE(OFFSET($H$3,0,0,'Données projet'!$E$11+1,1))</f>
        <v>395.14818708356353</v>
      </c>
      <c r="BJ116" s="59">
        <f t="shared" si="92"/>
        <v>311.78229491474491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66.302202085732986</v>
      </c>
      <c r="BQ116" s="21">
        <f>EXP(-LN(2)/25)*BQ115+(1-EXP(-LN(2)/25))/(LN(2)/25)*Calculateur!BL116*Calculateur!BN116*VLOOKUP('Données projet'!$B$11,Paramètres!$A$1:$I$89,3,0)*0.475*44/12</f>
        <v>29.21040771872855</v>
      </c>
      <c r="BR116" s="21">
        <f>EXP(-LN(2)/2)*BR115+(1-EXP(-LN(2)/2))/(LN(2)/2)*BL116*BO116*VLOOKUP('Données projet'!$B$11,Paramètres!$A$1:$I$89,3,0)*0.475*44/12</f>
        <v>3.2192969617611227</v>
      </c>
      <c r="BS116" s="22">
        <f t="shared" si="63"/>
        <v>98.73190676622265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4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395.96238788291635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1.064108801074326E-13</v>
      </c>
      <c r="P117" s="13">
        <f t="shared" si="87"/>
        <v>1.5870730813698654E-12</v>
      </c>
      <c r="Q117" s="20">
        <f t="shared" si="107"/>
        <v>2.9494845662396269E-12</v>
      </c>
      <c r="R117" s="59">
        <f t="shared" si="55"/>
        <v>293.33333333333627</v>
      </c>
      <c r="S117" s="59">
        <f ca="1">AVERAGE(OFFSET($R$3,0,0,'Données projet'!$E$9+1,1))-AVERAGE(OFFSET($H$3,0,0,'Données projet'!$E$9+1,1))</f>
        <v>291.3013645858839</v>
      </c>
      <c r="T117" s="59">
        <f t="shared" si="88"/>
        <v>332.89241887762438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95.69579944173995</v>
      </c>
      <c r="AA117" s="21">
        <f>EXP(-LN(2)/25)*AA116+(1-EXP(-LN(2)/25))/(LN(2)/25)*Calculateur!V117*Calculateur!X117*VLOOKUP('Données projet'!$B$9,Paramètres!$A$1:$I$89,3,0)*0.475*44/12</f>
        <v>23.498566997701857</v>
      </c>
      <c r="AB117" s="21">
        <f>EXP(-LN(2)/2)*AB116+(1-EXP(-LN(2)/2))/(LN(2)/2)*V117*Y117*VLOOKUP('Données projet'!$B$9,Paramètres!$A$1:$I$89,3,0)*0.475*44/12</f>
        <v>1.6013672602197394E-4</v>
      </c>
      <c r="AC117" s="22">
        <f t="shared" si="57"/>
        <v>119.19452657616783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3.4106051316484809E-13</v>
      </c>
      <c r="AJ117" s="13">
        <f>AI117*VLOOKUP('Données projet'!$B$10,Paramètres!$A$1:$I$89,3,0)*VLOOKUP('Données projet'!$B$10,Paramètres!$A$1:$I$89,5,0)</f>
        <v>1.5074874681886286E-13</v>
      </c>
      <c r="AK117" s="13">
        <f t="shared" si="89"/>
        <v>2.1590218794584103E-12</v>
      </c>
      <c r="AL117" s="20">
        <f t="shared" si="58"/>
        <v>4.0228505074329168E-12</v>
      </c>
      <c r="AM117" s="59">
        <f t="shared" si="59"/>
        <v>293.33333333333735</v>
      </c>
      <c r="AN117" s="59">
        <f ca="1">AVERAGE(OFFSET($AM$3,0,0,'Données projet'!$E$10+1,1))-AVERAGE(OFFSET($H$3,0,0,'Données projet'!$E$10+1,1))</f>
        <v>293.17014997061574</v>
      </c>
      <c r="AO117" s="59">
        <f t="shared" si="90"/>
        <v>394.32615745219954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59.456225786057715</v>
      </c>
      <c r="AV117" s="21">
        <f>EXP(-LN(2)/25)*AV116+(1-EXP(-LN(2)/25))/(LN(2)/25)*Calculateur!AQ117*Calculateur!AS117*VLOOKUP('Données projet'!$B$10,Paramètres!$A$1:$I$89,3,0)*0.475*44/12</f>
        <v>12.733890210288038</v>
      </c>
      <c r="AW117" s="21">
        <f>EXP(-LN(2)/2)*AW116+(1-EXP(-LN(2)/2))/(LN(2)/2)*AQ117*AT117*VLOOKUP('Données projet'!$B$10,Paramètres!$A$1:$I$89,3,0)*0.475*44/12</f>
        <v>6.7386079865700641E-8</v>
      </c>
      <c r="AX117" s="21">
        <f t="shared" si="60"/>
        <v>72.190116063731836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6.6759999999999993</v>
      </c>
      <c r="BD117" s="12">
        <f>IF('Données projet'!$A$88&gt;35,BD116+BC117-BL116,IF(A117&lt;'Données projet'!$A$88,$BA$205^A117,IF(A117='Données projet'!$A$88,'Données projet'!$B$88,BD116+BC117-BL116)))</f>
        <v>287.77799999999996</v>
      </c>
      <c r="BE117" s="13">
        <f>BD117*VLOOKUP('Données projet'!$B$11,Paramètres!$A$1:$I$89,3,0)*VLOOKUP('Données projet'!$B$11,Paramètres!$A$1:$I$89,5,0)</f>
        <v>246.913524</v>
      </c>
      <c r="BF117" s="13">
        <f t="shared" si="91"/>
        <v>59.924541380617143</v>
      </c>
      <c r="BG117" s="20">
        <f t="shared" si="61"/>
        <v>534.40963053790813</v>
      </c>
      <c r="BH117" s="59">
        <f t="shared" si="62"/>
        <v>827.7429638712415</v>
      </c>
      <c r="BI117" s="59">
        <f ca="1">AVERAGE(OFFSET($BH$3,0,0,'Données projet'!$E$11+1,1))-AVERAGE(OFFSET($H$3,0,0,'Données projet'!$E$11+1,1))</f>
        <v>395.14818708356353</v>
      </c>
      <c r="BJ117" s="59">
        <f t="shared" si="92"/>
        <v>311.78229491474491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65.002056343181877</v>
      </c>
      <c r="BQ117" s="21">
        <f>EXP(-LN(2)/25)*BQ116+(1-EXP(-LN(2)/25))/(LN(2)/25)*Calculateur!BL117*Calculateur!BN117*VLOOKUP('Données projet'!$B$11,Paramètres!$A$1:$I$89,3,0)*0.475*44/12</f>
        <v>28.411647583551339</v>
      </c>
      <c r="BR117" s="21">
        <f>EXP(-LN(2)/2)*BR116+(1-EXP(-LN(2)/2))/(LN(2)/2)*BL117*BO117*VLOOKUP('Données projet'!$B$11,Paramètres!$A$1:$I$89,3,0)*0.475*44/12</f>
        <v>2.2763867123145394</v>
      </c>
      <c r="BS117" s="22">
        <f t="shared" si="63"/>
        <v>95.690090639047753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4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397.15262066635069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1.064108801074326E-13</v>
      </c>
      <c r="P118" s="13">
        <f t="shared" si="87"/>
        <v>1.5870730813698654E-12</v>
      </c>
      <c r="Q118" s="20">
        <f t="shared" si="107"/>
        <v>2.9494845662396269E-12</v>
      </c>
      <c r="R118" s="59">
        <f t="shared" si="55"/>
        <v>293.33333333333627</v>
      </c>
      <c r="S118" s="59">
        <f ca="1">AVERAGE(OFFSET($R$3,0,0,'Données projet'!$E$9+1,1))-AVERAGE(OFFSET($H$3,0,0,'Données projet'!$E$9+1,1))</f>
        <v>291.3013645858839</v>
      </c>
      <c r="T118" s="59">
        <f t="shared" si="88"/>
        <v>332.89241887762438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93.819263183361656</v>
      </c>
      <c r="AA118" s="21">
        <f>EXP(-LN(2)/25)*AA117+(1-EXP(-LN(2)/25))/(LN(2)/25)*Calculateur!V118*Calculateur!X118*VLOOKUP('Données projet'!$B$9,Paramètres!$A$1:$I$89,3,0)*0.475*44/12</f>
        <v>22.855997447413767</v>
      </c>
      <c r="AB118" s="21">
        <f>EXP(-LN(2)/2)*AB117+(1-EXP(-LN(2)/2))/(LN(2)/2)*V118*Y118*VLOOKUP('Données projet'!$B$9,Paramètres!$A$1:$I$89,3,0)*0.475*44/12</f>
        <v>1.1323376488715004E-4</v>
      </c>
      <c r="AC118" s="22">
        <f t="shared" si="57"/>
        <v>116.67537386454032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3.4106051316484809E-13</v>
      </c>
      <c r="AJ118" s="13">
        <f>AI118*VLOOKUP('Données projet'!$B$10,Paramètres!$A$1:$I$89,3,0)*VLOOKUP('Données projet'!$B$10,Paramètres!$A$1:$I$89,5,0)</f>
        <v>1.5074874681886286E-13</v>
      </c>
      <c r="AK118" s="13">
        <f t="shared" si="89"/>
        <v>2.1590218794584103E-12</v>
      </c>
      <c r="AL118" s="20">
        <f t="shared" si="58"/>
        <v>4.0228505074329168E-12</v>
      </c>
      <c r="AM118" s="59">
        <f t="shared" si="59"/>
        <v>293.33333333333735</v>
      </c>
      <c r="AN118" s="59">
        <f ca="1">AVERAGE(OFFSET($AM$3,0,0,'Données projet'!$E$10+1,1))-AVERAGE(OFFSET($H$3,0,0,'Données projet'!$E$10+1,1))</f>
        <v>293.17014997061574</v>
      </c>
      <c r="AO118" s="59">
        <f t="shared" si="90"/>
        <v>394.32615745219954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58.290325463110008</v>
      </c>
      <c r="AV118" s="21">
        <f>EXP(-LN(2)/25)*AV117+(1-EXP(-LN(2)/25))/(LN(2)/25)*Calculateur!AQ118*Calculateur!AS118*VLOOKUP('Données projet'!$B$10,Paramètres!$A$1:$I$89,3,0)*0.475*44/12</f>
        <v>12.385681312841529</v>
      </c>
      <c r="AW118" s="21">
        <f>EXP(-LN(2)/2)*AW117+(1-EXP(-LN(2)/2))/(LN(2)/2)*AQ118*AT118*VLOOKUP('Données projet'!$B$10,Paramètres!$A$1:$I$89,3,0)*0.475*44/12</f>
        <v>4.76491540306152E-8</v>
      </c>
      <c r="AX118" s="21">
        <f t="shared" si="60"/>
        <v>70.676006823600687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6.6759999999999993</v>
      </c>
      <c r="BD118" s="12">
        <f>IF('Données projet'!$A$88&gt;35,BD117+BC118-BL117,IF(A118&lt;'Données projet'!$A$88,$BA$205^A118,IF(A118='Données projet'!$A$88,'Données projet'!$B$88,BD117+BC118-BL117)))</f>
        <v>294.45399999999995</v>
      </c>
      <c r="BE118" s="13">
        <f>BD118*VLOOKUP('Données projet'!$B$11,Paramètres!$A$1:$I$89,3,0)*VLOOKUP('Données projet'!$B$11,Paramètres!$A$1:$I$89,5,0)</f>
        <v>252.64153199999998</v>
      </c>
      <c r="BF118" s="13">
        <f t="shared" si="91"/>
        <v>61.151238691278131</v>
      </c>
      <c r="BG118" s="20">
        <f t="shared" si="61"/>
        <v>546.52240895397597</v>
      </c>
      <c r="BH118" s="59">
        <f t="shared" si="62"/>
        <v>839.85574228730934</v>
      </c>
      <c r="BI118" s="59">
        <f ca="1">AVERAGE(OFFSET($BH$3,0,0,'Données projet'!$E$11+1,1))-AVERAGE(OFFSET($H$3,0,0,'Données projet'!$E$11+1,1))</f>
        <v>395.14818708356353</v>
      </c>
      <c r="BJ118" s="59">
        <f t="shared" si="92"/>
        <v>311.78229491474491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63.727405665631601</v>
      </c>
      <c r="BQ118" s="21">
        <f>EXP(-LN(2)/25)*BQ117+(1-EXP(-LN(2)/25))/(LN(2)/25)*Calculateur!BL118*Calculateur!BN118*VLOOKUP('Données projet'!$B$11,Paramètres!$A$1:$I$89,3,0)*0.475*44/12</f>
        <v>27.634729586275515</v>
      </c>
      <c r="BR118" s="21">
        <f>EXP(-LN(2)/2)*BR117+(1-EXP(-LN(2)/2))/(LN(2)/2)*BL118*BO118*VLOOKUP('Données projet'!$B$11,Paramètres!$A$1:$I$89,3,0)*0.475*44/12</f>
        <v>1.6096484808805613</v>
      </c>
      <c r="BS118" s="22">
        <f t="shared" si="63"/>
        <v>92.971783732787685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4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398.34261137329793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1.064108801074326E-13</v>
      </c>
      <c r="P119" s="13">
        <f t="shared" si="87"/>
        <v>1.5870730813698654E-12</v>
      </c>
      <c r="Q119" s="20">
        <f t="shared" si="107"/>
        <v>2.9494845662396269E-12</v>
      </c>
      <c r="R119" s="59">
        <f t="shared" si="55"/>
        <v>293.33333333333627</v>
      </c>
      <c r="S119" s="59">
        <f ca="1">AVERAGE(OFFSET($R$3,0,0,'Données projet'!$E$9+1,1))-AVERAGE(OFFSET($H$3,0,0,'Données projet'!$E$9+1,1))</f>
        <v>291.3013645858839</v>
      </c>
      <c r="T119" s="59">
        <f t="shared" si="88"/>
        <v>332.89241887762438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91.97952465643607</v>
      </c>
      <c r="AA119" s="21">
        <f>EXP(-LN(2)/25)*AA118+(1-EXP(-LN(2)/25))/(LN(2)/25)*Calculateur!V119*Calculateur!X119*VLOOKUP('Données projet'!$B$9,Paramètres!$A$1:$I$89,3,0)*0.475*44/12</f>
        <v>22.230998995269569</v>
      </c>
      <c r="AB119" s="21">
        <f>EXP(-LN(2)/2)*AB118+(1-EXP(-LN(2)/2))/(LN(2)/2)*V119*Y119*VLOOKUP('Données projet'!$B$9,Paramètres!$A$1:$I$89,3,0)*0.475*44/12</f>
        <v>8.0068363010986972E-5</v>
      </c>
      <c r="AC119" s="22">
        <f t="shared" si="57"/>
        <v>114.21060372006865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3.4106051316484809E-13</v>
      </c>
      <c r="AJ119" s="13">
        <f>AI119*VLOOKUP('Données projet'!$B$10,Paramètres!$A$1:$I$89,3,0)*VLOOKUP('Données projet'!$B$10,Paramètres!$A$1:$I$89,5,0)</f>
        <v>1.5074874681886286E-13</v>
      </c>
      <c r="AK119" s="13">
        <f t="shared" si="89"/>
        <v>2.1590218794584103E-12</v>
      </c>
      <c r="AL119" s="20">
        <f t="shared" si="58"/>
        <v>4.0228505074329168E-12</v>
      </c>
      <c r="AM119" s="59">
        <f t="shared" si="59"/>
        <v>293.33333333333735</v>
      </c>
      <c r="AN119" s="59">
        <f ca="1">AVERAGE(OFFSET($AM$3,0,0,'Données projet'!$E$10+1,1))-AVERAGE(OFFSET($H$3,0,0,'Données projet'!$E$10+1,1))</f>
        <v>293.17014997061574</v>
      </c>
      <c r="AO119" s="59">
        <f t="shared" si="90"/>
        <v>394.32615745219954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57.14728773436633</v>
      </c>
      <c r="AV119" s="21">
        <f>EXP(-LN(2)/25)*AV118+(1-EXP(-LN(2)/25))/(LN(2)/25)*Calculateur!AQ119*Calculateur!AS119*VLOOKUP('Données projet'!$B$10,Paramètres!$A$1:$I$89,3,0)*0.475*44/12</f>
        <v>12.046994206007204</v>
      </c>
      <c r="AW119" s="21">
        <f>EXP(-LN(2)/2)*AW118+(1-EXP(-LN(2)/2))/(LN(2)/2)*AQ119*AT119*VLOOKUP('Données projet'!$B$10,Paramètres!$A$1:$I$89,3,0)*0.475*44/12</f>
        <v>3.369303993285032E-8</v>
      </c>
      <c r="AX119" s="21">
        <f t="shared" si="60"/>
        <v>69.19428197406657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>
        <f>VLOOKUP(A119,'Données projet'!$A$87:$I$107,2,0)</f>
        <v>301.13</v>
      </c>
      <c r="BB119" s="12">
        <f>VLOOKUP(A119,'Données projet'!$A$87:$I$107,9,0)</f>
        <v>6.6759999999999993</v>
      </c>
      <c r="BC119" s="12">
        <f t="array" ref="BC119">INDEX(BB:BB,MIN(IF(ISNUMBER(BB119:BB315),ROW(BB119:BB315),"")))</f>
        <v>6.6759999999999993</v>
      </c>
      <c r="BD119" s="12">
        <f>IF('Données projet'!$A$88&gt;35,BD118+BC119-BL118,IF(A119&lt;'Données projet'!$A$88,$BA$205^A119,IF(A119='Données projet'!$A$88,'Données projet'!$B$88,BD118+BC119-BL118)))</f>
        <v>301.12999999999994</v>
      </c>
      <c r="BE119" s="13">
        <f>BD119*VLOOKUP('Données projet'!$B$11,Paramètres!$A$1:$I$89,3,0)*VLOOKUP('Données projet'!$B$11,Paramètres!$A$1:$I$89,5,0)</f>
        <v>258.36953999999997</v>
      </c>
      <c r="BF119" s="13">
        <f t="shared" si="91"/>
        <v>62.3747026301196</v>
      </c>
      <c r="BG119" s="20">
        <f t="shared" si="61"/>
        <v>558.62955591412481</v>
      </c>
      <c r="BH119" s="59">
        <f t="shared" si="62"/>
        <v>851.96288924745818</v>
      </c>
      <c r="BI119" s="59">
        <f ca="1">AVERAGE(OFFSET($BH$3,0,0,'Données projet'!$E$11+1,1))-AVERAGE(OFFSET($H$3,0,0,'Données projet'!$E$11+1,1))</f>
        <v>395.14818708356353</v>
      </c>
      <c r="BJ119" s="59">
        <f t="shared" si="92"/>
        <v>311.78229491474491</v>
      </c>
      <c r="BK119" s="15">
        <f>IF(ISNA(VLOOKUP(A119,'Données projet'!$A$87:$I$107,3,0)),0,VLOOKUP(A119,'Données projet'!$A$87:$I$107,3,0))</f>
        <v>10</v>
      </c>
      <c r="BL119" s="15">
        <f>IF(ISNA(VLOOKUP(A119,'Données projet'!$A$87:$I$107,4,0)),0,VLOOKUP(A119,'Données projet'!$A$87:$I$107,4,0))</f>
        <v>103.79999999999998</v>
      </c>
      <c r="BM119" s="16">
        <f>IF(ISNA(VLOOKUP(A119,'Données projet'!$A$87:$I$107,5,0)),0%,VLOOKUP(A119,'Données projet'!$A$87:$I$107,5,0)*VLOOKUP('Données projet'!$B$11,Paramètres!$A$1:$I$89,7,0))</f>
        <v>0.23850000000000002</v>
      </c>
      <c r="BN119" s="16">
        <f>IF(ISNA(VLOOKUP(A119,'Données projet'!$A$87:$I$107,6,0)),0%,VLOOKUP(A119,'Données projet'!$A$87:$I$107,6,0)*VLOOKUP('Données projet'!$B$11,Paramètres!$A$1:$I$89,7,0))</f>
        <v>2.6500000000000003E-2</v>
      </c>
      <c r="BO119" s="16">
        <f>IF(ISNA(VLOOKUP(A119,'Données projet'!$A$87:$I$107,7,0)),0%,VLOOKUP(A119,'Données projet'!$A$87:$I$107,7,0))</f>
        <v>0.05</v>
      </c>
      <c r="BP119" s="21">
        <f>EXP(-LN(2)/35)*BP118+(1-EXP(-LN(2)/35))/(LN(2)/35)*BL119*BM119*VLOOKUP('Données projet'!$B$11,Paramètres!$A$1:$I$89,3,0)*0.475*44/12</f>
        <v>85.958941864569425</v>
      </c>
      <c r="BQ119" s="21">
        <f>EXP(-LN(2)/25)*BQ118+(1-EXP(-LN(2)/25))/(LN(2)/25)*Calculateur!BL119*Calculateur!BN119*VLOOKUP('Données projet'!$B$11,Paramètres!$A$1:$I$89,3,0)*0.475*44/12</f>
        <v>29.477805047512639</v>
      </c>
      <c r="BR119" s="21">
        <f>EXP(-LN(2)/2)*BR118+(1-EXP(-LN(2)/2))/(LN(2)/2)*BL119*BO119*VLOOKUP('Données projet'!$B$11,Paramètres!$A$1:$I$89,3,0)*0.475*44/12</f>
        <v>5.3397375774333558</v>
      </c>
      <c r="BS119" s="22">
        <f t="shared" si="63"/>
        <v>120.77648448951543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4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399.53236233242478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1.064108801074326E-13</v>
      </c>
      <c r="P120" s="13">
        <f t="shared" si="87"/>
        <v>1.5870730813698654E-12</v>
      </c>
      <c r="Q120" s="20">
        <f t="shared" si="107"/>
        <v>2.9494845662396269E-12</v>
      </c>
      <c r="R120" s="59">
        <f t="shared" si="55"/>
        <v>293.33333333333627</v>
      </c>
      <c r="S120" s="59">
        <f ca="1">AVERAGE(OFFSET($R$3,0,0,'Données projet'!$E$9+1,1))-AVERAGE(OFFSET($H$3,0,0,'Données projet'!$E$9+1,1))</f>
        <v>291.3013645858839</v>
      </c>
      <c r="T120" s="59">
        <f t="shared" si="88"/>
        <v>332.89241887762438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90.175862279893792</v>
      </c>
      <c r="AA120" s="21">
        <f>EXP(-LN(2)/25)*AA119+(1-EXP(-LN(2)/25))/(LN(2)/25)*Calculateur!V120*Calculateur!X120*VLOOKUP('Données projet'!$B$9,Paramètres!$A$1:$I$89,3,0)*0.475*44/12</f>
        <v>21.623091158666497</v>
      </c>
      <c r="AB120" s="21">
        <f>EXP(-LN(2)/2)*AB119+(1-EXP(-LN(2)/2))/(LN(2)/2)*V120*Y120*VLOOKUP('Données projet'!$B$9,Paramètres!$A$1:$I$89,3,0)*0.475*44/12</f>
        <v>5.6616882443575021E-5</v>
      </c>
      <c r="AC120" s="22">
        <f t="shared" si="57"/>
        <v>111.79901005544274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3.4106051316484809E-13</v>
      </c>
      <c r="AJ120" s="13">
        <f>AI120*VLOOKUP('Données projet'!$B$10,Paramètres!$A$1:$I$89,3,0)*VLOOKUP('Données projet'!$B$10,Paramètres!$A$1:$I$89,5,0)</f>
        <v>1.5074874681886286E-13</v>
      </c>
      <c r="AK120" s="13">
        <f t="shared" si="89"/>
        <v>2.1590218794584103E-12</v>
      </c>
      <c r="AL120" s="20">
        <f t="shared" si="58"/>
        <v>4.0228505074329168E-12</v>
      </c>
      <c r="AM120" s="59">
        <f t="shared" si="59"/>
        <v>293.33333333333735</v>
      </c>
      <c r="AN120" s="59">
        <f ca="1">AVERAGE(OFFSET($AM$3,0,0,'Données projet'!$E$10+1,1))-AVERAGE(OFFSET($H$3,0,0,'Données projet'!$E$10+1,1))</f>
        <v>293.17014997061574</v>
      </c>
      <c r="AO120" s="59">
        <f t="shared" si="90"/>
        <v>394.32615745219954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56.026664278299137</v>
      </c>
      <c r="AV120" s="21">
        <f>EXP(-LN(2)/25)*AV119+(1-EXP(-LN(2)/25))/(LN(2)/25)*Calculateur!AQ120*Calculateur!AS120*VLOOKUP('Données projet'!$B$10,Paramètres!$A$1:$I$89,3,0)*0.475*44/12</f>
        <v>11.717568515920046</v>
      </c>
      <c r="AW120" s="21">
        <f>EXP(-LN(2)/2)*AW119+(1-EXP(-LN(2)/2))/(LN(2)/2)*AQ120*AT120*VLOOKUP('Données projet'!$B$10,Paramètres!$A$1:$I$89,3,0)*0.475*44/12</f>
        <v>2.38245770153076E-8</v>
      </c>
      <c r="AX120" s="21">
        <f t="shared" si="60"/>
        <v>67.74423281804377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5.3</v>
      </c>
      <c r="BD120" s="12">
        <f>IF('Données projet'!$A$88&gt;35,BD119+BC120-BL119,IF(A120&lt;'Données projet'!$A$88,$BA$205^A120,IF(A120='Données projet'!$A$88,'Données projet'!$B$88,BD119+BC120-BL119)))</f>
        <v>202.62999999999997</v>
      </c>
      <c r="BE120" s="13">
        <f>BD120*VLOOKUP('Données projet'!$B$11,Paramètres!$A$1:$I$89,3,0)*VLOOKUP('Données projet'!$B$11,Paramètres!$A$1:$I$89,5,0)</f>
        <v>173.85654</v>
      </c>
      <c r="BF120" s="13">
        <f t="shared" si="91"/>
        <v>43.952629378649299</v>
      </c>
      <c r="BG120" s="20">
        <f t="shared" si="61"/>
        <v>379.35097000114752</v>
      </c>
      <c r="BH120" s="59">
        <f t="shared" si="62"/>
        <v>672.68430333448077</v>
      </c>
      <c r="BI120" s="59">
        <f ca="1">AVERAGE(OFFSET($BH$3,0,0,'Données projet'!$E$11+1,1))-AVERAGE(OFFSET($H$3,0,0,'Données projet'!$E$11+1,1))</f>
        <v>395.14818708356353</v>
      </c>
      <c r="BJ120" s="59">
        <f t="shared" si="92"/>
        <v>311.78229491474491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84.273339444382742</v>
      </c>
      <c r="BQ120" s="21">
        <f>EXP(-LN(2)/25)*BQ119+(1-EXP(-LN(2)/25))/(LN(2)/25)*Calculateur!BL120*Calculateur!BN120*VLOOKUP('Données projet'!$B$11,Paramètres!$A$1:$I$89,3,0)*0.475*44/12</f>
        <v>28.671732918318011</v>
      </c>
      <c r="BR120" s="21">
        <f>EXP(-LN(2)/2)*BR119+(1-EXP(-LN(2)/2))/(LN(2)/2)*BL120*BO120*VLOOKUP('Données projet'!$B$11,Paramètres!$A$1:$I$89,3,0)*0.475*44/12</f>
        <v>3.7757646507597533</v>
      </c>
      <c r="BS120" s="22">
        <f t="shared" si="63"/>
        <v>116.72083701346051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4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400.72187583029472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1.064108801074326E-13</v>
      </c>
      <c r="P121" s="13">
        <f t="shared" si="87"/>
        <v>1.5870730813698654E-12</v>
      </c>
      <c r="Q121" s="20">
        <f t="shared" si="107"/>
        <v>2.9494845662396269E-12</v>
      </c>
      <c r="R121" s="59">
        <f t="shared" si="55"/>
        <v>293.33333333333627</v>
      </c>
      <c r="S121" s="59">
        <f ca="1">AVERAGE(OFFSET($R$3,0,0,'Données projet'!$E$9+1,1))-AVERAGE(OFFSET($H$3,0,0,'Données projet'!$E$9+1,1))</f>
        <v>291.3013645858839</v>
      </c>
      <c r="T121" s="59">
        <f t="shared" si="88"/>
        <v>332.89241887762438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88.407568622430091</v>
      </c>
      <c r="AA121" s="21">
        <f>EXP(-LN(2)/25)*AA120+(1-EXP(-LN(2)/25))/(LN(2)/25)*Calculateur!V121*Calculateur!X121*VLOOKUP('Données projet'!$B$9,Paramètres!$A$1:$I$89,3,0)*0.475*44/12</f>
        <v>21.03180659382382</v>
      </c>
      <c r="AB121" s="21">
        <f>EXP(-LN(2)/2)*AB120+(1-EXP(-LN(2)/2))/(LN(2)/2)*V121*Y121*VLOOKUP('Données projet'!$B$9,Paramètres!$A$1:$I$89,3,0)*0.475*44/12</f>
        <v>4.0034181505493486E-5</v>
      </c>
      <c r="AC121" s="22">
        <f t="shared" si="57"/>
        <v>109.43941525043542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3.4106051316484809E-13</v>
      </c>
      <c r="AJ121" s="13">
        <f>AI121*VLOOKUP('Données projet'!$B$10,Paramètres!$A$1:$I$89,3,0)*VLOOKUP('Données projet'!$B$10,Paramètres!$A$1:$I$89,5,0)</f>
        <v>1.5074874681886286E-13</v>
      </c>
      <c r="AK121" s="13">
        <f t="shared" si="89"/>
        <v>2.1590218794584103E-12</v>
      </c>
      <c r="AL121" s="20">
        <f t="shared" si="58"/>
        <v>4.0228505074329168E-12</v>
      </c>
      <c r="AM121" s="59">
        <f t="shared" si="59"/>
        <v>293.33333333333735</v>
      </c>
      <c r="AN121" s="59">
        <f ca="1">AVERAGE(OFFSET($AM$3,0,0,'Données projet'!$E$10+1,1))-AVERAGE(OFFSET($H$3,0,0,'Données projet'!$E$10+1,1))</f>
        <v>293.17014997061574</v>
      </c>
      <c r="AO121" s="59">
        <f t="shared" si="90"/>
        <v>394.32615745219954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54.928015564692608</v>
      </c>
      <c r="AV121" s="21">
        <f>EXP(-LN(2)/25)*AV120+(1-EXP(-LN(2)/25))/(LN(2)/25)*Calculateur!AQ121*Calculateur!AS121*VLOOKUP('Données projet'!$B$10,Paramètres!$A$1:$I$89,3,0)*0.475*44/12</f>
        <v>11.397150988652065</v>
      </c>
      <c r="AW121" s="21">
        <f>EXP(-LN(2)/2)*AW120+(1-EXP(-LN(2)/2))/(LN(2)/2)*AQ121*AT121*VLOOKUP('Données projet'!$B$10,Paramètres!$A$1:$I$89,3,0)*0.475*44/12</f>
        <v>1.684651996642516E-8</v>
      </c>
      <c r="AX121" s="21">
        <f t="shared" si="60"/>
        <v>66.325166570191186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5.3</v>
      </c>
      <c r="BD121" s="12">
        <f>IF('Données projet'!$A$88&gt;35,BD120+BC121-BL120,IF(A121&lt;'Données projet'!$A$88,$BA$205^A121,IF(A121='Données projet'!$A$88,'Données projet'!$B$88,BD120+BC121-BL120)))</f>
        <v>207.92999999999998</v>
      </c>
      <c r="BE121" s="13">
        <f>BD121*VLOOKUP('Données projet'!$B$11,Paramètres!$A$1:$I$89,3,0)*VLOOKUP('Données projet'!$B$11,Paramètres!$A$1:$I$89,5,0)</f>
        <v>178.40394000000001</v>
      </c>
      <c r="BF121" s="13">
        <f t="shared" si="91"/>
        <v>44.966908365134508</v>
      </c>
      <c r="BG121" s="20">
        <f t="shared" si="61"/>
        <v>389.0375609026093</v>
      </c>
      <c r="BH121" s="59">
        <f t="shared" si="62"/>
        <v>682.37089423594261</v>
      </c>
      <c r="BI121" s="59">
        <f ca="1">AVERAGE(OFFSET($BH$3,0,0,'Données projet'!$E$11+1,1))-AVERAGE(OFFSET($H$3,0,0,'Données projet'!$E$11+1,1))</f>
        <v>395.14818708356353</v>
      </c>
      <c r="BJ121" s="59">
        <f t="shared" si="92"/>
        <v>311.78229491474491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82.620790659539963</v>
      </c>
      <c r="BQ121" s="21">
        <f>EXP(-LN(2)/25)*BQ120+(1-EXP(-LN(2)/25))/(LN(2)/25)*Calculateur!BL121*Calculateur!BN121*VLOOKUP('Données projet'!$B$11,Paramètres!$A$1:$I$89,3,0)*0.475*44/12</f>
        <v>27.887702873885701</v>
      </c>
      <c r="BR121" s="21">
        <f>EXP(-LN(2)/2)*BR120+(1-EXP(-LN(2)/2))/(LN(2)/2)*BL121*BO121*VLOOKUP('Données projet'!$B$11,Paramètres!$A$1:$I$89,3,0)*0.475*44/12</f>
        <v>2.6698687887166783</v>
      </c>
      <c r="BS121" s="22">
        <f t="shared" si="63"/>
        <v>113.17836232214235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4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401.91115411247904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1.064108801074326E-13</v>
      </c>
      <c r="P122" s="13">
        <f t="shared" si="87"/>
        <v>1.5870730813698654E-12</v>
      </c>
      <c r="Q122" s="20">
        <f t="shared" si="107"/>
        <v>2.9494845662396269E-12</v>
      </c>
      <c r="R122" s="59">
        <f t="shared" si="55"/>
        <v>293.33333333333627</v>
      </c>
      <c r="S122" s="59">
        <f ca="1">AVERAGE(OFFSET($R$3,0,0,'Données projet'!$E$9+1,1))-AVERAGE(OFFSET($H$3,0,0,'Données projet'!$E$9+1,1))</f>
        <v>291.3013645858839</v>
      </c>
      <c r="T122" s="59">
        <f t="shared" si="88"/>
        <v>332.89241887762438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86.673950125036612</v>
      </c>
      <c r="AA122" s="21">
        <f>EXP(-LN(2)/25)*AA121+(1-EXP(-LN(2)/25))/(LN(2)/25)*Calculateur!V122*Calculateur!X122*VLOOKUP('Données projet'!$B$9,Paramètres!$A$1:$I$89,3,0)*0.475*44/12</f>
        <v>20.456690736501066</v>
      </c>
      <c r="AB122" s="21">
        <f>EXP(-LN(2)/2)*AB121+(1-EXP(-LN(2)/2))/(LN(2)/2)*V122*Y122*VLOOKUP('Données projet'!$B$9,Paramètres!$A$1:$I$89,3,0)*0.475*44/12</f>
        <v>2.830844122178751E-5</v>
      </c>
      <c r="AC122" s="22">
        <f t="shared" si="57"/>
        <v>107.13066916997889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3.4106051316484809E-13</v>
      </c>
      <c r="AJ122" s="13">
        <f>AI122*VLOOKUP('Données projet'!$B$10,Paramètres!$A$1:$I$89,3,0)*VLOOKUP('Données projet'!$B$10,Paramètres!$A$1:$I$89,5,0)</f>
        <v>1.5074874681886286E-13</v>
      </c>
      <c r="AK122" s="13">
        <f t="shared" si="89"/>
        <v>2.1590218794584103E-12</v>
      </c>
      <c r="AL122" s="20">
        <f t="shared" si="58"/>
        <v>4.0228505074329168E-12</v>
      </c>
      <c r="AM122" s="59">
        <f t="shared" si="59"/>
        <v>293.33333333333735</v>
      </c>
      <c r="AN122" s="59">
        <f ca="1">AVERAGE(OFFSET($AM$3,0,0,'Données projet'!$E$10+1,1))-AVERAGE(OFFSET($H$3,0,0,'Données projet'!$E$10+1,1))</f>
        <v>293.17014997061574</v>
      </c>
      <c r="AO122" s="59">
        <f t="shared" si="90"/>
        <v>394.32615745219954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53.850910682250358</v>
      </c>
      <c r="AV122" s="21">
        <f>EXP(-LN(2)/25)*AV121+(1-EXP(-LN(2)/25))/(LN(2)/25)*Calculateur!AQ122*Calculateur!AS122*VLOOKUP('Données projet'!$B$10,Paramètres!$A$1:$I$89,3,0)*0.475*44/12</f>
        <v>11.085495295517253</v>
      </c>
      <c r="AW122" s="21">
        <f>EXP(-LN(2)/2)*AW121+(1-EXP(-LN(2)/2))/(LN(2)/2)*AQ122*AT122*VLOOKUP('Données projet'!$B$10,Paramètres!$A$1:$I$89,3,0)*0.475*44/12</f>
        <v>1.19122885076538E-8</v>
      </c>
      <c r="AX122" s="21">
        <f t="shared" si="60"/>
        <v>64.936405989679898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5.3</v>
      </c>
      <c r="BD122" s="12">
        <f>IF('Données projet'!$A$88&gt;35,BD121+BC122-BL121,IF(A122&lt;'Données projet'!$A$88,$BA$205^A122,IF(A122='Données projet'!$A$88,'Données projet'!$B$88,BD121+BC122-BL121)))</f>
        <v>213.23</v>
      </c>
      <c r="BE122" s="13">
        <f>BD122*VLOOKUP('Données projet'!$B$11,Paramètres!$A$1:$I$89,3,0)*VLOOKUP('Données projet'!$B$11,Paramètres!$A$1:$I$89,5,0)</f>
        <v>182.95134000000002</v>
      </c>
      <c r="BF122" s="13">
        <f t="shared" si="91"/>
        <v>45.97818214236446</v>
      </c>
      <c r="BG122" s="20">
        <f t="shared" si="61"/>
        <v>398.71891773128482</v>
      </c>
      <c r="BH122" s="59">
        <f t="shared" si="62"/>
        <v>692.05225106461808</v>
      </c>
      <c r="BI122" s="59">
        <f ca="1">AVERAGE(OFFSET($BH$3,0,0,'Données projet'!$E$11+1,1))-AVERAGE(OFFSET($H$3,0,0,'Données projet'!$E$11+1,1))</f>
        <v>395.14818708356353</v>
      </c>
      <c r="BJ122" s="59">
        <f t="shared" si="92"/>
        <v>311.78229491474491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81.000647348412727</v>
      </c>
      <c r="BQ122" s="21">
        <f>EXP(-LN(2)/25)*BQ121+(1-EXP(-LN(2)/25))/(LN(2)/25)*Calculateur!BL122*Calculateur!BN122*VLOOKUP('Données projet'!$B$11,Paramètres!$A$1:$I$89,3,0)*0.475*44/12</f>
        <v>27.125112172248741</v>
      </c>
      <c r="BR122" s="21">
        <f>EXP(-LN(2)/2)*BR121+(1-EXP(-LN(2)/2))/(LN(2)/2)*BL122*BO122*VLOOKUP('Données projet'!$B$11,Paramètres!$A$1:$I$89,3,0)*0.475*44/12</f>
        <v>1.8878823253798771</v>
      </c>
      <c r="BS122" s="22">
        <f t="shared" si="63"/>
        <v>110.01364184604134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4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403.10019938462972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1.064108801074326E-13</v>
      </c>
      <c r="P123" s="13">
        <f t="shared" si="87"/>
        <v>1.5870730813698654E-12</v>
      </c>
      <c r="Q123" s="20">
        <f t="shared" si="107"/>
        <v>2.9494845662396269E-12</v>
      </c>
      <c r="R123" s="59">
        <f t="shared" si="55"/>
        <v>293.33333333333627</v>
      </c>
      <c r="S123" s="59">
        <f ca="1">AVERAGE(OFFSET($R$3,0,0,'Données projet'!$E$9+1,1))-AVERAGE(OFFSET($H$3,0,0,'Données projet'!$E$9+1,1))</f>
        <v>291.3013645858839</v>
      </c>
      <c r="T123" s="59">
        <f t="shared" si="88"/>
        <v>332.89241887762438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84.974326828974142</v>
      </c>
      <c r="AA123" s="21">
        <f>EXP(-LN(2)/25)*AA122+(1-EXP(-LN(2)/25))/(LN(2)/25)*Calculateur!V123*Calculateur!X123*VLOOKUP('Données projet'!$B$9,Paramètres!$A$1:$I$89,3,0)*0.475*44/12</f>
        <v>19.897301452540834</v>
      </c>
      <c r="AB123" s="21">
        <f>EXP(-LN(2)/2)*AB122+(1-EXP(-LN(2)/2))/(LN(2)/2)*V123*Y123*VLOOKUP('Données projet'!$B$9,Paramètres!$A$1:$I$89,3,0)*0.475*44/12</f>
        <v>2.0017090752746743E-5</v>
      </c>
      <c r="AC123" s="22">
        <f t="shared" si="57"/>
        <v>104.87164829860572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3.4106051316484809E-13</v>
      </c>
      <c r="AJ123" s="13">
        <f>AI123*VLOOKUP('Données projet'!$B$10,Paramètres!$A$1:$I$89,3,0)*VLOOKUP('Données projet'!$B$10,Paramètres!$A$1:$I$89,5,0)</f>
        <v>1.5074874681886286E-13</v>
      </c>
      <c r="AK123" s="13">
        <f t="shared" si="89"/>
        <v>2.1590218794584103E-12</v>
      </c>
      <c r="AL123" s="20">
        <f t="shared" si="58"/>
        <v>4.0228505074329168E-12</v>
      </c>
      <c r="AM123" s="59">
        <f t="shared" si="59"/>
        <v>293.33333333333735</v>
      </c>
      <c r="AN123" s="59">
        <f ca="1">AVERAGE(OFFSET($AM$3,0,0,'Données projet'!$E$10+1,1))-AVERAGE(OFFSET($H$3,0,0,'Données projet'!$E$10+1,1))</f>
        <v>293.17014997061574</v>
      </c>
      <c r="AO123" s="59">
        <f t="shared" si="90"/>
        <v>394.32615745219954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52.794927169583687</v>
      </c>
      <c r="AV123" s="21">
        <f>EXP(-LN(2)/25)*AV122+(1-EXP(-LN(2)/25))/(LN(2)/25)*Calculateur!AQ123*Calculateur!AS123*VLOOKUP('Données projet'!$B$10,Paramètres!$A$1:$I$89,3,0)*0.475*44/12</f>
        <v>10.782361843700473</v>
      </c>
      <c r="AW123" s="21">
        <f>EXP(-LN(2)/2)*AW122+(1-EXP(-LN(2)/2))/(LN(2)/2)*AQ123*AT123*VLOOKUP('Données projet'!$B$10,Paramètres!$A$1:$I$89,3,0)*0.475*44/12</f>
        <v>8.4232599832125801E-9</v>
      </c>
      <c r="AX123" s="21">
        <f t="shared" si="60"/>
        <v>63.577289021707415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5.3</v>
      </c>
      <c r="BD123" s="12">
        <f>IF('Données projet'!$A$88&gt;35,BD122+BC123-BL122,IF(A123&lt;'Données projet'!$A$88,$BA$205^A123,IF(A123='Données projet'!$A$88,'Données projet'!$B$88,BD122+BC123-BL122)))</f>
        <v>218.53</v>
      </c>
      <c r="BE123" s="13">
        <f>BD123*VLOOKUP('Données projet'!$B$11,Paramètres!$A$1:$I$89,3,0)*VLOOKUP('Données projet'!$B$11,Paramètres!$A$1:$I$89,5,0)</f>
        <v>187.49874000000003</v>
      </c>
      <c r="BF123" s="13">
        <f t="shared" si="91"/>
        <v>46.98653399873087</v>
      </c>
      <c r="BG123" s="20">
        <f t="shared" si="61"/>
        <v>408.39518554778959</v>
      </c>
      <c r="BH123" s="59">
        <f t="shared" si="62"/>
        <v>701.72851888112291</v>
      </c>
      <c r="BI123" s="59">
        <f ca="1">AVERAGE(OFFSET($BH$3,0,0,'Données projet'!$E$11+1,1))-AVERAGE(OFFSET($H$3,0,0,'Données projet'!$E$11+1,1))</f>
        <v>395.14818708356353</v>
      </c>
      <c r="BJ123" s="59">
        <f t="shared" si="92"/>
        <v>311.78229491474491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79.412274059426849</v>
      </c>
      <c r="BQ123" s="21">
        <f>EXP(-LN(2)/25)*BQ122+(1-EXP(-LN(2)/25))/(LN(2)/25)*Calculateur!BL123*Calculateur!BN123*VLOOKUP('Données projet'!$B$11,Paramètres!$A$1:$I$89,3,0)*0.475*44/12</f>
        <v>26.383374553450945</v>
      </c>
      <c r="BR123" s="21">
        <f>EXP(-LN(2)/2)*BR122+(1-EXP(-LN(2)/2))/(LN(2)/2)*BL123*BO123*VLOOKUP('Données projet'!$B$11,Paramètres!$A$1:$I$89,3,0)*0.475*44/12</f>
        <v>1.3349343943583394</v>
      </c>
      <c r="BS123" s="22">
        <f t="shared" si="63"/>
        <v>107.13058300723614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4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404.28901381351614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1.064108801074326E-13</v>
      </c>
      <c r="P124" s="13">
        <f t="shared" si="87"/>
        <v>1.5870730813698654E-12</v>
      </c>
      <c r="Q124" s="20">
        <f t="shared" si="107"/>
        <v>2.9494845662396269E-12</v>
      </c>
      <c r="R124" s="59">
        <f t="shared" si="55"/>
        <v>293.33333333333627</v>
      </c>
      <c r="S124" s="59">
        <f ca="1">AVERAGE(OFFSET($R$3,0,0,'Données projet'!$E$9+1,1))-AVERAGE(OFFSET($H$3,0,0,'Données projet'!$E$9+1,1))</f>
        <v>291.3013645858839</v>
      </c>
      <c r="T124" s="59">
        <f t="shared" si="88"/>
        <v>332.89241887762438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83.308032109079619</v>
      </c>
      <c r="AA124" s="21">
        <f>EXP(-LN(2)/25)*AA123+(1-EXP(-LN(2)/25))/(LN(2)/25)*Calculateur!V124*Calculateur!X124*VLOOKUP('Données projet'!$B$9,Paramètres!$A$1:$I$89,3,0)*0.475*44/12</f>
        <v>19.353208697967496</v>
      </c>
      <c r="AB124" s="21">
        <f>EXP(-LN(2)/2)*AB123+(1-EXP(-LN(2)/2))/(LN(2)/2)*V124*Y124*VLOOKUP('Données projet'!$B$9,Paramètres!$A$1:$I$89,3,0)*0.475*44/12</f>
        <v>1.4154220610893755E-5</v>
      </c>
      <c r="AC124" s="22">
        <f t="shared" si="57"/>
        <v>102.66125496126772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3.4106051316484809E-13</v>
      </c>
      <c r="AJ124" s="13">
        <f>AI124*VLOOKUP('Données projet'!$B$10,Paramètres!$A$1:$I$89,3,0)*VLOOKUP('Données projet'!$B$10,Paramètres!$A$1:$I$89,5,0)</f>
        <v>1.5074874681886286E-13</v>
      </c>
      <c r="AK124" s="13">
        <f t="shared" si="89"/>
        <v>2.1590218794584103E-12</v>
      </c>
      <c r="AL124" s="20">
        <f t="shared" si="58"/>
        <v>4.0228505074329168E-12</v>
      </c>
      <c r="AM124" s="59">
        <f t="shared" si="59"/>
        <v>293.33333333333735</v>
      </c>
      <c r="AN124" s="59">
        <f ca="1">AVERAGE(OFFSET($AM$3,0,0,'Données projet'!$E$10+1,1))-AVERAGE(OFFSET($H$3,0,0,'Données projet'!$E$10+1,1))</f>
        <v>293.17014997061574</v>
      </c>
      <c r="AO124" s="59">
        <f t="shared" si="90"/>
        <v>394.32615745219954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51.759650849514067</v>
      </c>
      <c r="AV124" s="21">
        <f>EXP(-LN(2)/25)*AV123+(1-EXP(-LN(2)/25))/(LN(2)/25)*Calculateur!AQ124*Calculateur!AS124*VLOOKUP('Données projet'!$B$10,Paramètres!$A$1:$I$89,3,0)*0.475*44/12</f>
        <v>10.487517592064718</v>
      </c>
      <c r="AW124" s="21">
        <f>EXP(-LN(2)/2)*AW123+(1-EXP(-LN(2)/2))/(LN(2)/2)*AQ124*AT124*VLOOKUP('Données projet'!$B$10,Paramètres!$A$1:$I$89,3,0)*0.475*44/12</f>
        <v>5.9561442538269E-9</v>
      </c>
      <c r="AX124" s="21">
        <f t="shared" si="60"/>
        <v>62.247168447534932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>
        <f>VLOOKUP(A124,'Données projet'!$A$87:$I$107,2,0)</f>
        <v>223.83</v>
      </c>
      <c r="BB124" s="12">
        <f>VLOOKUP(A124,'Données projet'!$A$87:$I$107,9,0)</f>
        <v>5.3</v>
      </c>
      <c r="BC124" s="12">
        <f t="array" ref="BC124">INDEX(BB:BB,MIN(IF(ISNUMBER(BB124:BB320),ROW(BB124:BB320),"")))</f>
        <v>5.3</v>
      </c>
      <c r="BD124" s="12">
        <f>IF('Données projet'!$A$88&gt;35,BD123+BC124-BL123,IF(A124&lt;'Données projet'!$A$88,$BA$205^A124,IF(A124='Données projet'!$A$88,'Données projet'!$B$88,BD123+BC124-BL123)))</f>
        <v>223.83</v>
      </c>
      <c r="BE124" s="13">
        <f>BD124*VLOOKUP('Données projet'!$B$11,Paramètres!$A$1:$I$89,3,0)*VLOOKUP('Données projet'!$B$11,Paramètres!$A$1:$I$89,5,0)</f>
        <v>192.04614000000004</v>
      </c>
      <c r="BF124" s="13">
        <f t="shared" si="91"/>
        <v>47.992042952285708</v>
      </c>
      <c r="BG124" s="20">
        <f t="shared" si="61"/>
        <v>418.06650197523101</v>
      </c>
      <c r="BH124" s="59">
        <f t="shared" si="62"/>
        <v>711.39983530856432</v>
      </c>
      <c r="BI124" s="59">
        <f ca="1">AVERAGE(OFFSET($BH$3,0,0,'Données projet'!$E$11+1,1))-AVERAGE(OFFSET($H$3,0,0,'Données projet'!$E$11+1,1))</f>
        <v>395.14818708356353</v>
      </c>
      <c r="BJ124" s="59">
        <f t="shared" si="92"/>
        <v>311.78229491474491</v>
      </c>
      <c r="BK124" s="15">
        <f>IF(ISNA(VLOOKUP(A124,'Données projet'!$A$87:$I$107,3,0)),0,VLOOKUP(A124,'Données projet'!$A$87:$I$107,3,0))</f>
        <v>11</v>
      </c>
      <c r="BL124" s="15">
        <f>IF(ISNA(VLOOKUP(A124,'Données projet'!$A$87:$I$107,4,0)),0,VLOOKUP(A124,'Données projet'!$A$87:$I$107,4,0))</f>
        <v>94.670000000000016</v>
      </c>
      <c r="BM124" s="16">
        <f>IF(ISNA(VLOOKUP(A124,'Données projet'!$A$87:$I$107,5,0)),0%,VLOOKUP(A124,'Données projet'!$A$87:$I$107,5,0)*VLOOKUP('Données projet'!$B$11,Paramètres!$A$1:$I$89,7,0))</f>
        <v>0.23850000000000002</v>
      </c>
      <c r="BN124" s="16">
        <f>IF(ISNA(VLOOKUP(A124,'Données projet'!$A$87:$I$107,6,0)),0%,VLOOKUP(A124,'Données projet'!$A$87:$I$107,6,0)*VLOOKUP('Données projet'!$B$11,Paramètres!$A$1:$I$89,7,0))</f>
        <v>2.6500000000000003E-2</v>
      </c>
      <c r="BO124" s="16">
        <f>IF(ISNA(VLOOKUP(A124,'Données projet'!$A$87:$I$107,7,0)),0%,VLOOKUP(A124,'Données projet'!$A$87:$I$107,7,0))</f>
        <v>0.05</v>
      </c>
      <c r="BP124" s="21">
        <f>EXP(-LN(2)/35)*BP123+(1-EXP(-LN(2)/35))/(LN(2)/35)*BL124*BM124*VLOOKUP('Données projet'!$B$11,Paramètres!$A$1:$I$89,3,0)*0.475*44/12</f>
        <v>99.270890030789985</v>
      </c>
      <c r="BQ124" s="21">
        <f>EXP(-LN(2)/25)*BQ123+(1-EXP(-LN(2)/25))/(LN(2)/25)*Calculateur!BL124*Calculateur!BN124*VLOOKUP('Données projet'!$B$11,Paramètres!$A$1:$I$89,3,0)*0.475*44/12</f>
        <v>28.032088666404686</v>
      </c>
      <c r="BR124" s="21">
        <f>EXP(-LN(2)/2)*BR123+(1-EXP(-LN(2)/2))/(LN(2)/2)*BL124*BO124*VLOOKUP('Données projet'!$B$11,Paramètres!$A$1:$I$89,3,0)*0.475*44/12</f>
        <v>4.7759275926341314</v>
      </c>
      <c r="BS124" s="22">
        <f t="shared" si="63"/>
        <v>132.07890628982881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4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405.47759952802585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1.064108801074326E-13</v>
      </c>
      <c r="P125" s="13">
        <f t="shared" si="87"/>
        <v>1.5870730813698654E-12</v>
      </c>
      <c r="Q125" s="20">
        <f t="shared" si="107"/>
        <v>2.9494845662396269E-12</v>
      </c>
      <c r="R125" s="59">
        <f t="shared" si="55"/>
        <v>293.33333333333627</v>
      </c>
      <c r="S125" s="59">
        <f ca="1">AVERAGE(OFFSET($R$3,0,0,'Données projet'!$E$9+1,1))-AVERAGE(OFFSET($H$3,0,0,'Données projet'!$E$9+1,1))</f>
        <v>291.3013645858839</v>
      </c>
      <c r="T125" s="59">
        <f t="shared" si="88"/>
        <v>332.89241887762438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81.6744124123028</v>
      </c>
      <c r="AA125" s="21">
        <f>EXP(-LN(2)/25)*AA124+(1-EXP(-LN(2)/25))/(LN(2)/25)*Calculateur!V125*Calculateur!X125*VLOOKUP('Données projet'!$B$9,Paramètres!$A$1:$I$89,3,0)*0.475*44/12</f>
        <v>18.82399418838056</v>
      </c>
      <c r="AB125" s="21">
        <f>EXP(-LN(2)/2)*AB124+(1-EXP(-LN(2)/2))/(LN(2)/2)*V125*Y125*VLOOKUP('Données projet'!$B$9,Paramètres!$A$1:$I$89,3,0)*0.475*44/12</f>
        <v>1.0008545376373372E-5</v>
      </c>
      <c r="AC125" s="22">
        <f t="shared" si="57"/>
        <v>100.49841660922873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3.4106051316484809E-13</v>
      </c>
      <c r="AJ125" s="13">
        <f>AI125*VLOOKUP('Données projet'!$B$10,Paramètres!$A$1:$I$89,3,0)*VLOOKUP('Données projet'!$B$10,Paramètres!$A$1:$I$89,5,0)</f>
        <v>1.5074874681886286E-13</v>
      </c>
      <c r="AK125" s="13">
        <f t="shared" si="89"/>
        <v>2.1590218794584103E-12</v>
      </c>
      <c r="AL125" s="20">
        <f t="shared" si="58"/>
        <v>4.0228505074329168E-12</v>
      </c>
      <c r="AM125" s="59">
        <f t="shared" si="59"/>
        <v>293.33333333333735</v>
      </c>
      <c r="AN125" s="59">
        <f ca="1">AVERAGE(OFFSET($AM$3,0,0,'Données projet'!$E$10+1,1))-AVERAGE(OFFSET($H$3,0,0,'Données projet'!$E$10+1,1))</f>
        <v>293.17014997061574</v>
      </c>
      <c r="AO125" s="59">
        <f t="shared" si="90"/>
        <v>394.32615745219954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50.744675666624808</v>
      </c>
      <c r="AV125" s="21">
        <f>EXP(-LN(2)/25)*AV124+(1-EXP(-LN(2)/25))/(LN(2)/25)*Calculateur!AQ125*Calculateur!AS125*VLOOKUP('Données projet'!$B$10,Paramètres!$A$1:$I$89,3,0)*0.475*44/12</f>
        <v>10.200735871995127</v>
      </c>
      <c r="AW125" s="21">
        <f>EXP(-LN(2)/2)*AW124+(1-EXP(-LN(2)/2))/(LN(2)/2)*AQ125*AT125*VLOOKUP('Données projet'!$B$10,Paramètres!$A$1:$I$89,3,0)*0.475*44/12</f>
        <v>4.2116299916062901E-9</v>
      </c>
      <c r="AX125" s="21">
        <f t="shared" si="60"/>
        <v>60.945411542831565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3.7524999999999977</v>
      </c>
      <c r="BD125" s="12">
        <f>IF('Données projet'!$A$88&gt;35,BD124+BC125-BL124,IF(A125&lt;'Données projet'!$A$88,$BA$205^A125,IF(A125='Données projet'!$A$88,'Données projet'!$B$88,BD124+BC125-BL124)))</f>
        <v>132.91249999999999</v>
      </c>
      <c r="BE125" s="13">
        <f>BD125*VLOOKUP('Données projet'!$B$11,Paramètres!$A$1:$I$89,3,0)*VLOOKUP('Données projet'!$B$11,Paramètres!$A$1:$I$89,5,0)</f>
        <v>114.03892500000002</v>
      </c>
      <c r="BF125" s="13">
        <f t="shared" si="91"/>
        <v>30.280580528600204</v>
      </c>
      <c r="BG125" s="20">
        <f t="shared" si="61"/>
        <v>251.35647212897871</v>
      </c>
      <c r="BH125" s="59">
        <f t="shared" si="62"/>
        <v>544.68980546231205</v>
      </c>
      <c r="BI125" s="59">
        <f ca="1">AVERAGE(OFFSET($BH$3,0,0,'Données projet'!$E$11+1,1))-AVERAGE(OFFSET($H$3,0,0,'Données projet'!$E$11+1,1))</f>
        <v>395.14818708356353</v>
      </c>
      <c r="BJ125" s="59">
        <f t="shared" si="92"/>
        <v>311.78229491474491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97.324248426550369</v>
      </c>
      <c r="BQ125" s="21">
        <f>EXP(-LN(2)/25)*BQ124+(1-EXP(-LN(2)/25))/(LN(2)/25)*Calculateur!BL125*Calculateur!BN125*VLOOKUP('Données projet'!$B$11,Paramètres!$A$1:$I$89,3,0)*0.475*44/12</f>
        <v>27.265549727678376</v>
      </c>
      <c r="BR125" s="21">
        <f>EXP(-LN(2)/2)*BR124+(1-EXP(-LN(2)/2))/(LN(2)/2)*BL125*BO125*VLOOKUP('Données projet'!$B$11,Paramètres!$A$1:$I$89,3,0)*0.475*44/12</f>
        <v>3.3770907872075377</v>
      </c>
      <c r="BS125" s="22">
        <f t="shared" si="63"/>
        <v>127.96688894143628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4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406.66595862013173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1.064108801074326E-13</v>
      </c>
      <c r="P126" s="13">
        <f t="shared" si="87"/>
        <v>1.5870730813698654E-12</v>
      </c>
      <c r="Q126" s="20">
        <f t="shared" si="107"/>
        <v>2.9494845662396269E-12</v>
      </c>
      <c r="R126" s="59">
        <f t="shared" si="55"/>
        <v>293.33333333333627</v>
      </c>
      <c r="S126" s="59">
        <f ca="1">AVERAGE(OFFSET($R$3,0,0,'Données projet'!$E$9+1,1))-AVERAGE(OFFSET($H$3,0,0,'Données projet'!$E$9+1,1))</f>
        <v>291.3013645858839</v>
      </c>
      <c r="T126" s="59">
        <f t="shared" si="88"/>
        <v>332.89241887762438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80.072827001370143</v>
      </c>
      <c r="AA126" s="21">
        <f>EXP(-LN(2)/25)*AA125+(1-EXP(-LN(2)/25))/(LN(2)/25)*Calculateur!V126*Calculateur!X126*VLOOKUP('Données projet'!$B$9,Paramètres!$A$1:$I$89,3,0)*0.475*44/12</f>
        <v>18.309251077388463</v>
      </c>
      <c r="AB126" s="21">
        <f>EXP(-LN(2)/2)*AB125+(1-EXP(-LN(2)/2))/(LN(2)/2)*V126*Y126*VLOOKUP('Données projet'!$B$9,Paramètres!$A$1:$I$89,3,0)*0.475*44/12</f>
        <v>7.0771103054468776E-6</v>
      </c>
      <c r="AC126" s="22">
        <f t="shared" si="57"/>
        <v>98.382085155868921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3.4106051316484809E-13</v>
      </c>
      <c r="AJ126" s="13">
        <f>AI126*VLOOKUP('Données projet'!$B$10,Paramètres!$A$1:$I$89,3,0)*VLOOKUP('Données projet'!$B$10,Paramètres!$A$1:$I$89,5,0)</f>
        <v>1.5074874681886286E-13</v>
      </c>
      <c r="AK126" s="13">
        <f t="shared" si="89"/>
        <v>2.1590218794584103E-12</v>
      </c>
      <c r="AL126" s="20">
        <f t="shared" si="58"/>
        <v>4.0228505074329168E-12</v>
      </c>
      <c r="AM126" s="59">
        <f t="shared" si="59"/>
        <v>293.33333333333735</v>
      </c>
      <c r="AN126" s="59">
        <f ca="1">AVERAGE(OFFSET($AM$3,0,0,'Données projet'!$E$10+1,1))-AVERAGE(OFFSET($H$3,0,0,'Données projet'!$E$10+1,1))</f>
        <v>293.17014997061574</v>
      </c>
      <c r="AO126" s="59">
        <f t="shared" si="90"/>
        <v>394.32615745219954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49.749603527998275</v>
      </c>
      <c r="AV126" s="21">
        <f>EXP(-LN(2)/25)*AV125+(1-EXP(-LN(2)/25))/(LN(2)/25)*Calculateur!AQ126*Calculateur!AS126*VLOOKUP('Données projet'!$B$10,Paramètres!$A$1:$I$89,3,0)*0.475*44/12</f>
        <v>9.9217962131420343</v>
      </c>
      <c r="AW126" s="21">
        <f>EXP(-LN(2)/2)*AW125+(1-EXP(-LN(2)/2))/(LN(2)/2)*AQ126*AT126*VLOOKUP('Données projet'!$B$10,Paramètres!$A$1:$I$89,3,0)*0.475*44/12</f>
        <v>2.97807212691345E-9</v>
      </c>
      <c r="AX126" s="21">
        <f t="shared" si="60"/>
        <v>59.671399744118375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3.7524999999999977</v>
      </c>
      <c r="BD126" s="12">
        <f>IF('Données projet'!$A$88&gt;35,BD125+BC126-BL125,IF(A126&lt;'Données projet'!$A$88,$BA$205^A126,IF(A126='Données projet'!$A$88,'Données projet'!$B$88,BD125+BC126-BL125)))</f>
        <v>136.66499999999999</v>
      </c>
      <c r="BE126" s="13">
        <f>BD126*VLOOKUP('Données projet'!$B$11,Paramètres!$A$1:$I$89,3,0)*VLOOKUP('Données projet'!$B$11,Paramètres!$A$1:$I$89,5,0)</f>
        <v>117.25857000000001</v>
      </c>
      <c r="BF126" s="13">
        <f t="shared" si="91"/>
        <v>31.034748316487047</v>
      </c>
      <c r="BG126" s="20">
        <f t="shared" si="61"/>
        <v>258.27752940121491</v>
      </c>
      <c r="BH126" s="59">
        <f t="shared" si="62"/>
        <v>551.61086273454816</v>
      </c>
      <c r="BI126" s="59">
        <f ca="1">AVERAGE(OFFSET($BH$3,0,0,'Données projet'!$E$11+1,1))-AVERAGE(OFFSET($H$3,0,0,'Données projet'!$E$11+1,1))</f>
        <v>395.14818708356353</v>
      </c>
      <c r="BJ126" s="59">
        <f t="shared" si="92"/>
        <v>311.78229491474491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95.41577927683575</v>
      </c>
      <c r="BQ126" s="21">
        <f>EXP(-LN(2)/25)*BQ125+(1-EXP(-LN(2)/25))/(LN(2)/25)*Calculateur!BL126*Calculateur!BN126*VLOOKUP('Données projet'!$B$11,Paramètres!$A$1:$I$89,3,0)*0.475*44/12</f>
        <v>26.519971836542066</v>
      </c>
      <c r="BR126" s="21">
        <f>EXP(-LN(2)/2)*BR125+(1-EXP(-LN(2)/2))/(LN(2)/2)*BL126*BO126*VLOOKUP('Données projet'!$B$11,Paramètres!$A$1:$I$89,3,0)*0.475*44/12</f>
        <v>2.3879637963170661</v>
      </c>
      <c r="BS126" s="22">
        <f t="shared" si="63"/>
        <v>124.32371490969489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4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407.85409314582705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1.064108801074326E-13</v>
      </c>
      <c r="P127" s="13">
        <f t="shared" si="87"/>
        <v>1.5870730813698654E-12</v>
      </c>
      <c r="Q127" s="20">
        <f t="shared" si="107"/>
        <v>2.9494845662396269E-12</v>
      </c>
      <c r="R127" s="59">
        <f t="shared" si="55"/>
        <v>293.33333333333627</v>
      </c>
      <c r="S127" s="59">
        <f ca="1">AVERAGE(OFFSET($R$3,0,0,'Données projet'!$E$9+1,1))-AVERAGE(OFFSET($H$3,0,0,'Données projet'!$E$9+1,1))</f>
        <v>291.3013645858839</v>
      </c>
      <c r="T127" s="59">
        <f t="shared" si="88"/>
        <v>332.89241887762438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78.502647703475233</v>
      </c>
      <c r="AA127" s="21">
        <f>EXP(-LN(2)/25)*AA126+(1-EXP(-LN(2)/25))/(LN(2)/25)*Calculateur!V127*Calculateur!X127*VLOOKUP('Données projet'!$B$9,Paramètres!$A$1:$I$89,3,0)*0.475*44/12</f>
        <v>17.808583643835608</v>
      </c>
      <c r="AB127" s="21">
        <f>EXP(-LN(2)/2)*AB126+(1-EXP(-LN(2)/2))/(LN(2)/2)*V127*Y127*VLOOKUP('Données projet'!$B$9,Paramètres!$A$1:$I$89,3,0)*0.475*44/12</f>
        <v>5.0042726881866858E-6</v>
      </c>
      <c r="AC127" s="22">
        <f t="shared" si="57"/>
        <v>96.311236351583531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3.4106051316484809E-13</v>
      </c>
      <c r="AJ127" s="13">
        <f>AI127*VLOOKUP('Données projet'!$B$10,Paramètres!$A$1:$I$89,3,0)*VLOOKUP('Données projet'!$B$10,Paramètres!$A$1:$I$89,5,0)</f>
        <v>1.5074874681886286E-13</v>
      </c>
      <c r="AK127" s="13">
        <f t="shared" si="89"/>
        <v>2.1590218794584103E-12</v>
      </c>
      <c r="AL127" s="20">
        <f t="shared" si="58"/>
        <v>4.0228505074329168E-12</v>
      </c>
      <c r="AM127" s="59">
        <f t="shared" si="59"/>
        <v>293.33333333333735</v>
      </c>
      <c r="AN127" s="59">
        <f ca="1">AVERAGE(OFFSET($AM$3,0,0,'Données projet'!$E$10+1,1))-AVERAGE(OFFSET($H$3,0,0,'Données projet'!$E$10+1,1))</f>
        <v>293.17014997061574</v>
      </c>
      <c r="AO127" s="59">
        <f t="shared" si="90"/>
        <v>394.32615745219954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48.774044147076133</v>
      </c>
      <c r="AV127" s="21">
        <f>EXP(-LN(2)/25)*AV126+(1-EXP(-LN(2)/25))/(LN(2)/25)*Calculateur!AQ127*Calculateur!AS127*VLOOKUP('Données projet'!$B$10,Paramètres!$A$1:$I$89,3,0)*0.475*44/12</f>
        <v>9.6504841739290796</v>
      </c>
      <c r="AW127" s="21">
        <f>EXP(-LN(2)/2)*AW126+(1-EXP(-LN(2)/2))/(LN(2)/2)*AQ127*AT127*VLOOKUP('Données projet'!$B$10,Paramètres!$A$1:$I$89,3,0)*0.475*44/12</f>
        <v>2.105814995803145E-9</v>
      </c>
      <c r="AX127" s="21">
        <f t="shared" si="60"/>
        <v>58.424528323111026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3.7524999999999977</v>
      </c>
      <c r="BD127" s="12">
        <f>IF('Données projet'!$A$88&gt;35,BD126+BC127-BL126,IF(A127&lt;'Données projet'!$A$88,$BA$205^A127,IF(A127='Données projet'!$A$88,'Données projet'!$B$88,BD126+BC127-BL126)))</f>
        <v>140.41749999999999</v>
      </c>
      <c r="BE127" s="13">
        <f>BD127*VLOOKUP('Données projet'!$B$11,Paramètres!$A$1:$I$89,3,0)*VLOOKUP('Données projet'!$B$11,Paramètres!$A$1:$I$89,5,0)</f>
        <v>120.47821500000001</v>
      </c>
      <c r="BF127" s="13">
        <f t="shared" si="91"/>
        <v>31.78650925900029</v>
      </c>
      <c r="BG127" s="20">
        <f t="shared" si="61"/>
        <v>265.19439475109215</v>
      </c>
      <c r="BH127" s="59">
        <f t="shared" si="62"/>
        <v>558.52772808442546</v>
      </c>
      <c r="BI127" s="59">
        <f ca="1">AVERAGE(OFFSET($BH$3,0,0,'Données projet'!$E$11+1,1))-AVERAGE(OFFSET($H$3,0,0,'Données projet'!$E$11+1,1))</f>
        <v>395.14818708356353</v>
      </c>
      <c r="BJ127" s="59">
        <f t="shared" si="92"/>
        <v>311.78229491474491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93.544734043095801</v>
      </c>
      <c r="BQ127" s="21">
        <f>EXP(-LN(2)/25)*BQ126+(1-EXP(-LN(2)/25))/(LN(2)/25)*Calculateur!BL127*Calculateur!BN127*VLOOKUP('Données projet'!$B$11,Paramètres!$A$1:$I$89,3,0)*0.475*44/12</f>
        <v>25.794781812047116</v>
      </c>
      <c r="BR127" s="21">
        <f>EXP(-LN(2)/2)*BR126+(1-EXP(-LN(2)/2))/(LN(2)/2)*BL127*BO127*VLOOKUP('Données projet'!$B$11,Paramètres!$A$1:$I$89,3,0)*0.475*44/12</f>
        <v>1.6885453936037691</v>
      </c>
      <c r="BS127" s="22">
        <f t="shared" si="63"/>
        <v>121.0280612487467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4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409.04200512602915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1.064108801074326E-13</v>
      </c>
      <c r="P128" s="13">
        <f t="shared" si="87"/>
        <v>1.5870730813698654E-12</v>
      </c>
      <c r="Q128" s="20">
        <f t="shared" si="107"/>
        <v>2.9494845662396269E-12</v>
      </c>
      <c r="R128" s="59">
        <f t="shared" si="55"/>
        <v>293.33333333333627</v>
      </c>
      <c r="S128" s="59">
        <f ca="1">AVERAGE(OFFSET($R$3,0,0,'Données projet'!$E$9+1,1))-AVERAGE(OFFSET($H$3,0,0,'Données projet'!$E$9+1,1))</f>
        <v>291.3013645858839</v>
      </c>
      <c r="T128" s="59">
        <f t="shared" si="88"/>
        <v>332.89241887762438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76.963258663897236</v>
      </c>
      <c r="AA128" s="21">
        <f>EXP(-LN(2)/25)*AA127+(1-EXP(-LN(2)/25))/(LN(2)/25)*Calculateur!V128*Calculateur!X128*VLOOKUP('Données projet'!$B$9,Paramètres!$A$1:$I$89,3,0)*0.475*44/12</f>
        <v>17.321606987582211</v>
      </c>
      <c r="AB128" s="21">
        <f>EXP(-LN(2)/2)*AB127+(1-EXP(-LN(2)/2))/(LN(2)/2)*V128*Y128*VLOOKUP('Données projet'!$B$9,Paramètres!$A$1:$I$89,3,0)*0.475*44/12</f>
        <v>3.5385551527234388E-6</v>
      </c>
      <c r="AC128" s="22">
        <f t="shared" si="57"/>
        <v>94.284869190034598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3.4106051316484809E-13</v>
      </c>
      <c r="AJ128" s="13">
        <f>AI128*VLOOKUP('Données projet'!$B$10,Paramètres!$A$1:$I$89,3,0)*VLOOKUP('Données projet'!$B$10,Paramètres!$A$1:$I$89,5,0)</f>
        <v>1.5074874681886286E-13</v>
      </c>
      <c r="AK128" s="13">
        <f t="shared" si="89"/>
        <v>2.1590218794584103E-12</v>
      </c>
      <c r="AL128" s="20">
        <f t="shared" si="58"/>
        <v>4.0228505074329168E-12</v>
      </c>
      <c r="AM128" s="59">
        <f t="shared" si="59"/>
        <v>293.33333333333735</v>
      </c>
      <c r="AN128" s="59">
        <f ca="1">AVERAGE(OFFSET($AM$3,0,0,'Données projet'!$E$10+1,1))-AVERAGE(OFFSET($H$3,0,0,'Données projet'!$E$10+1,1))</f>
        <v>293.17014997061574</v>
      </c>
      <c r="AO128" s="59">
        <f t="shared" si="90"/>
        <v>394.32615745219954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47.81761489058141</v>
      </c>
      <c r="AV128" s="21">
        <f>EXP(-LN(2)/25)*AV127+(1-EXP(-LN(2)/25))/(LN(2)/25)*Calculateur!AQ128*Calculateur!AS128*VLOOKUP('Données projet'!$B$10,Paramètres!$A$1:$I$89,3,0)*0.475*44/12</f>
        <v>9.3865911766960828</v>
      </c>
      <c r="AW128" s="21">
        <f>EXP(-LN(2)/2)*AW127+(1-EXP(-LN(2)/2))/(LN(2)/2)*AQ128*AT128*VLOOKUP('Données projet'!$B$10,Paramètres!$A$1:$I$89,3,0)*0.475*44/12</f>
        <v>1.489036063456725E-9</v>
      </c>
      <c r="AX128" s="21">
        <f t="shared" si="60"/>
        <v>57.204206068766531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>
        <f>VLOOKUP(A128,'Données projet'!$A$87:$I$107,2,0)</f>
        <v>144.16999999999999</v>
      </c>
      <c r="BB128" s="12">
        <f>VLOOKUP(A128,'Données projet'!$A$87:$I$107,9,0)</f>
        <v>3.7524999999999977</v>
      </c>
      <c r="BC128" s="12">
        <f t="array" ref="BC128">INDEX(BB:BB,MIN(IF(ISNUMBER(BB128:BB324),ROW(BB128:BB324),"")))</f>
        <v>3.7524999999999977</v>
      </c>
      <c r="BD128" s="12">
        <f>IF('Données projet'!$A$88&gt;35,BD127+BC128-BL127,IF(A128&lt;'Données projet'!$A$88,$BA$205^A128,IF(A128='Données projet'!$A$88,'Données projet'!$B$88,BD127+BC128-BL127)))</f>
        <v>144.16999999999999</v>
      </c>
      <c r="BE128" s="13">
        <f>BD128*VLOOKUP('Données projet'!$B$11,Paramètres!$A$1:$I$89,3,0)*VLOOKUP('Données projet'!$B$11,Paramètres!$A$1:$I$89,5,0)</f>
        <v>123.69785999999999</v>
      </c>
      <c r="BF128" s="13">
        <f t="shared" si="91"/>
        <v>32.535935068969899</v>
      </c>
      <c r="BG128" s="20">
        <f t="shared" si="61"/>
        <v>272.10719307845591</v>
      </c>
      <c r="BH128" s="59">
        <f t="shared" si="62"/>
        <v>565.44052641178928</v>
      </c>
      <c r="BI128" s="59">
        <f ca="1">AVERAGE(OFFSET($BH$3,0,0,'Données projet'!$E$11+1,1))-AVERAGE(OFFSET($H$3,0,0,'Données projet'!$E$11+1,1))</f>
        <v>395.14818708356353</v>
      </c>
      <c r="BJ128" s="59">
        <f t="shared" si="92"/>
        <v>311.78229491474491</v>
      </c>
      <c r="BK128" s="15">
        <f>IF(ISNA(VLOOKUP(A128,'Données projet'!$A$87:$I$107,3,0)),0,VLOOKUP(A128,'Données projet'!$A$87:$I$107,3,0))</f>
        <v>12</v>
      </c>
      <c r="BL128" s="15">
        <f>IF(ISNA(VLOOKUP(A128,'Données projet'!$A$87:$I$107,4,0)),0,VLOOKUP(A128,'Données projet'!$A$87:$I$107,4,0))</f>
        <v>144.16999999999999</v>
      </c>
      <c r="BM128" s="16">
        <f>IF(ISNA(VLOOKUP(A128,'Données projet'!$A$87:$I$107,5,0)),0%,VLOOKUP(A128,'Données projet'!$A$87:$I$107,5,0)*VLOOKUP('Données projet'!$B$11,Paramètres!$A$1:$I$89,7,0))</f>
        <v>0.23850000000000002</v>
      </c>
      <c r="BN128" s="16">
        <f>IF(ISNA(VLOOKUP(A128,'Données projet'!$A$87:$I$107,6,0)),0%,VLOOKUP(A128,'Données projet'!$A$87:$I$107,6,0)*VLOOKUP('Données projet'!$B$11,Paramètres!$A$1:$I$89,7,0))</f>
        <v>2.6500000000000003E-2</v>
      </c>
      <c r="BO128" s="16">
        <f>IF(ISNA(VLOOKUP(A128,'Données projet'!$A$87:$I$107,7,0)),0%,VLOOKUP(A128,'Données projet'!$A$87:$I$107,7,0))</f>
        <v>0.05</v>
      </c>
      <c r="BP128" s="21">
        <f>EXP(-LN(2)/35)*BP127+(1-EXP(-LN(2)/35))/(LN(2)/35)*BL128*BM128*VLOOKUP('Données projet'!$B$11,Paramètres!$A$1:$I$89,3,0)*0.475*44/12</f>
        <v>124.32389924278945</v>
      </c>
      <c r="BQ128" s="21">
        <f>EXP(-LN(2)/25)*BQ127+(1-EXP(-LN(2)/25))/(LN(2)/25)*Calculateur!BL128*Calculateur!BN128*VLOOKUP('Données projet'!$B$11,Paramètres!$A$1:$I$89,3,0)*0.475*44/12</f>
        <v>28.698878649260585</v>
      </c>
      <c r="BR128" s="21">
        <f>EXP(-LN(2)/2)*BR127+(1-EXP(-LN(2)/2))/(LN(2)/2)*BL128*BO128*VLOOKUP('Données projet'!$B$11,Paramètres!$A$1:$I$89,3,0)*0.475*44/12</f>
        <v>7.0295949076129967</v>
      </c>
      <c r="BS128" s="22">
        <f t="shared" si="63"/>
        <v>160.05237279966303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4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410.22969654745395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1.064108801074326E-13</v>
      </c>
      <c r="P129" s="13">
        <f t="shared" si="87"/>
        <v>1.5870730813698654E-12</v>
      </c>
      <c r="Q129" s="20">
        <f t="shared" si="107"/>
        <v>2.9494845662396269E-12</v>
      </c>
      <c r="R129" s="59">
        <f t="shared" si="55"/>
        <v>293.33333333333627</v>
      </c>
      <c r="S129" s="59">
        <f ca="1">AVERAGE(OFFSET($R$3,0,0,'Données projet'!$E$9+1,1))-AVERAGE(OFFSET($H$3,0,0,'Données projet'!$E$9+1,1))</f>
        <v>291.3013645858839</v>
      </c>
      <c r="T129" s="59">
        <f t="shared" si="88"/>
        <v>332.89241887762438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75.454056104450771</v>
      </c>
      <c r="AA129" s="21">
        <f>EXP(-LN(2)/25)*AA128+(1-EXP(-LN(2)/25))/(LN(2)/25)*Calculateur!V129*Calculateur!X129*VLOOKUP('Données projet'!$B$9,Paramètres!$A$1:$I$89,3,0)*0.475*44/12</f>
        <v>16.847946733603052</v>
      </c>
      <c r="AB129" s="21">
        <f>EXP(-LN(2)/2)*AB128+(1-EXP(-LN(2)/2))/(LN(2)/2)*V129*Y129*VLOOKUP('Données projet'!$B$9,Paramètres!$A$1:$I$89,3,0)*0.475*44/12</f>
        <v>2.5021363440933429E-6</v>
      </c>
      <c r="AC129" s="22">
        <f t="shared" si="57"/>
        <v>92.302005340190163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3.4106051316484809E-13</v>
      </c>
      <c r="AJ129" s="13">
        <f>AI129*VLOOKUP('Données projet'!$B$10,Paramètres!$A$1:$I$89,3,0)*VLOOKUP('Données projet'!$B$10,Paramètres!$A$1:$I$89,5,0)</f>
        <v>1.5074874681886286E-13</v>
      </c>
      <c r="AK129" s="13">
        <f t="shared" si="89"/>
        <v>2.1590218794584103E-12</v>
      </c>
      <c r="AL129" s="20">
        <f t="shared" si="58"/>
        <v>4.0228505074329168E-12</v>
      </c>
      <c r="AM129" s="59">
        <f t="shared" si="59"/>
        <v>293.33333333333735</v>
      </c>
      <c r="AN129" s="59">
        <f ca="1">AVERAGE(OFFSET($AM$3,0,0,'Données projet'!$E$10+1,1))-AVERAGE(OFFSET($H$3,0,0,'Données projet'!$E$10+1,1))</f>
        <v>293.17014997061574</v>
      </c>
      <c r="AO129" s="59">
        <f t="shared" si="90"/>
        <v>394.32615745219954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46.879940628442299</v>
      </c>
      <c r="AV129" s="21">
        <f>EXP(-LN(2)/25)*AV128+(1-EXP(-LN(2)/25))/(LN(2)/25)*Calculateur!AQ129*Calculateur!AS129*VLOOKUP('Données projet'!$B$10,Paramètres!$A$1:$I$89,3,0)*0.475*44/12</f>
        <v>9.1299143473499509</v>
      </c>
      <c r="AW129" s="21">
        <f>EXP(-LN(2)/2)*AW128+(1-EXP(-LN(2)/2))/(LN(2)/2)*AQ129*AT129*VLOOKUP('Données projet'!$B$10,Paramètres!$A$1:$I$89,3,0)*0.475*44/12</f>
        <v>1.0529074979015725E-9</v>
      </c>
      <c r="AX129" s="21">
        <f t="shared" si="60"/>
        <v>56.009854976845162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395.14818708356353</v>
      </c>
      <c r="BJ129" s="59">
        <f t="shared" si="92"/>
        <v>311.78229491474491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121.88598340872929</v>
      </c>
      <c r="BQ129" s="21">
        <f>EXP(-LN(2)/25)*BQ128+(1-EXP(-LN(2)/25))/(LN(2)/25)*Calculateur!BL129*Calculateur!BN129*VLOOKUP('Données projet'!$B$11,Paramètres!$A$1:$I$89,3,0)*0.475*44/12</f>
        <v>27.91410630338812</v>
      </c>
      <c r="BR129" s="21">
        <f>EXP(-LN(2)/2)*BR128+(1-EXP(-LN(2)/2))/(LN(2)/2)*BL129*BO129*VLOOKUP('Données projet'!$B$11,Paramètres!$A$1:$I$89,3,0)*0.475*44/12</f>
        <v>4.9706742281675727</v>
      </c>
      <c r="BS129" s="22">
        <f t="shared" si="63"/>
        <v>154.77076394028498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4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411.41716936346074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1.064108801074326E-13</v>
      </c>
      <c r="P130" s="13">
        <f t="shared" si="87"/>
        <v>1.5870730813698654E-12</v>
      </c>
      <c r="Q130" s="20">
        <f t="shared" si="107"/>
        <v>2.9494845662396269E-12</v>
      </c>
      <c r="R130" s="59">
        <f t="shared" si="55"/>
        <v>293.33333333333627</v>
      </c>
      <c r="S130" s="59">
        <f ca="1">AVERAGE(OFFSET($R$3,0,0,'Données projet'!$E$9+1,1))-AVERAGE(OFFSET($H$3,0,0,'Données projet'!$E$9+1,1))</f>
        <v>291.3013645858839</v>
      </c>
      <c r="T130" s="59">
        <f t="shared" si="88"/>
        <v>332.89241887762438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73.974448086672382</v>
      </c>
      <c r="AA130" s="21">
        <f>EXP(-LN(2)/25)*AA129+(1-EXP(-LN(2)/25))/(LN(2)/25)*Calculateur!V130*Calculateur!X130*VLOOKUP('Données projet'!$B$9,Paramètres!$A$1:$I$89,3,0)*0.475*44/12</f>
        <v>16.387238744177665</v>
      </c>
      <c r="AB130" s="21">
        <f>EXP(-LN(2)/2)*AB129+(1-EXP(-LN(2)/2))/(LN(2)/2)*V130*Y130*VLOOKUP('Données projet'!$B$9,Paramètres!$A$1:$I$89,3,0)*0.475*44/12</f>
        <v>1.7692775763617194E-6</v>
      </c>
      <c r="AC130" s="22">
        <f t="shared" si="57"/>
        <v>90.361688600127621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3.4106051316484809E-13</v>
      </c>
      <c r="AJ130" s="13">
        <f>AI130*VLOOKUP('Données projet'!$B$10,Paramètres!$A$1:$I$89,3,0)*VLOOKUP('Données projet'!$B$10,Paramètres!$A$1:$I$89,5,0)</f>
        <v>1.5074874681886286E-13</v>
      </c>
      <c r="AK130" s="13">
        <f t="shared" si="89"/>
        <v>2.1590218794584103E-12</v>
      </c>
      <c r="AL130" s="20">
        <f t="shared" si="58"/>
        <v>4.0228505074329168E-12</v>
      </c>
      <c r="AM130" s="59">
        <f t="shared" si="59"/>
        <v>293.33333333333735</v>
      </c>
      <c r="AN130" s="59">
        <f ca="1">AVERAGE(OFFSET($AM$3,0,0,'Données projet'!$E$10+1,1))-AVERAGE(OFFSET($H$3,0,0,'Données projet'!$E$10+1,1))</f>
        <v>293.17014997061574</v>
      </c>
      <c r="AO130" s="59">
        <f t="shared" si="90"/>
        <v>394.32615745219954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45.960653586658914</v>
      </c>
      <c r="AV130" s="21">
        <f>EXP(-LN(2)/25)*AV129+(1-EXP(-LN(2)/25))/(LN(2)/25)*Calculateur!AQ130*Calculateur!AS130*VLOOKUP('Données projet'!$B$10,Paramètres!$A$1:$I$89,3,0)*0.475*44/12</f>
        <v>8.8802563594003381</v>
      </c>
      <c r="AW130" s="21">
        <f>EXP(-LN(2)/2)*AW129+(1-EXP(-LN(2)/2))/(LN(2)/2)*AQ130*AT130*VLOOKUP('Données projet'!$B$10,Paramètres!$A$1:$I$89,3,0)*0.475*44/12</f>
        <v>7.445180317283625E-10</v>
      </c>
      <c r="AX130" s="21">
        <f t="shared" si="60"/>
        <v>54.840909946803777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395.14818708356353</v>
      </c>
      <c r="BJ130" s="59">
        <f t="shared" si="92"/>
        <v>311.78229491474491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119.49587361719321</v>
      </c>
      <c r="BQ130" s="21">
        <f>EXP(-LN(2)/25)*BQ129+(1-EXP(-LN(2)/25))/(LN(2)/25)*Calculateur!BL130*Calculateur!BN130*VLOOKUP('Données projet'!$B$11,Paramètres!$A$1:$I$89,3,0)*0.475*44/12</f>
        <v>27.150793598582919</v>
      </c>
      <c r="BR130" s="21">
        <f>EXP(-LN(2)/2)*BR129+(1-EXP(-LN(2)/2))/(LN(2)/2)*BL130*BO130*VLOOKUP('Données projet'!$B$11,Paramètres!$A$1:$I$89,3,0)*0.475*44/12</f>
        <v>3.5147974538064992</v>
      </c>
      <c r="BS130" s="22">
        <f t="shared" si="63"/>
        <v>150.16146466958261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4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412.60442549487129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1.064108801074326E-13</v>
      </c>
      <c r="P131" s="13">
        <f t="shared" si="87"/>
        <v>1.5870730813698654E-12</v>
      </c>
      <c r="Q131" s="20">
        <f t="shared" ref="Q131:Q153" si="108">(O131+P131)*0.475*44/12</f>
        <v>2.9494845662396269E-12</v>
      </c>
      <c r="R131" s="59">
        <f t="shared" ref="R131:R194" si="109">Q131+(I131+J131)*44/12</f>
        <v>293.33333333333627</v>
      </c>
      <c r="S131" s="59">
        <f ca="1">AVERAGE(OFFSET($R$3,0,0,'Données projet'!$E$9+1,1))-AVERAGE(OFFSET($H$3,0,0,'Données projet'!$E$9+1,1))</f>
        <v>291.3013645858839</v>
      </c>
      <c r="T131" s="59">
        <f t="shared" si="88"/>
        <v>332.89241887762438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72.523854279650848</v>
      </c>
      <c r="AA131" s="21">
        <f>EXP(-LN(2)/25)*AA130+(1-EXP(-LN(2)/25))/(LN(2)/25)*Calculateur!V131*Calculateur!X131*VLOOKUP('Données projet'!$B$9,Paramètres!$A$1:$I$89,3,0)*0.475*44/12</f>
        <v>15.939128838950696</v>
      </c>
      <c r="AB131" s="21">
        <f>EXP(-LN(2)/2)*AB130+(1-EXP(-LN(2)/2))/(LN(2)/2)*V131*Y131*VLOOKUP('Données projet'!$B$9,Paramètres!$A$1:$I$89,3,0)*0.475*44/12</f>
        <v>1.2510681720466714E-6</v>
      </c>
      <c r="AC131" s="22">
        <f t="shared" si="57"/>
        <v>88.462984369669712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3.4106051316484809E-13</v>
      </c>
      <c r="AJ131" s="13">
        <f>AI131*VLOOKUP('Données projet'!$B$10,Paramètres!$A$1:$I$89,3,0)*VLOOKUP('Données projet'!$B$10,Paramètres!$A$1:$I$89,5,0)</f>
        <v>1.5074874681886286E-13</v>
      </c>
      <c r="AK131" s="13">
        <f t="shared" si="89"/>
        <v>2.1590218794584103E-12</v>
      </c>
      <c r="AL131" s="20">
        <f t="shared" si="58"/>
        <v>4.0228505074329168E-12</v>
      </c>
      <c r="AM131" s="59">
        <f t="shared" si="59"/>
        <v>293.33333333333735</v>
      </c>
      <c r="AN131" s="59">
        <f ca="1">AVERAGE(OFFSET($AM$3,0,0,'Données projet'!$E$10+1,1))-AVERAGE(OFFSET($H$3,0,0,'Données projet'!$E$10+1,1))</f>
        <v>293.17014997061574</v>
      </c>
      <c r="AO131" s="59">
        <f t="shared" si="90"/>
        <v>394.32615745219954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45.059393203055166</v>
      </c>
      <c r="AV131" s="21">
        <f>EXP(-LN(2)/25)*AV130+(1-EXP(-LN(2)/25))/(LN(2)/25)*Calculateur!AQ131*Calculateur!AS131*VLOOKUP('Données projet'!$B$10,Paramètres!$A$1:$I$89,3,0)*0.475*44/12</f>
        <v>8.6374252822601498</v>
      </c>
      <c r="AW131" s="21">
        <f>EXP(-LN(2)/2)*AW130+(1-EXP(-LN(2)/2))/(LN(2)/2)*AQ131*AT131*VLOOKUP('Données projet'!$B$10,Paramètres!$A$1:$I$89,3,0)*0.475*44/12</f>
        <v>5.2645374895078626E-10</v>
      </c>
      <c r="AX131" s="21">
        <f t="shared" si="60"/>
        <v>53.696818485841774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395.14818708356353</v>
      </c>
      <c r="BJ131" s="59">
        <f t="shared" si="92"/>
        <v>311.78229491474491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117.15263242084613</v>
      </c>
      <c r="BQ131" s="21">
        <f>EXP(-LN(2)/25)*BQ130+(1-EXP(-LN(2)/25))/(LN(2)/25)*Calculateur!BL131*Calculateur!BN131*VLOOKUP('Données projet'!$B$11,Paramètres!$A$1:$I$89,3,0)*0.475*44/12</f>
        <v>26.408353719831489</v>
      </c>
      <c r="BR131" s="21">
        <f>EXP(-LN(2)/2)*BR130+(1-EXP(-LN(2)/2))/(LN(2)/2)*BL131*BO131*VLOOKUP('Données projet'!$B$11,Paramètres!$A$1:$I$89,3,0)*0.475*44/12</f>
        <v>2.4853371140837868</v>
      </c>
      <c r="BS131" s="22">
        <f t="shared" si="63"/>
        <v>146.0463232547614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4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413.79146683076101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1.064108801074326E-13</v>
      </c>
      <c r="P132" s="13">
        <f t="shared" si="87"/>
        <v>1.5870730813698654E-12</v>
      </c>
      <c r="Q132" s="20">
        <f t="shared" si="108"/>
        <v>2.9494845662396269E-12</v>
      </c>
      <c r="R132" s="59">
        <f t="shared" si="109"/>
        <v>293.33333333333627</v>
      </c>
      <c r="S132" s="59">
        <f ca="1">AVERAGE(OFFSET($R$3,0,0,'Données projet'!$E$9+1,1))-AVERAGE(OFFSET($H$3,0,0,'Données projet'!$E$9+1,1))</f>
        <v>291.3013645858839</v>
      </c>
      <c r="T132" s="59">
        <f t="shared" si="88"/>
        <v>332.89241887762438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71.101705732410139</v>
      </c>
      <c r="AA132" s="21">
        <f>EXP(-LN(2)/25)*AA131+(1-EXP(-LN(2)/25))/(LN(2)/25)*Calculateur!V132*Calculateur!X132*VLOOKUP('Données projet'!$B$9,Paramètres!$A$1:$I$89,3,0)*0.475*44/12</f>
        <v>15.503272522647233</v>
      </c>
      <c r="AB132" s="21">
        <f>EXP(-LN(2)/2)*AB131+(1-EXP(-LN(2)/2))/(LN(2)/2)*V132*Y132*VLOOKUP('Données projet'!$B$9,Paramètres!$A$1:$I$89,3,0)*0.475*44/12</f>
        <v>8.846387881808597E-7</v>
      </c>
      <c r="AC132" s="22">
        <f t="shared" ref="AC132:AC153" si="111">SUM(Z132:AB132)</f>
        <v>86.604979139696169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3.4106051316484809E-13</v>
      </c>
      <c r="AJ132" s="13">
        <f>AI132*VLOOKUP('Données projet'!$B$10,Paramètres!$A$1:$I$89,3,0)*VLOOKUP('Données projet'!$B$10,Paramètres!$A$1:$I$89,5,0)</f>
        <v>1.5074874681886286E-13</v>
      </c>
      <c r="AK132" s="13">
        <f t="shared" si="89"/>
        <v>2.1590218794584103E-12</v>
      </c>
      <c r="AL132" s="20">
        <f t="shared" ref="AL132:AL153" si="112">(AJ132+AK132)*0.475*44/12</f>
        <v>4.0228505074329168E-12</v>
      </c>
      <c r="AM132" s="59">
        <f t="shared" ref="AM132:AM195" si="113">AL132+(AD132+AE132)*44/12</f>
        <v>293.33333333333735</v>
      </c>
      <c r="AN132" s="59">
        <f ca="1">AVERAGE(OFFSET($AM$3,0,0,'Données projet'!$E$10+1,1))-AVERAGE(OFFSET($H$3,0,0,'Données projet'!$E$10+1,1))</f>
        <v>293.17014997061574</v>
      </c>
      <c r="AO132" s="59">
        <f t="shared" si="90"/>
        <v>394.32615745219954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44.175805985859334</v>
      </c>
      <c r="AV132" s="21">
        <f>EXP(-LN(2)/25)*AV131+(1-EXP(-LN(2)/25))/(LN(2)/25)*Calculateur!AQ132*Calculateur!AS132*VLOOKUP('Données projet'!$B$10,Paramètres!$A$1:$I$89,3,0)*0.475*44/12</f>
        <v>8.4012344336942917</v>
      </c>
      <c r="AW132" s="21">
        <f>EXP(-LN(2)/2)*AW131+(1-EXP(-LN(2)/2))/(LN(2)/2)*AQ132*AT132*VLOOKUP('Données projet'!$B$10,Paramètres!$A$1:$I$89,3,0)*0.475*44/12</f>
        <v>3.7225901586418125E-10</v>
      </c>
      <c r="AX132" s="21">
        <f t="shared" ref="AX132:AX153" si="114">SUM(AU132:AW132)</f>
        <v>52.577040419925886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395.14818708356353</v>
      </c>
      <c r="BJ132" s="59">
        <f t="shared" si="92"/>
        <v>311.78229491474491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114.85534075512342</v>
      </c>
      <c r="BQ132" s="21">
        <f>EXP(-LN(2)/25)*BQ131+(1-EXP(-LN(2)/25))/(LN(2)/25)*Calculateur!BL132*Calculateur!BN132*VLOOKUP('Données projet'!$B$11,Paramètres!$A$1:$I$89,3,0)*0.475*44/12</f>
        <v>25.686215898607731</v>
      </c>
      <c r="BR132" s="21">
        <f>EXP(-LN(2)/2)*BR131+(1-EXP(-LN(2)/2))/(LN(2)/2)*BL132*BO132*VLOOKUP('Données projet'!$B$11,Paramètres!$A$1:$I$89,3,0)*0.475*44/12</f>
        <v>1.7573987269032498</v>
      </c>
      <c r="BS132" s="22">
        <f t="shared" ref="BS132:BS153" si="117">SUM(BP132:BR132)</f>
        <v>142.29895538063442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4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414.97829522922581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1.064108801074326E-13</v>
      </c>
      <c r="P133" s="13">
        <f t="shared" ref="P133:P196" si="141">EXP(-1.0587+0.8836*LN(O133)+0.284)</f>
        <v>1.5870730813698654E-12</v>
      </c>
      <c r="Q133" s="20">
        <f t="shared" si="108"/>
        <v>2.9494845662396269E-12</v>
      </c>
      <c r="R133" s="59">
        <f t="shared" si="109"/>
        <v>293.33333333333627</v>
      </c>
      <c r="S133" s="59">
        <f ca="1">AVERAGE(OFFSET($R$3,0,0,'Données projet'!$E$9+1,1))-AVERAGE(OFFSET($H$3,0,0,'Données projet'!$E$9+1,1))</f>
        <v>291.3013645858839</v>
      </c>
      <c r="T133" s="59">
        <f t="shared" ref="T133:T196" si="142">$T$3</f>
        <v>332.89241887762438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69.70744465075586</v>
      </c>
      <c r="AA133" s="21">
        <f>EXP(-LN(2)/25)*AA132+(1-EXP(-LN(2)/25))/(LN(2)/25)*Calculateur!V133*Calculateur!X133*VLOOKUP('Données projet'!$B$9,Paramètres!$A$1:$I$89,3,0)*0.475*44/12</f>
        <v>15.079334720233776</v>
      </c>
      <c r="AB133" s="21">
        <f>EXP(-LN(2)/2)*AB132+(1-EXP(-LN(2)/2))/(LN(2)/2)*V133*Y133*VLOOKUP('Données projet'!$B$9,Paramètres!$A$1:$I$89,3,0)*0.475*44/12</f>
        <v>6.2553408602333572E-7</v>
      </c>
      <c r="AC133" s="22">
        <f t="shared" si="111"/>
        <v>84.78677999652372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3.4106051316484809E-13</v>
      </c>
      <c r="AJ133" s="13">
        <f>AI133*VLOOKUP('Données projet'!$B$10,Paramètres!$A$1:$I$89,3,0)*VLOOKUP('Données projet'!$B$10,Paramètres!$A$1:$I$89,5,0)</f>
        <v>1.5074874681886286E-13</v>
      </c>
      <c r="AK133" s="13">
        <f t="shared" ref="AK133:AK153" si="143">EXP(-1.0587+0.8836*LN(AJ133)+0.284)</f>
        <v>2.1590218794584103E-12</v>
      </c>
      <c r="AL133" s="20">
        <f t="shared" si="112"/>
        <v>4.0228505074329168E-12</v>
      </c>
      <c r="AM133" s="59">
        <f t="shared" si="113"/>
        <v>293.33333333333735</v>
      </c>
      <c r="AN133" s="59">
        <f ca="1">AVERAGE(OFFSET($AM$3,0,0,'Données projet'!$E$10+1,1))-AVERAGE(OFFSET($H$3,0,0,'Données projet'!$E$10+1,1))</f>
        <v>293.17014997061574</v>
      </c>
      <c r="AO133" s="59">
        <f t="shared" ref="AO133:AO196" si="144">$AO$3</f>
        <v>394.32615745219954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43.309545375057731</v>
      </c>
      <c r="AV133" s="21">
        <f>EXP(-LN(2)/25)*AV132+(1-EXP(-LN(2)/25))/(LN(2)/25)*Calculateur!AQ133*Calculateur!AS133*VLOOKUP('Données projet'!$B$10,Paramètres!$A$1:$I$89,3,0)*0.475*44/12</f>
        <v>8.171502236303203</v>
      </c>
      <c r="AW133" s="21">
        <f>EXP(-LN(2)/2)*AW132+(1-EXP(-LN(2)/2))/(LN(2)/2)*AQ133*AT133*VLOOKUP('Données projet'!$B$10,Paramètres!$A$1:$I$89,3,0)*0.475*44/12</f>
        <v>2.6322687447539313E-10</v>
      </c>
      <c r="AX133" s="21">
        <f t="shared" si="114"/>
        <v>51.481047611624163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395.14818708356353</v>
      </c>
      <c r="BJ133" s="59">
        <f t="shared" ref="BJ133:BJ196" si="146">$BJ$3</f>
        <v>311.78229491474491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112.60309757775597</v>
      </c>
      <c r="BQ133" s="21">
        <f>EXP(-LN(2)/25)*BQ132+(1-EXP(-LN(2)/25))/(LN(2)/25)*Calculateur!BL133*Calculateur!BN133*VLOOKUP('Données projet'!$B$11,Paramètres!$A$1:$I$89,3,0)*0.475*44/12</f>
        <v>24.983824974080914</v>
      </c>
      <c r="BR133" s="21">
        <f>EXP(-LN(2)/2)*BR132+(1-EXP(-LN(2)/2))/(LN(2)/2)*BL133*BO133*VLOOKUP('Données projet'!$B$11,Paramètres!$A$1:$I$89,3,0)*0.475*44/12</f>
        <v>1.2426685570418936</v>
      </c>
      <c r="BS133" s="22">
        <f t="shared" si="117"/>
        <v>138.82959110887879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4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416.16491251812465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1.064108801074326E-13</v>
      </c>
      <c r="P134" s="13">
        <f t="shared" si="141"/>
        <v>1.5870730813698654E-12</v>
      </c>
      <c r="Q134" s="20">
        <f t="shared" si="108"/>
        <v>2.9494845662396269E-12</v>
      </c>
      <c r="R134" s="59">
        <f t="shared" si="109"/>
        <v>293.33333333333627</v>
      </c>
      <c r="S134" s="59">
        <f ca="1">AVERAGE(OFFSET($R$3,0,0,'Données projet'!$E$9+1,1))-AVERAGE(OFFSET($H$3,0,0,'Données projet'!$E$9+1,1))</f>
        <v>291.3013645858839</v>
      </c>
      <c r="T134" s="59">
        <f t="shared" si="142"/>
        <v>332.89241887762438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68.340524178497532</v>
      </c>
      <c r="AA134" s="21">
        <f>EXP(-LN(2)/25)*AA133+(1-EXP(-LN(2)/25))/(LN(2)/25)*Calculateur!V134*Calculateur!X134*VLOOKUP('Données projet'!$B$9,Paramètres!$A$1:$I$89,3,0)*0.475*44/12</f>
        <v>14.666989519321234</v>
      </c>
      <c r="AB134" s="21">
        <f>EXP(-LN(2)/2)*AB133+(1-EXP(-LN(2)/2))/(LN(2)/2)*V134*Y134*VLOOKUP('Données projet'!$B$9,Paramètres!$A$1:$I$89,3,0)*0.475*44/12</f>
        <v>4.4231939409042985E-7</v>
      </c>
      <c r="AC134" s="22">
        <f t="shared" si="111"/>
        <v>83.007514140138156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3.4106051316484809E-13</v>
      </c>
      <c r="AJ134" s="13">
        <f>AI134*VLOOKUP('Données projet'!$B$10,Paramètres!$A$1:$I$89,3,0)*VLOOKUP('Données projet'!$B$10,Paramètres!$A$1:$I$89,5,0)</f>
        <v>1.5074874681886286E-13</v>
      </c>
      <c r="AK134" s="13">
        <f t="shared" si="143"/>
        <v>2.1590218794584103E-12</v>
      </c>
      <c r="AL134" s="20">
        <f t="shared" si="112"/>
        <v>4.0228505074329168E-12</v>
      </c>
      <c r="AM134" s="59">
        <f t="shared" si="113"/>
        <v>293.33333333333735</v>
      </c>
      <c r="AN134" s="59">
        <f ca="1">AVERAGE(OFFSET($AM$3,0,0,'Données projet'!$E$10+1,1))-AVERAGE(OFFSET($H$3,0,0,'Données projet'!$E$10+1,1))</f>
        <v>293.17014997061574</v>
      </c>
      <c r="AO134" s="59">
        <f t="shared" si="144"/>
        <v>394.32615745219954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42.460271606467145</v>
      </c>
      <c r="AV134" s="21">
        <f>EXP(-LN(2)/25)*AV133+(1-EXP(-LN(2)/25))/(LN(2)/25)*Calculateur!AQ134*Calculateur!AS134*VLOOKUP('Données projet'!$B$10,Paramètres!$A$1:$I$89,3,0)*0.475*44/12</f>
        <v>7.9480520779308659</v>
      </c>
      <c r="AW134" s="21">
        <f>EXP(-LN(2)/2)*AW133+(1-EXP(-LN(2)/2))/(LN(2)/2)*AQ134*AT134*VLOOKUP('Données projet'!$B$10,Paramètres!$A$1:$I$89,3,0)*0.475*44/12</f>
        <v>1.8612950793209063E-10</v>
      </c>
      <c r="AX134" s="21">
        <f t="shared" si="114"/>
        <v>50.40832368458414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395.14818708356353</v>
      </c>
      <c r="BJ134" s="59">
        <f t="shared" si="146"/>
        <v>311.78229491474491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110.39501951536401</v>
      </c>
      <c r="BQ134" s="21">
        <f>EXP(-LN(2)/25)*BQ133+(1-EXP(-LN(2)/25))/(LN(2)/25)*Calculateur!BL134*Calculateur!BN134*VLOOKUP('Données projet'!$B$11,Paramètres!$A$1:$I$89,3,0)*0.475*44/12</f>
        <v>24.300640966322419</v>
      </c>
      <c r="BR134" s="21">
        <f>EXP(-LN(2)/2)*BR133+(1-EXP(-LN(2)/2))/(LN(2)/2)*BL134*BO134*VLOOKUP('Données projet'!$B$11,Paramètres!$A$1:$I$89,3,0)*0.475*44/12</f>
        <v>0.87869936345162503</v>
      </c>
      <c r="BS134" s="22">
        <f t="shared" si="117"/>
        <v>135.57435984513808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4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417.35132049579823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1.064108801074326E-13</v>
      </c>
      <c r="P135" s="13">
        <f t="shared" si="141"/>
        <v>1.5870730813698654E-12</v>
      </c>
      <c r="Q135" s="20">
        <f t="shared" si="108"/>
        <v>2.9494845662396269E-12</v>
      </c>
      <c r="R135" s="59">
        <f t="shared" si="109"/>
        <v>293.33333333333627</v>
      </c>
      <c r="S135" s="59">
        <f ca="1">AVERAGE(OFFSET($R$3,0,0,'Données projet'!$E$9+1,1))-AVERAGE(OFFSET($H$3,0,0,'Données projet'!$E$9+1,1))</f>
        <v>291.3013645858839</v>
      </c>
      <c r="T135" s="59">
        <f t="shared" si="142"/>
        <v>332.89241887762438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67.000408182961024</v>
      </c>
      <c r="AA135" s="21">
        <f>EXP(-LN(2)/25)*AA134+(1-EXP(-LN(2)/25))/(LN(2)/25)*Calculateur!V135*Calculateur!X135*VLOOKUP('Données projet'!$B$9,Paramètres!$A$1:$I$89,3,0)*0.475*44/12</f>
        <v>14.265919919611939</v>
      </c>
      <c r="AB135" s="21">
        <f>EXP(-LN(2)/2)*AB134+(1-EXP(-LN(2)/2))/(LN(2)/2)*V135*Y135*VLOOKUP('Données projet'!$B$9,Paramètres!$A$1:$I$89,3,0)*0.475*44/12</f>
        <v>3.1276704301166786E-7</v>
      </c>
      <c r="AC135" s="22">
        <f t="shared" si="111"/>
        <v>81.266328415340013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3.4106051316484809E-13</v>
      </c>
      <c r="AJ135" s="13">
        <f>AI135*VLOOKUP('Données projet'!$B$10,Paramètres!$A$1:$I$89,3,0)*VLOOKUP('Données projet'!$B$10,Paramètres!$A$1:$I$89,5,0)</f>
        <v>1.5074874681886286E-13</v>
      </c>
      <c r="AK135" s="13">
        <f t="shared" si="143"/>
        <v>2.1590218794584103E-12</v>
      </c>
      <c r="AL135" s="20">
        <f t="shared" si="112"/>
        <v>4.0228505074329168E-12</v>
      </c>
      <c r="AM135" s="59">
        <f t="shared" si="113"/>
        <v>293.33333333333735</v>
      </c>
      <c r="AN135" s="59">
        <f ca="1">AVERAGE(OFFSET($AM$3,0,0,'Données projet'!$E$10+1,1))-AVERAGE(OFFSET($H$3,0,0,'Données projet'!$E$10+1,1))</f>
        <v>293.17014997061574</v>
      </c>
      <c r="AO135" s="59">
        <f t="shared" si="144"/>
        <v>394.32615745219954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41.627651578472772</v>
      </c>
      <c r="AV135" s="21">
        <f>EXP(-LN(2)/25)*AV134+(1-EXP(-LN(2)/25))/(LN(2)/25)*Calculateur!AQ135*Calculateur!AS135*VLOOKUP('Données projet'!$B$10,Paramètres!$A$1:$I$89,3,0)*0.475*44/12</f>
        <v>7.7307121758899529</v>
      </c>
      <c r="AW135" s="21">
        <f>EXP(-LN(2)/2)*AW134+(1-EXP(-LN(2)/2))/(LN(2)/2)*AQ135*AT135*VLOOKUP('Données projet'!$B$10,Paramètres!$A$1:$I$89,3,0)*0.475*44/12</f>
        <v>1.3161343723769656E-10</v>
      </c>
      <c r="AX135" s="21">
        <f t="shared" si="114"/>
        <v>49.358363754494341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395.14818708356353</v>
      </c>
      <c r="BJ135" s="59">
        <f t="shared" si="146"/>
        <v>311.78229491474491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108.23024051698091</v>
      </c>
      <c r="BQ135" s="21">
        <f>EXP(-LN(2)/25)*BQ134+(1-EXP(-LN(2)/25))/(LN(2)/25)*Calculateur!BL135*Calculateur!BN135*VLOOKUP('Données projet'!$B$11,Paramètres!$A$1:$I$89,3,0)*0.475*44/12</f>
        <v>23.636138661183164</v>
      </c>
      <c r="BR135" s="21">
        <f>EXP(-LN(2)/2)*BR134+(1-EXP(-LN(2)/2))/(LN(2)/2)*BL135*BO135*VLOOKUP('Données projet'!$B$11,Paramètres!$A$1:$I$89,3,0)*0.475*44/12</f>
        <v>0.6213342785209468</v>
      </c>
      <c r="BS135" s="22">
        <f t="shared" si="117"/>
        <v>132.48771345668501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4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418.5375209317657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1.064108801074326E-13</v>
      </c>
      <c r="P136" s="13">
        <f t="shared" si="141"/>
        <v>1.5870730813698654E-12</v>
      </c>
      <c r="Q136" s="20">
        <f t="shared" si="108"/>
        <v>2.9494845662396269E-12</v>
      </c>
      <c r="R136" s="59">
        <f t="shared" si="109"/>
        <v>293.33333333333627</v>
      </c>
      <c r="S136" s="59">
        <f ca="1">AVERAGE(OFFSET($R$3,0,0,'Données projet'!$E$9+1,1))-AVERAGE(OFFSET($H$3,0,0,'Données projet'!$E$9+1,1))</f>
        <v>291.3013645858839</v>
      </c>
      <c r="T136" s="59">
        <f t="shared" si="142"/>
        <v>332.89241887762438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65.686571044706952</v>
      </c>
      <c r="AA136" s="21">
        <f>EXP(-LN(2)/25)*AA135+(1-EXP(-LN(2)/25))/(LN(2)/25)*Calculateur!V136*Calculateur!X136*VLOOKUP('Données projet'!$B$9,Paramètres!$A$1:$I$89,3,0)*0.475*44/12</f>
        <v>13.875817589198027</v>
      </c>
      <c r="AB136" s="21">
        <f>EXP(-LN(2)/2)*AB135+(1-EXP(-LN(2)/2))/(LN(2)/2)*V136*Y136*VLOOKUP('Données projet'!$B$9,Paramètres!$A$1:$I$89,3,0)*0.475*44/12</f>
        <v>2.2115969704521493E-7</v>
      </c>
      <c r="AC136" s="22">
        <f t="shared" si="111"/>
        <v>79.562388855064668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3.4106051316484809E-13</v>
      </c>
      <c r="AJ136" s="13">
        <f>AI136*VLOOKUP('Données projet'!$B$10,Paramètres!$A$1:$I$89,3,0)*VLOOKUP('Données projet'!$B$10,Paramètres!$A$1:$I$89,5,0)</f>
        <v>1.5074874681886286E-13</v>
      </c>
      <c r="AK136" s="13">
        <f t="shared" si="143"/>
        <v>2.1590218794584103E-12</v>
      </c>
      <c r="AL136" s="20">
        <f t="shared" si="112"/>
        <v>4.0228505074329168E-12</v>
      </c>
      <c r="AM136" s="59">
        <f t="shared" si="113"/>
        <v>293.33333333333735</v>
      </c>
      <c r="AN136" s="59">
        <f ca="1">AVERAGE(OFFSET($AM$3,0,0,'Données projet'!$E$10+1,1))-AVERAGE(OFFSET($H$3,0,0,'Données projet'!$E$10+1,1))</f>
        <v>293.17014997061574</v>
      </c>
      <c r="AO136" s="59">
        <f t="shared" si="144"/>
        <v>394.32615745219954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40.811358721379293</v>
      </c>
      <c r="AV136" s="21">
        <f>EXP(-LN(2)/25)*AV135+(1-EXP(-LN(2)/25))/(LN(2)/25)*Calculateur!AQ136*Calculateur!AS136*VLOOKUP('Données projet'!$B$10,Paramètres!$A$1:$I$89,3,0)*0.475*44/12</f>
        <v>7.5193154448997577</v>
      </c>
      <c r="AW136" s="21">
        <f>EXP(-LN(2)/2)*AW135+(1-EXP(-LN(2)/2))/(LN(2)/2)*AQ136*AT136*VLOOKUP('Données projet'!$B$10,Paramètres!$A$1:$I$89,3,0)*0.475*44/12</f>
        <v>9.3064753966045313E-11</v>
      </c>
      <c r="AX136" s="21">
        <f t="shared" si="114"/>
        <v>48.33067416637212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395.14818708356353</v>
      </c>
      <c r="BJ136" s="59">
        <f t="shared" si="146"/>
        <v>311.78229491474491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106.1079115143713</v>
      </c>
      <c r="BQ136" s="21">
        <f>EXP(-LN(2)/25)*BQ135+(1-EXP(-LN(2)/25))/(LN(2)/25)*Calculateur!BL136*Calculateur!BN136*VLOOKUP('Données projet'!$B$11,Paramètres!$A$1:$I$89,3,0)*0.475*44/12</f>
        <v>22.989807206522599</v>
      </c>
      <c r="BR136" s="21">
        <f>EXP(-LN(2)/2)*BR135+(1-EXP(-LN(2)/2))/(LN(2)/2)*BL136*BO136*VLOOKUP('Données projet'!$B$11,Paramètres!$A$1:$I$89,3,0)*0.475*44/12</f>
        <v>0.43934968172581251</v>
      </c>
      <c r="BS136" s="22">
        <f t="shared" si="117"/>
        <v>129.53706840261972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4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419.72351556739994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1.064108801074326E-13</v>
      </c>
      <c r="P137" s="13">
        <f t="shared" si="141"/>
        <v>1.5870730813698654E-12</v>
      </c>
      <c r="Q137" s="20">
        <f t="shared" si="108"/>
        <v>2.9494845662396269E-12</v>
      </c>
      <c r="R137" s="59">
        <f t="shared" si="109"/>
        <v>293.33333333333627</v>
      </c>
      <c r="S137" s="59">
        <f ca="1">AVERAGE(OFFSET($R$3,0,0,'Données projet'!$E$9+1,1))-AVERAGE(OFFSET($H$3,0,0,'Données projet'!$E$9+1,1))</f>
        <v>291.3013645858839</v>
      </c>
      <c r="T137" s="59">
        <f t="shared" si="142"/>
        <v>332.89241887762438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64.398497451372506</v>
      </c>
      <c r="AA137" s="21">
        <f>EXP(-LN(2)/25)*AA136+(1-EXP(-LN(2)/25))/(LN(2)/25)*Calculateur!V137*Calculateur!X137*VLOOKUP('Données projet'!$B$9,Paramètres!$A$1:$I$89,3,0)*0.475*44/12</f>
        <v>13.496382627523873</v>
      </c>
      <c r="AB137" s="21">
        <f>EXP(-LN(2)/2)*AB136+(1-EXP(-LN(2)/2))/(LN(2)/2)*V137*Y137*VLOOKUP('Données projet'!$B$9,Paramètres!$A$1:$I$89,3,0)*0.475*44/12</f>
        <v>1.5638352150583393E-7</v>
      </c>
      <c r="AC137" s="22">
        <f t="shared" si="111"/>
        <v>77.894880235279899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3.4106051316484809E-13</v>
      </c>
      <c r="AJ137" s="13">
        <f>AI137*VLOOKUP('Données projet'!$B$10,Paramètres!$A$1:$I$89,3,0)*VLOOKUP('Données projet'!$B$10,Paramètres!$A$1:$I$89,5,0)</f>
        <v>1.5074874681886286E-13</v>
      </c>
      <c r="AK137" s="13">
        <f t="shared" si="143"/>
        <v>2.1590218794584103E-12</v>
      </c>
      <c r="AL137" s="20">
        <f t="shared" si="112"/>
        <v>4.0228505074329168E-12</v>
      </c>
      <c r="AM137" s="59">
        <f t="shared" si="113"/>
        <v>293.33333333333735</v>
      </c>
      <c r="AN137" s="59">
        <f ca="1">AVERAGE(OFFSET($AM$3,0,0,'Données projet'!$E$10+1,1))-AVERAGE(OFFSET($H$3,0,0,'Données projet'!$E$10+1,1))</f>
        <v>293.17014997061574</v>
      </c>
      <c r="AO137" s="59">
        <f t="shared" si="144"/>
        <v>394.32615745219954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40.011072869323939</v>
      </c>
      <c r="AV137" s="21">
        <f>EXP(-LN(2)/25)*AV136+(1-EXP(-LN(2)/25))/(LN(2)/25)*Calculateur!AQ137*Calculateur!AS137*VLOOKUP('Données projet'!$B$10,Paramètres!$A$1:$I$89,3,0)*0.475*44/12</f>
        <v>7.3136993686353602</v>
      </c>
      <c r="AW137" s="21">
        <f>EXP(-LN(2)/2)*AW136+(1-EXP(-LN(2)/2))/(LN(2)/2)*AQ137*AT137*VLOOKUP('Données projet'!$B$10,Paramètres!$A$1:$I$89,3,0)*0.475*44/12</f>
        <v>6.5806718618848282E-11</v>
      </c>
      <c r="AX137" s="21">
        <f t="shared" si="114"/>
        <v>47.324772238025105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395.14818708356353</v>
      </c>
      <c r="BJ137" s="59">
        <f t="shared" si="146"/>
        <v>311.78229491474491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104.02720008900998</v>
      </c>
      <c r="BQ137" s="21">
        <f>EXP(-LN(2)/25)*BQ136+(1-EXP(-LN(2)/25))/(LN(2)/25)*Calculateur!BL137*Calculateur!BN137*VLOOKUP('Données projet'!$B$11,Paramètres!$A$1:$I$89,3,0)*0.475*44/12</f>
        <v>22.361149719478821</v>
      </c>
      <c r="BR137" s="21">
        <f>EXP(-LN(2)/2)*BR136+(1-EXP(-LN(2)/2))/(LN(2)/2)*BL137*BO137*VLOOKUP('Données projet'!$B$11,Paramètres!$A$1:$I$89,3,0)*0.475*44/12</f>
        <v>0.3106671392604734</v>
      </c>
      <c r="BS137" s="22">
        <f t="shared" si="117"/>
        <v>126.69901694774927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4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420.90930611658149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1.064108801074326E-13</v>
      </c>
      <c r="P138" s="13">
        <f t="shared" si="141"/>
        <v>1.5870730813698654E-12</v>
      </c>
      <c r="Q138" s="20">
        <f t="shared" si="108"/>
        <v>2.9494845662396269E-12</v>
      </c>
      <c r="R138" s="59">
        <f t="shared" si="109"/>
        <v>293.33333333333627</v>
      </c>
      <c r="S138" s="59">
        <f ca="1">AVERAGE(OFFSET($R$3,0,0,'Données projet'!$E$9+1,1))-AVERAGE(OFFSET($H$3,0,0,'Données projet'!$E$9+1,1))</f>
        <v>291.3013645858839</v>
      </c>
      <c r="T138" s="59">
        <f t="shared" si="142"/>
        <v>332.89241887762438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63.135682195556036</v>
      </c>
      <c r="AA138" s="21">
        <f>EXP(-LN(2)/25)*AA137+(1-EXP(-LN(2)/25))/(LN(2)/25)*Calculateur!V138*Calculateur!X138*VLOOKUP('Données projet'!$B$9,Paramètres!$A$1:$I$89,3,0)*0.475*44/12</f>
        <v>13.127323334830317</v>
      </c>
      <c r="AB138" s="21">
        <f>EXP(-LN(2)/2)*AB137+(1-EXP(-LN(2)/2))/(LN(2)/2)*V138*Y138*VLOOKUP('Données projet'!$B$9,Paramètres!$A$1:$I$89,3,0)*0.475*44/12</f>
        <v>1.1057984852260746E-7</v>
      </c>
      <c r="AC138" s="22">
        <f t="shared" si="111"/>
        <v>76.263005640966199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3.4106051316484809E-13</v>
      </c>
      <c r="AJ138" s="13">
        <f>AI138*VLOOKUP('Données projet'!$B$10,Paramètres!$A$1:$I$89,3,0)*VLOOKUP('Données projet'!$B$10,Paramètres!$A$1:$I$89,5,0)</f>
        <v>1.5074874681886286E-13</v>
      </c>
      <c r="AK138" s="13">
        <f t="shared" si="143"/>
        <v>2.1590218794584103E-12</v>
      </c>
      <c r="AL138" s="20">
        <f t="shared" si="112"/>
        <v>4.0228505074329168E-12</v>
      </c>
      <c r="AM138" s="59">
        <f t="shared" si="113"/>
        <v>293.33333333333735</v>
      </c>
      <c r="AN138" s="59">
        <f ca="1">AVERAGE(OFFSET($AM$3,0,0,'Données projet'!$E$10+1,1))-AVERAGE(OFFSET($H$3,0,0,'Données projet'!$E$10+1,1))</f>
        <v>293.17014997061574</v>
      </c>
      <c r="AO138" s="59">
        <f t="shared" si="144"/>
        <v>394.32615745219954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39.22648013470122</v>
      </c>
      <c r="AV138" s="21">
        <f>EXP(-LN(2)/25)*AV137+(1-EXP(-LN(2)/25))/(LN(2)/25)*Calculateur!AQ138*Calculateur!AS138*VLOOKUP('Données projet'!$B$10,Paramètres!$A$1:$I$89,3,0)*0.475*44/12</f>
        <v>7.1137058747892921</v>
      </c>
      <c r="AW138" s="21">
        <f>EXP(-LN(2)/2)*AW137+(1-EXP(-LN(2)/2))/(LN(2)/2)*AQ138*AT138*VLOOKUP('Données projet'!$B$10,Paramètres!$A$1:$I$89,3,0)*0.475*44/12</f>
        <v>4.6532376983022656E-11</v>
      </c>
      <c r="AX138" s="21">
        <f t="shared" si="114"/>
        <v>46.340186009537042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395.14818708356353</v>
      </c>
      <c r="BJ138" s="59">
        <f t="shared" si="146"/>
        <v>311.78229491474491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101.98729014559134</v>
      </c>
      <c r="BQ138" s="21">
        <f>EXP(-LN(2)/25)*BQ137+(1-EXP(-LN(2)/25))/(LN(2)/25)*Calculateur!BL138*Calculateur!BN138*VLOOKUP('Données projet'!$B$11,Paramètres!$A$1:$I$89,3,0)*0.475*44/12</f>
        <v>21.749682904477915</v>
      </c>
      <c r="BR138" s="21">
        <f>EXP(-LN(2)/2)*BR137+(1-EXP(-LN(2)/2))/(LN(2)/2)*BL138*BO138*VLOOKUP('Données projet'!$B$11,Paramètres!$A$1:$I$89,3,0)*0.475*44/12</f>
        <v>0.21967484086290626</v>
      </c>
      <c r="BS138" s="22">
        <f t="shared" si="117"/>
        <v>123.95664789093216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4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422.09489426633343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1.064108801074326E-13</v>
      </c>
      <c r="P139" s="13">
        <f t="shared" si="141"/>
        <v>1.5870730813698654E-12</v>
      </c>
      <c r="Q139" s="20">
        <f t="shared" si="108"/>
        <v>2.9494845662396269E-12</v>
      </c>
      <c r="R139" s="59">
        <f t="shared" si="109"/>
        <v>293.33333333333627</v>
      </c>
      <c r="S139" s="59">
        <f ca="1">AVERAGE(OFFSET($R$3,0,0,'Données projet'!$E$9+1,1))-AVERAGE(OFFSET($H$3,0,0,'Données projet'!$E$9+1,1))</f>
        <v>291.3013645858839</v>
      </c>
      <c r="T139" s="59">
        <f t="shared" si="142"/>
        <v>332.89241887762438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61.897629976664881</v>
      </c>
      <c r="AA139" s="21">
        <f>EXP(-LN(2)/25)*AA138+(1-EXP(-LN(2)/25))/(LN(2)/25)*Calculateur!V139*Calculateur!X139*VLOOKUP('Données projet'!$B$9,Paramètres!$A$1:$I$89,3,0)*0.475*44/12</f>
        <v>12.768355987903451</v>
      </c>
      <c r="AB139" s="21">
        <f>EXP(-LN(2)/2)*AB138+(1-EXP(-LN(2)/2))/(LN(2)/2)*V139*Y139*VLOOKUP('Données projet'!$B$9,Paramètres!$A$1:$I$89,3,0)*0.475*44/12</f>
        <v>7.8191760752916965E-8</v>
      </c>
      <c r="AC139" s="22">
        <f t="shared" si="111"/>
        <v>74.665986042760096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3.4106051316484809E-13</v>
      </c>
      <c r="AJ139" s="13">
        <f>AI139*VLOOKUP('Données projet'!$B$10,Paramètres!$A$1:$I$89,3,0)*VLOOKUP('Données projet'!$B$10,Paramètres!$A$1:$I$89,5,0)</f>
        <v>1.5074874681886286E-13</v>
      </c>
      <c r="AK139" s="13">
        <f t="shared" si="143"/>
        <v>2.1590218794584103E-12</v>
      </c>
      <c r="AL139" s="20">
        <f t="shared" si="112"/>
        <v>4.0228505074329168E-12</v>
      </c>
      <c r="AM139" s="59">
        <f t="shared" si="113"/>
        <v>293.33333333333735</v>
      </c>
      <c r="AN139" s="59">
        <f ca="1">AVERAGE(OFFSET($AM$3,0,0,'Données projet'!$E$10+1,1))-AVERAGE(OFFSET($H$3,0,0,'Données projet'!$E$10+1,1))</f>
        <v>293.17014997061574</v>
      </c>
      <c r="AO139" s="59">
        <f t="shared" si="144"/>
        <v>394.32615745219954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38.457272785050137</v>
      </c>
      <c r="AV139" s="21">
        <f>EXP(-LN(2)/25)*AV138+(1-EXP(-LN(2)/25))/(LN(2)/25)*Calculateur!AQ139*Calculateur!AS139*VLOOKUP('Données projet'!$B$10,Paramètres!$A$1:$I$89,3,0)*0.475*44/12</f>
        <v>6.9191812135496455</v>
      </c>
      <c r="AW139" s="21">
        <f>EXP(-LN(2)/2)*AW138+(1-EXP(-LN(2)/2))/(LN(2)/2)*AQ139*AT139*VLOOKUP('Données projet'!$B$10,Paramètres!$A$1:$I$89,3,0)*0.475*44/12</f>
        <v>3.2903359309424141E-11</v>
      </c>
      <c r="AX139" s="21">
        <f t="shared" si="114"/>
        <v>45.376453998632691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395.14818708356353</v>
      </c>
      <c r="BJ139" s="59">
        <f t="shared" si="146"/>
        <v>311.78229491474491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99.987381591940945</v>
      </c>
      <c r="BQ139" s="21">
        <f>EXP(-LN(2)/25)*BQ138+(1-EXP(-LN(2)/25))/(LN(2)/25)*Calculateur!BL139*Calculateur!BN139*VLOOKUP('Données projet'!$B$11,Paramètres!$A$1:$I$89,3,0)*0.475*44/12</f>
        <v>21.154936681688852</v>
      </c>
      <c r="BR139" s="21">
        <f>EXP(-LN(2)/2)*BR138+(1-EXP(-LN(2)/2))/(LN(2)/2)*BL139*BO139*VLOOKUP('Données projet'!$B$11,Paramètres!$A$1:$I$89,3,0)*0.475*44/12</f>
        <v>0.1553335696302367</v>
      </c>
      <c r="BS139" s="22">
        <f t="shared" si="117"/>
        <v>121.29765184326003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4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423.28028167743605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1.064108801074326E-13</v>
      </c>
      <c r="P140" s="13">
        <f t="shared" si="141"/>
        <v>1.5870730813698654E-12</v>
      </c>
      <c r="Q140" s="20">
        <f t="shared" si="108"/>
        <v>2.9494845662396269E-12</v>
      </c>
      <c r="R140" s="59">
        <f t="shared" si="109"/>
        <v>293.33333333333627</v>
      </c>
      <c r="S140" s="59">
        <f ca="1">AVERAGE(OFFSET($R$3,0,0,'Données projet'!$E$9+1,1))-AVERAGE(OFFSET($H$3,0,0,'Données projet'!$E$9+1,1))</f>
        <v>291.3013645858839</v>
      </c>
      <c r="T140" s="59">
        <f t="shared" si="142"/>
        <v>332.89241887762438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60.683855206648886</v>
      </c>
      <c r="AA140" s="21">
        <f>EXP(-LN(2)/25)*AA139+(1-EXP(-LN(2)/25))/(LN(2)/25)*Calculateur!V140*Calculateur!X140*VLOOKUP('Données projet'!$B$9,Paramètres!$A$1:$I$89,3,0)*0.475*44/12</f>
        <v>12.419204621955572</v>
      </c>
      <c r="AB140" s="21">
        <f>EXP(-LN(2)/2)*AB139+(1-EXP(-LN(2)/2))/(LN(2)/2)*V140*Y140*VLOOKUP('Données projet'!$B$9,Paramètres!$A$1:$I$89,3,0)*0.475*44/12</f>
        <v>5.5289924261303731E-8</v>
      </c>
      <c r="AC140" s="22">
        <f t="shared" si="111"/>
        <v>73.103059883894389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3.4106051316484809E-13</v>
      </c>
      <c r="AJ140" s="13">
        <f>AI140*VLOOKUP('Données projet'!$B$10,Paramètres!$A$1:$I$89,3,0)*VLOOKUP('Données projet'!$B$10,Paramètres!$A$1:$I$89,5,0)</f>
        <v>1.5074874681886286E-13</v>
      </c>
      <c r="AK140" s="13">
        <f t="shared" si="143"/>
        <v>2.1590218794584103E-12</v>
      </c>
      <c r="AL140" s="20">
        <f t="shared" si="112"/>
        <v>4.0228505074329168E-12</v>
      </c>
      <c r="AM140" s="59">
        <f t="shared" si="113"/>
        <v>293.33333333333735</v>
      </c>
      <c r="AN140" s="59">
        <f ca="1">AVERAGE(OFFSET($AM$3,0,0,'Données projet'!$E$10+1,1))-AVERAGE(OFFSET($H$3,0,0,'Données projet'!$E$10+1,1))</f>
        <v>293.17014997061574</v>
      </c>
      <c r="AO140" s="59">
        <f t="shared" si="144"/>
        <v>394.32615745219954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37.703149122355555</v>
      </c>
      <c r="AV140" s="21">
        <f>EXP(-LN(2)/25)*AV139+(1-EXP(-LN(2)/25))/(LN(2)/25)*Calculateur!AQ140*Calculateur!AS140*VLOOKUP('Données projet'!$B$10,Paramètres!$A$1:$I$89,3,0)*0.475*44/12</f>
        <v>6.7299758394012041</v>
      </c>
      <c r="AW140" s="21">
        <f>EXP(-LN(2)/2)*AW139+(1-EXP(-LN(2)/2))/(LN(2)/2)*AQ140*AT140*VLOOKUP('Données projet'!$B$10,Paramètres!$A$1:$I$89,3,0)*0.475*44/12</f>
        <v>2.3266188491511328E-11</v>
      </c>
      <c r="AX140" s="21">
        <f t="shared" si="114"/>
        <v>44.433124961780024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395.14818708356353</v>
      </c>
      <c r="BJ140" s="59">
        <f t="shared" si="146"/>
        <v>311.78229491474491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98.026690025203862</v>
      </c>
      <c r="BQ140" s="21">
        <f>EXP(-LN(2)/25)*BQ139+(1-EXP(-LN(2)/25))/(LN(2)/25)*Calculateur!BL140*Calculateur!BN140*VLOOKUP('Données projet'!$B$11,Paramètres!$A$1:$I$89,3,0)*0.475*44/12</f>
        <v>20.5764538256383</v>
      </c>
      <c r="BR140" s="21">
        <f>EXP(-LN(2)/2)*BR139+(1-EXP(-LN(2)/2))/(LN(2)/2)*BL140*BO140*VLOOKUP('Données projet'!$B$11,Paramètres!$A$1:$I$89,3,0)*0.475*44/12</f>
        <v>0.10983742043145313</v>
      </c>
      <c r="BS140" s="22">
        <f t="shared" si="117"/>
        <v>118.71298127127361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4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424.46546998502401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1.064108801074326E-13</v>
      </c>
      <c r="P141" s="13">
        <f t="shared" si="141"/>
        <v>1.5870730813698654E-12</v>
      </c>
      <c r="Q141" s="20">
        <f t="shared" si="108"/>
        <v>2.9494845662396269E-12</v>
      </c>
      <c r="R141" s="59">
        <f t="shared" si="109"/>
        <v>293.33333333333627</v>
      </c>
      <c r="S141" s="59">
        <f ca="1">AVERAGE(OFFSET($R$3,0,0,'Données projet'!$E$9+1,1))-AVERAGE(OFFSET($H$3,0,0,'Données projet'!$E$9+1,1))</f>
        <v>291.3013645858839</v>
      </c>
      <c r="T141" s="59">
        <f t="shared" si="142"/>
        <v>332.89241887762438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59.493881819543397</v>
      </c>
      <c r="AA141" s="21">
        <f>EXP(-LN(2)/25)*AA140+(1-EXP(-LN(2)/25))/(LN(2)/25)*Calculateur!V141*Calculateur!X141*VLOOKUP('Données projet'!$B$9,Paramètres!$A$1:$I$89,3,0)*0.475*44/12</f>
        <v>12.07960081847061</v>
      </c>
      <c r="AB141" s="21">
        <f>EXP(-LN(2)/2)*AB140+(1-EXP(-LN(2)/2))/(LN(2)/2)*V141*Y141*VLOOKUP('Données projet'!$B$9,Paramètres!$A$1:$I$89,3,0)*0.475*44/12</f>
        <v>3.9095880376458483E-8</v>
      </c>
      <c r="AC141" s="22">
        <f t="shared" si="111"/>
        <v>71.573482677109894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3.4106051316484809E-13</v>
      </c>
      <c r="AJ141" s="13">
        <f>AI141*VLOOKUP('Données projet'!$B$10,Paramètres!$A$1:$I$89,3,0)*VLOOKUP('Données projet'!$B$10,Paramètres!$A$1:$I$89,5,0)</f>
        <v>1.5074874681886286E-13</v>
      </c>
      <c r="AK141" s="13">
        <f t="shared" si="143"/>
        <v>2.1590218794584103E-12</v>
      </c>
      <c r="AL141" s="20">
        <f t="shared" si="112"/>
        <v>4.0228505074329168E-12</v>
      </c>
      <c r="AM141" s="59">
        <f t="shared" si="113"/>
        <v>293.33333333333735</v>
      </c>
      <c r="AN141" s="59">
        <f ca="1">AVERAGE(OFFSET($AM$3,0,0,'Données projet'!$E$10+1,1))-AVERAGE(OFFSET($H$3,0,0,'Données projet'!$E$10+1,1))</f>
        <v>293.17014997061574</v>
      </c>
      <c r="AO141" s="59">
        <f t="shared" si="144"/>
        <v>394.32615745219954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36.963813364716394</v>
      </c>
      <c r="AV141" s="21">
        <f>EXP(-LN(2)/25)*AV140+(1-EXP(-LN(2)/25))/(LN(2)/25)*Calculateur!AQ141*Calculateur!AS141*VLOOKUP('Données projet'!$B$10,Paramètres!$A$1:$I$89,3,0)*0.475*44/12</f>
        <v>6.54594429615873</v>
      </c>
      <c r="AW141" s="21">
        <f>EXP(-LN(2)/2)*AW140+(1-EXP(-LN(2)/2))/(LN(2)/2)*AQ141*AT141*VLOOKUP('Données projet'!$B$10,Paramètres!$A$1:$I$89,3,0)*0.475*44/12</f>
        <v>1.6451679654712071E-11</v>
      </c>
      <c r="AX141" s="21">
        <f t="shared" si="114"/>
        <v>43.509757660891573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395.14818708356353</v>
      </c>
      <c r="BJ141" s="59">
        <f t="shared" si="146"/>
        <v>311.78229491474491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96.104446424186719</v>
      </c>
      <c r="BQ141" s="21">
        <f>EXP(-LN(2)/25)*BQ140+(1-EXP(-LN(2)/25))/(LN(2)/25)*Calculateur!BL141*Calculateur!BN141*VLOOKUP('Données projet'!$B$11,Paramètres!$A$1:$I$89,3,0)*0.475*44/12</f>
        <v>20.013789613707541</v>
      </c>
      <c r="BR141" s="21">
        <f>EXP(-LN(2)/2)*BR140+(1-EXP(-LN(2)/2))/(LN(2)/2)*BL141*BO141*VLOOKUP('Données projet'!$B$11,Paramètres!$A$1:$I$89,3,0)*0.475*44/12</f>
        <v>7.766678481511835E-2</v>
      </c>
      <c r="BS141" s="22">
        <f t="shared" si="117"/>
        <v>116.19590282270939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4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425.6504607991651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1.064108801074326E-13</v>
      </c>
      <c r="P142" s="13">
        <f t="shared" si="141"/>
        <v>1.5870730813698654E-12</v>
      </c>
      <c r="Q142" s="20">
        <f t="shared" si="108"/>
        <v>2.9494845662396269E-12</v>
      </c>
      <c r="R142" s="59">
        <f t="shared" si="109"/>
        <v>293.33333333333627</v>
      </c>
      <c r="S142" s="59">
        <f ca="1">AVERAGE(OFFSET($R$3,0,0,'Données projet'!$E$9+1,1))-AVERAGE(OFFSET($H$3,0,0,'Données projet'!$E$9+1,1))</f>
        <v>291.3013645858839</v>
      </c>
      <c r="T142" s="59">
        <f t="shared" si="142"/>
        <v>332.89241887762438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58.327243084746947</v>
      </c>
      <c r="AA142" s="21">
        <f>EXP(-LN(2)/25)*AA141+(1-EXP(-LN(2)/25))/(LN(2)/25)*Calculateur!V142*Calculateur!X142*VLOOKUP('Données projet'!$B$9,Paramètres!$A$1:$I$89,3,0)*0.475*44/12</f>
        <v>11.749283498850932</v>
      </c>
      <c r="AB142" s="21">
        <f>EXP(-LN(2)/2)*AB141+(1-EXP(-LN(2)/2))/(LN(2)/2)*V142*Y142*VLOOKUP('Données projet'!$B$9,Paramètres!$A$1:$I$89,3,0)*0.475*44/12</f>
        <v>2.7644962130651866E-8</v>
      </c>
      <c r="AC142" s="22">
        <f t="shared" si="111"/>
        <v>70.076526611242841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3.4106051316484809E-13</v>
      </c>
      <c r="AJ142" s="13">
        <f>AI142*VLOOKUP('Données projet'!$B$10,Paramètres!$A$1:$I$89,3,0)*VLOOKUP('Données projet'!$B$10,Paramètres!$A$1:$I$89,5,0)</f>
        <v>1.5074874681886286E-13</v>
      </c>
      <c r="AK142" s="13">
        <f t="shared" si="143"/>
        <v>2.1590218794584103E-12</v>
      </c>
      <c r="AL142" s="20">
        <f t="shared" si="112"/>
        <v>4.0228505074329168E-12</v>
      </c>
      <c r="AM142" s="59">
        <f t="shared" si="113"/>
        <v>293.33333333333735</v>
      </c>
      <c r="AN142" s="59">
        <f ca="1">AVERAGE(OFFSET($AM$3,0,0,'Données projet'!$E$10+1,1))-AVERAGE(OFFSET($H$3,0,0,'Données projet'!$E$10+1,1))</f>
        <v>293.17014997061574</v>
      </c>
      <c r="AO142" s="59">
        <f t="shared" si="144"/>
        <v>394.32615745219954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36.238975530334258</v>
      </c>
      <c r="AV142" s="21">
        <f>EXP(-LN(2)/25)*AV141+(1-EXP(-LN(2)/25))/(LN(2)/25)*Calculateur!AQ142*Calculateur!AS142*VLOOKUP('Données projet'!$B$10,Paramètres!$A$1:$I$89,3,0)*0.475*44/12</f>
        <v>6.36694510514402</v>
      </c>
      <c r="AW142" s="21">
        <f>EXP(-LN(2)/2)*AW141+(1-EXP(-LN(2)/2))/(LN(2)/2)*AQ142*AT142*VLOOKUP('Données projet'!$B$10,Paramètres!$A$1:$I$89,3,0)*0.475*44/12</f>
        <v>1.1633094245755664E-11</v>
      </c>
      <c r="AX142" s="21">
        <f t="shared" si="114"/>
        <v>42.605920635489909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395.14818708356353</v>
      </c>
      <c r="BJ142" s="59">
        <f t="shared" si="146"/>
        <v>311.78229491474491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94.219896847732699</v>
      </c>
      <c r="BQ142" s="21">
        <f>EXP(-LN(2)/25)*BQ141+(1-EXP(-LN(2)/25))/(LN(2)/25)*Calculateur!BL142*Calculateur!BN142*VLOOKUP('Données projet'!$B$11,Paramètres!$A$1:$I$89,3,0)*0.475*44/12</f>
        <v>19.466511484241256</v>
      </c>
      <c r="BR142" s="21">
        <f>EXP(-LN(2)/2)*BR141+(1-EXP(-LN(2)/2))/(LN(2)/2)*BL142*BO142*VLOOKUP('Données projet'!$B$11,Paramètres!$A$1:$I$89,3,0)*0.475*44/12</f>
        <v>5.4918710215726564E-2</v>
      </c>
      <c r="BS142" s="22">
        <f t="shared" si="117"/>
        <v>113.74132704218968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4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426.8352557054219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1.064108801074326E-13</v>
      </c>
      <c r="P143" s="13">
        <f t="shared" si="141"/>
        <v>1.5870730813698654E-12</v>
      </c>
      <c r="Q143" s="20">
        <f t="shared" si="108"/>
        <v>2.9494845662396269E-12</v>
      </c>
      <c r="R143" s="59">
        <f t="shared" si="109"/>
        <v>293.33333333333627</v>
      </c>
      <c r="S143" s="59">
        <f ca="1">AVERAGE(OFFSET($R$3,0,0,'Données projet'!$E$9+1,1))-AVERAGE(OFFSET($H$3,0,0,'Données projet'!$E$9+1,1))</f>
        <v>291.3013645858839</v>
      </c>
      <c r="T143" s="59">
        <f t="shared" si="142"/>
        <v>332.89241887762438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57.183481423960494</v>
      </c>
      <c r="AA143" s="21">
        <f>EXP(-LN(2)/25)*AA142+(1-EXP(-LN(2)/25))/(LN(2)/25)*Calculateur!V143*Calculateur!X143*VLOOKUP('Données projet'!$B$9,Paramètres!$A$1:$I$89,3,0)*0.475*44/12</f>
        <v>11.427998723706887</v>
      </c>
      <c r="AB143" s="21">
        <f>EXP(-LN(2)/2)*AB142+(1-EXP(-LN(2)/2))/(LN(2)/2)*V143*Y143*VLOOKUP('Données projet'!$B$9,Paramètres!$A$1:$I$89,3,0)*0.475*44/12</f>
        <v>1.9547940188229241E-8</v>
      </c>
      <c r="AC143" s="22">
        <f t="shared" si="111"/>
        <v>68.611480167215319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3.4106051316484809E-13</v>
      </c>
      <c r="AJ143" s="13">
        <f>AI143*VLOOKUP('Données projet'!$B$10,Paramètres!$A$1:$I$89,3,0)*VLOOKUP('Données projet'!$B$10,Paramètres!$A$1:$I$89,5,0)</f>
        <v>1.5074874681886286E-13</v>
      </c>
      <c r="AK143" s="13">
        <f t="shared" si="143"/>
        <v>2.1590218794584103E-12</v>
      </c>
      <c r="AL143" s="20">
        <f t="shared" si="112"/>
        <v>4.0228505074329168E-12</v>
      </c>
      <c r="AM143" s="59">
        <f t="shared" si="113"/>
        <v>293.33333333333735</v>
      </c>
      <c r="AN143" s="59">
        <f ca="1">AVERAGE(OFFSET($AM$3,0,0,'Données projet'!$E$10+1,1))-AVERAGE(OFFSET($H$3,0,0,'Données projet'!$E$10+1,1))</f>
        <v>293.17014997061574</v>
      </c>
      <c r="AO143" s="59">
        <f t="shared" si="144"/>
        <v>394.32615745219954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35.528351323776931</v>
      </c>
      <c r="AV143" s="21">
        <f>EXP(-LN(2)/25)*AV142+(1-EXP(-LN(2)/25))/(LN(2)/25)*Calculateur!AQ143*Calculateur!AS143*VLOOKUP('Données projet'!$B$10,Paramètres!$A$1:$I$89,3,0)*0.475*44/12</f>
        <v>6.1928406564207652</v>
      </c>
      <c r="AW143" s="21">
        <f>EXP(-LN(2)/2)*AW142+(1-EXP(-LN(2)/2))/(LN(2)/2)*AQ143*AT143*VLOOKUP('Données projet'!$B$10,Paramètres!$A$1:$I$89,3,0)*0.475*44/12</f>
        <v>8.2258398273560353E-12</v>
      </c>
      <c r="AX143" s="21">
        <f t="shared" si="114"/>
        <v>41.721191980205923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395.14818708356353</v>
      </c>
      <c r="BJ143" s="59">
        <f t="shared" si="146"/>
        <v>311.78229491474491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92.372302139011197</v>
      </c>
      <c r="BQ143" s="21">
        <f>EXP(-LN(2)/25)*BQ142+(1-EXP(-LN(2)/25))/(LN(2)/25)*Calculateur!BL143*Calculateur!BN143*VLOOKUP('Données projet'!$B$11,Paramètres!$A$1:$I$89,3,0)*0.475*44/12</f>
        <v>18.934198704005333</v>
      </c>
      <c r="BR143" s="21">
        <f>EXP(-LN(2)/2)*BR142+(1-EXP(-LN(2)/2))/(LN(2)/2)*BL143*BO143*VLOOKUP('Données projet'!$B$11,Paramètres!$A$1:$I$89,3,0)*0.475*44/12</f>
        <v>3.8833392407559175E-2</v>
      </c>
      <c r="BS143" s="22">
        <f t="shared" si="117"/>
        <v>111.34533423542408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4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428.01985626539732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1.064108801074326E-13</v>
      </c>
      <c r="P144" s="13">
        <f t="shared" si="141"/>
        <v>1.5870730813698654E-12</v>
      </c>
      <c r="Q144" s="20">
        <f t="shared" si="108"/>
        <v>2.9494845662396269E-12</v>
      </c>
      <c r="R144" s="59">
        <f t="shared" si="109"/>
        <v>293.33333333333627</v>
      </c>
      <c r="S144" s="59">
        <f ca="1">AVERAGE(OFFSET($R$3,0,0,'Données projet'!$E$9+1,1))-AVERAGE(OFFSET($H$3,0,0,'Données projet'!$E$9+1,1))</f>
        <v>291.3013645858839</v>
      </c>
      <c r="T144" s="59">
        <f t="shared" si="142"/>
        <v>332.89241887762438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56.062148231716336</v>
      </c>
      <c r="AA144" s="21">
        <f>EXP(-LN(2)/25)*AA143+(1-EXP(-LN(2)/25))/(LN(2)/25)*Calculateur!V144*Calculateur!X144*VLOOKUP('Données projet'!$B$9,Paramètres!$A$1:$I$89,3,0)*0.475*44/12</f>
        <v>11.115499497634788</v>
      </c>
      <c r="AB144" s="21">
        <f>EXP(-LN(2)/2)*AB143+(1-EXP(-LN(2)/2))/(LN(2)/2)*V144*Y144*VLOOKUP('Données projet'!$B$9,Paramètres!$A$1:$I$89,3,0)*0.475*44/12</f>
        <v>1.3822481065325933E-8</v>
      </c>
      <c r="AC144" s="22">
        <f t="shared" si="111"/>
        <v>67.177647743173608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3.4106051316484809E-13</v>
      </c>
      <c r="AJ144" s="13">
        <f>AI144*VLOOKUP('Données projet'!$B$10,Paramètres!$A$1:$I$89,3,0)*VLOOKUP('Données projet'!$B$10,Paramètres!$A$1:$I$89,5,0)</f>
        <v>1.5074874681886286E-13</v>
      </c>
      <c r="AK144" s="13">
        <f t="shared" si="143"/>
        <v>2.1590218794584103E-12</v>
      </c>
      <c r="AL144" s="20">
        <f t="shared" si="112"/>
        <v>4.0228505074329168E-12</v>
      </c>
      <c r="AM144" s="59">
        <f t="shared" si="113"/>
        <v>293.33333333333735</v>
      </c>
      <c r="AN144" s="59">
        <f ca="1">AVERAGE(OFFSET($AM$3,0,0,'Données projet'!$E$10+1,1))-AVERAGE(OFFSET($H$3,0,0,'Données projet'!$E$10+1,1))</f>
        <v>293.17014997061574</v>
      </c>
      <c r="AO144" s="59">
        <f t="shared" si="144"/>
        <v>394.32615745219954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34.831662024472223</v>
      </c>
      <c r="AV144" s="21">
        <f>EXP(-LN(2)/25)*AV143+(1-EXP(-LN(2)/25))/(LN(2)/25)*Calculateur!AQ144*Calculateur!AS144*VLOOKUP('Données projet'!$B$10,Paramètres!$A$1:$I$89,3,0)*0.475*44/12</f>
        <v>6.0234971030036029</v>
      </c>
      <c r="AW144" s="21">
        <f>EXP(-LN(2)/2)*AW143+(1-EXP(-LN(2)/2))/(LN(2)/2)*AQ144*AT144*VLOOKUP('Données projet'!$B$10,Paramètres!$A$1:$I$89,3,0)*0.475*44/12</f>
        <v>5.816547122877832E-12</v>
      </c>
      <c r="AX144" s="21">
        <f t="shared" si="114"/>
        <v>40.855159127481649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395.14818708356353</v>
      </c>
      <c r="BJ144" s="59">
        <f t="shared" si="146"/>
        <v>311.78229491474491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90.560937635606223</v>
      </c>
      <c r="BQ144" s="21">
        <f>EXP(-LN(2)/25)*BQ143+(1-EXP(-LN(2)/25))/(LN(2)/25)*Calculateur!BL144*Calculateur!BN144*VLOOKUP('Données projet'!$B$11,Paramètres!$A$1:$I$89,3,0)*0.475*44/12</f>
        <v>18.416442044738073</v>
      </c>
      <c r="BR144" s="21">
        <f>EXP(-LN(2)/2)*BR143+(1-EXP(-LN(2)/2))/(LN(2)/2)*BL144*BO144*VLOOKUP('Données projet'!$B$11,Paramètres!$A$1:$I$89,3,0)*0.475*44/12</f>
        <v>2.7459355107863282E-2</v>
      </c>
      <c r="BS144" s="22">
        <f t="shared" si="117"/>
        <v>109.00483903545216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4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429.20426401726365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1.064108801074326E-13</v>
      </c>
      <c r="P145" s="13">
        <f t="shared" si="141"/>
        <v>1.5870730813698654E-12</v>
      </c>
      <c r="Q145" s="20">
        <f t="shared" si="108"/>
        <v>2.9494845662396269E-12</v>
      </c>
      <c r="R145" s="59">
        <f t="shared" si="109"/>
        <v>293.33333333333627</v>
      </c>
      <c r="S145" s="59">
        <f ca="1">AVERAGE(OFFSET($R$3,0,0,'Données projet'!$E$9+1,1))-AVERAGE(OFFSET($H$3,0,0,'Données projet'!$E$9+1,1))</f>
        <v>291.3013645858839</v>
      </c>
      <c r="T145" s="59">
        <f t="shared" si="142"/>
        <v>332.89241887762438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54.962803699426367</v>
      </c>
      <c r="AA145" s="21">
        <f>EXP(-LN(2)/25)*AA144+(1-EXP(-LN(2)/25))/(LN(2)/25)*Calculateur!V145*Calculateur!X145*VLOOKUP('Données projet'!$B$9,Paramètres!$A$1:$I$89,3,0)*0.475*44/12</f>
        <v>10.81154557933325</v>
      </c>
      <c r="AB145" s="21">
        <f>EXP(-LN(2)/2)*AB144+(1-EXP(-LN(2)/2))/(LN(2)/2)*V145*Y145*VLOOKUP('Données projet'!$B$9,Paramètres!$A$1:$I$89,3,0)*0.475*44/12</f>
        <v>9.7739700941146206E-9</v>
      </c>
      <c r="AC145" s="22">
        <f t="shared" si="111"/>
        <v>65.774349288533585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3.4106051316484809E-13</v>
      </c>
      <c r="AJ145" s="13">
        <f>AI145*VLOOKUP('Données projet'!$B$10,Paramètres!$A$1:$I$89,3,0)*VLOOKUP('Données projet'!$B$10,Paramètres!$A$1:$I$89,5,0)</f>
        <v>1.5074874681886286E-13</v>
      </c>
      <c r="AK145" s="13">
        <f t="shared" si="143"/>
        <v>2.1590218794584103E-12</v>
      </c>
      <c r="AL145" s="20">
        <f t="shared" si="112"/>
        <v>4.0228505074329168E-12</v>
      </c>
      <c r="AM145" s="59">
        <f t="shared" si="113"/>
        <v>293.33333333333735</v>
      </c>
      <c r="AN145" s="59">
        <f ca="1">AVERAGE(OFFSET($AM$3,0,0,'Données projet'!$E$10+1,1))-AVERAGE(OFFSET($H$3,0,0,'Données projet'!$E$10+1,1))</f>
        <v>293.17014997061574</v>
      </c>
      <c r="AO145" s="59">
        <f t="shared" si="144"/>
        <v>394.32615745219954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34.148634377388369</v>
      </c>
      <c r="AV145" s="21">
        <f>EXP(-LN(2)/25)*AV144+(1-EXP(-LN(2)/25))/(LN(2)/25)*Calculateur!AQ145*Calculateur!AS145*VLOOKUP('Données projet'!$B$10,Paramètres!$A$1:$I$89,3,0)*0.475*44/12</f>
        <v>5.858784257960024</v>
      </c>
      <c r="AW145" s="21">
        <f>EXP(-LN(2)/2)*AW144+(1-EXP(-LN(2)/2))/(LN(2)/2)*AQ145*AT145*VLOOKUP('Données projet'!$B$10,Paramètres!$A$1:$I$89,3,0)*0.475*44/12</f>
        <v>4.1129199136780176E-12</v>
      </c>
      <c r="AX145" s="21">
        <f t="shared" si="114"/>
        <v>40.007418635352508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395.14818708356353</v>
      </c>
      <c r="BJ145" s="59">
        <f t="shared" si="146"/>
        <v>311.78229491474491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88.785092885289771</v>
      </c>
      <c r="BQ145" s="21">
        <f>EXP(-LN(2)/25)*BQ144+(1-EXP(-LN(2)/25))/(LN(2)/25)*Calculateur!BL145*Calculateur!BN145*VLOOKUP('Données projet'!$B$11,Paramètres!$A$1:$I$89,3,0)*0.475*44/12</f>
        <v>17.912843468546114</v>
      </c>
      <c r="BR145" s="21">
        <f>EXP(-LN(2)/2)*BR144+(1-EXP(-LN(2)/2))/(LN(2)/2)*BL145*BO145*VLOOKUP('Données projet'!$B$11,Paramètres!$A$1:$I$89,3,0)*0.475*44/12</f>
        <v>1.9416696203779588E-2</v>
      </c>
      <c r="BS145" s="22">
        <f t="shared" si="117"/>
        <v>106.71735305003966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4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430.38848047627687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1.064108801074326E-13</v>
      </c>
      <c r="P146" s="13">
        <f t="shared" si="141"/>
        <v>1.5870730813698654E-12</v>
      </c>
      <c r="Q146" s="20">
        <f t="shared" si="108"/>
        <v>2.9494845662396269E-12</v>
      </c>
      <c r="R146" s="59">
        <f t="shared" si="109"/>
        <v>293.33333333333627</v>
      </c>
      <c r="S146" s="59">
        <f ca="1">AVERAGE(OFFSET($R$3,0,0,'Données projet'!$E$9+1,1))-AVERAGE(OFFSET($H$3,0,0,'Données projet'!$E$9+1,1))</f>
        <v>291.3013645858839</v>
      </c>
      <c r="T146" s="59">
        <f t="shared" si="142"/>
        <v>332.89241887762438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53.88501664288065</v>
      </c>
      <c r="AA146" s="21">
        <f>EXP(-LN(2)/25)*AA145+(1-EXP(-LN(2)/25))/(LN(2)/25)*Calculateur!V146*Calculateur!X146*VLOOKUP('Données projet'!$B$9,Paramètres!$A$1:$I$89,3,0)*0.475*44/12</f>
        <v>10.51590329691191</v>
      </c>
      <c r="AB146" s="21">
        <f>EXP(-LN(2)/2)*AB145+(1-EXP(-LN(2)/2))/(LN(2)/2)*V146*Y146*VLOOKUP('Données projet'!$B$9,Paramètres!$A$1:$I$89,3,0)*0.475*44/12</f>
        <v>6.9112405326629664E-9</v>
      </c>
      <c r="AC146" s="22">
        <f t="shared" si="111"/>
        <v>64.400919946703794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3.4106051316484809E-13</v>
      </c>
      <c r="AJ146" s="13">
        <f>AI146*VLOOKUP('Données projet'!$B$10,Paramètres!$A$1:$I$89,3,0)*VLOOKUP('Données projet'!$B$10,Paramètres!$A$1:$I$89,5,0)</f>
        <v>1.5074874681886286E-13</v>
      </c>
      <c r="AK146" s="13">
        <f t="shared" si="143"/>
        <v>2.1590218794584103E-12</v>
      </c>
      <c r="AL146" s="20">
        <f t="shared" si="112"/>
        <v>4.0228505074329168E-12</v>
      </c>
      <c r="AM146" s="59">
        <f t="shared" si="113"/>
        <v>293.33333333333735</v>
      </c>
      <c r="AN146" s="59">
        <f ca="1">AVERAGE(OFFSET($AM$3,0,0,'Données projet'!$E$10+1,1))-AVERAGE(OFFSET($H$3,0,0,'Données projet'!$E$10+1,1))</f>
        <v>293.17014997061574</v>
      </c>
      <c r="AO146" s="59">
        <f t="shared" si="144"/>
        <v>394.32615745219954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33.479000485858101</v>
      </c>
      <c r="AV146" s="21">
        <f>EXP(-LN(2)/25)*AV145+(1-EXP(-LN(2)/25))/(LN(2)/25)*Calculateur!AQ146*Calculateur!AS146*VLOOKUP('Données projet'!$B$10,Paramètres!$A$1:$I$89,3,0)*0.475*44/12</f>
        <v>5.6985754943260334</v>
      </c>
      <c r="AW146" s="21">
        <f>EXP(-LN(2)/2)*AW145+(1-EXP(-LN(2)/2))/(LN(2)/2)*AQ146*AT146*VLOOKUP('Données projet'!$B$10,Paramètres!$A$1:$I$89,3,0)*0.475*44/12</f>
        <v>2.908273561438916E-12</v>
      </c>
      <c r="AX146" s="21">
        <f t="shared" si="114"/>
        <v>39.177575980187044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395.14818708356353</v>
      </c>
      <c r="BJ146" s="59">
        <f t="shared" si="146"/>
        <v>311.78229491474491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87.044071367368673</v>
      </c>
      <c r="BQ146" s="21">
        <f>EXP(-LN(2)/25)*BQ145+(1-EXP(-LN(2)/25))/(LN(2)/25)*Calculateur!BL146*Calculateur!BN146*VLOOKUP('Données projet'!$B$11,Paramètres!$A$1:$I$89,3,0)*0.475*44/12</f>
        <v>17.423015821903224</v>
      </c>
      <c r="BR146" s="21">
        <f>EXP(-LN(2)/2)*BR145+(1-EXP(-LN(2)/2))/(LN(2)/2)*BL146*BO146*VLOOKUP('Données projet'!$B$11,Paramètres!$A$1:$I$89,3,0)*0.475*44/12</f>
        <v>1.3729677553931641E-2</v>
      </c>
      <c r="BS146" s="22">
        <f t="shared" si="117"/>
        <v>104.48081686682582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4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431.57250713527566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1.064108801074326E-13</v>
      </c>
      <c r="P147" s="13">
        <f t="shared" si="141"/>
        <v>1.5870730813698654E-12</v>
      </c>
      <c r="Q147" s="20">
        <f t="shared" si="108"/>
        <v>2.9494845662396269E-12</v>
      </c>
      <c r="R147" s="59">
        <f t="shared" si="109"/>
        <v>293.33333333333627</v>
      </c>
      <c r="S147" s="59">
        <f ca="1">AVERAGE(OFFSET($R$3,0,0,'Données projet'!$E$9+1,1))-AVERAGE(OFFSET($H$3,0,0,'Données projet'!$E$9+1,1))</f>
        <v>291.3013645858839</v>
      </c>
      <c r="T147" s="59">
        <f t="shared" si="142"/>
        <v>332.89241887762438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52.828364333128604</v>
      </c>
      <c r="AA147" s="21">
        <f>EXP(-LN(2)/25)*AA146+(1-EXP(-LN(2)/25))/(LN(2)/25)*Calculateur!V147*Calculateur!X147*VLOOKUP('Données projet'!$B$9,Paramètres!$A$1:$I$89,3,0)*0.475*44/12</f>
        <v>10.228345368250533</v>
      </c>
      <c r="AB147" s="21">
        <f>EXP(-LN(2)/2)*AB146+(1-EXP(-LN(2)/2))/(LN(2)/2)*V147*Y147*VLOOKUP('Données projet'!$B$9,Paramètres!$A$1:$I$89,3,0)*0.475*44/12</f>
        <v>4.8869850470573103E-9</v>
      </c>
      <c r="AC147" s="22">
        <f t="shared" si="111"/>
        <v>63.056709706266119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3.4106051316484809E-13</v>
      </c>
      <c r="AJ147" s="13">
        <f>AI147*VLOOKUP('Données projet'!$B$10,Paramètres!$A$1:$I$89,3,0)*VLOOKUP('Données projet'!$B$10,Paramètres!$A$1:$I$89,5,0)</f>
        <v>1.5074874681886286E-13</v>
      </c>
      <c r="AK147" s="13">
        <f t="shared" si="143"/>
        <v>2.1590218794584103E-12</v>
      </c>
      <c r="AL147" s="20">
        <f t="shared" si="112"/>
        <v>4.0228505074329168E-12</v>
      </c>
      <c r="AM147" s="59">
        <f t="shared" si="113"/>
        <v>293.33333333333735</v>
      </c>
      <c r="AN147" s="59">
        <f ca="1">AVERAGE(OFFSET($AM$3,0,0,'Données projet'!$E$10+1,1))-AVERAGE(OFFSET($H$3,0,0,'Données projet'!$E$10+1,1))</f>
        <v>293.17014997061574</v>
      </c>
      <c r="AO147" s="59">
        <f t="shared" si="144"/>
        <v>394.32615745219954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32.822497706504393</v>
      </c>
      <c r="AV147" s="21">
        <f>EXP(-LN(2)/25)*AV146+(1-EXP(-LN(2)/25))/(LN(2)/25)*Calculateur!AQ147*Calculateur!AS147*VLOOKUP('Données projet'!$B$10,Paramètres!$A$1:$I$89,3,0)*0.475*44/12</f>
        <v>5.5427476477586266</v>
      </c>
      <c r="AW147" s="21">
        <f>EXP(-LN(2)/2)*AW146+(1-EXP(-LN(2)/2))/(LN(2)/2)*AQ147*AT147*VLOOKUP('Données projet'!$B$10,Paramètres!$A$1:$I$89,3,0)*0.475*44/12</f>
        <v>2.0564599568390088E-12</v>
      </c>
      <c r="AX147" s="21">
        <f t="shared" si="114"/>
        <v>38.36524535426507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395.14818708356353</v>
      </c>
      <c r="BJ147" s="59">
        <f t="shared" si="146"/>
        <v>311.78229491474491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85.337190219495739</v>
      </c>
      <c r="BQ147" s="21">
        <f>EXP(-LN(2)/25)*BQ146+(1-EXP(-LN(2)/25))/(LN(2)/25)*Calculateur!BL147*Calculateur!BN147*VLOOKUP('Données projet'!$B$11,Paramètres!$A$1:$I$89,3,0)*0.475*44/12</f>
        <v>16.946582538016699</v>
      </c>
      <c r="BR147" s="21">
        <f>EXP(-LN(2)/2)*BR146+(1-EXP(-LN(2)/2))/(LN(2)/2)*BL147*BO147*VLOOKUP('Données projet'!$B$11,Paramètres!$A$1:$I$89,3,0)*0.475*44/12</f>
        <v>9.7083481018897938E-3</v>
      </c>
      <c r="BS147" s="22">
        <f t="shared" si="117"/>
        <v>102.29348110561433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4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432.75634546516653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1.064108801074326E-13</v>
      </c>
      <c r="P148" s="13">
        <f t="shared" si="141"/>
        <v>1.5870730813698654E-12</v>
      </c>
      <c r="Q148" s="20">
        <f t="shared" si="108"/>
        <v>2.9494845662396269E-12</v>
      </c>
      <c r="R148" s="59">
        <f t="shared" si="109"/>
        <v>293.33333333333627</v>
      </c>
      <c r="S148" s="59">
        <f ca="1">AVERAGE(OFFSET($R$3,0,0,'Données projet'!$E$9+1,1))-AVERAGE(OFFSET($H$3,0,0,'Données projet'!$E$9+1,1))</f>
        <v>291.3013645858839</v>
      </c>
      <c r="T148" s="59">
        <f t="shared" si="142"/>
        <v>332.89241887762438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51.792432330676526</v>
      </c>
      <c r="AA148" s="21">
        <f>EXP(-LN(2)/25)*AA147+(1-EXP(-LN(2)/25))/(LN(2)/25)*Calculateur!V148*Calculateur!X148*VLOOKUP('Données projet'!$B$9,Paramètres!$A$1:$I$89,3,0)*0.475*44/12</f>
        <v>9.9486507262704169</v>
      </c>
      <c r="AB148" s="21">
        <f>EXP(-LN(2)/2)*AB147+(1-EXP(-LN(2)/2))/(LN(2)/2)*V148*Y148*VLOOKUP('Données projet'!$B$9,Paramètres!$A$1:$I$89,3,0)*0.475*44/12</f>
        <v>3.4556202663314832E-9</v>
      </c>
      <c r="AC148" s="22">
        <f t="shared" si="111"/>
        <v>61.741083060402559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3.4106051316484809E-13</v>
      </c>
      <c r="AJ148" s="13">
        <f>AI148*VLOOKUP('Données projet'!$B$10,Paramètres!$A$1:$I$89,3,0)*VLOOKUP('Données projet'!$B$10,Paramètres!$A$1:$I$89,5,0)</f>
        <v>1.5074874681886286E-13</v>
      </c>
      <c r="AK148" s="13">
        <f t="shared" si="143"/>
        <v>2.1590218794584103E-12</v>
      </c>
      <c r="AL148" s="20">
        <f t="shared" si="112"/>
        <v>4.0228505074329168E-12</v>
      </c>
      <c r="AM148" s="59">
        <f t="shared" si="113"/>
        <v>293.33333333333735</v>
      </c>
      <c r="AN148" s="59">
        <f ca="1">AVERAGE(OFFSET($AM$3,0,0,'Données projet'!$E$10+1,1))-AVERAGE(OFFSET($H$3,0,0,'Données projet'!$E$10+1,1))</f>
        <v>293.17014997061574</v>
      </c>
      <c r="AO148" s="59">
        <f t="shared" si="144"/>
        <v>394.32615745219954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32.17886854622666</v>
      </c>
      <c r="AV148" s="21">
        <f>EXP(-LN(2)/25)*AV147+(1-EXP(-LN(2)/25))/(LN(2)/25)*Calculateur!AQ148*Calculateur!AS148*VLOOKUP('Données projet'!$B$10,Paramètres!$A$1:$I$89,3,0)*0.475*44/12</f>
        <v>5.3911809218502365</v>
      </c>
      <c r="AW148" s="21">
        <f>EXP(-LN(2)/2)*AW147+(1-EXP(-LN(2)/2))/(LN(2)/2)*AQ148*AT148*VLOOKUP('Données projet'!$B$10,Paramètres!$A$1:$I$89,3,0)*0.475*44/12</f>
        <v>1.454136780719458E-12</v>
      </c>
      <c r="AX148" s="21">
        <f t="shared" si="114"/>
        <v>37.570049468078352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395.14818708356353</v>
      </c>
      <c r="BJ148" s="59">
        <f t="shared" si="146"/>
        <v>311.78229491474491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83.66377996983789</v>
      </c>
      <c r="BQ148" s="21">
        <f>EXP(-LN(2)/25)*BQ147+(1-EXP(-LN(2)/25))/(LN(2)/25)*Calculateur!BL148*Calculateur!BN148*VLOOKUP('Données projet'!$B$11,Paramètres!$A$1:$I$89,3,0)*0.475*44/12</f>
        <v>16.483177347332589</v>
      </c>
      <c r="BR148" s="21">
        <f>EXP(-LN(2)/2)*BR147+(1-EXP(-LN(2)/2))/(LN(2)/2)*BL148*BO148*VLOOKUP('Données projet'!$B$11,Paramètres!$A$1:$I$89,3,0)*0.475*44/12</f>
        <v>6.8648387769658205E-3</v>
      </c>
      <c r="BS148" s="22">
        <f t="shared" si="117"/>
        <v>100.15382215594744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4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433.939996915395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1.064108801074326E-13</v>
      </c>
      <c r="P149" s="13">
        <f t="shared" si="141"/>
        <v>1.5870730813698654E-12</v>
      </c>
      <c r="Q149" s="20">
        <f t="shared" si="108"/>
        <v>2.9494845662396269E-12</v>
      </c>
      <c r="R149" s="59">
        <f t="shared" si="109"/>
        <v>293.33333333333627</v>
      </c>
      <c r="S149" s="59">
        <f ca="1">AVERAGE(OFFSET($R$3,0,0,'Données projet'!$E$9+1,1))-AVERAGE(OFFSET($H$3,0,0,'Données projet'!$E$9+1,1))</f>
        <v>291.3013645858839</v>
      </c>
      <c r="T149" s="59">
        <f t="shared" si="142"/>
        <v>332.89241887762438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50.776814322936403</v>
      </c>
      <c r="AA149" s="21">
        <f>EXP(-LN(2)/25)*AA148+(1-EXP(-LN(2)/25))/(LN(2)/25)*Calculateur!V149*Calculateur!X149*VLOOKUP('Données projet'!$B$9,Paramètres!$A$1:$I$89,3,0)*0.475*44/12</f>
        <v>9.6766043489837479</v>
      </c>
      <c r="AB149" s="21">
        <f>EXP(-LN(2)/2)*AB148+(1-EXP(-LN(2)/2))/(LN(2)/2)*V149*Y149*VLOOKUP('Données projet'!$B$9,Paramètres!$A$1:$I$89,3,0)*0.475*44/12</f>
        <v>2.4434925235286552E-9</v>
      </c>
      <c r="AC149" s="22">
        <f t="shared" si="111"/>
        <v>60.45341867436364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3.4106051316484809E-13</v>
      </c>
      <c r="AJ149" s="13">
        <f>AI149*VLOOKUP('Données projet'!$B$10,Paramètres!$A$1:$I$89,3,0)*VLOOKUP('Données projet'!$B$10,Paramètres!$A$1:$I$89,5,0)</f>
        <v>1.5074874681886286E-13</v>
      </c>
      <c r="AK149" s="13">
        <f t="shared" si="143"/>
        <v>2.1590218794584103E-12</v>
      </c>
      <c r="AL149" s="20">
        <f t="shared" si="112"/>
        <v>4.0228505074329168E-12</v>
      </c>
      <c r="AM149" s="59">
        <f t="shared" si="113"/>
        <v>293.33333333333735</v>
      </c>
      <c r="AN149" s="59">
        <f ca="1">AVERAGE(OFFSET($AM$3,0,0,'Données projet'!$E$10+1,1))-AVERAGE(OFFSET($H$3,0,0,'Données projet'!$E$10+1,1))</f>
        <v>293.17014997061574</v>
      </c>
      <c r="AO149" s="59">
        <f t="shared" si="144"/>
        <v>394.32615745219954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31.547860561206946</v>
      </c>
      <c r="AV149" s="21">
        <f>EXP(-LN(2)/25)*AV148+(1-EXP(-LN(2)/25))/(LN(2)/25)*Calculateur!AQ149*Calculateur!AS149*VLOOKUP('Données projet'!$B$10,Paramètres!$A$1:$I$89,3,0)*0.475*44/12</f>
        <v>5.2437587960323588</v>
      </c>
      <c r="AW149" s="21">
        <f>EXP(-LN(2)/2)*AW148+(1-EXP(-LN(2)/2))/(LN(2)/2)*AQ149*AT149*VLOOKUP('Données projet'!$B$10,Paramètres!$A$1:$I$89,3,0)*0.475*44/12</f>
        <v>1.0282299784195044E-12</v>
      </c>
      <c r="AX149" s="21">
        <f t="shared" si="114"/>
        <v>36.791619357240336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395.14818708356353</v>
      </c>
      <c r="BJ149" s="59">
        <f t="shared" si="146"/>
        <v>311.78229491474491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82.023184274496373</v>
      </c>
      <c r="BQ149" s="21">
        <f>EXP(-LN(2)/25)*BQ148+(1-EXP(-LN(2)/25))/(LN(2)/25)*Calculateur!BL149*Calculateur!BN149*VLOOKUP('Données projet'!$B$11,Paramètres!$A$1:$I$89,3,0)*0.475*44/12</f>
        <v>16.032443995957156</v>
      </c>
      <c r="BR149" s="21">
        <f>EXP(-LN(2)/2)*BR148+(1-EXP(-LN(2)/2))/(LN(2)/2)*BL149*BO149*VLOOKUP('Données projet'!$B$11,Paramètres!$A$1:$I$89,3,0)*0.475*44/12</f>
        <v>4.8541740509448969E-3</v>
      </c>
      <c r="BS149" s="22">
        <f t="shared" si="117"/>
        <v>98.060482444504473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4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435.12346291440332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1.064108801074326E-13</v>
      </c>
      <c r="P150" s="13">
        <f t="shared" si="141"/>
        <v>1.5870730813698654E-12</v>
      </c>
      <c r="Q150" s="20">
        <f t="shared" si="108"/>
        <v>2.9494845662396269E-12</v>
      </c>
      <c r="R150" s="59">
        <f t="shared" si="109"/>
        <v>293.33333333333627</v>
      </c>
      <c r="S150" s="59">
        <f ca="1">AVERAGE(OFFSET($R$3,0,0,'Données projet'!$E$9+1,1))-AVERAGE(OFFSET($H$3,0,0,'Données projet'!$E$9+1,1))</f>
        <v>291.3013645858839</v>
      </c>
      <c r="T150" s="59">
        <f t="shared" si="142"/>
        <v>332.89241887762438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49.781111964862248</v>
      </c>
      <c r="AA150" s="21">
        <f>EXP(-LN(2)/25)*AA149+(1-EXP(-LN(2)/25))/(LN(2)/25)*Calculateur!V150*Calculateur!X150*VLOOKUP('Données projet'!$B$9,Paramètres!$A$1:$I$89,3,0)*0.475*44/12</f>
        <v>9.41199709419028</v>
      </c>
      <c r="AB150" s="21">
        <f>EXP(-LN(2)/2)*AB149+(1-EXP(-LN(2)/2))/(LN(2)/2)*V150*Y150*VLOOKUP('Données projet'!$B$9,Paramètres!$A$1:$I$89,3,0)*0.475*44/12</f>
        <v>1.7278101331657416E-9</v>
      </c>
      <c r="AC150" s="22">
        <f t="shared" si="111"/>
        <v>59.193109060780344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3.4106051316484809E-13</v>
      </c>
      <c r="AJ150" s="13">
        <f>AI150*VLOOKUP('Données projet'!$B$10,Paramètres!$A$1:$I$89,3,0)*VLOOKUP('Données projet'!$B$10,Paramètres!$A$1:$I$89,5,0)</f>
        <v>1.5074874681886286E-13</v>
      </c>
      <c r="AK150" s="13">
        <f t="shared" si="143"/>
        <v>2.1590218794584103E-12</v>
      </c>
      <c r="AL150" s="20">
        <f t="shared" si="112"/>
        <v>4.0228505074329168E-12</v>
      </c>
      <c r="AM150" s="59">
        <f t="shared" si="113"/>
        <v>293.33333333333735</v>
      </c>
      <c r="AN150" s="59">
        <f ca="1">AVERAGE(OFFSET($AM$3,0,0,'Données projet'!$E$10+1,1))-AVERAGE(OFFSET($H$3,0,0,'Données projet'!$E$10+1,1))</f>
        <v>293.17014997061574</v>
      </c>
      <c r="AO150" s="59">
        <f t="shared" si="144"/>
        <v>394.32615745219954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30.929226257896602</v>
      </c>
      <c r="AV150" s="21">
        <f>EXP(-LN(2)/25)*AV149+(1-EXP(-LN(2)/25))/(LN(2)/25)*Calculateur!AQ150*Calculateur!AS150*VLOOKUP('Données projet'!$B$10,Paramètres!$A$1:$I$89,3,0)*0.475*44/12</f>
        <v>5.1003679359975633</v>
      </c>
      <c r="AW150" s="21">
        <f>EXP(-LN(2)/2)*AW149+(1-EXP(-LN(2)/2))/(LN(2)/2)*AQ150*AT150*VLOOKUP('Données projet'!$B$10,Paramètres!$A$1:$I$89,3,0)*0.475*44/12</f>
        <v>7.27068390359729E-13</v>
      </c>
      <c r="AX150" s="21">
        <f t="shared" si="114"/>
        <v>36.029594193894887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395.14818708356353</v>
      </c>
      <c r="BJ150" s="59">
        <f t="shared" si="146"/>
        <v>311.78229491474491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80.41475966007593</v>
      </c>
      <c r="BQ150" s="21">
        <f>EXP(-LN(2)/25)*BQ149+(1-EXP(-LN(2)/25))/(LN(2)/25)*Calculateur!BL150*Calculateur!BN150*VLOOKUP('Données projet'!$B$11,Paramètres!$A$1:$I$89,3,0)*0.475*44/12</f>
        <v>15.594035971778121</v>
      </c>
      <c r="BR150" s="21">
        <f>EXP(-LN(2)/2)*BR149+(1-EXP(-LN(2)/2))/(LN(2)/2)*BL150*BO150*VLOOKUP('Données projet'!$B$11,Paramètres!$A$1:$I$89,3,0)*0.475*44/12</f>
        <v>3.4324193884829103E-3</v>
      </c>
      <c r="BS150" s="22">
        <f t="shared" si="117"/>
        <v>96.012228051242545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4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436.30674487007587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1.064108801074326E-13</v>
      </c>
      <c r="P151" s="13">
        <f t="shared" si="141"/>
        <v>1.5870730813698654E-12</v>
      </c>
      <c r="Q151" s="20">
        <f t="shared" si="108"/>
        <v>2.9494845662396269E-12</v>
      </c>
      <c r="R151" s="59">
        <f t="shared" si="109"/>
        <v>293.33333333333627</v>
      </c>
      <c r="S151" s="59">
        <f ca="1">AVERAGE(OFFSET($R$3,0,0,'Données projet'!$E$9+1,1))-AVERAGE(OFFSET($H$3,0,0,'Données projet'!$E$9+1,1))</f>
        <v>291.3013645858839</v>
      </c>
      <c r="T151" s="59">
        <f t="shared" si="142"/>
        <v>332.89241887762438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48.804934722711451</v>
      </c>
      <c r="AA151" s="21">
        <f>EXP(-LN(2)/25)*AA150+(1-EXP(-LN(2)/25))/(LN(2)/25)*Calculateur!V151*Calculateur!X151*VLOOKUP('Données projet'!$B$9,Paramètres!$A$1:$I$89,3,0)*0.475*44/12</f>
        <v>9.1546255386942317</v>
      </c>
      <c r="AB151" s="21">
        <f>EXP(-LN(2)/2)*AB150+(1-EXP(-LN(2)/2))/(LN(2)/2)*V151*Y151*VLOOKUP('Données projet'!$B$9,Paramètres!$A$1:$I$89,3,0)*0.475*44/12</f>
        <v>1.2217462617643276E-9</v>
      </c>
      <c r="AC151" s="22">
        <f t="shared" si="111"/>
        <v>57.959560262627434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3.4106051316484809E-13</v>
      </c>
      <c r="AJ151" s="13">
        <f>AI151*VLOOKUP('Données projet'!$B$10,Paramètres!$A$1:$I$89,3,0)*VLOOKUP('Données projet'!$B$10,Paramètres!$A$1:$I$89,5,0)</f>
        <v>1.5074874681886286E-13</v>
      </c>
      <c r="AK151" s="13">
        <f t="shared" si="143"/>
        <v>2.1590218794584103E-12</v>
      </c>
      <c r="AL151" s="20">
        <f t="shared" si="112"/>
        <v>4.0228505074329168E-12</v>
      </c>
      <c r="AM151" s="59">
        <f t="shared" si="113"/>
        <v>293.33333333333735</v>
      </c>
      <c r="AN151" s="59">
        <f ca="1">AVERAGE(OFFSET($AM$3,0,0,'Données projet'!$E$10+1,1))-AVERAGE(OFFSET($H$3,0,0,'Données projet'!$E$10+1,1))</f>
        <v>293.17014997061574</v>
      </c>
      <c r="AO151" s="59">
        <f t="shared" si="144"/>
        <v>394.32615745219954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30.322722995944506</v>
      </c>
      <c r="AV151" s="21">
        <f>EXP(-LN(2)/25)*AV150+(1-EXP(-LN(2)/25))/(LN(2)/25)*Calculateur!AQ151*Calculateur!AS151*VLOOKUP('Données projet'!$B$10,Paramètres!$A$1:$I$89,3,0)*0.475*44/12</f>
        <v>4.9608981065710172</v>
      </c>
      <c r="AW151" s="21">
        <f>EXP(-LN(2)/2)*AW150+(1-EXP(-LN(2)/2))/(LN(2)/2)*AQ151*AT151*VLOOKUP('Données projet'!$B$10,Paramètres!$A$1:$I$89,3,0)*0.475*44/12</f>
        <v>5.141149892097522E-13</v>
      </c>
      <c r="AX151" s="21">
        <f t="shared" si="114"/>
        <v>35.283621102516037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395.14818708356353</v>
      </c>
      <c r="BJ151" s="59">
        <f t="shared" si="146"/>
        <v>311.78229491474491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78.837875271302124</v>
      </c>
      <c r="BQ151" s="21">
        <f>EXP(-LN(2)/25)*BQ150+(1-EXP(-LN(2)/25))/(LN(2)/25)*Calculateur!BL151*Calculateur!BN151*VLOOKUP('Données projet'!$B$11,Paramètres!$A$1:$I$89,3,0)*0.475*44/12</f>
        <v>15.167616238075137</v>
      </c>
      <c r="BR151" s="21">
        <f>EXP(-LN(2)/2)*BR150+(1-EXP(-LN(2)/2))/(LN(2)/2)*BL151*BO151*VLOOKUP('Données projet'!$B$11,Paramètres!$A$1:$I$89,3,0)*0.475*44/12</f>
        <v>2.4270870254724485E-3</v>
      </c>
      <c r="BS151" s="22">
        <f t="shared" si="117"/>
        <v>94.007918596402732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4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437.48984417017164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1.064108801074326E-13</v>
      </c>
      <c r="P152" s="13">
        <f t="shared" si="141"/>
        <v>1.5870730813698654E-12</v>
      </c>
      <c r="Q152" s="20">
        <f t="shared" si="108"/>
        <v>2.9494845662396269E-12</v>
      </c>
      <c r="R152" s="59">
        <f t="shared" si="109"/>
        <v>293.33333333333627</v>
      </c>
      <c r="S152" s="59">
        <f ca="1">AVERAGE(OFFSET($R$3,0,0,'Données projet'!$E$9+1,1))-AVERAGE(OFFSET($H$3,0,0,'Données projet'!$E$9+1,1))</f>
        <v>291.3013645858839</v>
      </c>
      <c r="T152" s="59">
        <f t="shared" si="142"/>
        <v>332.89241887762438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47.847899720869904</v>
      </c>
      <c r="AA152" s="21">
        <f>EXP(-LN(2)/25)*AA151+(1-EXP(-LN(2)/25))/(LN(2)/25)*Calculateur!V152*Calculateur!X152*VLOOKUP('Données projet'!$B$9,Paramètres!$A$1:$I$89,3,0)*0.475*44/12</f>
        <v>8.9042918219178038</v>
      </c>
      <c r="AB152" s="21">
        <f>EXP(-LN(2)/2)*AB151+(1-EXP(-LN(2)/2))/(LN(2)/2)*V152*Y152*VLOOKUP('Données projet'!$B$9,Paramètres!$A$1:$I$89,3,0)*0.475*44/12</f>
        <v>8.639050665828708E-10</v>
      </c>
      <c r="AC152" s="22">
        <f t="shared" si="111"/>
        <v>56.752191543651612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3.4106051316484809E-13</v>
      </c>
      <c r="AJ152" s="13">
        <f>AI152*VLOOKUP('Données projet'!$B$10,Paramètres!$A$1:$I$89,3,0)*VLOOKUP('Données projet'!$B$10,Paramètres!$A$1:$I$89,5,0)</f>
        <v>1.5074874681886286E-13</v>
      </c>
      <c r="AK152" s="13">
        <f t="shared" si="143"/>
        <v>2.1590218794584103E-12</v>
      </c>
      <c r="AL152" s="20">
        <f t="shared" si="112"/>
        <v>4.0228505074329168E-12</v>
      </c>
      <c r="AM152" s="59">
        <f t="shared" si="113"/>
        <v>293.33333333333735</v>
      </c>
      <c r="AN152" s="59">
        <f ca="1">AVERAGE(OFFSET($AM$3,0,0,'Données projet'!$E$10+1,1))-AVERAGE(OFFSET($H$3,0,0,'Données projet'!$E$10+1,1))</f>
        <v>293.17014997061574</v>
      </c>
      <c r="AO152" s="59">
        <f t="shared" si="144"/>
        <v>394.32615745219954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29.728112893028829</v>
      </c>
      <c r="AV152" s="21">
        <f>EXP(-LN(2)/25)*AV151+(1-EXP(-LN(2)/25))/(LN(2)/25)*Calculateur!AQ152*Calculateur!AS152*VLOOKUP('Données projet'!$B$10,Paramètres!$A$1:$I$89,3,0)*0.475*44/12</f>
        <v>4.8252420869645398</v>
      </c>
      <c r="AW152" s="21">
        <f>EXP(-LN(2)/2)*AW151+(1-EXP(-LN(2)/2))/(LN(2)/2)*AQ152*AT152*VLOOKUP('Données projet'!$B$10,Paramètres!$A$1:$I$89,3,0)*0.475*44/12</f>
        <v>3.635341951798645E-13</v>
      </c>
      <c r="AX152" s="21">
        <f t="shared" si="114"/>
        <v>34.553354979993735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395.14818708356353</v>
      </c>
      <c r="BJ152" s="59">
        <f t="shared" si="146"/>
        <v>311.78229491474491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77.291912623587677</v>
      </c>
      <c r="BQ152" s="21">
        <f>EXP(-LN(2)/25)*BQ151+(1-EXP(-LN(2)/25))/(LN(2)/25)*Calculateur!BL152*Calculateur!BN152*VLOOKUP('Données projet'!$B$11,Paramètres!$A$1:$I$89,3,0)*0.475*44/12</f>
        <v>14.752856974414701</v>
      </c>
      <c r="BR152" s="21">
        <f>EXP(-LN(2)/2)*BR151+(1-EXP(-LN(2)/2))/(LN(2)/2)*BL152*BO152*VLOOKUP('Données projet'!$B$11,Paramètres!$A$1:$I$89,3,0)*0.475*44/12</f>
        <v>1.7162096942414551E-3</v>
      </c>
      <c r="BS152" s="22">
        <f t="shared" si="117"/>
        <v>92.046485807696612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4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438.6727621827452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1.064108801074326E-13</v>
      </c>
      <c r="P153" s="13">
        <f t="shared" si="141"/>
        <v>1.5870730813698654E-12</v>
      </c>
      <c r="Q153" s="20">
        <f t="shared" si="108"/>
        <v>2.9494845662396269E-12</v>
      </c>
      <c r="R153" s="59">
        <f t="shared" si="109"/>
        <v>293.33333333333627</v>
      </c>
      <c r="S153" s="59">
        <f ca="1">AVERAGE(OFFSET($R$3,0,0,'Données projet'!$E$9+1,1))-AVERAGE(OFFSET($H$3,0,0,'Données projet'!$E$9+1,1))</f>
        <v>291.3013645858839</v>
      </c>
      <c r="T153" s="59">
        <f t="shared" si="142"/>
        <v>332.89241887762438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46.909631591680764</v>
      </c>
      <c r="AA153" s="21">
        <f>EXP(-LN(2)/25)*AA152+(1-EXP(-LN(2)/25))/(LN(2)/25)*Calculateur!V153*Calculateur!X153*VLOOKUP('Données projet'!$B$9,Paramètres!$A$1:$I$89,3,0)*0.475*44/12</f>
        <v>8.6608034937911054</v>
      </c>
      <c r="AB153" s="21">
        <f>EXP(-LN(2)/2)*AB152+(1-EXP(-LN(2)/2))/(LN(2)/2)*V153*Y153*VLOOKUP('Données projet'!$B$9,Paramètres!$A$1:$I$89,3,0)*0.475*44/12</f>
        <v>6.1087313088216379E-10</v>
      </c>
      <c r="AC153" s="22">
        <f t="shared" si="111"/>
        <v>55.570435086082746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3.4106051316484809E-13</v>
      </c>
      <c r="AJ153" s="13">
        <f>AI153*VLOOKUP('Données projet'!$B$10,Paramètres!$A$1:$I$89,3,0)*VLOOKUP('Données projet'!$B$10,Paramètres!$A$1:$I$89,5,0)</f>
        <v>1.5074874681886286E-13</v>
      </c>
      <c r="AK153" s="13">
        <f t="shared" si="143"/>
        <v>2.1590218794584103E-12</v>
      </c>
      <c r="AL153" s="20">
        <f t="shared" si="112"/>
        <v>4.0228505074329168E-12</v>
      </c>
      <c r="AM153" s="59">
        <f t="shared" si="113"/>
        <v>293.33333333333735</v>
      </c>
      <c r="AN153" s="59">
        <f ca="1">AVERAGE(OFFSET($AM$3,0,0,'Données projet'!$E$10+1,1))-AVERAGE(OFFSET($H$3,0,0,'Données projet'!$E$10+1,1))</f>
        <v>293.17014997061574</v>
      </c>
      <c r="AO153" s="59">
        <f t="shared" si="144"/>
        <v>394.32615745219954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29.145162731554976</v>
      </c>
      <c r="AV153" s="21">
        <f>EXP(-LN(2)/25)*AV152+(1-EXP(-LN(2)/25))/(LN(2)/25)*Calculateur!AQ153*Calculateur!AS153*VLOOKUP('Données projet'!$B$10,Paramètres!$A$1:$I$89,3,0)*0.475*44/12</f>
        <v>4.6932955883480414</v>
      </c>
      <c r="AW153" s="21">
        <f>EXP(-LN(2)/2)*AW152+(1-EXP(-LN(2)/2))/(LN(2)/2)*AQ153*AT153*VLOOKUP('Données projet'!$B$10,Paramètres!$A$1:$I$89,3,0)*0.475*44/12</f>
        <v>2.570574946048761E-13</v>
      </c>
      <c r="AX153" s="21">
        <f t="shared" si="114"/>
        <v>33.838458319903275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395.14818708356353</v>
      </c>
      <c r="BJ153" s="59">
        <f t="shared" si="146"/>
        <v>311.78229491474491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75.776265360450793</v>
      </c>
      <c r="BQ153" s="21">
        <f>EXP(-LN(2)/25)*BQ152+(1-EXP(-LN(2)/25))/(LN(2)/25)*Calculateur!BL153*Calculateur!BN153*VLOOKUP('Données projet'!$B$11,Paramètres!$A$1:$I$89,3,0)*0.475*44/12</f>
        <v>14.349439324630302</v>
      </c>
      <c r="BR153" s="21">
        <f>EXP(-LN(2)/2)*BR152+(1-EXP(-LN(2)/2))/(LN(2)/2)*BL153*BO153*VLOOKUP('Données projet'!$B$11,Paramètres!$A$1:$I$89,3,0)*0.475*44/12</f>
        <v>1.2135435127362242E-3</v>
      </c>
      <c r="BS153" s="22">
        <f t="shared" si="117"/>
        <v>90.126918228593823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4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439.85550025655579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1.064108801074326E-13</v>
      </c>
      <c r="P154" s="13">
        <f t="shared" si="141"/>
        <v>1.5870730813698654E-12</v>
      </c>
      <c r="Q154" s="20">
        <f t="shared" ref="Q154:Q203" si="162">(O154+P154)*0.475*44/12</f>
        <v>2.9494845662396269E-12</v>
      </c>
      <c r="R154" s="59">
        <f t="shared" si="109"/>
        <v>293.33333333333627</v>
      </c>
      <c r="S154" s="59">
        <f ca="1">AVERAGE(OFFSET($R$3,0,0,'Données projet'!$E$9+1,1))-AVERAGE(OFFSET($H$3,0,0,'Données projet'!$E$9+1,1))</f>
        <v>291.3013645858839</v>
      </c>
      <c r="T154" s="59">
        <f t="shared" si="142"/>
        <v>332.89241887762438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45.989762328217971</v>
      </c>
      <c r="AA154" s="21">
        <f>EXP(-LN(2)/25)*AA153+(1-EXP(-LN(2)/25))/(LN(2)/25)*Calculateur!V154*Calculateur!X154*VLOOKUP('Données projet'!$B$9,Paramètres!$A$1:$I$89,3,0)*0.475*44/12</f>
        <v>8.4239733668015262</v>
      </c>
      <c r="AB154" s="21">
        <f>EXP(-LN(2)/2)*AB153+(1-EXP(-LN(2)/2))/(LN(2)/2)*V154*Y154*VLOOKUP('Données projet'!$B$9,Paramètres!$A$1:$I$89,3,0)*0.475*44/12</f>
        <v>4.319525332914354E-10</v>
      </c>
      <c r="AC154" s="22">
        <f t="shared" ref="AC154:AC203" si="163">SUM(Z154:AB154)</f>
        <v>54.41373569545145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3.4106051316484809E-13</v>
      </c>
      <c r="AJ154" s="13">
        <f>AI154*VLOOKUP('Données projet'!$B$10,Paramètres!$A$1:$I$89,3,0)*VLOOKUP('Données projet'!$B$10,Paramètres!$A$1:$I$89,5,0)</f>
        <v>1.5074874681886286E-13</v>
      </c>
      <c r="AK154" s="13">
        <f t="shared" ref="AK154:AK203" si="164">EXP(-1.0587+0.8836*LN(AJ154)+0.284)</f>
        <v>2.1590218794584103E-12</v>
      </c>
      <c r="AL154" s="20">
        <f t="shared" ref="AL154:AL203" si="165">(AJ154+AK154)*0.475*44/12</f>
        <v>4.0228505074329168E-12</v>
      </c>
      <c r="AM154" s="59">
        <f t="shared" si="113"/>
        <v>293.33333333333735</v>
      </c>
      <c r="AN154" s="59">
        <f ca="1">AVERAGE(OFFSET($AM$3,0,0,'Données projet'!$E$10+1,1))-AVERAGE(OFFSET($H$3,0,0,'Données projet'!$E$10+1,1))</f>
        <v>293.17014997061574</v>
      </c>
      <c r="AO154" s="59">
        <f t="shared" si="144"/>
        <v>394.32615745219954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28.573643867183137</v>
      </c>
      <c r="AV154" s="21">
        <f>EXP(-LN(2)/25)*AV153+(1-EXP(-LN(2)/25))/(LN(2)/25)*Calculateur!AQ154*Calculateur!AS154*VLOOKUP('Données projet'!$B$10,Paramètres!$A$1:$I$89,3,0)*0.475*44/12</f>
        <v>4.5649571736749754</v>
      </c>
      <c r="AW154" s="21">
        <f>EXP(-LN(2)/2)*AW153+(1-EXP(-LN(2)/2))/(LN(2)/2)*AQ154*AT154*VLOOKUP('Données projet'!$B$10,Paramètres!$A$1:$I$89,3,0)*0.475*44/12</f>
        <v>1.8176709758993225E-13</v>
      </c>
      <c r="AX154" s="21">
        <f t="shared" ref="AX154:AX203" si="166">SUM(AU154:AW154)</f>
        <v>33.138601040858298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395.14818708356353</v>
      </c>
      <c r="BJ154" s="59">
        <f t="shared" si="146"/>
        <v>311.78229491474491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74.290339015690478</v>
      </c>
      <c r="BQ154" s="21">
        <f>EXP(-LN(2)/25)*BQ153+(1-EXP(-LN(2)/25))/(LN(2)/25)*Calculateur!BL154*Calculateur!BN154*VLOOKUP('Données projet'!$B$11,Paramètres!$A$1:$I$89,3,0)*0.475*44/12</f>
        <v>13.957053151694067</v>
      </c>
      <c r="BR154" s="21">
        <f>EXP(-LN(2)/2)*BR153+(1-EXP(-LN(2)/2))/(LN(2)/2)*BL154*BO154*VLOOKUP('Données projet'!$B$11,Paramètres!$A$1:$I$89,3,0)*0.475*44/12</f>
        <v>8.5810484712072756E-4</v>
      </c>
      <c r="BS154" s="22">
        <f t="shared" ref="BS154:BS203" si="169">SUM(BP154:BR154)</f>
        <v>88.248250272231672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4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441.03805972146552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1.064108801074326E-13</v>
      </c>
      <c r="P155" s="13">
        <f t="shared" si="141"/>
        <v>1.5870730813698654E-12</v>
      </c>
      <c r="Q155" s="20">
        <f t="shared" si="162"/>
        <v>2.9494845662396269E-12</v>
      </c>
      <c r="R155" s="59">
        <f t="shared" si="109"/>
        <v>293.33333333333627</v>
      </c>
      <c r="S155" s="59">
        <f ca="1">AVERAGE(OFFSET($R$3,0,0,'Données projet'!$E$9+1,1))-AVERAGE(OFFSET($H$3,0,0,'Données projet'!$E$9+1,1))</f>
        <v>291.3013645858839</v>
      </c>
      <c r="T155" s="59">
        <f t="shared" si="142"/>
        <v>332.89241887762438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45.087931139946832</v>
      </c>
      <c r="AA155" s="21">
        <f>EXP(-LN(2)/25)*AA154+(1-EXP(-LN(2)/25))/(LN(2)/25)*Calculateur!V155*Calculateur!X155*VLOOKUP('Données projet'!$B$9,Paramètres!$A$1:$I$89,3,0)*0.475*44/12</f>
        <v>8.1936193720888326</v>
      </c>
      <c r="AB155" s="21">
        <f>EXP(-LN(2)/2)*AB154+(1-EXP(-LN(2)/2))/(LN(2)/2)*V155*Y155*VLOOKUP('Données projet'!$B$9,Paramètres!$A$1:$I$89,3,0)*0.475*44/12</f>
        <v>3.0543656544108189E-10</v>
      </c>
      <c r="AC155" s="22">
        <f t="shared" si="163"/>
        <v>53.281550512341099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3.4106051316484809E-13</v>
      </c>
      <c r="AJ155" s="13">
        <f>AI155*VLOOKUP('Données projet'!$B$10,Paramètres!$A$1:$I$89,3,0)*VLOOKUP('Données projet'!$B$10,Paramètres!$A$1:$I$89,5,0)</f>
        <v>1.5074874681886286E-13</v>
      </c>
      <c r="AK155" s="13">
        <f t="shared" si="164"/>
        <v>2.1590218794584103E-12</v>
      </c>
      <c r="AL155" s="20">
        <f t="shared" si="165"/>
        <v>4.0228505074329168E-12</v>
      </c>
      <c r="AM155" s="59">
        <f t="shared" si="113"/>
        <v>293.33333333333735</v>
      </c>
      <c r="AN155" s="59">
        <f ca="1">AVERAGE(OFFSET($AM$3,0,0,'Données projet'!$E$10+1,1))-AVERAGE(OFFSET($H$3,0,0,'Données projet'!$E$10+1,1))</f>
        <v>293.17014997061574</v>
      </c>
      <c r="AO155" s="59">
        <f t="shared" si="144"/>
        <v>394.32615745219954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28.013332139149544</v>
      </c>
      <c r="AV155" s="21">
        <f>EXP(-LN(2)/25)*AV154+(1-EXP(-LN(2)/25))/(LN(2)/25)*Calculateur!AQ155*Calculateur!AS155*VLOOKUP('Données projet'!$B$10,Paramètres!$A$1:$I$89,3,0)*0.475*44/12</f>
        <v>4.440128179700169</v>
      </c>
      <c r="AW155" s="21">
        <f>EXP(-LN(2)/2)*AW154+(1-EXP(-LN(2)/2))/(LN(2)/2)*AQ155*AT155*VLOOKUP('Données projet'!$B$10,Paramètres!$A$1:$I$89,3,0)*0.475*44/12</f>
        <v>1.2852874730243805E-13</v>
      </c>
      <c r="AX155" s="21">
        <f t="shared" si="166"/>
        <v>32.453460318849842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395.14818708356353</v>
      </c>
      <c r="BJ155" s="59">
        <f t="shared" si="146"/>
        <v>311.78229491474491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72.833550780225337</v>
      </c>
      <c r="BQ155" s="21">
        <f>EXP(-LN(2)/25)*BQ154+(1-EXP(-LN(2)/25))/(LN(2)/25)*Calculateur!BL155*Calculateur!BN155*VLOOKUP('Données projet'!$B$11,Paramètres!$A$1:$I$89,3,0)*0.475*44/12</f>
        <v>13.575396799291466</v>
      </c>
      <c r="BR155" s="21">
        <f>EXP(-LN(2)/2)*BR154+(1-EXP(-LN(2)/2))/(LN(2)/2)*BL155*BO155*VLOOKUP('Données projet'!$B$11,Paramètres!$A$1:$I$89,3,0)*0.475*44/12</f>
        <v>6.0677175636811211E-4</v>
      </c>
      <c r="BS155" s="22">
        <f t="shared" si="169"/>
        <v>86.409554351273172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4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442.22044188882654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1.064108801074326E-13</v>
      </c>
      <c r="P156" s="13">
        <f t="shared" si="141"/>
        <v>1.5870730813698654E-12</v>
      </c>
      <c r="Q156" s="20">
        <f t="shared" si="162"/>
        <v>2.9494845662396269E-12</v>
      </c>
      <c r="R156" s="59">
        <f t="shared" si="109"/>
        <v>293.33333333333627</v>
      </c>
      <c r="S156" s="59">
        <f ca="1">AVERAGE(OFFSET($R$3,0,0,'Données projet'!$E$9+1,1))-AVERAGE(OFFSET($H$3,0,0,'Données projet'!$E$9+1,1))</f>
        <v>291.3013645858839</v>
      </c>
      <c r="T156" s="59">
        <f t="shared" si="142"/>
        <v>332.89241887762438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44.203784311214982</v>
      </c>
      <c r="AA156" s="21">
        <f>EXP(-LN(2)/25)*AA155+(1-EXP(-LN(2)/25))/(LN(2)/25)*Calculateur!V156*Calculateur!X156*VLOOKUP('Données projet'!$B$9,Paramètres!$A$1:$I$89,3,0)*0.475*44/12</f>
        <v>7.9695644194753479</v>
      </c>
      <c r="AB156" s="21">
        <f>EXP(-LN(2)/2)*AB155+(1-EXP(-LN(2)/2))/(LN(2)/2)*V156*Y156*VLOOKUP('Données projet'!$B$9,Paramètres!$A$1:$I$89,3,0)*0.475*44/12</f>
        <v>2.159762666457177E-10</v>
      </c>
      <c r="AC156" s="22">
        <f t="shared" si="163"/>
        <v>52.173348730906305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3.4106051316484809E-13</v>
      </c>
      <c r="AJ156" s="13">
        <f>AI156*VLOOKUP('Données projet'!$B$10,Paramètres!$A$1:$I$89,3,0)*VLOOKUP('Données projet'!$B$10,Paramètres!$A$1:$I$89,5,0)</f>
        <v>1.5074874681886286E-13</v>
      </c>
      <c r="AK156" s="13">
        <f t="shared" si="164"/>
        <v>2.1590218794584103E-12</v>
      </c>
      <c r="AL156" s="20">
        <f t="shared" si="165"/>
        <v>4.0228505074329168E-12</v>
      </c>
      <c r="AM156" s="59">
        <f t="shared" si="113"/>
        <v>293.33333333333735</v>
      </c>
      <c r="AN156" s="59">
        <f ca="1">AVERAGE(OFFSET($AM$3,0,0,'Données projet'!$E$10+1,1))-AVERAGE(OFFSET($H$3,0,0,'Données projet'!$E$10+1,1))</f>
        <v>293.17014997061574</v>
      </c>
      <c r="AO156" s="59">
        <f t="shared" si="144"/>
        <v>394.32615745219954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27.464007782346279</v>
      </c>
      <c r="AV156" s="21">
        <f>EXP(-LN(2)/25)*AV155+(1-EXP(-LN(2)/25))/(LN(2)/25)*Calculateur!AQ156*Calculateur!AS156*VLOOKUP('Données projet'!$B$10,Paramètres!$A$1:$I$89,3,0)*0.475*44/12</f>
        <v>4.3187126411300749</v>
      </c>
      <c r="AW156" s="21">
        <f>EXP(-LN(2)/2)*AW155+(1-EXP(-LN(2)/2))/(LN(2)/2)*AQ156*AT156*VLOOKUP('Données projet'!$B$10,Paramètres!$A$1:$I$89,3,0)*0.475*44/12</f>
        <v>9.0883548794966126E-14</v>
      </c>
      <c r="AX156" s="21">
        <f t="shared" si="166"/>
        <v>31.782720423476448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395.14818708356353</v>
      </c>
      <c r="BJ156" s="59">
        <f t="shared" si="146"/>
        <v>311.78229491474491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71.405329273504577</v>
      </c>
      <c r="BQ156" s="21">
        <f>EXP(-LN(2)/25)*BQ155+(1-EXP(-LN(2)/25))/(LN(2)/25)*Calculateur!BL156*Calculateur!BN156*VLOOKUP('Données projet'!$B$11,Paramètres!$A$1:$I$89,3,0)*0.475*44/12</f>
        <v>13.204176859915751</v>
      </c>
      <c r="BR156" s="21">
        <f>EXP(-LN(2)/2)*BR155+(1-EXP(-LN(2)/2))/(LN(2)/2)*BL156*BO156*VLOOKUP('Données projet'!$B$11,Paramètres!$A$1:$I$89,3,0)*0.475*44/12</f>
        <v>4.2905242356036378E-4</v>
      </c>
      <c r="BS156" s="22">
        <f t="shared" si="169"/>
        <v>84.609935185843881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4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443.40264805185802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1.064108801074326E-13</v>
      </c>
      <c r="P157" s="13">
        <f t="shared" si="141"/>
        <v>1.5870730813698654E-12</v>
      </c>
      <c r="Q157" s="20">
        <f t="shared" si="162"/>
        <v>2.9494845662396269E-12</v>
      </c>
      <c r="R157" s="59">
        <f t="shared" si="109"/>
        <v>293.33333333333627</v>
      </c>
      <c r="S157" s="59">
        <f ca="1">AVERAGE(OFFSET($R$3,0,0,'Données projet'!$E$9+1,1))-AVERAGE(OFFSET($H$3,0,0,'Données projet'!$E$9+1,1))</f>
        <v>291.3013645858839</v>
      </c>
      <c r="T157" s="59">
        <f t="shared" si="142"/>
        <v>332.89241887762438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43.336975062518242</v>
      </c>
      <c r="AA157" s="21">
        <f>EXP(-LN(2)/25)*AA156+(1-EXP(-LN(2)/25))/(LN(2)/25)*Calculateur!V157*Calculateur!X157*VLOOKUP('Données projet'!$B$9,Paramètres!$A$1:$I$89,3,0)*0.475*44/12</f>
        <v>7.7516362613236165</v>
      </c>
      <c r="AB157" s="21">
        <f>EXP(-LN(2)/2)*AB156+(1-EXP(-LN(2)/2))/(LN(2)/2)*V157*Y157*VLOOKUP('Données projet'!$B$9,Paramètres!$A$1:$I$89,3,0)*0.475*44/12</f>
        <v>1.5271828272054095E-10</v>
      </c>
      <c r="AC157" s="22">
        <f t="shared" si="163"/>
        <v>51.088611323994577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3.4106051316484809E-13</v>
      </c>
      <c r="AJ157" s="13">
        <f>AI157*VLOOKUP('Données projet'!$B$10,Paramètres!$A$1:$I$89,3,0)*VLOOKUP('Données projet'!$B$10,Paramètres!$A$1:$I$89,5,0)</f>
        <v>1.5074874681886286E-13</v>
      </c>
      <c r="AK157" s="13">
        <f t="shared" si="164"/>
        <v>2.1590218794584103E-12</v>
      </c>
      <c r="AL157" s="20">
        <f t="shared" si="165"/>
        <v>4.0228505074329168E-12</v>
      </c>
      <c r="AM157" s="59">
        <f t="shared" si="113"/>
        <v>293.33333333333735</v>
      </c>
      <c r="AN157" s="59">
        <f ca="1">AVERAGE(OFFSET($AM$3,0,0,'Données projet'!$E$10+1,1))-AVERAGE(OFFSET($H$3,0,0,'Données projet'!$E$10+1,1))</f>
        <v>293.17014997061574</v>
      </c>
      <c r="AO157" s="59">
        <f t="shared" si="144"/>
        <v>394.32615745219954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26.925455341125154</v>
      </c>
      <c r="AV157" s="21">
        <f>EXP(-LN(2)/25)*AV156+(1-EXP(-LN(2)/25))/(LN(2)/25)*Calculateur!AQ157*Calculateur!AS157*VLOOKUP('Données projet'!$B$10,Paramètres!$A$1:$I$89,3,0)*0.475*44/12</f>
        <v>4.2006172168471458</v>
      </c>
      <c r="AW157" s="21">
        <f>EXP(-LN(2)/2)*AW156+(1-EXP(-LN(2)/2))/(LN(2)/2)*AQ157*AT157*VLOOKUP('Données projet'!$B$10,Paramètres!$A$1:$I$89,3,0)*0.475*44/12</f>
        <v>6.4264373651219026E-14</v>
      </c>
      <c r="AX157" s="21">
        <f t="shared" si="166"/>
        <v>31.126072557972364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395.14818708356353</v>
      </c>
      <c r="BJ157" s="59">
        <f t="shared" si="146"/>
        <v>311.78229491474491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70.005114319401514</v>
      </c>
      <c r="BQ157" s="21">
        <f>EXP(-LN(2)/25)*BQ156+(1-EXP(-LN(2)/25))/(LN(2)/25)*Calculateur!BL157*Calculateur!BN157*VLOOKUP('Données projet'!$B$11,Paramètres!$A$1:$I$89,3,0)*0.475*44/12</f>
        <v>12.843107949303873</v>
      </c>
      <c r="BR157" s="21">
        <f>EXP(-LN(2)/2)*BR156+(1-EXP(-LN(2)/2))/(LN(2)/2)*BL157*BO157*VLOOKUP('Données projet'!$B$11,Paramètres!$A$1:$I$89,3,0)*0.475*44/12</f>
        <v>3.0338587818405606E-4</v>
      </c>
      <c r="BS157" s="22">
        <f t="shared" si="169"/>
        <v>82.848525654583568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4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444.58467948601304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1.064108801074326E-13</v>
      </c>
      <c r="P158" s="13">
        <f t="shared" si="141"/>
        <v>1.5870730813698654E-12</v>
      </c>
      <c r="Q158" s="20">
        <f t="shared" si="162"/>
        <v>2.9494845662396269E-12</v>
      </c>
      <c r="R158" s="59">
        <f t="shared" si="109"/>
        <v>293.33333333333627</v>
      </c>
      <c r="S158" s="59">
        <f ca="1">AVERAGE(OFFSET($R$3,0,0,'Données projet'!$E$9+1,1))-AVERAGE(OFFSET($H$3,0,0,'Données projet'!$E$9+1,1))</f>
        <v>291.3013645858839</v>
      </c>
      <c r="T158" s="59">
        <f t="shared" si="142"/>
        <v>332.89241887762438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42.487163414487014</v>
      </c>
      <c r="AA158" s="21">
        <f>EXP(-LN(2)/25)*AA157+(1-EXP(-LN(2)/25))/(LN(2)/25)*Calculateur!V158*Calculateur!X158*VLOOKUP('Données projet'!$B$9,Paramètres!$A$1:$I$89,3,0)*0.475*44/12</f>
        <v>7.539667360116888</v>
      </c>
      <c r="AB158" s="21">
        <f>EXP(-LN(2)/2)*AB157+(1-EXP(-LN(2)/2))/(LN(2)/2)*V158*Y158*VLOOKUP('Données projet'!$B$9,Paramètres!$A$1:$I$89,3,0)*0.475*44/12</f>
        <v>1.0798813332285885E-10</v>
      </c>
      <c r="AC158" s="22">
        <f t="shared" si="163"/>
        <v>50.02683077471189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3.4106051316484809E-13</v>
      </c>
      <c r="AJ158" s="13">
        <f>AI158*VLOOKUP('Données projet'!$B$10,Paramètres!$A$1:$I$89,3,0)*VLOOKUP('Données projet'!$B$10,Paramètres!$A$1:$I$89,5,0)</f>
        <v>1.5074874681886286E-13</v>
      </c>
      <c r="AK158" s="13">
        <f t="shared" si="164"/>
        <v>2.1590218794584103E-12</v>
      </c>
      <c r="AL158" s="20">
        <f t="shared" si="165"/>
        <v>4.0228505074329168E-12</v>
      </c>
      <c r="AM158" s="59">
        <f t="shared" si="113"/>
        <v>293.33333333333735</v>
      </c>
      <c r="AN158" s="59">
        <f ca="1">AVERAGE(OFFSET($AM$3,0,0,'Données projet'!$E$10+1,1))-AVERAGE(OFFSET($H$3,0,0,'Données projet'!$E$10+1,1))</f>
        <v>293.17014997061574</v>
      </c>
      <c r="AO158" s="59">
        <f t="shared" si="144"/>
        <v>394.32615745219954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26.397463584791822</v>
      </c>
      <c r="AV158" s="21">
        <f>EXP(-LN(2)/25)*AV157+(1-EXP(-LN(2)/25))/(LN(2)/25)*Calculateur!AQ158*Calculateur!AS158*VLOOKUP('Données projet'!$B$10,Paramètres!$A$1:$I$89,3,0)*0.475*44/12</f>
        <v>4.0857511181516015</v>
      </c>
      <c r="AW158" s="21">
        <f>EXP(-LN(2)/2)*AW157+(1-EXP(-LN(2)/2))/(LN(2)/2)*AQ158*AT158*VLOOKUP('Données projet'!$B$10,Paramètres!$A$1:$I$89,3,0)*0.475*44/12</f>
        <v>4.5441774397483063E-14</v>
      </c>
      <c r="AX158" s="21">
        <f t="shared" si="166"/>
        <v>30.483214702943471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395.14818708356353</v>
      </c>
      <c r="BJ158" s="59">
        <f t="shared" si="146"/>
        <v>311.78229491474491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68.632356726501612</v>
      </c>
      <c r="BQ158" s="21">
        <f>EXP(-LN(2)/25)*BQ157+(1-EXP(-LN(2)/25))/(LN(2)/25)*Calculateur!BL158*Calculateur!BN158*VLOOKUP('Données projet'!$B$11,Paramètres!$A$1:$I$89,3,0)*0.475*44/12</f>
        <v>12.491912487040464</v>
      </c>
      <c r="BR158" s="21">
        <f>EXP(-LN(2)/2)*BR157+(1-EXP(-LN(2)/2))/(LN(2)/2)*BL158*BO158*VLOOKUP('Données projet'!$B$11,Paramètres!$A$1:$I$89,3,0)*0.475*44/12</f>
        <v>2.1452621178018189E-4</v>
      </c>
      <c r="BS158" s="22">
        <f t="shared" si="169"/>
        <v>81.124483739753856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4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445.76653744933537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1.064108801074326E-13</v>
      </c>
      <c r="P159" s="13">
        <f t="shared" si="141"/>
        <v>1.5870730813698654E-12</v>
      </c>
      <c r="Q159" s="20">
        <f t="shared" si="162"/>
        <v>2.9494845662396269E-12</v>
      </c>
      <c r="R159" s="59">
        <f t="shared" si="109"/>
        <v>293.33333333333627</v>
      </c>
      <c r="S159" s="59">
        <f ca="1">AVERAGE(OFFSET($R$3,0,0,'Données projet'!$E$9+1,1))-AVERAGE(OFFSET($H$3,0,0,'Données projet'!$E$9+1,1))</f>
        <v>291.3013645858839</v>
      </c>
      <c r="T159" s="59">
        <f t="shared" si="142"/>
        <v>332.89241887762438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41.654016054539753</v>
      </c>
      <c r="AA159" s="21">
        <f>EXP(-LN(2)/25)*AA158+(1-EXP(-LN(2)/25))/(LN(2)/25)*Calculateur!V159*Calculateur!X159*VLOOKUP('Données projet'!$B$9,Paramètres!$A$1:$I$89,3,0)*0.475*44/12</f>
        <v>7.333494759660617</v>
      </c>
      <c r="AB159" s="21">
        <f>EXP(-LN(2)/2)*AB158+(1-EXP(-LN(2)/2))/(LN(2)/2)*V159*Y159*VLOOKUP('Données projet'!$B$9,Paramètres!$A$1:$I$89,3,0)*0.475*44/12</f>
        <v>7.6359141360270474E-11</v>
      </c>
      <c r="AC159" s="22">
        <f t="shared" si="163"/>
        <v>48.987510814276732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3.4106051316484809E-13</v>
      </c>
      <c r="AJ159" s="13">
        <f>AI159*VLOOKUP('Données projet'!$B$10,Paramètres!$A$1:$I$89,3,0)*VLOOKUP('Données projet'!$B$10,Paramètres!$A$1:$I$89,5,0)</f>
        <v>1.5074874681886286E-13</v>
      </c>
      <c r="AK159" s="13">
        <f t="shared" si="164"/>
        <v>2.1590218794584103E-12</v>
      </c>
      <c r="AL159" s="20">
        <f t="shared" si="165"/>
        <v>4.0228505074329168E-12</v>
      </c>
      <c r="AM159" s="59">
        <f t="shared" si="113"/>
        <v>293.33333333333735</v>
      </c>
      <c r="AN159" s="59">
        <f ca="1">AVERAGE(OFFSET($AM$3,0,0,'Données projet'!$E$10+1,1))-AVERAGE(OFFSET($H$3,0,0,'Données projet'!$E$10+1,1))</f>
        <v>293.17014997061574</v>
      </c>
      <c r="AO159" s="59">
        <f t="shared" si="144"/>
        <v>394.32615745219954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25.879825424757012</v>
      </c>
      <c r="AV159" s="21">
        <f>EXP(-LN(2)/25)*AV158+(1-EXP(-LN(2)/25))/(LN(2)/25)*Calculateur!AQ159*Calculateur!AS159*VLOOKUP('Données projet'!$B$10,Paramètres!$A$1:$I$89,3,0)*0.475*44/12</f>
        <v>3.9740260389654329</v>
      </c>
      <c r="AW159" s="21">
        <f>EXP(-LN(2)/2)*AW158+(1-EXP(-LN(2)/2))/(LN(2)/2)*AQ159*AT159*VLOOKUP('Données projet'!$B$10,Paramètres!$A$1:$I$89,3,0)*0.475*44/12</f>
        <v>3.2132186825609513E-14</v>
      </c>
      <c r="AX159" s="21">
        <f t="shared" si="166"/>
        <v>29.853851463722478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395.14818708356353</v>
      </c>
      <c r="BJ159" s="59">
        <f t="shared" si="146"/>
        <v>311.78229491474491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67.286518072699025</v>
      </c>
      <c r="BQ159" s="21">
        <f>EXP(-LN(2)/25)*BQ158+(1-EXP(-LN(2)/25))/(LN(2)/25)*Calculateur!BL159*Calculateur!BN159*VLOOKUP('Données projet'!$B$11,Paramètres!$A$1:$I$89,3,0)*0.475*44/12</f>
        <v>12.150320483161215</v>
      </c>
      <c r="BR159" s="21">
        <f>EXP(-LN(2)/2)*BR158+(1-EXP(-LN(2)/2))/(LN(2)/2)*BL159*BO159*VLOOKUP('Données projet'!$B$11,Paramètres!$A$1:$I$89,3,0)*0.475*44/12</f>
        <v>1.5169293909202803E-4</v>
      </c>
      <c r="BS159" s="22">
        <f t="shared" si="169"/>
        <v>79.436990248799333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4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446.94822318280762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1.064108801074326E-13</v>
      </c>
      <c r="P160" s="13">
        <f t="shared" si="141"/>
        <v>1.5870730813698654E-12</v>
      </c>
      <c r="Q160" s="20">
        <f t="shared" si="162"/>
        <v>2.9494845662396269E-12</v>
      </c>
      <c r="R160" s="59">
        <f t="shared" si="109"/>
        <v>293.33333333333627</v>
      </c>
      <c r="S160" s="59">
        <f ca="1">AVERAGE(OFFSET($R$3,0,0,'Données projet'!$E$9+1,1))-AVERAGE(OFFSET($H$3,0,0,'Données projet'!$E$9+1,1))</f>
        <v>291.3013645858839</v>
      </c>
      <c r="T160" s="59">
        <f t="shared" si="142"/>
        <v>332.89241887762438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40.837206206151343</v>
      </c>
      <c r="AA160" s="21">
        <f>EXP(-LN(2)/25)*AA159+(1-EXP(-LN(2)/25))/(LN(2)/25)*Calculateur!V160*Calculateur!X160*VLOOKUP('Données projet'!$B$9,Paramètres!$A$1:$I$89,3,0)*0.475*44/12</f>
        <v>7.1329599598059694</v>
      </c>
      <c r="AB160" s="21">
        <f>EXP(-LN(2)/2)*AB159+(1-EXP(-LN(2)/2))/(LN(2)/2)*V160*Y160*VLOOKUP('Données projet'!$B$9,Paramètres!$A$1:$I$89,3,0)*0.475*44/12</f>
        <v>5.3994066661429425E-11</v>
      </c>
      <c r="AC160" s="22">
        <f t="shared" si="163"/>
        <v>47.970166166011303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3.4106051316484809E-13</v>
      </c>
      <c r="AJ160" s="13">
        <f>AI160*VLOOKUP('Données projet'!$B$10,Paramètres!$A$1:$I$89,3,0)*VLOOKUP('Données projet'!$B$10,Paramètres!$A$1:$I$89,5,0)</f>
        <v>1.5074874681886286E-13</v>
      </c>
      <c r="AK160" s="13">
        <f t="shared" si="164"/>
        <v>2.1590218794584103E-12</v>
      </c>
      <c r="AL160" s="20">
        <f t="shared" si="165"/>
        <v>4.0228505074329168E-12</v>
      </c>
      <c r="AM160" s="59">
        <f t="shared" si="113"/>
        <v>293.33333333333735</v>
      </c>
      <c r="AN160" s="59">
        <f ca="1">AVERAGE(OFFSET($AM$3,0,0,'Données projet'!$E$10+1,1))-AVERAGE(OFFSET($H$3,0,0,'Données projet'!$E$10+1,1))</f>
        <v>293.17014997061574</v>
      </c>
      <c r="AO160" s="59">
        <f t="shared" si="144"/>
        <v>394.32615745219954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25.372337833312383</v>
      </c>
      <c r="AV160" s="21">
        <f>EXP(-LN(2)/25)*AV159+(1-EXP(-LN(2)/25))/(LN(2)/25)*Calculateur!AQ160*Calculateur!AS160*VLOOKUP('Données projet'!$B$10,Paramètres!$A$1:$I$89,3,0)*0.475*44/12</f>
        <v>3.8653560879449764</v>
      </c>
      <c r="AW160" s="21">
        <f>EXP(-LN(2)/2)*AW159+(1-EXP(-LN(2)/2))/(LN(2)/2)*AQ160*AT160*VLOOKUP('Données projet'!$B$10,Paramètres!$A$1:$I$89,3,0)*0.475*44/12</f>
        <v>2.2720887198741531E-14</v>
      </c>
      <c r="AX160" s="21">
        <f t="shared" si="166"/>
        <v>29.237693921257382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395.14818708356353</v>
      </c>
      <c r="BJ160" s="59">
        <f t="shared" si="146"/>
        <v>311.78229491474491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65.96707049401698</v>
      </c>
      <c r="BQ160" s="21">
        <f>EXP(-LN(2)/25)*BQ159+(1-EXP(-LN(2)/25))/(LN(2)/25)*Calculateur!BL160*Calculateur!BN160*VLOOKUP('Données projet'!$B$11,Paramètres!$A$1:$I$89,3,0)*0.475*44/12</f>
        <v>11.818069330591587</v>
      </c>
      <c r="BR160" s="21">
        <f>EXP(-LN(2)/2)*BR159+(1-EXP(-LN(2)/2))/(LN(2)/2)*BL160*BO160*VLOOKUP('Données projet'!$B$11,Paramètres!$A$1:$I$89,3,0)*0.475*44/12</f>
        <v>1.0726310589009095E-4</v>
      </c>
      <c r="BS160" s="22">
        <f t="shared" si="169"/>
        <v>77.785247087714453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4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448.12973791068919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1.064108801074326E-13</v>
      </c>
      <c r="P161" s="13">
        <f t="shared" si="141"/>
        <v>1.5870730813698654E-12</v>
      </c>
      <c r="Q161" s="20">
        <f t="shared" si="162"/>
        <v>2.9494845662396269E-12</v>
      </c>
      <c r="R161" s="59">
        <f t="shared" si="109"/>
        <v>293.33333333333627</v>
      </c>
      <c r="S161" s="59">
        <f ca="1">AVERAGE(OFFSET($R$3,0,0,'Données projet'!$E$9+1,1))-AVERAGE(OFFSET($H$3,0,0,'Données projet'!$E$9+1,1))</f>
        <v>291.3013645858839</v>
      </c>
      <c r="T161" s="59">
        <f t="shared" si="142"/>
        <v>332.89241887762438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40.036413500685015</v>
      </c>
      <c r="AA161" s="21">
        <f>EXP(-LN(2)/25)*AA160+(1-EXP(-LN(2)/25))/(LN(2)/25)*Calculateur!V161*Calculateur!X161*VLOOKUP('Données projet'!$B$9,Paramètres!$A$1:$I$89,3,0)*0.475*44/12</f>
        <v>6.9379087945990134</v>
      </c>
      <c r="AB161" s="21">
        <f>EXP(-LN(2)/2)*AB160+(1-EXP(-LN(2)/2))/(LN(2)/2)*V161*Y161*VLOOKUP('Données projet'!$B$9,Paramètres!$A$1:$I$89,3,0)*0.475*44/12</f>
        <v>3.8179570680135237E-11</v>
      </c>
      <c r="AC161" s="22">
        <f t="shared" si="163"/>
        <v>46.974322295322203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3.4106051316484809E-13</v>
      </c>
      <c r="AJ161" s="13">
        <f>AI161*VLOOKUP('Données projet'!$B$10,Paramètres!$A$1:$I$89,3,0)*VLOOKUP('Données projet'!$B$10,Paramètres!$A$1:$I$89,5,0)</f>
        <v>1.5074874681886286E-13</v>
      </c>
      <c r="AK161" s="13">
        <f t="shared" si="164"/>
        <v>2.1590218794584103E-12</v>
      </c>
      <c r="AL161" s="20">
        <f t="shared" si="165"/>
        <v>4.0228505074329168E-12</v>
      </c>
      <c r="AM161" s="59">
        <f t="shared" si="113"/>
        <v>293.33333333333735</v>
      </c>
      <c r="AN161" s="59">
        <f ca="1">AVERAGE(OFFSET($AM$3,0,0,'Données projet'!$E$10+1,1))-AVERAGE(OFFSET($H$3,0,0,'Données projet'!$E$10+1,1))</f>
        <v>293.17014997061574</v>
      </c>
      <c r="AO161" s="59">
        <f t="shared" si="144"/>
        <v>394.32615745219954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24.874801763999116</v>
      </c>
      <c r="AV161" s="21">
        <f>EXP(-LN(2)/25)*AV160+(1-EXP(-LN(2)/25))/(LN(2)/25)*Calculateur!AQ161*Calculateur!AS161*VLOOKUP('Données projet'!$B$10,Paramètres!$A$1:$I$89,3,0)*0.475*44/12</f>
        <v>3.7596577224498788</v>
      </c>
      <c r="AW161" s="21">
        <f>EXP(-LN(2)/2)*AW160+(1-EXP(-LN(2)/2))/(LN(2)/2)*AQ161*AT161*VLOOKUP('Données projet'!$B$10,Paramètres!$A$1:$I$89,3,0)*0.475*44/12</f>
        <v>1.6066093412804756E-14</v>
      </c>
      <c r="AX161" s="21">
        <f t="shared" si="166"/>
        <v>28.634459486449014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395.14818708356353</v>
      </c>
      <c r="BJ161" s="59">
        <f t="shared" si="146"/>
        <v>311.78229491474491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64.673496477569344</v>
      </c>
      <c r="BQ161" s="21">
        <f>EXP(-LN(2)/25)*BQ160+(1-EXP(-LN(2)/25))/(LN(2)/25)*Calculateur!BL161*Calculateur!BN161*VLOOKUP('Données projet'!$B$11,Paramètres!$A$1:$I$89,3,0)*0.475*44/12</f>
        <v>11.494903603261305</v>
      </c>
      <c r="BR161" s="21">
        <f>EXP(-LN(2)/2)*BR160+(1-EXP(-LN(2)/2))/(LN(2)/2)*BL161*BO161*VLOOKUP('Données projet'!$B$11,Paramètres!$A$1:$I$89,3,0)*0.475*44/12</f>
        <v>7.5846469546014014E-5</v>
      </c>
      <c r="BS161" s="22">
        <f t="shared" si="169"/>
        <v>76.168475927300193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4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449.31108284084667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1.064108801074326E-13</v>
      </c>
      <c r="P162" s="13">
        <f t="shared" si="141"/>
        <v>1.5870730813698654E-12</v>
      </c>
      <c r="Q162" s="20">
        <f t="shared" si="162"/>
        <v>2.9494845662396269E-12</v>
      </c>
      <c r="R162" s="59">
        <f t="shared" si="109"/>
        <v>293.33333333333627</v>
      </c>
      <c r="S162" s="59">
        <f ca="1">AVERAGE(OFFSET($R$3,0,0,'Données projet'!$E$9+1,1))-AVERAGE(OFFSET($H$3,0,0,'Données projet'!$E$9+1,1))</f>
        <v>291.3013645858839</v>
      </c>
      <c r="T162" s="59">
        <f t="shared" si="142"/>
        <v>332.89241887762438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39.25132385173756</v>
      </c>
      <c r="AA162" s="21">
        <f>EXP(-LN(2)/25)*AA161+(1-EXP(-LN(2)/25))/(LN(2)/25)*Calculateur!V162*Calculateur!X162*VLOOKUP('Données projet'!$B$9,Paramètres!$A$1:$I$89,3,0)*0.475*44/12</f>
        <v>6.7481913137619367</v>
      </c>
      <c r="AB162" s="21">
        <f>EXP(-LN(2)/2)*AB161+(1-EXP(-LN(2)/2))/(LN(2)/2)*V162*Y162*VLOOKUP('Données projet'!$B$9,Paramètres!$A$1:$I$89,3,0)*0.475*44/12</f>
        <v>2.6997033330714713E-11</v>
      </c>
      <c r="AC162" s="22">
        <f t="shared" si="163"/>
        <v>45.999515165526489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3.4106051316484809E-13</v>
      </c>
      <c r="AJ162" s="13">
        <f>AI162*VLOOKUP('Données projet'!$B$10,Paramètres!$A$1:$I$89,3,0)*VLOOKUP('Données projet'!$B$10,Paramètres!$A$1:$I$89,5,0)</f>
        <v>1.5074874681886286E-13</v>
      </c>
      <c r="AK162" s="13">
        <f t="shared" si="164"/>
        <v>2.1590218794584103E-12</v>
      </c>
      <c r="AL162" s="20">
        <f t="shared" si="165"/>
        <v>4.0228505074329168E-12</v>
      </c>
      <c r="AM162" s="59">
        <f t="shared" si="113"/>
        <v>293.33333333333735</v>
      </c>
      <c r="AN162" s="59">
        <f ca="1">AVERAGE(OFFSET($AM$3,0,0,'Données projet'!$E$10+1,1))-AVERAGE(OFFSET($H$3,0,0,'Données projet'!$E$10+1,1))</f>
        <v>293.17014997061574</v>
      </c>
      <c r="AO162" s="59">
        <f t="shared" si="144"/>
        <v>394.32615745219954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24.387022073538045</v>
      </c>
      <c r="AV162" s="21">
        <f>EXP(-LN(2)/25)*AV161+(1-EXP(-LN(2)/25))/(LN(2)/25)*Calculateur!AQ162*Calculateur!AS162*VLOOKUP('Données projet'!$B$10,Paramètres!$A$1:$I$89,3,0)*0.475*44/12</f>
        <v>3.6568496843176801</v>
      </c>
      <c r="AW162" s="21">
        <f>EXP(-LN(2)/2)*AW161+(1-EXP(-LN(2)/2))/(LN(2)/2)*AQ162*AT162*VLOOKUP('Données projet'!$B$10,Paramètres!$A$1:$I$89,3,0)*0.475*44/12</f>
        <v>1.1360443599370766E-14</v>
      </c>
      <c r="AX162" s="21">
        <f t="shared" si="166"/>
        <v>28.043871757855737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395.14818708356353</v>
      </c>
      <c r="BJ162" s="59">
        <f t="shared" si="146"/>
        <v>311.78229491474491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63.405288658582002</v>
      </c>
      <c r="BQ162" s="21">
        <f>EXP(-LN(2)/25)*BQ161+(1-EXP(-LN(2)/25))/(LN(2)/25)*Calculateur!BL162*Calculateur!BN162*VLOOKUP('Données projet'!$B$11,Paramètres!$A$1:$I$89,3,0)*0.475*44/12</f>
        <v>11.180574859739416</v>
      </c>
      <c r="BR162" s="21">
        <f>EXP(-LN(2)/2)*BR161+(1-EXP(-LN(2)/2))/(LN(2)/2)*BL162*BO162*VLOOKUP('Données projet'!$B$11,Paramètres!$A$1:$I$89,3,0)*0.475*44/12</f>
        <v>5.3631552945045473E-5</v>
      </c>
      <c r="BS162" s="22">
        <f t="shared" si="169"/>
        <v>74.585917149874362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4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450.4922591650743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1.064108801074326E-13</v>
      </c>
      <c r="P163" s="13">
        <f t="shared" si="141"/>
        <v>1.5870730813698654E-12</v>
      </c>
      <c r="Q163" s="20">
        <f t="shared" si="162"/>
        <v>2.9494845662396269E-12</v>
      </c>
      <c r="R163" s="59">
        <f t="shared" si="109"/>
        <v>293.33333333333627</v>
      </c>
      <c r="S163" s="59">
        <f ca="1">AVERAGE(OFFSET($R$3,0,0,'Données projet'!$E$9+1,1))-AVERAGE(OFFSET($H$3,0,0,'Données projet'!$E$9+1,1))</f>
        <v>291.3013645858839</v>
      </c>
      <c r="T163" s="59">
        <f t="shared" si="142"/>
        <v>332.89241887762438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38.481629331948561</v>
      </c>
      <c r="AA163" s="21">
        <f>EXP(-LN(2)/25)*AA162+(1-EXP(-LN(2)/25))/(LN(2)/25)*Calculateur!V163*Calculateur!X163*VLOOKUP('Données projet'!$B$9,Paramètres!$A$1:$I$89,3,0)*0.475*44/12</f>
        <v>6.5636616674151584</v>
      </c>
      <c r="AB163" s="21">
        <f>EXP(-LN(2)/2)*AB162+(1-EXP(-LN(2)/2))/(LN(2)/2)*V163*Y163*VLOOKUP('Données projet'!$B$9,Paramètres!$A$1:$I$89,3,0)*0.475*44/12</f>
        <v>1.9089785340067618E-11</v>
      </c>
      <c r="AC163" s="22">
        <f t="shared" si="163"/>
        <v>45.045290999382814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3.4106051316484809E-13</v>
      </c>
      <c r="AJ163" s="13">
        <f>AI163*VLOOKUP('Données projet'!$B$10,Paramètres!$A$1:$I$89,3,0)*VLOOKUP('Données projet'!$B$10,Paramètres!$A$1:$I$89,5,0)</f>
        <v>1.5074874681886286E-13</v>
      </c>
      <c r="AK163" s="13">
        <f t="shared" si="164"/>
        <v>2.1590218794584103E-12</v>
      </c>
      <c r="AL163" s="20">
        <f t="shared" si="165"/>
        <v>4.0228505074329168E-12</v>
      </c>
      <c r="AM163" s="59">
        <f t="shared" si="113"/>
        <v>293.33333333333735</v>
      </c>
      <c r="AN163" s="59">
        <f ca="1">AVERAGE(OFFSET($AM$3,0,0,'Données projet'!$E$10+1,1))-AVERAGE(OFFSET($H$3,0,0,'Données projet'!$E$10+1,1))</f>
        <v>293.17014997061574</v>
      </c>
      <c r="AO163" s="59">
        <f t="shared" si="144"/>
        <v>394.32615745219954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23.908807445290684</v>
      </c>
      <c r="AV163" s="21">
        <f>EXP(-LN(2)/25)*AV162+(1-EXP(-LN(2)/25))/(LN(2)/25)*Calculateur!AQ163*Calculateur!AS163*VLOOKUP('Données projet'!$B$10,Paramètres!$A$1:$I$89,3,0)*0.475*44/12</f>
        <v>3.556852937394646</v>
      </c>
      <c r="AW163" s="21">
        <f>EXP(-LN(2)/2)*AW162+(1-EXP(-LN(2)/2))/(LN(2)/2)*AQ163*AT163*VLOOKUP('Données projet'!$B$10,Paramètres!$A$1:$I$89,3,0)*0.475*44/12</f>
        <v>8.0330467064023782E-15</v>
      </c>
      <c r="AX163" s="21">
        <f t="shared" si="166"/>
        <v>27.465660382685336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395.14818708356353</v>
      </c>
      <c r="BJ163" s="59">
        <f t="shared" si="146"/>
        <v>311.78229491474491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62.161949621394612</v>
      </c>
      <c r="BQ163" s="21">
        <f>EXP(-LN(2)/25)*BQ162+(1-EXP(-LN(2)/25))/(LN(2)/25)*Calculateur!BL163*Calculateur!BN163*VLOOKUP('Données projet'!$B$11,Paramètres!$A$1:$I$89,3,0)*0.475*44/12</f>
        <v>10.874841452238963</v>
      </c>
      <c r="BR163" s="21">
        <f>EXP(-LN(2)/2)*BR162+(1-EXP(-LN(2)/2))/(LN(2)/2)*BL163*BO163*VLOOKUP('Données projet'!$B$11,Paramètres!$A$1:$I$89,3,0)*0.475*44/12</f>
        <v>3.7923234773007007E-5</v>
      </c>
      <c r="BS163" s="22">
        <f t="shared" si="169"/>
        <v>73.036828996868351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4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451.67326805940763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1.064108801074326E-13</v>
      </c>
      <c r="P164" s="13">
        <f t="shared" si="141"/>
        <v>1.5870730813698654E-12</v>
      </c>
      <c r="Q164" s="20">
        <f t="shared" si="162"/>
        <v>2.9494845662396269E-12</v>
      </c>
      <c r="R164" s="59">
        <f t="shared" si="109"/>
        <v>293.33333333333627</v>
      </c>
      <c r="S164" s="59">
        <f ca="1">AVERAGE(OFFSET($R$3,0,0,'Données projet'!$E$9+1,1))-AVERAGE(OFFSET($H$3,0,0,'Données projet'!$E$9+1,1))</f>
        <v>291.3013645858839</v>
      </c>
      <c r="T164" s="59">
        <f t="shared" si="142"/>
        <v>332.89241887762438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37.727028052225329</v>
      </c>
      <c r="AA164" s="21">
        <f>EXP(-LN(2)/25)*AA163+(1-EXP(-LN(2)/25))/(LN(2)/25)*Calculateur!V164*Calculateur!X164*VLOOKUP('Données projet'!$B$9,Paramètres!$A$1:$I$89,3,0)*0.475*44/12</f>
        <v>6.3841779939517256</v>
      </c>
      <c r="AB164" s="21">
        <f>EXP(-LN(2)/2)*AB163+(1-EXP(-LN(2)/2))/(LN(2)/2)*V164*Y164*VLOOKUP('Données projet'!$B$9,Paramètres!$A$1:$I$89,3,0)*0.475*44/12</f>
        <v>1.3498516665357356E-11</v>
      </c>
      <c r="AC164" s="22">
        <f t="shared" si="163"/>
        <v>44.111206046190553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3.4106051316484809E-13</v>
      </c>
      <c r="AJ164" s="13">
        <f>AI164*VLOOKUP('Données projet'!$B$10,Paramètres!$A$1:$I$89,3,0)*VLOOKUP('Données projet'!$B$10,Paramètres!$A$1:$I$89,5,0)</f>
        <v>1.5074874681886286E-13</v>
      </c>
      <c r="AK164" s="13">
        <f t="shared" si="164"/>
        <v>2.1590218794584103E-12</v>
      </c>
      <c r="AL164" s="20">
        <f t="shared" si="165"/>
        <v>4.0228505074329168E-12</v>
      </c>
      <c r="AM164" s="59">
        <f t="shared" si="113"/>
        <v>293.33333333333735</v>
      </c>
      <c r="AN164" s="59">
        <f ca="1">AVERAGE(OFFSET($AM$3,0,0,'Données projet'!$E$10+1,1))-AVERAGE(OFFSET($H$3,0,0,'Données projet'!$E$10+1,1))</f>
        <v>293.17014997061574</v>
      </c>
      <c r="AO164" s="59">
        <f t="shared" si="144"/>
        <v>394.32615745219954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23.439970314221132</v>
      </c>
      <c r="AV164" s="21">
        <f>EXP(-LN(2)/25)*AV163+(1-EXP(-LN(2)/25))/(LN(2)/25)*Calculateur!AQ164*Calculateur!AS164*VLOOKUP('Données projet'!$B$10,Paramètres!$A$1:$I$89,3,0)*0.475*44/12</f>
        <v>3.4595906067748228</v>
      </c>
      <c r="AW164" s="21">
        <f>EXP(-LN(2)/2)*AW163+(1-EXP(-LN(2)/2))/(LN(2)/2)*AQ164*AT164*VLOOKUP('Données projet'!$B$10,Paramètres!$A$1:$I$89,3,0)*0.475*44/12</f>
        <v>5.6802217996853828E-15</v>
      </c>
      <c r="AX164" s="21">
        <f t="shared" si="166"/>
        <v>26.89956092099596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395.14818708356353</v>
      </c>
      <c r="BJ164" s="59">
        <f t="shared" si="146"/>
        <v>311.78229491474491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60.94299170436453</v>
      </c>
      <c r="BQ164" s="21">
        <f>EXP(-LN(2)/25)*BQ163+(1-EXP(-LN(2)/25))/(LN(2)/25)*Calculateur!BL164*Calculateur!BN164*VLOOKUP('Données projet'!$B$11,Paramètres!$A$1:$I$89,3,0)*0.475*44/12</f>
        <v>10.577468340844431</v>
      </c>
      <c r="BR164" s="21">
        <f>EXP(-LN(2)/2)*BR163+(1-EXP(-LN(2)/2))/(LN(2)/2)*BL164*BO164*VLOOKUP('Données projet'!$B$11,Paramètres!$A$1:$I$89,3,0)*0.475*44/12</f>
        <v>2.6815776472522736E-5</v>
      </c>
      <c r="BS164" s="22">
        <f t="shared" si="169"/>
        <v>71.520486860985443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4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452.85411068442789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1.064108801074326E-13</v>
      </c>
      <c r="P165" s="13">
        <f t="shared" si="141"/>
        <v>1.5870730813698654E-12</v>
      </c>
      <c r="Q165" s="20">
        <f t="shared" si="162"/>
        <v>2.9494845662396269E-12</v>
      </c>
      <c r="R165" s="59">
        <f t="shared" si="109"/>
        <v>293.33333333333627</v>
      </c>
      <c r="S165" s="59">
        <f ca="1">AVERAGE(OFFSET($R$3,0,0,'Données projet'!$E$9+1,1))-AVERAGE(OFFSET($H$3,0,0,'Données projet'!$E$9+1,1))</f>
        <v>291.3013645858839</v>
      </c>
      <c r="T165" s="59">
        <f t="shared" si="142"/>
        <v>332.89241887762438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36.987224043336134</v>
      </c>
      <c r="AA165" s="21">
        <f>EXP(-LN(2)/25)*AA164+(1-EXP(-LN(2)/25))/(LN(2)/25)*Calculateur!V165*Calculateur!X165*VLOOKUP('Données projet'!$B$9,Paramètres!$A$1:$I$89,3,0)*0.475*44/12</f>
        <v>6.209602310977786</v>
      </c>
      <c r="AB165" s="21">
        <f>EXP(-LN(2)/2)*AB164+(1-EXP(-LN(2)/2))/(LN(2)/2)*V165*Y165*VLOOKUP('Données projet'!$B$9,Paramètres!$A$1:$I$89,3,0)*0.475*44/12</f>
        <v>9.5448926700338092E-12</v>
      </c>
      <c r="AC165" s="22">
        <f t="shared" si="163"/>
        <v>43.196826354323463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3.4106051316484809E-13</v>
      </c>
      <c r="AJ165" s="13">
        <f>AI165*VLOOKUP('Données projet'!$B$10,Paramètres!$A$1:$I$89,3,0)*VLOOKUP('Données projet'!$B$10,Paramètres!$A$1:$I$89,5,0)</f>
        <v>1.5074874681886286E-13</v>
      </c>
      <c r="AK165" s="13">
        <f t="shared" si="164"/>
        <v>2.1590218794584103E-12</v>
      </c>
      <c r="AL165" s="20">
        <f t="shared" si="165"/>
        <v>4.0228505074329168E-12</v>
      </c>
      <c r="AM165" s="59">
        <f t="shared" si="113"/>
        <v>293.33333333333735</v>
      </c>
      <c r="AN165" s="59">
        <f ca="1">AVERAGE(OFFSET($AM$3,0,0,'Données projet'!$E$10+1,1))-AVERAGE(OFFSET($H$3,0,0,'Données projet'!$E$10+1,1))</f>
        <v>293.17014997061574</v>
      </c>
      <c r="AO165" s="59">
        <f t="shared" si="144"/>
        <v>394.32615745219954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22.980326793329439</v>
      </c>
      <c r="AV165" s="21">
        <f>EXP(-LN(2)/25)*AV164+(1-EXP(-LN(2)/25))/(LN(2)/25)*Calculateur!AQ165*Calculateur!AS165*VLOOKUP('Données projet'!$B$10,Paramètres!$A$1:$I$89,3,0)*0.475*44/12</f>
        <v>3.3649879197006021</v>
      </c>
      <c r="AW165" s="21">
        <f>EXP(-LN(2)/2)*AW164+(1-EXP(-LN(2)/2))/(LN(2)/2)*AQ165*AT165*VLOOKUP('Données projet'!$B$10,Paramètres!$A$1:$I$89,3,0)*0.475*44/12</f>
        <v>4.0165233532011891E-15</v>
      </c>
      <c r="AX165" s="21">
        <f t="shared" si="166"/>
        <v>26.345314713030046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395.14818708356353</v>
      </c>
      <c r="BJ165" s="59">
        <f t="shared" si="146"/>
        <v>311.78229491474491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59.747936808596492</v>
      </c>
      <c r="BQ165" s="21">
        <f>EXP(-LN(2)/25)*BQ164+(1-EXP(-LN(2)/25))/(LN(2)/25)*Calculateur!BL165*Calculateur!BN165*VLOOKUP('Données projet'!$B$11,Paramètres!$A$1:$I$89,3,0)*0.475*44/12</f>
        <v>10.288226912819155</v>
      </c>
      <c r="BR165" s="21">
        <f>EXP(-LN(2)/2)*BR164+(1-EXP(-LN(2)/2))/(LN(2)/2)*BL165*BO165*VLOOKUP('Données projet'!$B$11,Paramètres!$A$1:$I$89,3,0)*0.475*44/12</f>
        <v>1.8961617386503504E-5</v>
      </c>
      <c r="BS165" s="22">
        <f t="shared" si="169"/>
        <v>70.036182683033033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4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454.03478818555948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1.064108801074326E-13</v>
      </c>
      <c r="P166" s="13">
        <f t="shared" si="141"/>
        <v>1.5870730813698654E-12</v>
      </c>
      <c r="Q166" s="20">
        <f t="shared" si="162"/>
        <v>2.9494845662396269E-12</v>
      </c>
      <c r="R166" s="59">
        <f t="shared" si="109"/>
        <v>293.33333333333627</v>
      </c>
      <c r="S166" s="59">
        <f ca="1">AVERAGE(OFFSET($R$3,0,0,'Données projet'!$E$9+1,1))-AVERAGE(OFFSET($H$3,0,0,'Données projet'!$E$9+1,1))</f>
        <v>291.3013645858839</v>
      </c>
      <c r="T166" s="59">
        <f t="shared" si="142"/>
        <v>332.89241887762438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36.261927139825367</v>
      </c>
      <c r="AA166" s="21">
        <f>EXP(-LN(2)/25)*AA165+(1-EXP(-LN(2)/25))/(LN(2)/25)*Calculateur!V166*Calculateur!X166*VLOOKUP('Données projet'!$B$9,Paramètres!$A$1:$I$89,3,0)*0.475*44/12</f>
        <v>6.0398004092353048</v>
      </c>
      <c r="AB166" s="21">
        <f>EXP(-LN(2)/2)*AB165+(1-EXP(-LN(2)/2))/(LN(2)/2)*V166*Y166*VLOOKUP('Données projet'!$B$9,Paramètres!$A$1:$I$89,3,0)*0.475*44/12</f>
        <v>6.7492583326786781E-12</v>
      </c>
      <c r="AC166" s="22">
        <f t="shared" si="163"/>
        <v>42.301727549067422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3.4106051316484809E-13</v>
      </c>
      <c r="AJ166" s="13">
        <f>AI166*VLOOKUP('Données projet'!$B$10,Paramètres!$A$1:$I$89,3,0)*VLOOKUP('Données projet'!$B$10,Paramètres!$A$1:$I$89,5,0)</f>
        <v>1.5074874681886286E-13</v>
      </c>
      <c r="AK166" s="13">
        <f t="shared" si="164"/>
        <v>2.1590218794584103E-12</v>
      </c>
      <c r="AL166" s="20">
        <f t="shared" si="165"/>
        <v>4.0228505074329168E-12</v>
      </c>
      <c r="AM166" s="59">
        <f t="shared" si="113"/>
        <v>293.33333333333735</v>
      </c>
      <c r="AN166" s="59">
        <f ca="1">AVERAGE(OFFSET($AM$3,0,0,'Données projet'!$E$10+1,1))-AVERAGE(OFFSET($H$3,0,0,'Données projet'!$E$10+1,1))</f>
        <v>293.17014997061574</v>
      </c>
      <c r="AO166" s="59">
        <f t="shared" si="144"/>
        <v>394.32615745219954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22.529696601527569</v>
      </c>
      <c r="AV166" s="21">
        <f>EXP(-LN(2)/25)*AV165+(1-EXP(-LN(2)/25))/(LN(2)/25)*Calculateur!AQ166*Calculateur!AS166*VLOOKUP('Données projet'!$B$10,Paramètres!$A$1:$I$89,3,0)*0.475*44/12</f>
        <v>3.272972148079365</v>
      </c>
      <c r="AW166" s="21">
        <f>EXP(-LN(2)/2)*AW165+(1-EXP(-LN(2)/2))/(LN(2)/2)*AQ166*AT166*VLOOKUP('Données projet'!$B$10,Paramètres!$A$1:$I$89,3,0)*0.475*44/12</f>
        <v>2.8401108998426914E-15</v>
      </c>
      <c r="AX166" s="21">
        <f t="shared" si="166"/>
        <v>25.802668749606937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395.14818708356353</v>
      </c>
      <c r="BJ166" s="59">
        <f t="shared" si="146"/>
        <v>311.78229491474491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58.576316210422959</v>
      </c>
      <c r="BQ166" s="21">
        <f>EXP(-LN(2)/25)*BQ165+(1-EXP(-LN(2)/25))/(LN(2)/25)*Calculateur!BL166*Calculateur!BN166*VLOOKUP('Données projet'!$B$11,Paramètres!$A$1:$I$89,3,0)*0.475*44/12</f>
        <v>10.006894806853776</v>
      </c>
      <c r="BR166" s="21">
        <f>EXP(-LN(2)/2)*BR165+(1-EXP(-LN(2)/2))/(LN(2)/2)*BL166*BO166*VLOOKUP('Données projet'!$B$11,Paramètres!$A$1:$I$89,3,0)*0.475*44/12</f>
        <v>1.3407888236261368E-5</v>
      </c>
      <c r="BS166" s="22">
        <f t="shared" si="169"/>
        <v>68.583224425164971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4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455.21530169335966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1.064108801074326E-13</v>
      </c>
      <c r="P167" s="13">
        <f t="shared" si="141"/>
        <v>1.5870730813698654E-12</v>
      </c>
      <c r="Q167" s="20">
        <f t="shared" si="162"/>
        <v>2.9494845662396269E-12</v>
      </c>
      <c r="R167" s="59">
        <f t="shared" si="109"/>
        <v>293.33333333333627</v>
      </c>
      <c r="S167" s="59">
        <f ca="1">AVERAGE(OFFSET($R$3,0,0,'Données projet'!$E$9+1,1))-AVERAGE(OFFSET($H$3,0,0,'Données projet'!$E$9+1,1))</f>
        <v>291.3013645858839</v>
      </c>
      <c r="T167" s="59">
        <f t="shared" si="142"/>
        <v>332.89241887762438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35.55085286620502</v>
      </c>
      <c r="AA167" s="21">
        <f>EXP(-LN(2)/25)*AA166+(1-EXP(-LN(2)/25))/(LN(2)/25)*Calculateur!V167*Calculateur!X167*VLOOKUP('Données projet'!$B$9,Paramètres!$A$1:$I$89,3,0)*0.475*44/12</f>
        <v>5.8746417494254661</v>
      </c>
      <c r="AB167" s="21">
        <f>EXP(-LN(2)/2)*AB166+(1-EXP(-LN(2)/2))/(LN(2)/2)*V167*Y167*VLOOKUP('Données projet'!$B$9,Paramètres!$A$1:$I$89,3,0)*0.475*44/12</f>
        <v>4.7724463350169046E-12</v>
      </c>
      <c r="AC167" s="22">
        <f t="shared" si="163"/>
        <v>41.425494615635259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3.4106051316484809E-13</v>
      </c>
      <c r="AJ167" s="13">
        <f>AI167*VLOOKUP('Données projet'!$B$10,Paramètres!$A$1:$I$89,3,0)*VLOOKUP('Données projet'!$B$10,Paramètres!$A$1:$I$89,5,0)</f>
        <v>1.5074874681886286E-13</v>
      </c>
      <c r="AK167" s="13">
        <f t="shared" si="164"/>
        <v>2.1590218794584103E-12</v>
      </c>
      <c r="AL167" s="20">
        <f t="shared" si="165"/>
        <v>4.0228505074329168E-12</v>
      </c>
      <c r="AM167" s="59">
        <f t="shared" si="113"/>
        <v>293.33333333333735</v>
      </c>
      <c r="AN167" s="59">
        <f ca="1">AVERAGE(OFFSET($AM$3,0,0,'Données projet'!$E$10+1,1))-AVERAGE(OFFSET($H$3,0,0,'Données projet'!$E$10+1,1))</f>
        <v>293.17014997061574</v>
      </c>
      <c r="AO167" s="59">
        <f t="shared" si="144"/>
        <v>394.32615745219954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22.087902992929653</v>
      </c>
      <c r="AV167" s="21">
        <f>EXP(-LN(2)/25)*AV166+(1-EXP(-LN(2)/25))/(LN(2)/25)*Calculateur!AQ167*Calculateur!AS167*VLOOKUP('Données projet'!$B$10,Paramètres!$A$1:$I$89,3,0)*0.475*44/12</f>
        <v>3.18347255257201</v>
      </c>
      <c r="AW167" s="21">
        <f>EXP(-LN(2)/2)*AW166+(1-EXP(-LN(2)/2))/(LN(2)/2)*AQ167*AT167*VLOOKUP('Données projet'!$B$10,Paramètres!$A$1:$I$89,3,0)*0.475*44/12</f>
        <v>2.0082616766005945E-15</v>
      </c>
      <c r="AX167" s="21">
        <f t="shared" si="166"/>
        <v>25.271375545501666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395.14818708356353</v>
      </c>
      <c r="BJ167" s="59">
        <f t="shared" si="146"/>
        <v>311.78229491474491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57.427670377561604</v>
      </c>
      <c r="BQ167" s="21">
        <f>EXP(-LN(2)/25)*BQ166+(1-EXP(-LN(2)/25))/(LN(2)/25)*Calculateur!BL167*Calculateur!BN167*VLOOKUP('Données projet'!$B$11,Paramètres!$A$1:$I$89,3,0)*0.475*44/12</f>
        <v>9.7332557421206332</v>
      </c>
      <c r="BR167" s="21">
        <f>EXP(-LN(2)/2)*BR166+(1-EXP(-LN(2)/2))/(LN(2)/2)*BL167*BO167*VLOOKUP('Données projet'!$B$11,Paramètres!$A$1:$I$89,3,0)*0.475*44/12</f>
        <v>9.4808086932517518E-6</v>
      </c>
      <c r="BS167" s="22">
        <f t="shared" si="169"/>
        <v>67.160935600490944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4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456.39565232380079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1.064108801074326E-13</v>
      </c>
      <c r="P168" s="13">
        <f t="shared" si="141"/>
        <v>1.5870730813698654E-12</v>
      </c>
      <c r="Q168" s="20">
        <f t="shared" si="162"/>
        <v>2.9494845662396269E-12</v>
      </c>
      <c r="R168" s="59">
        <f t="shared" si="109"/>
        <v>293.33333333333627</v>
      </c>
      <c r="S168" s="59">
        <f ca="1">AVERAGE(OFFSET($R$3,0,0,'Données projet'!$E$9+1,1))-AVERAGE(OFFSET($H$3,0,0,'Données projet'!$E$9+1,1))</f>
        <v>291.3013645858839</v>
      </c>
      <c r="T168" s="59">
        <f t="shared" si="142"/>
        <v>332.89241887762438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34.853722325377881</v>
      </c>
      <c r="AA168" s="21">
        <f>EXP(-LN(2)/25)*AA167+(1-EXP(-LN(2)/25))/(LN(2)/25)*Calculateur!V168*Calculateur!X168*VLOOKUP('Données projet'!$B$9,Paramètres!$A$1:$I$89,3,0)*0.475*44/12</f>
        <v>5.7139993618534435</v>
      </c>
      <c r="AB168" s="21">
        <f>EXP(-LN(2)/2)*AB167+(1-EXP(-LN(2)/2))/(LN(2)/2)*V168*Y168*VLOOKUP('Données projet'!$B$9,Paramètres!$A$1:$I$89,3,0)*0.475*44/12</f>
        <v>3.3746291663393391E-12</v>
      </c>
      <c r="AC168" s="22">
        <f t="shared" si="163"/>
        <v>40.567721687234702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3.4106051316484809E-13</v>
      </c>
      <c r="AJ168" s="13">
        <f>AI168*VLOOKUP('Données projet'!$B$10,Paramètres!$A$1:$I$89,3,0)*VLOOKUP('Données projet'!$B$10,Paramètres!$A$1:$I$89,5,0)</f>
        <v>1.5074874681886286E-13</v>
      </c>
      <c r="AK168" s="13">
        <f t="shared" si="164"/>
        <v>2.1590218794584103E-12</v>
      </c>
      <c r="AL168" s="20">
        <f t="shared" si="165"/>
        <v>4.0228505074329168E-12</v>
      </c>
      <c r="AM168" s="59">
        <f t="shared" si="113"/>
        <v>293.33333333333735</v>
      </c>
      <c r="AN168" s="59">
        <f ca="1">AVERAGE(OFFSET($AM$3,0,0,'Données projet'!$E$10+1,1))-AVERAGE(OFFSET($H$3,0,0,'Données projet'!$E$10+1,1))</f>
        <v>293.17014997061574</v>
      </c>
      <c r="AO168" s="59">
        <f t="shared" si="144"/>
        <v>394.32615745219954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21.654772687528851</v>
      </c>
      <c r="AV168" s="21">
        <f>EXP(-LN(2)/25)*AV167+(1-EXP(-LN(2)/25))/(LN(2)/25)*Calculateur!AQ168*Calculateur!AS168*VLOOKUP('Données projet'!$B$10,Paramètres!$A$1:$I$89,3,0)*0.475*44/12</f>
        <v>3.0964203282103826</v>
      </c>
      <c r="AW168" s="21">
        <f>EXP(-LN(2)/2)*AW167+(1-EXP(-LN(2)/2))/(LN(2)/2)*AQ168*AT168*VLOOKUP('Données projet'!$B$10,Paramètres!$A$1:$I$89,3,0)*0.475*44/12</f>
        <v>1.4200554499213457E-15</v>
      </c>
      <c r="AX168" s="21">
        <f t="shared" si="166"/>
        <v>24.751193015739233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395.14818708356353</v>
      </c>
      <c r="BJ168" s="59">
        <f t="shared" si="146"/>
        <v>311.78229491474491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56.301548788877881</v>
      </c>
      <c r="BQ168" s="21">
        <f>EXP(-LN(2)/25)*BQ167+(1-EXP(-LN(2)/25))/(LN(2)/25)*Calculateur!BL168*Calculateur!BN168*VLOOKUP('Données projet'!$B$11,Paramètres!$A$1:$I$89,3,0)*0.475*44/12</f>
        <v>9.4670993520026698</v>
      </c>
      <c r="BR168" s="21">
        <f>EXP(-LN(2)/2)*BR167+(1-EXP(-LN(2)/2))/(LN(2)/2)*BL168*BO168*VLOOKUP('Données projet'!$B$11,Paramètres!$A$1:$I$89,3,0)*0.475*44/12</f>
        <v>6.7039441181306841E-6</v>
      </c>
      <c r="BS168" s="22">
        <f t="shared" si="169"/>
        <v>65.768654844824667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4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457.57584117854583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1.064108801074326E-13</v>
      </c>
      <c r="P169" s="13">
        <f t="shared" si="141"/>
        <v>1.5870730813698654E-12</v>
      </c>
      <c r="Q169" s="20">
        <f t="shared" si="162"/>
        <v>2.9494845662396269E-12</v>
      </c>
      <c r="R169" s="59">
        <f t="shared" si="109"/>
        <v>293.33333333333627</v>
      </c>
      <c r="S169" s="59">
        <f ca="1">AVERAGE(OFFSET($R$3,0,0,'Données projet'!$E$9+1,1))-AVERAGE(OFFSET($H$3,0,0,'Données projet'!$E$9+1,1))</f>
        <v>291.3013645858839</v>
      </c>
      <c r="T169" s="59">
        <f t="shared" si="142"/>
        <v>332.89241887762438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34.170262089248716</v>
      </c>
      <c r="AA169" s="21">
        <f>EXP(-LN(2)/25)*AA168+(1-EXP(-LN(2)/25))/(LN(2)/25)*Calculateur!V169*Calculateur!X169*VLOOKUP('Données projet'!$B$9,Paramètres!$A$1:$I$89,3,0)*0.475*44/12</f>
        <v>5.5577497488173941</v>
      </c>
      <c r="AB169" s="21">
        <f>EXP(-LN(2)/2)*AB168+(1-EXP(-LN(2)/2))/(LN(2)/2)*V169*Y169*VLOOKUP('Données projet'!$B$9,Paramètres!$A$1:$I$89,3,0)*0.475*44/12</f>
        <v>2.3862231675084523E-12</v>
      </c>
      <c r="AC169" s="22">
        <f t="shared" si="163"/>
        <v>39.728011838068497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3.4106051316484809E-13</v>
      </c>
      <c r="AJ169" s="13">
        <f>AI169*VLOOKUP('Données projet'!$B$10,Paramètres!$A$1:$I$89,3,0)*VLOOKUP('Données projet'!$B$10,Paramètres!$A$1:$I$89,5,0)</f>
        <v>1.5074874681886286E-13</v>
      </c>
      <c r="AK169" s="13">
        <f t="shared" si="164"/>
        <v>2.1590218794584103E-12</v>
      </c>
      <c r="AL169" s="20">
        <f t="shared" si="165"/>
        <v>4.0228505074329168E-12</v>
      </c>
      <c r="AM169" s="59">
        <f t="shared" si="113"/>
        <v>293.33333333333735</v>
      </c>
      <c r="AN169" s="59">
        <f ca="1">AVERAGE(OFFSET($AM$3,0,0,'Données projet'!$E$10+1,1))-AVERAGE(OFFSET($H$3,0,0,'Données projet'!$E$10+1,1))</f>
        <v>293.17014997061574</v>
      </c>
      <c r="AO169" s="59">
        <f t="shared" si="144"/>
        <v>394.32615745219954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21.230135803233559</v>
      </c>
      <c r="AV169" s="21">
        <f>EXP(-LN(2)/25)*AV168+(1-EXP(-LN(2)/25))/(LN(2)/25)*Calculateur!AQ169*Calculateur!AS169*VLOOKUP('Données projet'!$B$10,Paramètres!$A$1:$I$89,3,0)*0.475*44/12</f>
        <v>3.0117485515018014</v>
      </c>
      <c r="AW169" s="21">
        <f>EXP(-LN(2)/2)*AW168+(1-EXP(-LN(2)/2))/(LN(2)/2)*AQ169*AT169*VLOOKUP('Données projet'!$B$10,Paramètres!$A$1:$I$89,3,0)*0.475*44/12</f>
        <v>1.0041308383002973E-15</v>
      </c>
      <c r="AX169" s="21">
        <f t="shared" si="166"/>
        <v>24.241884354735362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395.14818708356353</v>
      </c>
      <c r="BJ169" s="59">
        <f t="shared" si="146"/>
        <v>311.78229491474491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55.1975097576819</v>
      </c>
      <c r="BQ169" s="21">
        <f>EXP(-LN(2)/25)*BQ168+(1-EXP(-LN(2)/25))/(LN(2)/25)*Calculateur!BL169*Calculateur!BN169*VLOOKUP('Données projet'!$B$11,Paramètres!$A$1:$I$89,3,0)*0.475*44/12</f>
        <v>9.2082210223690399</v>
      </c>
      <c r="BR169" s="21">
        <f>EXP(-LN(2)/2)*BR168+(1-EXP(-LN(2)/2))/(LN(2)/2)*BL169*BO169*VLOOKUP('Données projet'!$B$11,Paramètres!$A$1:$I$89,3,0)*0.475*44/12</f>
        <v>4.7404043466258759E-6</v>
      </c>
      <c r="BS169" s="22">
        <f t="shared" si="169"/>
        <v>64.405735520455295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4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458.75586934521687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1.064108801074326E-13</v>
      </c>
      <c r="P170" s="13">
        <f t="shared" si="141"/>
        <v>1.5870730813698654E-12</v>
      </c>
      <c r="Q170" s="20">
        <f t="shared" si="162"/>
        <v>2.9494845662396269E-12</v>
      </c>
      <c r="R170" s="59">
        <f t="shared" si="109"/>
        <v>293.33333333333627</v>
      </c>
      <c r="S170" s="59">
        <f ca="1">AVERAGE(OFFSET($R$3,0,0,'Données projet'!$E$9+1,1))-AVERAGE(OFFSET($H$3,0,0,'Données projet'!$E$9+1,1))</f>
        <v>291.3013645858839</v>
      </c>
      <c r="T170" s="59">
        <f t="shared" si="142"/>
        <v>332.89241887762438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33.50020409148047</v>
      </c>
      <c r="AA170" s="21">
        <f>EXP(-LN(2)/25)*AA169+(1-EXP(-LN(2)/25))/(LN(2)/25)*Calculateur!V170*Calculateur!X170*VLOOKUP('Données projet'!$B$9,Paramètres!$A$1:$I$89,3,0)*0.475*44/12</f>
        <v>5.4057727896666252</v>
      </c>
      <c r="AB170" s="21">
        <f>EXP(-LN(2)/2)*AB169+(1-EXP(-LN(2)/2))/(LN(2)/2)*V170*Y170*VLOOKUP('Données projet'!$B$9,Paramètres!$A$1:$I$89,3,0)*0.475*44/12</f>
        <v>1.6873145831696695E-12</v>
      </c>
      <c r="AC170" s="22">
        <f t="shared" si="163"/>
        <v>38.905976881148781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3.4106051316484809E-13</v>
      </c>
      <c r="AJ170" s="13">
        <f>AI170*VLOOKUP('Données projet'!$B$10,Paramètres!$A$1:$I$89,3,0)*VLOOKUP('Données projet'!$B$10,Paramètres!$A$1:$I$89,5,0)</f>
        <v>1.5074874681886286E-13</v>
      </c>
      <c r="AK170" s="13">
        <f t="shared" si="164"/>
        <v>2.1590218794584103E-12</v>
      </c>
      <c r="AL170" s="20">
        <f t="shared" si="165"/>
        <v>4.0228505074329168E-12</v>
      </c>
      <c r="AM170" s="59">
        <f t="shared" si="113"/>
        <v>293.33333333333735</v>
      </c>
      <c r="AN170" s="59">
        <f ca="1">AVERAGE(OFFSET($AM$3,0,0,'Données projet'!$E$10+1,1))-AVERAGE(OFFSET($H$3,0,0,'Données projet'!$E$10+1,1))</f>
        <v>293.17014997061574</v>
      </c>
      <c r="AO170" s="59">
        <f t="shared" si="144"/>
        <v>394.32615745219954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20.813825789236372</v>
      </c>
      <c r="AV170" s="21">
        <f>EXP(-LN(2)/25)*AV169+(1-EXP(-LN(2)/25))/(LN(2)/25)*Calculateur!AQ170*Calculateur!AS170*VLOOKUP('Données projet'!$B$10,Paramètres!$A$1:$I$89,3,0)*0.475*44/12</f>
        <v>2.929392128980012</v>
      </c>
      <c r="AW170" s="21">
        <f>EXP(-LN(2)/2)*AW169+(1-EXP(-LN(2)/2))/(LN(2)/2)*AQ170*AT170*VLOOKUP('Données projet'!$B$10,Paramètres!$A$1:$I$89,3,0)*0.475*44/12</f>
        <v>7.1002772496067286E-16</v>
      </c>
      <c r="AX170" s="21">
        <f t="shared" si="166"/>
        <v>23.743217918216384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395.14818708356353</v>
      </c>
      <c r="BJ170" s="59">
        <f t="shared" si="146"/>
        <v>311.78229491474491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54.115120258490357</v>
      </c>
      <c r="BQ170" s="21">
        <f>EXP(-LN(2)/25)*BQ169+(1-EXP(-LN(2)/25))/(LN(2)/25)*Calculateur!BL170*Calculateur!BN170*VLOOKUP('Données projet'!$B$11,Paramètres!$A$1:$I$89,3,0)*0.475*44/12</f>
        <v>8.9564217342730608</v>
      </c>
      <c r="BR170" s="21">
        <f>EXP(-LN(2)/2)*BR169+(1-EXP(-LN(2)/2))/(LN(2)/2)*BL170*BO170*VLOOKUP('Données projet'!$B$11,Paramètres!$A$1:$I$89,3,0)*0.475*44/12</f>
        <v>3.351972059065342E-6</v>
      </c>
      <c r="BS170" s="22">
        <f t="shared" si="169"/>
        <v>63.071545344735476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4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459.93573789765719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1.064108801074326E-13</v>
      </c>
      <c r="P171" s="13">
        <f t="shared" si="141"/>
        <v>1.5870730813698654E-12</v>
      </c>
      <c r="Q171" s="20">
        <f t="shared" si="162"/>
        <v>2.9494845662396269E-12</v>
      </c>
      <c r="R171" s="59">
        <f t="shared" si="109"/>
        <v>293.33333333333627</v>
      </c>
      <c r="S171" s="59">
        <f ca="1">AVERAGE(OFFSET($R$3,0,0,'Données projet'!$E$9+1,1))-AVERAGE(OFFSET($H$3,0,0,'Données projet'!$E$9+1,1))</f>
        <v>291.3013645858839</v>
      </c>
      <c r="T171" s="59">
        <f t="shared" si="142"/>
        <v>332.89241887762438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32.843285522353433</v>
      </c>
      <c r="AA171" s="21">
        <f>EXP(-LN(2)/25)*AA170+(1-EXP(-LN(2)/25))/(LN(2)/25)*Calculateur!V171*Calculateur!X171*VLOOKUP('Données projet'!$B$9,Paramètres!$A$1:$I$89,3,0)*0.475*44/12</f>
        <v>5.257951648455955</v>
      </c>
      <c r="AB171" s="21">
        <f>EXP(-LN(2)/2)*AB170+(1-EXP(-LN(2)/2))/(LN(2)/2)*V171*Y171*VLOOKUP('Données projet'!$B$9,Paramètres!$A$1:$I$89,3,0)*0.475*44/12</f>
        <v>1.1931115837542262E-12</v>
      </c>
      <c r="AC171" s="22">
        <f t="shared" si="163"/>
        <v>38.101237170810585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3.4106051316484809E-13</v>
      </c>
      <c r="AJ171" s="13">
        <f>AI171*VLOOKUP('Données projet'!$B$10,Paramètres!$A$1:$I$89,3,0)*VLOOKUP('Données projet'!$B$10,Paramètres!$A$1:$I$89,5,0)</f>
        <v>1.5074874681886286E-13</v>
      </c>
      <c r="AK171" s="13">
        <f t="shared" si="164"/>
        <v>2.1590218794584103E-12</v>
      </c>
      <c r="AL171" s="20">
        <f t="shared" si="165"/>
        <v>4.0228505074329168E-12</v>
      </c>
      <c r="AM171" s="59">
        <f t="shared" si="113"/>
        <v>293.33333333333735</v>
      </c>
      <c r="AN171" s="59">
        <f ca="1">AVERAGE(OFFSET($AM$3,0,0,'Données projet'!$E$10+1,1))-AVERAGE(OFFSET($H$3,0,0,'Données projet'!$E$10+1,1))</f>
        <v>293.17014997061574</v>
      </c>
      <c r="AO171" s="59">
        <f t="shared" si="144"/>
        <v>394.32615745219954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20.405679360689632</v>
      </c>
      <c r="AV171" s="21">
        <f>EXP(-LN(2)/25)*AV170+(1-EXP(-LN(2)/25))/(LN(2)/25)*Calculateur!AQ171*Calculateur!AS171*VLOOKUP('Données projet'!$B$10,Paramètres!$A$1:$I$89,3,0)*0.475*44/12</f>
        <v>2.8492877471630167</v>
      </c>
      <c r="AW171" s="21">
        <f>EXP(-LN(2)/2)*AW170+(1-EXP(-LN(2)/2))/(LN(2)/2)*AQ171*AT171*VLOOKUP('Données projet'!$B$10,Paramètres!$A$1:$I$89,3,0)*0.475*44/12</f>
        <v>5.0206541915014864E-16</v>
      </c>
      <c r="AX171" s="21">
        <f t="shared" si="166"/>
        <v>23.25496710785265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395.14818708356353</v>
      </c>
      <c r="BJ171" s="59">
        <f t="shared" si="146"/>
        <v>311.78229491474491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53.053955757185555</v>
      </c>
      <c r="BQ171" s="21">
        <f>EXP(-LN(2)/25)*BQ170+(1-EXP(-LN(2)/25))/(LN(2)/25)*Calculateur!BL171*Calculateur!BN171*VLOOKUP('Données projet'!$B$11,Paramètres!$A$1:$I$89,3,0)*0.475*44/12</f>
        <v>8.7115079109516156</v>
      </c>
      <c r="BR171" s="21">
        <f>EXP(-LN(2)/2)*BR170+(1-EXP(-LN(2)/2))/(LN(2)/2)*BL171*BO171*VLOOKUP('Données projet'!$B$11,Paramètres!$A$1:$I$89,3,0)*0.475*44/12</f>
        <v>2.3702021733129379E-6</v>
      </c>
      <c r="BS171" s="22">
        <f t="shared" si="169"/>
        <v>61.765466038339348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4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461.11544789618642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1.064108801074326E-13</v>
      </c>
      <c r="P172" s="13">
        <f t="shared" si="141"/>
        <v>1.5870730813698654E-12</v>
      </c>
      <c r="Q172" s="20">
        <f t="shared" si="162"/>
        <v>2.9494845662396269E-12</v>
      </c>
      <c r="R172" s="59">
        <f t="shared" si="109"/>
        <v>293.33333333333627</v>
      </c>
      <c r="S172" s="59">
        <f ca="1">AVERAGE(OFFSET($R$3,0,0,'Données projet'!$E$9+1,1))-AVERAGE(OFFSET($H$3,0,0,'Données projet'!$E$9+1,1))</f>
        <v>291.3013645858839</v>
      </c>
      <c r="T172" s="59">
        <f t="shared" si="142"/>
        <v>332.89241887762438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32.199248725686211</v>
      </c>
      <c r="AA172" s="21">
        <f>EXP(-LN(2)/25)*AA171+(1-EXP(-LN(2)/25))/(LN(2)/25)*Calculateur!V172*Calculateur!X172*VLOOKUP('Données projet'!$B$9,Paramètres!$A$1:$I$89,3,0)*0.475*44/12</f>
        <v>5.1141726841252666</v>
      </c>
      <c r="AB172" s="21">
        <f>EXP(-LN(2)/2)*AB171+(1-EXP(-LN(2)/2))/(LN(2)/2)*V172*Y172*VLOOKUP('Données projet'!$B$9,Paramètres!$A$1:$I$89,3,0)*0.475*44/12</f>
        <v>8.4365729158483477E-13</v>
      </c>
      <c r="AC172" s="22">
        <f t="shared" si="163"/>
        <v>37.313421409812321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3.4106051316484809E-13</v>
      </c>
      <c r="AJ172" s="13">
        <f>AI172*VLOOKUP('Données projet'!$B$10,Paramètres!$A$1:$I$89,3,0)*VLOOKUP('Données projet'!$B$10,Paramètres!$A$1:$I$89,5,0)</f>
        <v>1.5074874681886286E-13</v>
      </c>
      <c r="AK172" s="13">
        <f t="shared" si="164"/>
        <v>2.1590218794584103E-12</v>
      </c>
      <c r="AL172" s="20">
        <f t="shared" si="165"/>
        <v>4.0228505074329168E-12</v>
      </c>
      <c r="AM172" s="59">
        <f t="shared" si="113"/>
        <v>293.33333333333735</v>
      </c>
      <c r="AN172" s="59">
        <f ca="1">AVERAGE(OFFSET($AM$3,0,0,'Données projet'!$E$10+1,1))-AVERAGE(OFFSET($H$3,0,0,'Données projet'!$E$10+1,1))</f>
        <v>293.17014997061574</v>
      </c>
      <c r="AO172" s="59">
        <f t="shared" si="144"/>
        <v>394.32615745219954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20.005536434661956</v>
      </c>
      <c r="AV172" s="21">
        <f>EXP(-LN(2)/25)*AV171+(1-EXP(-LN(2)/25))/(LN(2)/25)*Calculateur!AQ172*Calculateur!AS172*VLOOKUP('Données projet'!$B$10,Paramètres!$A$1:$I$89,3,0)*0.475*44/12</f>
        <v>2.7713738238793133</v>
      </c>
      <c r="AW172" s="21">
        <f>EXP(-LN(2)/2)*AW171+(1-EXP(-LN(2)/2))/(LN(2)/2)*AQ172*AT172*VLOOKUP('Données projet'!$B$10,Paramètres!$A$1:$I$89,3,0)*0.475*44/12</f>
        <v>3.5501386248033643E-16</v>
      </c>
      <c r="AX172" s="21">
        <f t="shared" si="166"/>
        <v>22.776910258541267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395.14818708356353</v>
      </c>
      <c r="BJ172" s="59">
        <f t="shared" si="146"/>
        <v>311.78229491474491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52.013600044504905</v>
      </c>
      <c r="BQ172" s="21">
        <f>EXP(-LN(2)/25)*BQ171+(1-EXP(-LN(2)/25))/(LN(2)/25)*Calculateur!BL172*Calculateur!BN172*VLOOKUP('Données projet'!$B$11,Paramètres!$A$1:$I$89,3,0)*0.475*44/12</f>
        <v>8.4732912690083531</v>
      </c>
      <c r="BR172" s="21">
        <f>EXP(-LN(2)/2)*BR171+(1-EXP(-LN(2)/2))/(LN(2)/2)*BL172*BO172*VLOOKUP('Données projet'!$B$11,Paramètres!$A$1:$I$89,3,0)*0.475*44/12</f>
        <v>1.675986029532671E-6</v>
      </c>
      <c r="BS172" s="22">
        <f t="shared" si="169"/>
        <v>60.486892989499282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4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462.29500038785034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1.064108801074326E-13</v>
      </c>
      <c r="P173" s="13">
        <f t="shared" si="141"/>
        <v>1.5870730813698654E-12</v>
      </c>
      <c r="Q173" s="20">
        <f t="shared" si="162"/>
        <v>2.9494845662396269E-12</v>
      </c>
      <c r="R173" s="59">
        <f t="shared" si="109"/>
        <v>293.33333333333627</v>
      </c>
      <c r="S173" s="59">
        <f ca="1">AVERAGE(OFFSET($R$3,0,0,'Données projet'!$E$9+1,1))-AVERAGE(OFFSET($H$3,0,0,'Données projet'!$E$9+1,1))</f>
        <v>291.3013645858839</v>
      </c>
      <c r="T173" s="59">
        <f t="shared" si="142"/>
        <v>332.89241887762438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31.567841097777976</v>
      </c>
      <c r="AA173" s="21">
        <f>EXP(-LN(2)/25)*AA172+(1-EXP(-LN(2)/25))/(LN(2)/25)*Calculateur!V173*Calculateur!X173*VLOOKUP('Données projet'!$B$9,Paramètres!$A$1:$I$89,3,0)*0.475*44/12</f>
        <v>4.9743253631352085</v>
      </c>
      <c r="AB173" s="21">
        <f>EXP(-LN(2)/2)*AB172+(1-EXP(-LN(2)/2))/(LN(2)/2)*V173*Y173*VLOOKUP('Données projet'!$B$9,Paramètres!$A$1:$I$89,3,0)*0.475*44/12</f>
        <v>5.9655579187711308E-13</v>
      </c>
      <c r="AC173" s="22">
        <f t="shared" si="163"/>
        <v>36.542166460913784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3.4106051316484809E-13</v>
      </c>
      <c r="AJ173" s="13">
        <f>AI173*VLOOKUP('Données projet'!$B$10,Paramètres!$A$1:$I$89,3,0)*VLOOKUP('Données projet'!$B$10,Paramètres!$A$1:$I$89,5,0)</f>
        <v>1.5074874681886286E-13</v>
      </c>
      <c r="AK173" s="13">
        <f t="shared" si="164"/>
        <v>2.1590218794584103E-12</v>
      </c>
      <c r="AL173" s="20">
        <f t="shared" si="165"/>
        <v>4.0228505074329168E-12</v>
      </c>
      <c r="AM173" s="59">
        <f t="shared" si="113"/>
        <v>293.33333333333735</v>
      </c>
      <c r="AN173" s="59">
        <f ca="1">AVERAGE(OFFSET($AM$3,0,0,'Données projet'!$E$10+1,1))-AVERAGE(OFFSET($H$3,0,0,'Données projet'!$E$10+1,1))</f>
        <v>293.17014997061574</v>
      </c>
      <c r="AO173" s="59">
        <f t="shared" si="144"/>
        <v>394.32615745219954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19.613240067350596</v>
      </c>
      <c r="AV173" s="21">
        <f>EXP(-LN(2)/25)*AV172+(1-EXP(-LN(2)/25))/(LN(2)/25)*Calculateur!AQ173*Calculateur!AS173*VLOOKUP('Données projet'!$B$10,Paramètres!$A$1:$I$89,3,0)*0.475*44/12</f>
        <v>2.6955904609251182</v>
      </c>
      <c r="AW173" s="21">
        <f>EXP(-LN(2)/2)*AW172+(1-EXP(-LN(2)/2))/(LN(2)/2)*AQ173*AT173*VLOOKUP('Données projet'!$B$10,Paramètres!$A$1:$I$89,3,0)*0.475*44/12</f>
        <v>2.5103270957507432E-16</v>
      </c>
      <c r="AX173" s="21">
        <f t="shared" si="166"/>
        <v>22.308830528275713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395.14818708356353</v>
      </c>
      <c r="BJ173" s="59">
        <f t="shared" si="146"/>
        <v>311.78229491474491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50.993645072795594</v>
      </c>
      <c r="BQ173" s="21">
        <f>EXP(-LN(2)/25)*BQ172+(1-EXP(-LN(2)/25))/(LN(2)/25)*Calculateur!BL173*Calculateur!BN173*VLOOKUP('Données projet'!$B$11,Paramètres!$A$1:$I$89,3,0)*0.475*44/12</f>
        <v>8.241588673666298</v>
      </c>
      <c r="BR173" s="21">
        <f>EXP(-LN(2)/2)*BR172+(1-EXP(-LN(2)/2))/(LN(2)/2)*BL173*BO173*VLOOKUP('Données projet'!$B$11,Paramètres!$A$1:$I$89,3,0)*0.475*44/12</f>
        <v>1.185101086656469E-6</v>
      </c>
      <c r="BS173" s="22">
        <f t="shared" si="169"/>
        <v>59.235234931562978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4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463.47439640666357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1.064108801074326E-13</v>
      </c>
      <c r="P174" s="13">
        <f t="shared" si="141"/>
        <v>1.5870730813698654E-12</v>
      </c>
      <c r="Q174" s="20">
        <f t="shared" si="162"/>
        <v>2.9494845662396269E-12</v>
      </c>
      <c r="R174" s="59">
        <f t="shared" si="109"/>
        <v>293.33333333333627</v>
      </c>
      <c r="S174" s="59">
        <f ca="1">AVERAGE(OFFSET($R$3,0,0,'Données projet'!$E$9+1,1))-AVERAGE(OFFSET($H$3,0,0,'Données projet'!$E$9+1,1))</f>
        <v>291.3013645858839</v>
      </c>
      <c r="T174" s="59">
        <f t="shared" si="142"/>
        <v>332.89241887762438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30.948814988332398</v>
      </c>
      <c r="AA174" s="21">
        <f>EXP(-LN(2)/25)*AA173+(1-EXP(-LN(2)/25))/(LN(2)/25)*Calculateur!V174*Calculateur!X174*VLOOKUP('Données projet'!$B$9,Paramètres!$A$1:$I$89,3,0)*0.475*44/12</f>
        <v>4.8383021744918739</v>
      </c>
      <c r="AB174" s="21">
        <f>EXP(-LN(2)/2)*AB173+(1-EXP(-LN(2)/2))/(LN(2)/2)*V174*Y174*VLOOKUP('Données projet'!$B$9,Paramètres!$A$1:$I$89,3,0)*0.475*44/12</f>
        <v>4.2182864579241738E-13</v>
      </c>
      <c r="AC174" s="22">
        <f t="shared" si="163"/>
        <v>35.787117162824693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3.4106051316484809E-13</v>
      </c>
      <c r="AJ174" s="13">
        <f>AI174*VLOOKUP('Données projet'!$B$10,Paramètres!$A$1:$I$89,3,0)*VLOOKUP('Données projet'!$B$10,Paramètres!$A$1:$I$89,5,0)</f>
        <v>1.5074874681886286E-13</v>
      </c>
      <c r="AK174" s="13">
        <f t="shared" si="164"/>
        <v>2.1590218794584103E-12</v>
      </c>
      <c r="AL174" s="20">
        <f t="shared" si="165"/>
        <v>4.0228505074329168E-12</v>
      </c>
      <c r="AM174" s="59">
        <f t="shared" si="113"/>
        <v>293.33333333333735</v>
      </c>
      <c r="AN174" s="59">
        <f ca="1">AVERAGE(OFFSET($AM$3,0,0,'Données projet'!$E$10+1,1))-AVERAGE(OFFSET($H$3,0,0,'Données projet'!$E$10+1,1))</f>
        <v>293.17014997061574</v>
      </c>
      <c r="AO174" s="59">
        <f t="shared" si="144"/>
        <v>394.32615745219954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19.228636392525054</v>
      </c>
      <c r="AV174" s="21">
        <f>EXP(-LN(2)/25)*AV173+(1-EXP(-LN(2)/25))/(LN(2)/25)*Calculateur!AQ174*Calculateur!AS174*VLOOKUP('Données projet'!$B$10,Paramètres!$A$1:$I$89,3,0)*0.475*44/12</f>
        <v>2.6218793980161794</v>
      </c>
      <c r="AW174" s="21">
        <f>EXP(-LN(2)/2)*AW173+(1-EXP(-LN(2)/2))/(LN(2)/2)*AQ174*AT174*VLOOKUP('Données projet'!$B$10,Paramètres!$A$1:$I$89,3,0)*0.475*44/12</f>
        <v>1.7750693124016821E-16</v>
      </c>
      <c r="AX174" s="21">
        <f t="shared" si="166"/>
        <v>21.850515790541234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395.14818708356353</v>
      </c>
      <c r="BJ174" s="59">
        <f t="shared" si="146"/>
        <v>311.78229491474491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49.993690795970394</v>
      </c>
      <c r="BQ174" s="21">
        <f>EXP(-LN(2)/25)*BQ173+(1-EXP(-LN(2)/25))/(LN(2)/25)*Calculateur!BL174*Calculateur!BN174*VLOOKUP('Données projet'!$B$11,Paramètres!$A$1:$I$89,3,0)*0.475*44/12</f>
        <v>8.0162219979785814</v>
      </c>
      <c r="BR174" s="21">
        <f>EXP(-LN(2)/2)*BR173+(1-EXP(-LN(2)/2))/(LN(2)/2)*BL174*BO174*VLOOKUP('Données projet'!$B$11,Paramètres!$A$1:$I$89,3,0)*0.475*44/12</f>
        <v>8.3799301476633551E-7</v>
      </c>
      <c r="BS174" s="22">
        <f t="shared" si="169"/>
        <v>58.009913631941991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4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464.65363697384748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1.064108801074326E-13</v>
      </c>
      <c r="P175" s="13">
        <f t="shared" si="141"/>
        <v>1.5870730813698654E-12</v>
      </c>
      <c r="Q175" s="20">
        <f t="shared" si="162"/>
        <v>2.9494845662396269E-12</v>
      </c>
      <c r="R175" s="59">
        <f t="shared" si="109"/>
        <v>293.33333333333627</v>
      </c>
      <c r="S175" s="59">
        <f ca="1">AVERAGE(OFFSET($R$3,0,0,'Données projet'!$E$9+1,1))-AVERAGE(OFFSET($H$3,0,0,'Données projet'!$E$9+1,1))</f>
        <v>291.3013645858839</v>
      </c>
      <c r="T175" s="59">
        <f t="shared" si="142"/>
        <v>332.89241887762438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30.3419276033244</v>
      </c>
      <c r="AA175" s="21">
        <f>EXP(-LN(2)/25)*AA174+(1-EXP(-LN(2)/25))/(LN(2)/25)*Calculateur!V175*Calculateur!X175*VLOOKUP('Données projet'!$B$9,Paramètres!$A$1:$I$89,3,0)*0.475*44/12</f>
        <v>4.70599854709514</v>
      </c>
      <c r="AB175" s="21">
        <f>EXP(-LN(2)/2)*AB174+(1-EXP(-LN(2)/2))/(LN(2)/2)*V175*Y175*VLOOKUP('Données projet'!$B$9,Paramètres!$A$1:$I$89,3,0)*0.475*44/12</f>
        <v>2.9827789593855654E-13</v>
      </c>
      <c r="AC175" s="22">
        <f t="shared" si="163"/>
        <v>35.04792615041984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3.4106051316484809E-13</v>
      </c>
      <c r="AJ175" s="13">
        <f>AI175*VLOOKUP('Données projet'!$B$10,Paramètres!$A$1:$I$89,3,0)*VLOOKUP('Données projet'!$B$10,Paramètres!$A$1:$I$89,5,0)</f>
        <v>1.5074874681886286E-13</v>
      </c>
      <c r="AK175" s="13">
        <f t="shared" si="164"/>
        <v>2.1590218794584103E-12</v>
      </c>
      <c r="AL175" s="20">
        <f t="shared" si="165"/>
        <v>4.0228505074329168E-12</v>
      </c>
      <c r="AM175" s="59">
        <f t="shared" si="113"/>
        <v>293.33333333333735</v>
      </c>
      <c r="AN175" s="59">
        <f ca="1">AVERAGE(OFFSET($AM$3,0,0,'Données projet'!$E$10+1,1))-AVERAGE(OFFSET($H$3,0,0,'Données projet'!$E$10+1,1))</f>
        <v>293.17014997061574</v>
      </c>
      <c r="AO175" s="59">
        <f t="shared" si="144"/>
        <v>394.32615745219954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18.851574561177763</v>
      </c>
      <c r="AV175" s="21">
        <f>EXP(-LN(2)/25)*AV174+(1-EXP(-LN(2)/25))/(LN(2)/25)*Calculateur!AQ175*Calculateur!AS175*VLOOKUP('Données projet'!$B$10,Paramètres!$A$1:$I$89,3,0)*0.475*44/12</f>
        <v>2.5501839679987817</v>
      </c>
      <c r="AW175" s="21">
        <f>EXP(-LN(2)/2)*AW174+(1-EXP(-LN(2)/2))/(LN(2)/2)*AQ175*AT175*VLOOKUP('Données projet'!$B$10,Paramètres!$A$1:$I$89,3,0)*0.475*44/12</f>
        <v>1.2551635478753716E-16</v>
      </c>
      <c r="AX175" s="21">
        <f t="shared" si="166"/>
        <v>21.401758529176544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395.14818708356353</v>
      </c>
      <c r="BJ175" s="59">
        <f t="shared" si="146"/>
        <v>311.78229491474491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49.013345012601853</v>
      </c>
      <c r="BQ175" s="21">
        <f>EXP(-LN(2)/25)*BQ174+(1-EXP(-LN(2)/25))/(LN(2)/25)*Calculateur!BL175*Calculateur!BN175*VLOOKUP('Données projet'!$B$11,Paramètres!$A$1:$I$89,3,0)*0.475*44/12</f>
        <v>7.7970179858890631</v>
      </c>
      <c r="BR175" s="21">
        <f>EXP(-LN(2)/2)*BR174+(1-EXP(-LN(2)/2))/(LN(2)/2)*BL175*BO175*VLOOKUP('Données projet'!$B$11,Paramètres!$A$1:$I$89,3,0)*0.475*44/12</f>
        <v>5.9255054332823448E-7</v>
      </c>
      <c r="BS175" s="22">
        <f t="shared" si="169"/>
        <v>56.810363591041458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4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465.83272309806171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1.064108801074326E-13</v>
      </c>
      <c r="P176" s="13">
        <f t="shared" si="141"/>
        <v>1.5870730813698654E-12</v>
      </c>
      <c r="Q176" s="20">
        <f t="shared" si="162"/>
        <v>2.9494845662396269E-12</v>
      </c>
      <c r="R176" s="59">
        <f t="shared" si="109"/>
        <v>293.33333333333627</v>
      </c>
      <c r="S176" s="59">
        <f ca="1">AVERAGE(OFFSET($R$3,0,0,'Données projet'!$E$9+1,1))-AVERAGE(OFFSET($H$3,0,0,'Données projet'!$E$9+1,1))</f>
        <v>291.3013645858839</v>
      </c>
      <c r="T176" s="59">
        <f t="shared" si="142"/>
        <v>332.89241887762438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29.746940909771656</v>
      </c>
      <c r="AA176" s="21">
        <f>EXP(-LN(2)/25)*AA175+(1-EXP(-LN(2)/25))/(LN(2)/25)*Calculateur!V176*Calculateur!X176*VLOOKUP('Données projet'!$B$9,Paramètres!$A$1:$I$89,3,0)*0.475*44/12</f>
        <v>4.5773127693471158</v>
      </c>
      <c r="AB176" s="21">
        <f>EXP(-LN(2)/2)*AB175+(1-EXP(-LN(2)/2))/(LN(2)/2)*V176*Y176*VLOOKUP('Données projet'!$B$9,Paramètres!$A$1:$I$89,3,0)*0.475*44/12</f>
        <v>2.1091432289620869E-13</v>
      </c>
      <c r="AC176" s="22">
        <f t="shared" si="163"/>
        <v>34.324253679118982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3.4106051316484809E-13</v>
      </c>
      <c r="AJ176" s="13">
        <f>AI176*VLOOKUP('Données projet'!$B$10,Paramètres!$A$1:$I$89,3,0)*VLOOKUP('Données projet'!$B$10,Paramètres!$A$1:$I$89,5,0)</f>
        <v>1.5074874681886286E-13</v>
      </c>
      <c r="AK176" s="13">
        <f t="shared" si="164"/>
        <v>2.1590218794584103E-12</v>
      </c>
      <c r="AL176" s="20">
        <f t="shared" si="165"/>
        <v>4.0228505074329168E-12</v>
      </c>
      <c r="AM176" s="59">
        <f t="shared" si="113"/>
        <v>293.33333333333735</v>
      </c>
      <c r="AN176" s="59">
        <f ca="1">AVERAGE(OFFSET($AM$3,0,0,'Données projet'!$E$10+1,1))-AVERAGE(OFFSET($H$3,0,0,'Données projet'!$E$10+1,1))</f>
        <v>293.17014997061574</v>
      </c>
      <c r="AO176" s="59">
        <f t="shared" si="144"/>
        <v>394.32615745219954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18.481906682358183</v>
      </c>
      <c r="AV176" s="21">
        <f>EXP(-LN(2)/25)*AV175+(1-EXP(-LN(2)/25))/(LN(2)/25)*Calculateur!AQ176*Calculateur!AS176*VLOOKUP('Données projet'!$B$10,Paramètres!$A$1:$I$89,3,0)*0.475*44/12</f>
        <v>2.4804490532855086</v>
      </c>
      <c r="AW176" s="21">
        <f>EXP(-LN(2)/2)*AW175+(1-EXP(-LN(2)/2))/(LN(2)/2)*AQ176*AT176*VLOOKUP('Données projet'!$B$10,Paramètres!$A$1:$I$89,3,0)*0.475*44/12</f>
        <v>8.8753465620084107E-17</v>
      </c>
      <c r="AX176" s="21">
        <f t="shared" si="166"/>
        <v>20.96235573564369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395.14818708356353</v>
      </c>
      <c r="BJ176" s="59">
        <f t="shared" si="146"/>
        <v>311.78229491474491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48.052223212093281</v>
      </c>
      <c r="BQ176" s="21">
        <f>EXP(-LN(2)/25)*BQ175+(1-EXP(-LN(2)/25))/(LN(2)/25)*Calculateur!BL176*Calculateur!BN176*VLOOKUP('Données projet'!$B$11,Paramètres!$A$1:$I$89,3,0)*0.475*44/12</f>
        <v>7.5838081190375712</v>
      </c>
      <c r="BR176" s="21">
        <f>EXP(-LN(2)/2)*BR175+(1-EXP(-LN(2)/2))/(LN(2)/2)*BL176*BO176*VLOOKUP('Données projet'!$B$11,Paramètres!$A$1:$I$89,3,0)*0.475*44/12</f>
        <v>4.1899650738316776E-7</v>
      </c>
      <c r="BS176" s="22">
        <f t="shared" si="169"/>
        <v>55.636031750127358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4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467.01165577563029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1.064108801074326E-13</v>
      </c>
      <c r="P177" s="13">
        <f t="shared" si="141"/>
        <v>1.5870730813698654E-12</v>
      </c>
      <c r="Q177" s="20">
        <f t="shared" si="162"/>
        <v>2.9494845662396269E-12</v>
      </c>
      <c r="R177" s="59">
        <f t="shared" si="109"/>
        <v>293.33333333333627</v>
      </c>
      <c r="S177" s="59">
        <f ca="1">AVERAGE(OFFSET($R$3,0,0,'Données projet'!$E$9+1,1))-AVERAGE(OFFSET($H$3,0,0,'Données projet'!$E$9+1,1))</f>
        <v>291.3013645858839</v>
      </c>
      <c r="T177" s="59">
        <f t="shared" si="142"/>
        <v>332.89241887762438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29.163621542373434</v>
      </c>
      <c r="AA177" s="21">
        <f>EXP(-LN(2)/25)*AA176+(1-EXP(-LN(2)/25))/(LN(2)/25)*Calculateur!V177*Calculateur!X177*VLOOKUP('Données projet'!$B$9,Paramètres!$A$1:$I$89,3,0)*0.475*44/12</f>
        <v>4.4521459109589019</v>
      </c>
      <c r="AB177" s="21">
        <f>EXP(-LN(2)/2)*AB176+(1-EXP(-LN(2)/2))/(LN(2)/2)*V177*Y177*VLOOKUP('Données projet'!$B$9,Paramètres!$A$1:$I$89,3,0)*0.475*44/12</f>
        <v>1.4913894796927827E-13</v>
      </c>
      <c r="AC177" s="22">
        <f t="shared" si="163"/>
        <v>33.615767453332488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3.4106051316484809E-13</v>
      </c>
      <c r="AJ177" s="13">
        <f>AI177*VLOOKUP('Données projet'!$B$10,Paramètres!$A$1:$I$89,3,0)*VLOOKUP('Données projet'!$B$10,Paramètres!$A$1:$I$89,5,0)</f>
        <v>1.5074874681886286E-13</v>
      </c>
      <c r="AK177" s="13">
        <f t="shared" si="164"/>
        <v>2.1590218794584103E-12</v>
      </c>
      <c r="AL177" s="20">
        <f t="shared" si="165"/>
        <v>4.0228505074329168E-12</v>
      </c>
      <c r="AM177" s="59">
        <f t="shared" si="113"/>
        <v>293.33333333333735</v>
      </c>
      <c r="AN177" s="59">
        <f ca="1">AVERAGE(OFFSET($AM$3,0,0,'Données projet'!$E$10+1,1))-AVERAGE(OFFSET($H$3,0,0,'Données projet'!$E$10+1,1))</f>
        <v>293.17014997061574</v>
      </c>
      <c r="AO177" s="59">
        <f t="shared" si="144"/>
        <v>394.32615745219954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18.119487765167115</v>
      </c>
      <c r="AV177" s="21">
        <f>EXP(-LN(2)/25)*AV176+(1-EXP(-LN(2)/25))/(LN(2)/25)*Calculateur!AQ177*Calculateur!AS177*VLOOKUP('Données projet'!$B$10,Paramètres!$A$1:$I$89,3,0)*0.475*44/12</f>
        <v>2.4126210434822699</v>
      </c>
      <c r="AW177" s="21">
        <f>EXP(-LN(2)/2)*AW176+(1-EXP(-LN(2)/2))/(LN(2)/2)*AQ177*AT177*VLOOKUP('Données projet'!$B$10,Paramètres!$A$1:$I$89,3,0)*0.475*44/12</f>
        <v>6.275817739376858E-17</v>
      </c>
      <c r="AX177" s="21">
        <f t="shared" si="166"/>
        <v>20.532108808649383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395.14818708356353</v>
      </c>
      <c r="BJ177" s="59">
        <f t="shared" si="146"/>
        <v>311.78229491474491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47.109948423866271</v>
      </c>
      <c r="BQ177" s="21">
        <f>EXP(-LN(2)/25)*BQ176+(1-EXP(-LN(2)/25))/(LN(2)/25)*Calculateur!BL177*Calculateur!BN177*VLOOKUP('Données projet'!$B$11,Paramètres!$A$1:$I$89,3,0)*0.475*44/12</f>
        <v>7.3764284872073533</v>
      </c>
      <c r="BR177" s="21">
        <f>EXP(-LN(2)/2)*BR176+(1-EXP(-LN(2)/2))/(LN(2)/2)*BL177*BO177*VLOOKUP('Données projet'!$B$11,Paramètres!$A$1:$I$89,3,0)*0.475*44/12</f>
        <v>2.9627527166411724E-7</v>
      </c>
      <c r="BS177" s="22">
        <f t="shared" si="169"/>
        <v>54.486377207348902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4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468.19043599076269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1.064108801074326E-13</v>
      </c>
      <c r="P178" s="13">
        <f t="shared" si="141"/>
        <v>1.5870730813698654E-12</v>
      </c>
      <c r="Q178" s="20">
        <f t="shared" si="162"/>
        <v>2.9494845662396269E-12</v>
      </c>
      <c r="R178" s="59">
        <f t="shared" si="109"/>
        <v>293.33333333333627</v>
      </c>
      <c r="S178" s="59">
        <f ca="1">AVERAGE(OFFSET($R$3,0,0,'Données projet'!$E$9+1,1))-AVERAGE(OFFSET($H$3,0,0,'Données projet'!$E$9+1,1))</f>
        <v>291.3013645858839</v>
      </c>
      <c r="T178" s="59">
        <f t="shared" si="142"/>
        <v>332.89241887762438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28.591740711980208</v>
      </c>
      <c r="AA178" s="21">
        <f>EXP(-LN(2)/25)*AA177+(1-EXP(-LN(2)/25))/(LN(2)/25)*Calculateur!V178*Calculateur!X178*VLOOKUP('Données projet'!$B$9,Paramètres!$A$1:$I$89,3,0)*0.475*44/12</f>
        <v>4.3304017468955527</v>
      </c>
      <c r="AB178" s="21">
        <f>EXP(-LN(2)/2)*AB177+(1-EXP(-LN(2)/2))/(LN(2)/2)*V178*Y178*VLOOKUP('Données projet'!$B$9,Paramètres!$A$1:$I$89,3,0)*0.475*44/12</f>
        <v>1.0545716144810435E-13</v>
      </c>
      <c r="AC178" s="22">
        <f t="shared" si="163"/>
        <v>32.922142458875868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3.4106051316484809E-13</v>
      </c>
      <c r="AJ178" s="13">
        <f>AI178*VLOOKUP('Données projet'!$B$10,Paramètres!$A$1:$I$89,3,0)*VLOOKUP('Données projet'!$B$10,Paramètres!$A$1:$I$89,5,0)</f>
        <v>1.5074874681886286E-13</v>
      </c>
      <c r="AK178" s="13">
        <f t="shared" si="164"/>
        <v>2.1590218794584103E-12</v>
      </c>
      <c r="AL178" s="20">
        <f t="shared" si="165"/>
        <v>4.0228505074329168E-12</v>
      </c>
      <c r="AM178" s="59">
        <f t="shared" si="113"/>
        <v>293.33333333333735</v>
      </c>
      <c r="AN178" s="59">
        <f ca="1">AVERAGE(OFFSET($AM$3,0,0,'Données projet'!$E$10+1,1))-AVERAGE(OFFSET($H$3,0,0,'Données projet'!$E$10+1,1))</f>
        <v>293.17014997061574</v>
      </c>
      <c r="AO178" s="59">
        <f t="shared" si="144"/>
        <v>394.32615745219954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17.764175661888451</v>
      </c>
      <c r="AV178" s="21">
        <f>EXP(-LN(2)/25)*AV177+(1-EXP(-LN(2)/25))/(LN(2)/25)*Calculateur!AQ178*Calculateur!AS178*VLOOKUP('Données projet'!$B$10,Paramètres!$A$1:$I$89,3,0)*0.475*44/12</f>
        <v>2.3466477941740207</v>
      </c>
      <c r="AW178" s="21">
        <f>EXP(-LN(2)/2)*AW177+(1-EXP(-LN(2)/2))/(LN(2)/2)*AQ178*AT178*VLOOKUP('Données projet'!$B$10,Paramètres!$A$1:$I$89,3,0)*0.475*44/12</f>
        <v>4.4376732810042053E-17</v>
      </c>
      <c r="AX178" s="21">
        <f t="shared" si="166"/>
        <v>20.110823456062473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395.14818708356353</v>
      </c>
      <c r="BJ178" s="59">
        <f t="shared" si="146"/>
        <v>311.78229491474491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46.18615106950552</v>
      </c>
      <c r="BQ178" s="21">
        <f>EXP(-LN(2)/25)*BQ177+(1-EXP(-LN(2)/25))/(LN(2)/25)*Calculateur!BL178*Calculateur!BN178*VLOOKUP('Données projet'!$B$11,Paramètres!$A$1:$I$89,3,0)*0.475*44/12</f>
        <v>7.1747196623151535</v>
      </c>
      <c r="BR178" s="21">
        <f>EXP(-LN(2)/2)*BR177+(1-EXP(-LN(2)/2))/(LN(2)/2)*BL178*BO178*VLOOKUP('Données projet'!$B$11,Paramètres!$A$1:$I$89,3,0)*0.475*44/12</f>
        <v>2.0949825369158388E-7</v>
      </c>
      <c r="BS178" s="22">
        <f t="shared" si="169"/>
        <v>53.360870941318929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4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469.3690647157693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1.064108801074326E-13</v>
      </c>
      <c r="P179" s="13">
        <f t="shared" si="141"/>
        <v>1.5870730813698654E-12</v>
      </c>
      <c r="Q179" s="20">
        <f t="shared" si="162"/>
        <v>2.9494845662396269E-12</v>
      </c>
      <c r="R179" s="59">
        <f t="shared" si="109"/>
        <v>293.33333333333627</v>
      </c>
      <c r="S179" s="59">
        <f ca="1">AVERAGE(OFFSET($R$3,0,0,'Données projet'!$E$9+1,1))-AVERAGE(OFFSET($H$3,0,0,'Données projet'!$E$9+1,1))</f>
        <v>291.3013645858839</v>
      </c>
      <c r="T179" s="59">
        <f t="shared" si="142"/>
        <v>332.89241887762438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28.031074115858129</v>
      </c>
      <c r="AA179" s="21">
        <f>EXP(-LN(2)/25)*AA178+(1-EXP(-LN(2)/25))/(LN(2)/25)*Calculateur!V179*Calculateur!X179*VLOOKUP('Données projet'!$B$9,Paramètres!$A$1:$I$89,3,0)*0.475*44/12</f>
        <v>4.2119866834007631</v>
      </c>
      <c r="AB179" s="21">
        <f>EXP(-LN(2)/2)*AB178+(1-EXP(-LN(2)/2))/(LN(2)/2)*V179*Y179*VLOOKUP('Données projet'!$B$9,Paramètres!$A$1:$I$89,3,0)*0.475*44/12</f>
        <v>7.4569473984639134E-14</v>
      </c>
      <c r="AC179" s="22">
        <f t="shared" si="163"/>
        <v>32.243060799258963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3.4106051316484809E-13</v>
      </c>
      <c r="AJ179" s="13">
        <f>AI179*VLOOKUP('Données projet'!$B$10,Paramètres!$A$1:$I$89,3,0)*VLOOKUP('Données projet'!$B$10,Paramètres!$A$1:$I$89,5,0)</f>
        <v>1.5074874681886286E-13</v>
      </c>
      <c r="AK179" s="13">
        <f t="shared" si="164"/>
        <v>2.1590218794584103E-12</v>
      </c>
      <c r="AL179" s="20">
        <f t="shared" si="165"/>
        <v>4.0228505074329168E-12</v>
      </c>
      <c r="AM179" s="59">
        <f t="shared" si="113"/>
        <v>293.33333333333735</v>
      </c>
      <c r="AN179" s="59">
        <f ca="1">AVERAGE(OFFSET($AM$3,0,0,'Données projet'!$E$10+1,1))-AVERAGE(OFFSET($H$3,0,0,'Données projet'!$E$10+1,1))</f>
        <v>293.17014997061574</v>
      </c>
      <c r="AO179" s="59">
        <f t="shared" si="144"/>
        <v>394.32615745219954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17.415831012236097</v>
      </c>
      <c r="AV179" s="21">
        <f>EXP(-LN(2)/25)*AV178+(1-EXP(-LN(2)/25))/(LN(2)/25)*Calculateur!AQ179*Calculateur!AS179*VLOOKUP('Données projet'!$B$10,Paramètres!$A$1:$I$89,3,0)*0.475*44/12</f>
        <v>2.2824785868374877</v>
      </c>
      <c r="AW179" s="21">
        <f>EXP(-LN(2)/2)*AW178+(1-EXP(-LN(2)/2))/(LN(2)/2)*AQ179*AT179*VLOOKUP('Données projet'!$B$10,Paramètres!$A$1:$I$89,3,0)*0.475*44/12</f>
        <v>3.137908869688429E-17</v>
      </c>
      <c r="AX179" s="21">
        <f t="shared" si="166"/>
        <v>19.698309599073585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395.14818708356353</v>
      </c>
      <c r="BJ179" s="59">
        <f t="shared" si="146"/>
        <v>311.78229491474491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45.280468817803033</v>
      </c>
      <c r="BQ179" s="21">
        <f>EXP(-LN(2)/25)*BQ178+(1-EXP(-LN(2)/25))/(LN(2)/25)*Calculateur!BL179*Calculateur!BN179*VLOOKUP('Données projet'!$B$11,Paramètres!$A$1:$I$89,3,0)*0.475*44/12</f>
        <v>6.9785265758470363</v>
      </c>
      <c r="BR179" s="21">
        <f>EXP(-LN(2)/2)*BR178+(1-EXP(-LN(2)/2))/(LN(2)/2)*BL179*BO179*VLOOKUP('Données projet'!$B$11,Paramètres!$A$1:$I$89,3,0)*0.475*44/12</f>
        <v>1.4813763583205862E-7</v>
      </c>
      <c r="BS179" s="22">
        <f t="shared" si="169"/>
        <v>52.258995541787705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4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470.54754291127216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1.064108801074326E-13</v>
      </c>
      <c r="P180" s="13">
        <f t="shared" si="141"/>
        <v>1.5870730813698654E-12</v>
      </c>
      <c r="Q180" s="20">
        <f t="shared" si="162"/>
        <v>2.9494845662396269E-12</v>
      </c>
      <c r="R180" s="59">
        <f t="shared" si="109"/>
        <v>293.33333333333627</v>
      </c>
      <c r="S180" s="59">
        <f ca="1">AVERAGE(OFFSET($R$3,0,0,'Données projet'!$E$9+1,1))-AVERAGE(OFFSET($H$3,0,0,'Données projet'!$E$9+1,1))</f>
        <v>291.3013645858839</v>
      </c>
      <c r="T180" s="59">
        <f t="shared" si="142"/>
        <v>332.89241887762438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27.481401849713148</v>
      </c>
      <c r="AA180" s="21">
        <f>EXP(-LN(2)/25)*AA179+(1-EXP(-LN(2)/25))/(LN(2)/25)*Calculateur!V180*Calculateur!X180*VLOOKUP('Données projet'!$B$9,Paramètres!$A$1:$I$89,3,0)*0.475*44/12</f>
        <v>4.0968096860444163</v>
      </c>
      <c r="AB180" s="21">
        <f>EXP(-LN(2)/2)*AB179+(1-EXP(-LN(2)/2))/(LN(2)/2)*V180*Y180*VLOOKUP('Données projet'!$B$9,Paramètres!$A$1:$I$89,3,0)*0.475*44/12</f>
        <v>5.2728580724052173E-14</v>
      </c>
      <c r="AC180" s="22">
        <f t="shared" si="163"/>
        <v>31.578211535757617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3.4106051316484809E-13</v>
      </c>
      <c r="AJ180" s="13">
        <f>AI180*VLOOKUP('Données projet'!$B$10,Paramètres!$A$1:$I$89,3,0)*VLOOKUP('Données projet'!$B$10,Paramètres!$A$1:$I$89,5,0)</f>
        <v>1.5074874681886286E-13</v>
      </c>
      <c r="AK180" s="13">
        <f t="shared" si="164"/>
        <v>2.1590218794584103E-12</v>
      </c>
      <c r="AL180" s="20">
        <f t="shared" si="165"/>
        <v>4.0228505074329168E-12</v>
      </c>
      <c r="AM180" s="59">
        <f t="shared" si="113"/>
        <v>293.33333333333735</v>
      </c>
      <c r="AN180" s="59">
        <f ca="1">AVERAGE(OFFSET($AM$3,0,0,'Données projet'!$E$10+1,1))-AVERAGE(OFFSET($H$3,0,0,'Données projet'!$E$10+1,1))</f>
        <v>293.17014997061574</v>
      </c>
      <c r="AO180" s="59">
        <f t="shared" si="144"/>
        <v>394.32615745219954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17.07431718869417</v>
      </c>
      <c r="AV180" s="21">
        <f>EXP(-LN(2)/25)*AV179+(1-EXP(-LN(2)/25))/(LN(2)/25)*Calculateur!AQ180*Calculateur!AS180*VLOOKUP('Données projet'!$B$10,Paramètres!$A$1:$I$89,3,0)*0.475*44/12</f>
        <v>2.2200640898500845</v>
      </c>
      <c r="AW180" s="21">
        <f>EXP(-LN(2)/2)*AW179+(1-EXP(-LN(2)/2))/(LN(2)/2)*AQ180*AT180*VLOOKUP('Données projet'!$B$10,Paramètres!$A$1:$I$89,3,0)*0.475*44/12</f>
        <v>2.2188366405021027E-17</v>
      </c>
      <c r="AX180" s="21">
        <f t="shared" si="166"/>
        <v>19.294381278544254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395.14818708356353</v>
      </c>
      <c r="BJ180" s="59">
        <f t="shared" si="146"/>
        <v>311.78229491474491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44.392546442644807</v>
      </c>
      <c r="BQ180" s="21">
        <f>EXP(-LN(2)/25)*BQ179+(1-EXP(-LN(2)/25))/(LN(2)/25)*Calculateur!BL180*Calculateur!BN180*VLOOKUP('Données projet'!$B$11,Paramètres!$A$1:$I$89,3,0)*0.475*44/12</f>
        <v>6.7876983996457358</v>
      </c>
      <c r="BR180" s="21">
        <f>EXP(-LN(2)/2)*BR179+(1-EXP(-LN(2)/2))/(LN(2)/2)*BL180*BO180*VLOOKUP('Données projet'!$B$11,Paramètres!$A$1:$I$89,3,0)*0.475*44/12</f>
        <v>1.0474912684579194E-7</v>
      </c>
      <c r="BS180" s="22">
        <f t="shared" si="169"/>
        <v>51.180244947039668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4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471.7258715264108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1.064108801074326E-13</v>
      </c>
      <c r="P181" s="13">
        <f t="shared" si="141"/>
        <v>1.5870730813698654E-12</v>
      </c>
      <c r="Q181" s="20">
        <f t="shared" si="162"/>
        <v>2.9494845662396269E-12</v>
      </c>
      <c r="R181" s="59">
        <f t="shared" si="109"/>
        <v>293.33333333333627</v>
      </c>
      <c r="S181" s="59">
        <f ca="1">AVERAGE(OFFSET($R$3,0,0,'Données projet'!$E$9+1,1))-AVERAGE(OFFSET($H$3,0,0,'Données projet'!$E$9+1,1))</f>
        <v>291.3013645858839</v>
      </c>
      <c r="T181" s="59">
        <f t="shared" si="142"/>
        <v>332.89241887762438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26.94250832144029</v>
      </c>
      <c r="AA181" s="21">
        <f>EXP(-LN(2)/25)*AA180+(1-EXP(-LN(2)/25))/(LN(2)/25)*Calculateur!V181*Calculateur!X181*VLOOKUP('Données projet'!$B$9,Paramètres!$A$1:$I$89,3,0)*0.475*44/12</f>
        <v>3.9847822097376739</v>
      </c>
      <c r="AB181" s="21">
        <f>EXP(-LN(2)/2)*AB180+(1-EXP(-LN(2)/2))/(LN(2)/2)*V181*Y181*VLOOKUP('Données projet'!$B$9,Paramètres!$A$1:$I$89,3,0)*0.475*44/12</f>
        <v>3.7284736992319567E-14</v>
      </c>
      <c r="AC181" s="22">
        <f t="shared" si="163"/>
        <v>30.927290531177999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3.4106051316484809E-13</v>
      </c>
      <c r="AJ181" s="13">
        <f>AI181*VLOOKUP('Données projet'!$B$10,Paramètres!$A$1:$I$89,3,0)*VLOOKUP('Données projet'!$B$10,Paramètres!$A$1:$I$89,5,0)</f>
        <v>1.5074874681886286E-13</v>
      </c>
      <c r="AK181" s="13">
        <f t="shared" si="164"/>
        <v>2.1590218794584103E-12</v>
      </c>
      <c r="AL181" s="20">
        <f t="shared" si="165"/>
        <v>4.0228505074329168E-12</v>
      </c>
      <c r="AM181" s="59">
        <f t="shared" si="113"/>
        <v>293.33333333333735</v>
      </c>
      <c r="AN181" s="59">
        <f ca="1">AVERAGE(OFFSET($AM$3,0,0,'Données projet'!$E$10+1,1))-AVERAGE(OFFSET($H$3,0,0,'Données projet'!$E$10+1,1))</f>
        <v>293.17014997061574</v>
      </c>
      <c r="AO181" s="59">
        <f t="shared" si="144"/>
        <v>394.32615745219954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16.739500242929036</v>
      </c>
      <c r="AV181" s="21">
        <f>EXP(-LN(2)/25)*AV180+(1-EXP(-LN(2)/25))/(LN(2)/25)*Calculateur!AQ181*Calculateur!AS181*VLOOKUP('Données projet'!$B$10,Paramètres!$A$1:$I$89,3,0)*0.475*44/12</f>
        <v>2.1593563205650375</v>
      </c>
      <c r="AW181" s="21">
        <f>EXP(-LN(2)/2)*AW180+(1-EXP(-LN(2)/2))/(LN(2)/2)*AQ181*AT181*VLOOKUP('Données projet'!$B$10,Paramètres!$A$1:$I$89,3,0)*0.475*44/12</f>
        <v>1.5689544348442145E-17</v>
      </c>
      <c r="AX181" s="21">
        <f t="shared" si="166"/>
        <v>18.898856563494075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395.14818708356353</v>
      </c>
      <c r="BJ181" s="59">
        <f t="shared" si="146"/>
        <v>311.78229491474491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43.522035683684265</v>
      </c>
      <c r="BQ181" s="21">
        <f>EXP(-LN(2)/25)*BQ180+(1-EXP(-LN(2)/25))/(LN(2)/25)*Calculateur!BL181*Calculateur!BN181*VLOOKUP('Données projet'!$B$11,Paramètres!$A$1:$I$89,3,0)*0.475*44/12</f>
        <v>6.6020884299578775</v>
      </c>
      <c r="BR181" s="21">
        <f>EXP(-LN(2)/2)*BR180+(1-EXP(-LN(2)/2))/(LN(2)/2)*BL181*BO181*VLOOKUP('Données projet'!$B$11,Paramètres!$A$1:$I$89,3,0)*0.475*44/12</f>
        <v>7.4068817916029311E-8</v>
      </c>
      <c r="BS181" s="22">
        <f t="shared" si="169"/>
        <v>50.124124187710954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4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472.90405149904302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1.064108801074326E-13</v>
      </c>
      <c r="P182" s="13">
        <f t="shared" si="141"/>
        <v>1.5870730813698654E-12</v>
      </c>
      <c r="Q182" s="20">
        <f t="shared" si="162"/>
        <v>2.9494845662396269E-12</v>
      </c>
      <c r="R182" s="59">
        <f t="shared" si="109"/>
        <v>293.33333333333627</v>
      </c>
      <c r="S182" s="59">
        <f ca="1">AVERAGE(OFFSET($R$3,0,0,'Données projet'!$E$9+1,1))-AVERAGE(OFFSET($H$3,0,0,'Données projet'!$E$9+1,1))</f>
        <v>291.3013645858839</v>
      </c>
      <c r="T182" s="59">
        <f t="shared" si="142"/>
        <v>332.89241887762438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26.414182166564267</v>
      </c>
      <c r="AA182" s="21">
        <f>EXP(-LN(2)/25)*AA181+(1-EXP(-LN(2)/25))/(LN(2)/25)*Calculateur!V182*Calculateur!X182*VLOOKUP('Données projet'!$B$9,Paramètres!$A$1:$I$89,3,0)*0.475*44/12</f>
        <v>3.8758181306618082</v>
      </c>
      <c r="AB182" s="21">
        <f>EXP(-LN(2)/2)*AB181+(1-EXP(-LN(2)/2))/(LN(2)/2)*V182*Y182*VLOOKUP('Données projet'!$B$9,Paramètres!$A$1:$I$89,3,0)*0.475*44/12</f>
        <v>2.6364290362026087E-14</v>
      </c>
      <c r="AC182" s="22">
        <f t="shared" si="163"/>
        <v>30.290000297226101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3.4106051316484809E-13</v>
      </c>
      <c r="AJ182" s="13">
        <f>AI182*VLOOKUP('Données projet'!$B$10,Paramètres!$A$1:$I$89,3,0)*VLOOKUP('Données projet'!$B$10,Paramètres!$A$1:$I$89,5,0)</f>
        <v>1.5074874681886286E-13</v>
      </c>
      <c r="AK182" s="13">
        <f t="shared" si="164"/>
        <v>2.1590218794584103E-12</v>
      </c>
      <c r="AL182" s="20">
        <f t="shared" si="165"/>
        <v>4.0228505074329168E-12</v>
      </c>
      <c r="AM182" s="59">
        <f t="shared" si="113"/>
        <v>293.33333333333735</v>
      </c>
      <c r="AN182" s="59">
        <f ca="1">AVERAGE(OFFSET($AM$3,0,0,'Données projet'!$E$10+1,1))-AVERAGE(OFFSET($H$3,0,0,'Données projet'!$E$10+1,1))</f>
        <v>293.17014997061574</v>
      </c>
      <c r="AO182" s="59">
        <f t="shared" si="144"/>
        <v>394.32615745219954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16.411248853252182</v>
      </c>
      <c r="AV182" s="21">
        <f>EXP(-LN(2)/25)*AV181+(1-EXP(-LN(2)/25))/(LN(2)/25)*Calculateur!AQ182*Calculateur!AS182*VLOOKUP('Données projet'!$B$10,Paramètres!$A$1:$I$89,3,0)*0.475*44/12</f>
        <v>2.1003086084235729</v>
      </c>
      <c r="AW182" s="21">
        <f>EXP(-LN(2)/2)*AW181+(1-EXP(-LN(2)/2))/(LN(2)/2)*AQ182*AT182*VLOOKUP('Données projet'!$B$10,Paramètres!$A$1:$I$89,3,0)*0.475*44/12</f>
        <v>1.1094183202510513E-17</v>
      </c>
      <c r="AX182" s="21">
        <f t="shared" si="166"/>
        <v>18.511557461675757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395.14818708356353</v>
      </c>
      <c r="BJ182" s="59">
        <f t="shared" si="146"/>
        <v>311.78229491474491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42.668595109747805</v>
      </c>
      <c r="BQ182" s="21">
        <f>EXP(-LN(2)/25)*BQ181+(1-EXP(-LN(2)/25))/(LN(2)/25)*Calculateur!BL182*Calculateur!BN182*VLOOKUP('Données projet'!$B$11,Paramètres!$A$1:$I$89,3,0)*0.475*44/12</f>
        <v>6.4215539746519381</v>
      </c>
      <c r="BR182" s="21">
        <f>EXP(-LN(2)/2)*BR181+(1-EXP(-LN(2)/2))/(LN(2)/2)*BL182*BO182*VLOOKUP('Données projet'!$B$11,Paramètres!$A$1:$I$89,3,0)*0.475*44/12</f>
        <v>5.237456342289597E-8</v>
      </c>
      <c r="BS182" s="22">
        <f t="shared" si="169"/>
        <v>49.090149136774308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4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474.08208375594126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1.064108801074326E-13</v>
      </c>
      <c r="P183" s="13">
        <f t="shared" si="141"/>
        <v>1.5870730813698654E-12</v>
      </c>
      <c r="Q183" s="20">
        <f t="shared" si="162"/>
        <v>2.9494845662396269E-12</v>
      </c>
      <c r="R183" s="59">
        <f t="shared" si="109"/>
        <v>293.33333333333627</v>
      </c>
      <c r="S183" s="59">
        <f ca="1">AVERAGE(OFFSET($R$3,0,0,'Données projet'!$E$9+1,1))-AVERAGE(OFFSET($H$3,0,0,'Données projet'!$E$9+1,1))</f>
        <v>291.3013645858839</v>
      </c>
      <c r="T183" s="59">
        <f t="shared" si="142"/>
        <v>332.89241887762438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25.896216165338227</v>
      </c>
      <c r="AA183" s="21">
        <f>EXP(-LN(2)/25)*AA182+(1-EXP(-LN(2)/25))/(LN(2)/25)*Calculateur!V183*Calculateur!X183*VLOOKUP('Données projet'!$B$9,Paramètres!$A$1:$I$89,3,0)*0.475*44/12</f>
        <v>3.769833680058444</v>
      </c>
      <c r="AB183" s="21">
        <f>EXP(-LN(2)/2)*AB182+(1-EXP(-LN(2)/2))/(LN(2)/2)*V183*Y183*VLOOKUP('Données projet'!$B$9,Paramètres!$A$1:$I$89,3,0)*0.475*44/12</f>
        <v>1.8642368496159784E-14</v>
      </c>
      <c r="AC183" s="22">
        <f t="shared" si="163"/>
        <v>29.666049845396689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3.4106051316484809E-13</v>
      </c>
      <c r="AJ183" s="13">
        <f>AI183*VLOOKUP('Données projet'!$B$10,Paramètres!$A$1:$I$89,3,0)*VLOOKUP('Données projet'!$B$10,Paramètres!$A$1:$I$89,5,0)</f>
        <v>1.5074874681886286E-13</v>
      </c>
      <c r="AK183" s="13">
        <f t="shared" si="164"/>
        <v>2.1590218794584103E-12</v>
      </c>
      <c r="AL183" s="20">
        <f t="shared" si="165"/>
        <v>4.0228505074329168E-12</v>
      </c>
      <c r="AM183" s="59">
        <f t="shared" si="113"/>
        <v>293.33333333333735</v>
      </c>
      <c r="AN183" s="59">
        <f ca="1">AVERAGE(OFFSET($AM$3,0,0,'Données projet'!$E$10+1,1))-AVERAGE(OFFSET($H$3,0,0,'Données projet'!$E$10+1,1))</f>
        <v>293.17014997061574</v>
      </c>
      <c r="AO183" s="59">
        <f t="shared" si="144"/>
        <v>394.32615745219954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16.089434273113316</v>
      </c>
      <c r="AV183" s="21">
        <f>EXP(-LN(2)/25)*AV182+(1-EXP(-LN(2)/25))/(LN(2)/25)*Calculateur!AQ183*Calculateur!AS183*VLOOKUP('Données projet'!$B$10,Paramètres!$A$1:$I$89,3,0)*0.475*44/12</f>
        <v>2.0428755590758008</v>
      </c>
      <c r="AW183" s="21">
        <f>EXP(-LN(2)/2)*AW182+(1-EXP(-LN(2)/2))/(LN(2)/2)*AQ183*AT183*VLOOKUP('Données projet'!$B$10,Paramètres!$A$1:$I$89,3,0)*0.475*44/12</f>
        <v>7.8447721742210725E-18</v>
      </c>
      <c r="AX183" s="21">
        <f t="shared" si="166"/>
        <v>18.132309832189115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395.14818708356353</v>
      </c>
      <c r="BJ183" s="59">
        <f t="shared" si="146"/>
        <v>311.78229491474491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41.831889984918888</v>
      </c>
      <c r="BQ183" s="21">
        <f>EXP(-LN(2)/25)*BQ182+(1-EXP(-LN(2)/25))/(LN(2)/25)*Calculateur!BL183*Calculateur!BN183*VLOOKUP('Données projet'!$B$11,Paramètres!$A$1:$I$89,3,0)*0.475*44/12</f>
        <v>6.2459562435202338</v>
      </c>
      <c r="BR183" s="21">
        <f>EXP(-LN(2)/2)*BR182+(1-EXP(-LN(2)/2))/(LN(2)/2)*BL183*BO183*VLOOKUP('Données projet'!$B$11,Paramètres!$A$1:$I$89,3,0)*0.475*44/12</f>
        <v>3.7034408958014655E-8</v>
      </c>
      <c r="BS183" s="22">
        <f t="shared" si="169"/>
        <v>48.077846265473532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4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475.25996921298474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1.064108801074326E-13</v>
      </c>
      <c r="P184" s="13">
        <f t="shared" si="141"/>
        <v>1.5870730813698654E-12</v>
      </c>
      <c r="Q184" s="20">
        <f t="shared" si="162"/>
        <v>2.9494845662396269E-12</v>
      </c>
      <c r="R184" s="59">
        <f t="shared" si="109"/>
        <v>293.33333333333627</v>
      </c>
      <c r="S184" s="59">
        <f ca="1">AVERAGE(OFFSET($R$3,0,0,'Données projet'!$E$9+1,1))-AVERAGE(OFFSET($H$3,0,0,'Données projet'!$E$9+1,1))</f>
        <v>291.3013645858839</v>
      </c>
      <c r="T184" s="59">
        <f t="shared" si="142"/>
        <v>332.89241887762438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25.388407161468166</v>
      </c>
      <c r="AA184" s="21">
        <f>EXP(-LN(2)/25)*AA183+(1-EXP(-LN(2)/25))/(LN(2)/25)*Calculateur!V184*Calculateur!X184*VLOOKUP('Données projet'!$B$9,Paramètres!$A$1:$I$89,3,0)*0.475*44/12</f>
        <v>3.6667473798303085</v>
      </c>
      <c r="AB184" s="21">
        <f>EXP(-LN(2)/2)*AB183+(1-EXP(-LN(2)/2))/(LN(2)/2)*V184*Y184*VLOOKUP('Données projet'!$B$9,Paramètres!$A$1:$I$89,3,0)*0.475*44/12</f>
        <v>1.3182145181013043E-14</v>
      </c>
      <c r="AC184" s="22">
        <f t="shared" si="163"/>
        <v>29.055154541298489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3.4106051316484809E-13</v>
      </c>
      <c r="AJ184" s="13">
        <f>AI184*VLOOKUP('Données projet'!$B$10,Paramètres!$A$1:$I$89,3,0)*VLOOKUP('Données projet'!$B$10,Paramètres!$A$1:$I$89,5,0)</f>
        <v>1.5074874681886286E-13</v>
      </c>
      <c r="AK184" s="13">
        <f t="shared" si="164"/>
        <v>2.1590218794584103E-12</v>
      </c>
      <c r="AL184" s="20">
        <f t="shared" si="165"/>
        <v>4.0228505074329168E-12</v>
      </c>
      <c r="AM184" s="59">
        <f t="shared" si="113"/>
        <v>293.33333333333735</v>
      </c>
      <c r="AN184" s="59">
        <f ca="1">AVERAGE(OFFSET($AM$3,0,0,'Données projet'!$E$10+1,1))-AVERAGE(OFFSET($H$3,0,0,'Données projet'!$E$10+1,1))</f>
        <v>293.17014997061574</v>
      </c>
      <c r="AO184" s="59">
        <f t="shared" si="144"/>
        <v>394.32615745219954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15.773930280603459</v>
      </c>
      <c r="AV184" s="21">
        <f>EXP(-LN(2)/25)*AV183+(1-EXP(-LN(2)/25))/(LN(2)/25)*Calculateur!AQ184*Calculateur!AS184*VLOOKUP('Données projet'!$B$10,Paramètres!$A$1:$I$89,3,0)*0.475*44/12</f>
        <v>1.9870130194827165</v>
      </c>
      <c r="AW184" s="21">
        <f>EXP(-LN(2)/2)*AW183+(1-EXP(-LN(2)/2))/(LN(2)/2)*AQ184*AT184*VLOOKUP('Données projet'!$B$10,Paramètres!$A$1:$I$89,3,0)*0.475*44/12</f>
        <v>5.5470916012552567E-18</v>
      </c>
      <c r="AX184" s="21">
        <f t="shared" si="166"/>
        <v>17.760943300086176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395.14818708356353</v>
      </c>
      <c r="BJ184" s="59">
        <f t="shared" si="146"/>
        <v>311.78229491474491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41.01159213724813</v>
      </c>
      <c r="BQ184" s="21">
        <f>EXP(-LN(2)/25)*BQ183+(1-EXP(-LN(2)/25))/(LN(2)/25)*Calculateur!BL184*Calculateur!BN184*VLOOKUP('Données projet'!$B$11,Paramètres!$A$1:$I$89,3,0)*0.475*44/12</f>
        <v>6.0751602415806092</v>
      </c>
      <c r="BR184" s="21">
        <f>EXP(-LN(2)/2)*BR183+(1-EXP(-LN(2)/2))/(LN(2)/2)*BL184*BO184*VLOOKUP('Données projet'!$B$11,Paramètres!$A$1:$I$89,3,0)*0.475*44/12</f>
        <v>2.6187281711447985E-8</v>
      </c>
      <c r="BS184" s="22">
        <f t="shared" si="169"/>
        <v>47.086752405016021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4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476.43770877534655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1.064108801074326E-13</v>
      </c>
      <c r="P185" s="13">
        <f t="shared" si="141"/>
        <v>1.5870730813698654E-12</v>
      </c>
      <c r="Q185" s="20">
        <f t="shared" si="162"/>
        <v>2.9494845662396269E-12</v>
      </c>
      <c r="R185" s="59">
        <f t="shared" si="109"/>
        <v>293.33333333333627</v>
      </c>
      <c r="S185" s="59">
        <f ca="1">AVERAGE(OFFSET($R$3,0,0,'Données projet'!$E$9+1,1))-AVERAGE(OFFSET($H$3,0,0,'Données projet'!$E$9+1,1))</f>
        <v>291.3013645858839</v>
      </c>
      <c r="T185" s="59">
        <f t="shared" si="142"/>
        <v>332.89241887762438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24.890555982431088</v>
      </c>
      <c r="AA185" s="21">
        <f>EXP(-LN(2)/25)*AA184+(1-EXP(-LN(2)/25))/(LN(2)/25)*Calculateur!V185*Calculateur!X185*VLOOKUP('Données projet'!$B$9,Paramètres!$A$1:$I$89,3,0)*0.475*44/12</f>
        <v>3.5664799799029847</v>
      </c>
      <c r="AB185" s="21">
        <f>EXP(-LN(2)/2)*AB184+(1-EXP(-LN(2)/2))/(LN(2)/2)*V185*Y185*VLOOKUP('Données projet'!$B$9,Paramètres!$A$1:$I$89,3,0)*0.475*44/12</f>
        <v>9.3211842480798918E-15</v>
      </c>
      <c r="AC185" s="22">
        <f t="shared" si="163"/>
        <v>28.457035962334086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3.4106051316484809E-13</v>
      </c>
      <c r="AJ185" s="13">
        <f>AI185*VLOOKUP('Données projet'!$B$10,Paramètres!$A$1:$I$89,3,0)*VLOOKUP('Données projet'!$B$10,Paramètres!$A$1:$I$89,5,0)</f>
        <v>1.5074874681886286E-13</v>
      </c>
      <c r="AK185" s="13">
        <f t="shared" si="164"/>
        <v>2.1590218794584103E-12</v>
      </c>
      <c r="AL185" s="20">
        <f t="shared" si="165"/>
        <v>4.0228505074329168E-12</v>
      </c>
      <c r="AM185" s="59">
        <f t="shared" si="113"/>
        <v>293.33333333333735</v>
      </c>
      <c r="AN185" s="59">
        <f ca="1">AVERAGE(OFFSET($AM$3,0,0,'Données projet'!$E$10+1,1))-AVERAGE(OFFSET($H$3,0,0,'Données projet'!$E$10+1,1))</f>
        <v>293.17014997061574</v>
      </c>
      <c r="AO185" s="59">
        <f t="shared" si="144"/>
        <v>394.32615745219954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15.464613128948287</v>
      </c>
      <c r="AV185" s="21">
        <f>EXP(-LN(2)/25)*AV184+(1-EXP(-LN(2)/25))/(LN(2)/25)*Calculateur!AQ185*Calculateur!AS185*VLOOKUP('Données projet'!$B$10,Paramètres!$A$1:$I$89,3,0)*0.475*44/12</f>
        <v>1.9326780439724882</v>
      </c>
      <c r="AW185" s="21">
        <f>EXP(-LN(2)/2)*AW184+(1-EXP(-LN(2)/2))/(LN(2)/2)*AQ185*AT185*VLOOKUP('Données projet'!$B$10,Paramètres!$A$1:$I$89,3,0)*0.475*44/12</f>
        <v>3.9223860871105362E-18</v>
      </c>
      <c r="AX185" s="21">
        <f t="shared" si="166"/>
        <v>17.397291172920774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395.14818708356353</v>
      </c>
      <c r="BJ185" s="59">
        <f t="shared" si="146"/>
        <v>311.78229491474491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40.207379830037908</v>
      </c>
      <c r="BQ185" s="21">
        <f>EXP(-LN(2)/25)*BQ184+(1-EXP(-LN(2)/25))/(LN(2)/25)*Calculateur!BL185*Calculateur!BN185*VLOOKUP('Données projet'!$B$11,Paramètres!$A$1:$I$89,3,0)*0.475*44/12</f>
        <v>5.9090346652957955</v>
      </c>
      <c r="BR185" s="21">
        <f>EXP(-LN(2)/2)*BR184+(1-EXP(-LN(2)/2))/(LN(2)/2)*BL185*BO185*VLOOKUP('Données projet'!$B$11,Paramètres!$A$1:$I$89,3,0)*0.475*44/12</f>
        <v>1.8517204479007328E-8</v>
      </c>
      <c r="BS185" s="22">
        <f t="shared" si="169"/>
        <v>46.116414513850906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4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477.61530333767718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1.064108801074326E-13</v>
      </c>
      <c r="P186" s="13">
        <f t="shared" si="141"/>
        <v>1.5870730813698654E-12</v>
      </c>
      <c r="Q186" s="20">
        <f t="shared" si="162"/>
        <v>2.9494845662396269E-12</v>
      </c>
      <c r="R186" s="59">
        <f t="shared" si="109"/>
        <v>293.33333333333627</v>
      </c>
      <c r="S186" s="59">
        <f ca="1">AVERAGE(OFFSET($R$3,0,0,'Données projet'!$E$9+1,1))-AVERAGE(OFFSET($H$3,0,0,'Données projet'!$E$9+1,1))</f>
        <v>291.3013645858839</v>
      </c>
      <c r="T186" s="59">
        <f t="shared" si="142"/>
        <v>332.89241887762438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24.402467361355693</v>
      </c>
      <c r="AA186" s="21">
        <f>EXP(-LN(2)/25)*AA185+(1-EXP(-LN(2)/25))/(LN(2)/25)*Calculateur!V186*Calculateur!X186*VLOOKUP('Données projet'!$B$9,Paramètres!$A$1:$I$89,3,0)*0.475*44/12</f>
        <v>3.4689543972995067</v>
      </c>
      <c r="AB186" s="21">
        <f>EXP(-LN(2)/2)*AB185+(1-EXP(-LN(2)/2))/(LN(2)/2)*V186*Y186*VLOOKUP('Données projet'!$B$9,Paramètres!$A$1:$I$89,3,0)*0.475*44/12</f>
        <v>6.5910725905065216E-15</v>
      </c>
      <c r="AC186" s="22">
        <f t="shared" si="163"/>
        <v>27.871421758655206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3.4106051316484809E-13</v>
      </c>
      <c r="AJ186" s="13">
        <f>AI186*VLOOKUP('Données projet'!$B$10,Paramètres!$A$1:$I$89,3,0)*VLOOKUP('Données projet'!$B$10,Paramètres!$A$1:$I$89,5,0)</f>
        <v>1.5074874681886286E-13</v>
      </c>
      <c r="AK186" s="13">
        <f t="shared" si="164"/>
        <v>2.1590218794584103E-12</v>
      </c>
      <c r="AL186" s="20">
        <f t="shared" si="165"/>
        <v>4.0228505074329168E-12</v>
      </c>
      <c r="AM186" s="59">
        <f t="shared" si="113"/>
        <v>293.33333333333735</v>
      </c>
      <c r="AN186" s="59">
        <f ca="1">AVERAGE(OFFSET($AM$3,0,0,'Données projet'!$E$10+1,1))-AVERAGE(OFFSET($H$3,0,0,'Données projet'!$E$10+1,1))</f>
        <v>293.17014997061574</v>
      </c>
      <c r="AO186" s="59">
        <f t="shared" si="144"/>
        <v>394.32615745219954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15.161361497972239</v>
      </c>
      <c r="AV186" s="21">
        <f>EXP(-LN(2)/25)*AV185+(1-EXP(-LN(2)/25))/(LN(2)/25)*Calculateur!AQ186*Calculateur!AS186*VLOOKUP('Données projet'!$B$10,Paramètres!$A$1:$I$89,3,0)*0.475*44/12</f>
        <v>1.8798288612249394</v>
      </c>
      <c r="AW186" s="21">
        <f>EXP(-LN(2)/2)*AW185+(1-EXP(-LN(2)/2))/(LN(2)/2)*AQ186*AT186*VLOOKUP('Données projet'!$B$10,Paramètres!$A$1:$I$89,3,0)*0.475*44/12</f>
        <v>2.7735458006276283E-18</v>
      </c>
      <c r="AX186" s="21">
        <f t="shared" si="166"/>
        <v>17.041190359197177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395.14818708356353</v>
      </c>
      <c r="BJ186" s="59">
        <f t="shared" si="146"/>
        <v>311.78229491474491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39.418937635651012</v>
      </c>
      <c r="BQ186" s="21">
        <f>EXP(-LN(2)/25)*BQ185+(1-EXP(-LN(2)/25))/(LN(2)/25)*Calculateur!BL186*Calculateur!BN186*VLOOKUP('Données projet'!$B$11,Paramètres!$A$1:$I$89,3,0)*0.475*44/12</f>
        <v>5.7474518016306542</v>
      </c>
      <c r="BR186" s="21">
        <f>EXP(-LN(2)/2)*BR185+(1-EXP(-LN(2)/2))/(LN(2)/2)*BL186*BO186*VLOOKUP('Données projet'!$B$11,Paramètres!$A$1:$I$89,3,0)*0.475*44/12</f>
        <v>1.3093640855723992E-8</v>
      </c>
      <c r="BS186" s="22">
        <f t="shared" si="169"/>
        <v>45.166389450375306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4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478.79275378428366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1.064108801074326E-13</v>
      </c>
      <c r="P187" s="13">
        <f t="shared" si="141"/>
        <v>1.5870730813698654E-12</v>
      </c>
      <c r="Q187" s="20">
        <f t="shared" si="162"/>
        <v>2.9494845662396269E-12</v>
      </c>
      <c r="R187" s="59">
        <f t="shared" si="109"/>
        <v>293.33333333333627</v>
      </c>
      <c r="S187" s="59">
        <f ca="1">AVERAGE(OFFSET($R$3,0,0,'Données projet'!$E$9+1,1))-AVERAGE(OFFSET($H$3,0,0,'Données projet'!$E$9+1,1))</f>
        <v>291.3013645858839</v>
      </c>
      <c r="T187" s="59">
        <f t="shared" si="142"/>
        <v>332.89241887762438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23.923949860434924</v>
      </c>
      <c r="AA187" s="21">
        <f>EXP(-LN(2)/25)*AA186+(1-EXP(-LN(2)/25))/(LN(2)/25)*Calculateur!V187*Calculateur!X187*VLOOKUP('Données projet'!$B$9,Paramètres!$A$1:$I$89,3,0)*0.475*44/12</f>
        <v>3.3740956568809684</v>
      </c>
      <c r="AB187" s="21">
        <f>EXP(-LN(2)/2)*AB186+(1-EXP(-LN(2)/2))/(LN(2)/2)*V187*Y187*VLOOKUP('Données projet'!$B$9,Paramètres!$A$1:$I$89,3,0)*0.475*44/12</f>
        <v>4.6605921240399459E-15</v>
      </c>
      <c r="AC187" s="22">
        <f t="shared" si="163"/>
        <v>27.298045517315895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3.4106051316484809E-13</v>
      </c>
      <c r="AJ187" s="13">
        <f>AI187*VLOOKUP('Données projet'!$B$10,Paramètres!$A$1:$I$89,3,0)*VLOOKUP('Données projet'!$B$10,Paramètres!$A$1:$I$89,5,0)</f>
        <v>1.5074874681886286E-13</v>
      </c>
      <c r="AK187" s="13">
        <f t="shared" si="164"/>
        <v>2.1590218794584103E-12</v>
      </c>
      <c r="AL187" s="20">
        <f t="shared" si="165"/>
        <v>4.0228505074329168E-12</v>
      </c>
      <c r="AM187" s="59">
        <f t="shared" si="113"/>
        <v>293.33333333333735</v>
      </c>
      <c r="AN187" s="59">
        <f ca="1">AVERAGE(OFFSET($AM$3,0,0,'Données projet'!$E$10+1,1))-AVERAGE(OFFSET($H$3,0,0,'Données projet'!$E$10+1,1))</f>
        <v>293.17014997061574</v>
      </c>
      <c r="AO187" s="59">
        <f t="shared" si="144"/>
        <v>394.32615745219954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14.8640564465144</v>
      </c>
      <c r="AV187" s="21">
        <f>EXP(-LN(2)/25)*AV186+(1-EXP(-LN(2)/25))/(LN(2)/25)*Calculateur!AQ187*Calculateur!AS187*VLOOKUP('Données projet'!$B$10,Paramètres!$A$1:$I$89,3,0)*0.475*44/12</f>
        <v>1.82842484215884</v>
      </c>
      <c r="AW187" s="21">
        <f>EXP(-LN(2)/2)*AW186+(1-EXP(-LN(2)/2))/(LN(2)/2)*AQ187*AT187*VLOOKUP('Données projet'!$B$10,Paramètres!$A$1:$I$89,3,0)*0.475*44/12</f>
        <v>1.9611930435552681E-18</v>
      </c>
      <c r="AX187" s="21">
        <f t="shared" si="166"/>
        <v>16.692481288673239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395.14818708356353</v>
      </c>
      <c r="BJ187" s="59">
        <f t="shared" si="146"/>
        <v>311.78229491474491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38.645956311793789</v>
      </c>
      <c r="BQ187" s="21">
        <f>EXP(-LN(2)/25)*BQ186+(1-EXP(-LN(2)/25))/(LN(2)/25)*Calculateur!BL187*Calculateur!BN187*VLOOKUP('Données projet'!$B$11,Paramètres!$A$1:$I$89,3,0)*0.475*44/12</f>
        <v>5.5902874298697096</v>
      </c>
      <c r="BR187" s="21">
        <f>EXP(-LN(2)/2)*BR186+(1-EXP(-LN(2)/2))/(LN(2)/2)*BL187*BO187*VLOOKUP('Données projet'!$B$11,Paramètres!$A$1:$I$89,3,0)*0.475*44/12</f>
        <v>9.2586022395036638E-9</v>
      </c>
      <c r="BS187" s="22">
        <f t="shared" si="169"/>
        <v>44.2362437509221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4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479.97006098930456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1.064108801074326E-13</v>
      </c>
      <c r="P188" s="13">
        <f t="shared" si="141"/>
        <v>1.5870730813698654E-12</v>
      </c>
      <c r="Q188" s="20">
        <f t="shared" si="162"/>
        <v>2.9494845662396269E-12</v>
      </c>
      <c r="R188" s="59">
        <f t="shared" si="109"/>
        <v>293.33333333333627</v>
      </c>
      <c r="S188" s="59">
        <f ca="1">AVERAGE(OFFSET($R$3,0,0,'Données projet'!$E$9+1,1))-AVERAGE(OFFSET($H$3,0,0,'Données projet'!$E$9+1,1))</f>
        <v>291.3013645858839</v>
      </c>
      <c r="T188" s="59">
        <f t="shared" si="142"/>
        <v>332.89241887762438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23.454815795840354</v>
      </c>
      <c r="AA188" s="21">
        <f>EXP(-LN(2)/25)*AA187+(1-EXP(-LN(2)/25))/(LN(2)/25)*Calculateur!V188*Calculateur!X188*VLOOKUP('Données projet'!$B$9,Paramètres!$A$1:$I$89,3,0)*0.475*44/12</f>
        <v>3.2818308337075792</v>
      </c>
      <c r="AB188" s="21">
        <f>EXP(-LN(2)/2)*AB187+(1-EXP(-LN(2)/2))/(LN(2)/2)*V188*Y188*VLOOKUP('Données projet'!$B$9,Paramètres!$A$1:$I$89,3,0)*0.475*44/12</f>
        <v>3.2955362952532608E-15</v>
      </c>
      <c r="AC188" s="22">
        <f t="shared" si="163"/>
        <v>26.736646629547938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3.4106051316484809E-13</v>
      </c>
      <c r="AJ188" s="13">
        <f>AI188*VLOOKUP('Données projet'!$B$10,Paramètres!$A$1:$I$89,3,0)*VLOOKUP('Données projet'!$B$10,Paramètres!$A$1:$I$89,5,0)</f>
        <v>1.5074874681886286E-13</v>
      </c>
      <c r="AK188" s="13">
        <f t="shared" si="164"/>
        <v>2.1590218794584103E-12</v>
      </c>
      <c r="AL188" s="20">
        <f t="shared" si="165"/>
        <v>4.0228505074329168E-12</v>
      </c>
      <c r="AM188" s="59">
        <f t="shared" si="113"/>
        <v>293.33333333333735</v>
      </c>
      <c r="AN188" s="59">
        <f ca="1">AVERAGE(OFFSET($AM$3,0,0,'Données projet'!$E$10+1,1))-AVERAGE(OFFSET($H$3,0,0,'Données projet'!$E$10+1,1))</f>
        <v>293.17014997061574</v>
      </c>
      <c r="AO188" s="59">
        <f t="shared" si="144"/>
        <v>394.32615745219954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14.572581365777474</v>
      </c>
      <c r="AV188" s="21">
        <f>EXP(-LN(2)/25)*AV187+(1-EXP(-LN(2)/25))/(LN(2)/25)*Calculateur!AQ188*Calculateur!AS188*VLOOKUP('Données projet'!$B$10,Paramètres!$A$1:$I$89,3,0)*0.475*44/12</f>
        <v>1.778426468697323</v>
      </c>
      <c r="AW188" s="21">
        <f>EXP(-LN(2)/2)*AW187+(1-EXP(-LN(2)/2))/(LN(2)/2)*AQ188*AT188*VLOOKUP('Données projet'!$B$10,Paramètres!$A$1:$I$89,3,0)*0.475*44/12</f>
        <v>1.3867729003138142E-18</v>
      </c>
      <c r="AX188" s="21">
        <f t="shared" si="166"/>
        <v>16.351007834474796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395.14818708356353</v>
      </c>
      <c r="BJ188" s="59">
        <f t="shared" si="146"/>
        <v>311.78229491474491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37.888132680225347</v>
      </c>
      <c r="BQ188" s="21">
        <f>EXP(-LN(2)/25)*BQ187+(1-EXP(-LN(2)/25))/(LN(2)/25)*Calculateur!BL188*Calculateur!BN188*VLOOKUP('Données projet'!$B$11,Paramètres!$A$1:$I$89,3,0)*0.475*44/12</f>
        <v>5.4374207261194831</v>
      </c>
      <c r="BR188" s="21">
        <f>EXP(-LN(2)/2)*BR187+(1-EXP(-LN(2)/2))/(LN(2)/2)*BL188*BO188*VLOOKUP('Données projet'!$B$11,Paramètres!$A$1:$I$89,3,0)*0.475*44/12</f>
        <v>6.5468204278619962E-9</v>
      </c>
      <c r="BS188" s="22">
        <f t="shared" si="169"/>
        <v>43.325553412891651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4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481.1472258168813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1.064108801074326E-13</v>
      </c>
      <c r="P189" s="13">
        <f t="shared" si="141"/>
        <v>1.5870730813698654E-12</v>
      </c>
      <c r="Q189" s="20">
        <f t="shared" si="162"/>
        <v>2.9494845662396269E-12</v>
      </c>
      <c r="R189" s="59">
        <f t="shared" si="109"/>
        <v>293.33333333333627</v>
      </c>
      <c r="S189" s="59">
        <f ca="1">AVERAGE(OFFSET($R$3,0,0,'Données projet'!$E$9+1,1))-AVERAGE(OFFSET($H$3,0,0,'Données projet'!$E$9+1,1))</f>
        <v>291.3013645858839</v>
      </c>
      <c r="T189" s="59">
        <f t="shared" si="142"/>
        <v>332.89241887762438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22.994881164108957</v>
      </c>
      <c r="AA189" s="21">
        <f>EXP(-LN(2)/25)*AA188+(1-EXP(-LN(2)/25))/(LN(2)/25)*Calculateur!V189*Calculateur!X189*VLOOKUP('Données projet'!$B$9,Paramètres!$A$1:$I$89,3,0)*0.475*44/12</f>
        <v>3.1920889969758628</v>
      </c>
      <c r="AB189" s="21">
        <f>EXP(-LN(2)/2)*AB188+(1-EXP(-LN(2)/2))/(LN(2)/2)*V189*Y189*VLOOKUP('Données projet'!$B$9,Paramètres!$A$1:$I$89,3,0)*0.475*44/12</f>
        <v>2.330296062019973E-15</v>
      </c>
      <c r="AC189" s="22">
        <f t="shared" si="163"/>
        <v>26.186970161084822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3.4106051316484809E-13</v>
      </c>
      <c r="AJ189" s="13">
        <f>AI189*VLOOKUP('Données projet'!$B$10,Paramètres!$A$1:$I$89,3,0)*VLOOKUP('Données projet'!$B$10,Paramètres!$A$1:$I$89,5,0)</f>
        <v>1.5074874681886286E-13</v>
      </c>
      <c r="AK189" s="13">
        <f t="shared" si="164"/>
        <v>2.1590218794584103E-12</v>
      </c>
      <c r="AL189" s="20">
        <f t="shared" si="165"/>
        <v>4.0228505074329168E-12</v>
      </c>
      <c r="AM189" s="59">
        <f t="shared" si="113"/>
        <v>293.33333333333735</v>
      </c>
      <c r="AN189" s="59">
        <f ca="1">AVERAGE(OFFSET($AM$3,0,0,'Données projet'!$E$10+1,1))-AVERAGE(OFFSET($H$3,0,0,'Données projet'!$E$10+1,1))</f>
        <v>293.17014997061574</v>
      </c>
      <c r="AO189" s="59">
        <f t="shared" si="144"/>
        <v>394.32615745219954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14.286821933591554</v>
      </c>
      <c r="AV189" s="21">
        <f>EXP(-LN(2)/25)*AV188+(1-EXP(-LN(2)/25))/(LN(2)/25)*Calculateur!AQ189*Calculateur!AS189*VLOOKUP('Données projet'!$B$10,Paramètres!$A$1:$I$89,3,0)*0.475*44/12</f>
        <v>1.7297953033874114</v>
      </c>
      <c r="AW189" s="21">
        <f>EXP(-LN(2)/2)*AW188+(1-EXP(-LN(2)/2))/(LN(2)/2)*AQ189*AT189*VLOOKUP('Données projet'!$B$10,Paramètres!$A$1:$I$89,3,0)*0.475*44/12</f>
        <v>9.8059652177763406E-19</v>
      </c>
      <c r="AX189" s="21">
        <f t="shared" si="166"/>
        <v>16.016617236978966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395.14818708356353</v>
      </c>
      <c r="BJ189" s="59">
        <f t="shared" si="146"/>
        <v>311.78229491474491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37.145169507845189</v>
      </c>
      <c r="BQ189" s="21">
        <f>EXP(-LN(2)/25)*BQ188+(1-EXP(-LN(2)/25))/(LN(2)/25)*Calculateur!BL189*Calculateur!BN189*VLOOKUP('Données projet'!$B$11,Paramètres!$A$1:$I$89,3,0)*0.475*44/12</f>
        <v>5.2887341704222175</v>
      </c>
      <c r="BR189" s="21">
        <f>EXP(-LN(2)/2)*BR188+(1-EXP(-LN(2)/2))/(LN(2)/2)*BL189*BO189*VLOOKUP('Données projet'!$B$11,Paramètres!$A$1:$I$89,3,0)*0.475*44/12</f>
        <v>4.6293011197518319E-9</v>
      </c>
      <c r="BS189" s="22">
        <f t="shared" si="169"/>
        <v>42.433903682896705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4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482.32424912132575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1.064108801074326E-13</v>
      </c>
      <c r="P190" s="13">
        <f t="shared" si="141"/>
        <v>1.5870730813698654E-12</v>
      </c>
      <c r="Q190" s="20">
        <f t="shared" si="162"/>
        <v>2.9494845662396269E-12</v>
      </c>
      <c r="R190" s="59">
        <f t="shared" si="109"/>
        <v>293.33333333333627</v>
      </c>
      <c r="S190" s="59">
        <f ca="1">AVERAGE(OFFSET($R$3,0,0,'Données projet'!$E$9+1,1))-AVERAGE(OFFSET($H$3,0,0,'Données projet'!$E$9+1,1))</f>
        <v>291.3013645858839</v>
      </c>
      <c r="T190" s="59">
        <f t="shared" si="142"/>
        <v>332.89241887762438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22.543965569973388</v>
      </c>
      <c r="AA190" s="21">
        <f>EXP(-LN(2)/25)*AA189+(1-EXP(-LN(2)/25))/(LN(2)/25)*Calculateur!V190*Calculateur!X190*VLOOKUP('Données projet'!$B$9,Paramètres!$A$1:$I$89,3,0)*0.475*44/12</f>
        <v>3.104801155488893</v>
      </c>
      <c r="AB190" s="21">
        <f>EXP(-LN(2)/2)*AB189+(1-EXP(-LN(2)/2))/(LN(2)/2)*V190*Y190*VLOOKUP('Données projet'!$B$9,Paramètres!$A$1:$I$89,3,0)*0.475*44/12</f>
        <v>1.6477681476266304E-15</v>
      </c>
      <c r="AC190" s="22">
        <f t="shared" si="163"/>
        <v>25.648766725462281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3.4106051316484809E-13</v>
      </c>
      <c r="AJ190" s="13">
        <f>AI190*VLOOKUP('Données projet'!$B$10,Paramètres!$A$1:$I$89,3,0)*VLOOKUP('Données projet'!$B$10,Paramètres!$A$1:$I$89,5,0)</f>
        <v>1.5074874681886286E-13</v>
      </c>
      <c r="AK190" s="13">
        <f t="shared" si="164"/>
        <v>2.1590218794584103E-12</v>
      </c>
      <c r="AL190" s="20">
        <f t="shared" si="165"/>
        <v>4.0228505074329168E-12</v>
      </c>
      <c r="AM190" s="59">
        <f t="shared" si="113"/>
        <v>293.33333333333735</v>
      </c>
      <c r="AN190" s="59">
        <f ca="1">AVERAGE(OFFSET($AM$3,0,0,'Données projet'!$E$10+1,1))-AVERAGE(OFFSET($H$3,0,0,'Données projet'!$E$10+1,1))</f>
        <v>293.17014997061574</v>
      </c>
      <c r="AO190" s="59">
        <f t="shared" si="144"/>
        <v>394.32615745219954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14.006666069574758</v>
      </c>
      <c r="AV190" s="21">
        <f>EXP(-LN(2)/25)*AV189+(1-EXP(-LN(2)/25))/(LN(2)/25)*Calculateur!AQ190*Calculateur!AS190*VLOOKUP('Données projet'!$B$10,Paramètres!$A$1:$I$89,3,0)*0.475*44/12</f>
        <v>1.682493959850301</v>
      </c>
      <c r="AW190" s="21">
        <f>EXP(-LN(2)/2)*AW189+(1-EXP(-LN(2)/2))/(LN(2)/2)*AQ190*AT190*VLOOKUP('Données projet'!$B$10,Paramètres!$A$1:$I$89,3,0)*0.475*44/12</f>
        <v>6.9338645015690709E-19</v>
      </c>
      <c r="AX190" s="21">
        <f t="shared" si="166"/>
        <v>15.689160029425059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395.14818708356353</v>
      </c>
      <c r="BJ190" s="59">
        <f t="shared" si="146"/>
        <v>311.78229491474491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36.416775390112619</v>
      </c>
      <c r="BQ190" s="21">
        <f>EXP(-LN(2)/25)*BQ189+(1-EXP(-LN(2)/25))/(LN(2)/25)*Calculateur!BL190*Calculateur!BN190*VLOOKUP('Données projet'!$B$11,Paramètres!$A$1:$I$89,3,0)*0.475*44/12</f>
        <v>5.1441134564095794</v>
      </c>
      <c r="BR190" s="21">
        <f>EXP(-LN(2)/2)*BR189+(1-EXP(-LN(2)/2))/(LN(2)/2)*BL190*BO190*VLOOKUP('Données projet'!$B$11,Paramètres!$A$1:$I$89,3,0)*0.475*44/12</f>
        <v>3.2734102139309981E-9</v>
      </c>
      <c r="BS190" s="22">
        <f t="shared" si="169"/>
        <v>41.56088884979561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4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483.50113174728358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1.064108801074326E-13</v>
      </c>
      <c r="P191" s="13">
        <f t="shared" si="141"/>
        <v>1.5870730813698654E-12</v>
      </c>
      <c r="Q191" s="20">
        <f t="shared" si="162"/>
        <v>2.9494845662396269E-12</v>
      </c>
      <c r="R191" s="59">
        <f t="shared" si="109"/>
        <v>293.33333333333627</v>
      </c>
      <c r="S191" s="59">
        <f ca="1">AVERAGE(OFFSET($R$3,0,0,'Données projet'!$E$9+1,1))-AVERAGE(OFFSET($H$3,0,0,'Données projet'!$E$9+1,1))</f>
        <v>291.3013645858839</v>
      </c>
      <c r="T191" s="59">
        <f t="shared" si="142"/>
        <v>332.89241887762438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22.101892155607462</v>
      </c>
      <c r="AA191" s="21">
        <f>EXP(-LN(2)/25)*AA190+(1-EXP(-LN(2)/25))/(LN(2)/25)*Calculateur!V191*Calculateur!X191*VLOOKUP('Données projet'!$B$9,Paramètres!$A$1:$I$89,3,0)*0.475*44/12</f>
        <v>3.0199002046176524</v>
      </c>
      <c r="AB191" s="21">
        <f>EXP(-LN(2)/2)*AB190+(1-EXP(-LN(2)/2))/(LN(2)/2)*V191*Y191*VLOOKUP('Données projet'!$B$9,Paramètres!$A$1:$I$89,3,0)*0.475*44/12</f>
        <v>1.1651480310099865E-15</v>
      </c>
      <c r="AC191" s="22">
        <f t="shared" si="163"/>
        <v>25.121792360225115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3.4106051316484809E-13</v>
      </c>
      <c r="AJ191" s="13">
        <f>AI191*VLOOKUP('Données projet'!$B$10,Paramètres!$A$1:$I$89,3,0)*VLOOKUP('Données projet'!$B$10,Paramètres!$A$1:$I$89,5,0)</f>
        <v>1.5074874681886286E-13</v>
      </c>
      <c r="AK191" s="13">
        <f t="shared" si="164"/>
        <v>2.1590218794584103E-12</v>
      </c>
      <c r="AL191" s="20">
        <f t="shared" si="165"/>
        <v>4.0228505074329168E-12</v>
      </c>
      <c r="AM191" s="59">
        <f t="shared" si="113"/>
        <v>293.33333333333735</v>
      </c>
      <c r="AN191" s="59">
        <f ca="1">AVERAGE(OFFSET($AM$3,0,0,'Données projet'!$E$10+1,1))-AVERAGE(OFFSET($H$3,0,0,'Données projet'!$E$10+1,1))</f>
        <v>293.17014997061574</v>
      </c>
      <c r="AO191" s="59">
        <f t="shared" si="144"/>
        <v>394.32615745219954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13.732003891173125</v>
      </c>
      <c r="AV191" s="21">
        <f>EXP(-LN(2)/25)*AV190+(1-EXP(-LN(2)/25))/(LN(2)/25)*Calculateur!AQ191*Calculateur!AS191*VLOOKUP('Données projet'!$B$10,Paramètres!$A$1:$I$89,3,0)*0.475*44/12</f>
        <v>1.6364860740396825</v>
      </c>
      <c r="AW191" s="21">
        <f>EXP(-LN(2)/2)*AW190+(1-EXP(-LN(2)/2))/(LN(2)/2)*AQ191*AT191*VLOOKUP('Données projet'!$B$10,Paramètres!$A$1:$I$89,3,0)*0.475*44/12</f>
        <v>4.9029826088881703E-19</v>
      </c>
      <c r="AX191" s="21">
        <f t="shared" si="166"/>
        <v>15.368489965212808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395.14818708356353</v>
      </c>
      <c r="BJ191" s="59">
        <f t="shared" si="146"/>
        <v>311.78229491474491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35.702664636752239</v>
      </c>
      <c r="BQ191" s="21">
        <f>EXP(-LN(2)/25)*BQ190+(1-EXP(-LN(2)/25))/(LN(2)/25)*Calculateur!BL191*Calculateur!BN191*VLOOKUP('Données projet'!$B$11,Paramètres!$A$1:$I$89,3,0)*0.475*44/12</f>
        <v>5.0034474034268897</v>
      </c>
      <c r="BR191" s="21">
        <f>EXP(-LN(2)/2)*BR190+(1-EXP(-LN(2)/2))/(LN(2)/2)*BL191*BO191*VLOOKUP('Données projet'!$B$11,Paramètres!$A$1:$I$89,3,0)*0.475*44/12</f>
        <v>2.314650559875916E-9</v>
      </c>
      <c r="BS191" s="22">
        <f t="shared" si="169"/>
        <v>40.706112042493778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4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484.67787452989506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1.064108801074326E-13</v>
      </c>
      <c r="P192" s="13">
        <f t="shared" si="141"/>
        <v>1.5870730813698654E-12</v>
      </c>
      <c r="Q192" s="20">
        <f t="shared" si="162"/>
        <v>2.9494845662396269E-12</v>
      </c>
      <c r="R192" s="59">
        <f t="shared" si="109"/>
        <v>293.33333333333627</v>
      </c>
      <c r="S192" s="59">
        <f ca="1">AVERAGE(OFFSET($R$3,0,0,'Données projet'!$E$9+1,1))-AVERAGE(OFFSET($H$3,0,0,'Données projet'!$E$9+1,1))</f>
        <v>291.3013645858839</v>
      </c>
      <c r="T192" s="59">
        <f t="shared" si="142"/>
        <v>332.89241887762438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21.668487531259093</v>
      </c>
      <c r="AA192" s="21">
        <f>EXP(-LN(2)/25)*AA191+(1-EXP(-LN(2)/25))/(LN(2)/25)*Calculateur!V192*Calculateur!X192*VLOOKUP('Données projet'!$B$9,Paramètres!$A$1:$I$89,3,0)*0.475*44/12</f>
        <v>2.9373208747127331</v>
      </c>
      <c r="AB192" s="21">
        <f>EXP(-LN(2)/2)*AB191+(1-EXP(-LN(2)/2))/(LN(2)/2)*V192*Y192*VLOOKUP('Données projet'!$B$9,Paramètres!$A$1:$I$89,3,0)*0.475*44/12</f>
        <v>8.238840738133152E-16</v>
      </c>
      <c r="AC192" s="22">
        <f t="shared" si="163"/>
        <v>24.605808405971825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3.4106051316484809E-13</v>
      </c>
      <c r="AJ192" s="13">
        <f>AI192*VLOOKUP('Données projet'!$B$10,Paramètres!$A$1:$I$89,3,0)*VLOOKUP('Données projet'!$B$10,Paramètres!$A$1:$I$89,5,0)</f>
        <v>1.5074874681886286E-13</v>
      </c>
      <c r="AK192" s="13">
        <f t="shared" si="164"/>
        <v>2.1590218794584103E-12</v>
      </c>
      <c r="AL192" s="20">
        <f t="shared" si="165"/>
        <v>4.0228505074329168E-12</v>
      </c>
      <c r="AM192" s="59">
        <f t="shared" si="113"/>
        <v>293.33333333333735</v>
      </c>
      <c r="AN192" s="59">
        <f ca="1">AVERAGE(OFFSET($AM$3,0,0,'Données projet'!$E$10+1,1))-AVERAGE(OFFSET($H$3,0,0,'Données projet'!$E$10+1,1))</f>
        <v>293.17014997061574</v>
      </c>
      <c r="AO192" s="59">
        <f t="shared" si="144"/>
        <v>394.32615745219954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13.462727670562563</v>
      </c>
      <c r="AV192" s="21">
        <f>EXP(-LN(2)/25)*AV191+(1-EXP(-LN(2)/25))/(LN(2)/25)*Calculateur!AQ192*Calculateur!AS192*VLOOKUP('Données projet'!$B$10,Paramètres!$A$1:$I$89,3,0)*0.475*44/12</f>
        <v>1.591736276286005</v>
      </c>
      <c r="AW192" s="21">
        <f>EXP(-LN(2)/2)*AW191+(1-EXP(-LN(2)/2))/(LN(2)/2)*AQ192*AT192*VLOOKUP('Données projet'!$B$10,Paramètres!$A$1:$I$89,3,0)*0.475*44/12</f>
        <v>3.4669322507845354E-19</v>
      </c>
      <c r="AX192" s="21">
        <f t="shared" si="166"/>
        <v>15.054463946848568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395.14818708356353</v>
      </c>
      <c r="BJ192" s="59">
        <f t="shared" si="146"/>
        <v>311.78229491474491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35.002557159700707</v>
      </c>
      <c r="BQ192" s="21">
        <f>EXP(-LN(2)/25)*BQ191+(1-EXP(-LN(2)/25))/(LN(2)/25)*Calculateur!BL192*Calculateur!BN192*VLOOKUP('Données projet'!$B$11,Paramètres!$A$1:$I$89,3,0)*0.475*44/12</f>
        <v>4.8666278710603184</v>
      </c>
      <c r="BR192" s="21">
        <f>EXP(-LN(2)/2)*BR191+(1-EXP(-LN(2)/2))/(LN(2)/2)*BL192*BO192*VLOOKUP('Données projet'!$B$11,Paramètres!$A$1:$I$89,3,0)*0.475*44/12</f>
        <v>1.636705106965499E-9</v>
      </c>
      <c r="BS192" s="22">
        <f t="shared" si="169"/>
        <v>39.869185032397731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4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485.85447829495109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1.064108801074326E-13</v>
      </c>
      <c r="P193" s="13">
        <f t="shared" si="141"/>
        <v>1.5870730813698654E-12</v>
      </c>
      <c r="Q193" s="20">
        <f t="shared" si="162"/>
        <v>2.9494845662396269E-12</v>
      </c>
      <c r="R193" s="59">
        <f t="shared" si="109"/>
        <v>293.33333333333627</v>
      </c>
      <c r="S193" s="59">
        <f ca="1">AVERAGE(OFFSET($R$3,0,0,'Données projet'!$E$9+1,1))-AVERAGE(OFFSET($H$3,0,0,'Données projet'!$E$9+1,1))</f>
        <v>291.3013645858839</v>
      </c>
      <c r="T193" s="59">
        <f t="shared" si="142"/>
        <v>332.89241887762438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21.243581707243479</v>
      </c>
      <c r="AA193" s="21">
        <f>EXP(-LN(2)/25)*AA192+(1-EXP(-LN(2)/25))/(LN(2)/25)*Calculateur!V193*Calculateur!X193*VLOOKUP('Données projet'!$B$9,Paramètres!$A$1:$I$89,3,0)*0.475*44/12</f>
        <v>2.8569996809267217</v>
      </c>
      <c r="AB193" s="21">
        <f>EXP(-LN(2)/2)*AB192+(1-EXP(-LN(2)/2))/(LN(2)/2)*V193*Y193*VLOOKUP('Données projet'!$B$9,Paramètres!$A$1:$I$89,3,0)*0.475*44/12</f>
        <v>5.8257401550499324E-16</v>
      </c>
      <c r="AC193" s="22">
        <f t="shared" si="163"/>
        <v>24.100581388170202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3.4106051316484809E-13</v>
      </c>
      <c r="AJ193" s="13">
        <f>AI193*VLOOKUP('Données projet'!$B$10,Paramètres!$A$1:$I$89,3,0)*VLOOKUP('Données projet'!$B$10,Paramètres!$A$1:$I$89,5,0)</f>
        <v>1.5074874681886286E-13</v>
      </c>
      <c r="AK193" s="13">
        <f t="shared" si="164"/>
        <v>2.1590218794584103E-12</v>
      </c>
      <c r="AL193" s="20">
        <f t="shared" si="165"/>
        <v>4.0228505074329168E-12</v>
      </c>
      <c r="AM193" s="59">
        <f t="shared" si="113"/>
        <v>293.33333333333735</v>
      </c>
      <c r="AN193" s="59">
        <f ca="1">AVERAGE(OFFSET($AM$3,0,0,'Données projet'!$E$10+1,1))-AVERAGE(OFFSET($H$3,0,0,'Données projet'!$E$10+1,1))</f>
        <v>293.17014997061574</v>
      </c>
      <c r="AO193" s="59">
        <f t="shared" si="144"/>
        <v>394.32615745219954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13.198731792395897</v>
      </c>
      <c r="AV193" s="21">
        <f>EXP(-LN(2)/25)*AV192+(1-EXP(-LN(2)/25))/(LN(2)/25)*Calculateur!AQ193*Calculateur!AS193*VLOOKUP('Données projet'!$B$10,Paramètres!$A$1:$I$89,3,0)*0.475*44/12</f>
        <v>1.5482101641051913</v>
      </c>
      <c r="AW193" s="21">
        <f>EXP(-LN(2)/2)*AW192+(1-EXP(-LN(2)/2))/(LN(2)/2)*AQ193*AT193*VLOOKUP('Données projet'!$B$10,Paramètres!$A$1:$I$89,3,0)*0.475*44/12</f>
        <v>2.4514913044440851E-19</v>
      </c>
      <c r="AX193" s="21">
        <f t="shared" si="166"/>
        <v>14.746941956501088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395.14818708356353</v>
      </c>
      <c r="BJ193" s="59">
        <f t="shared" si="146"/>
        <v>311.78229491474491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34.316178363250764</v>
      </c>
      <c r="BQ193" s="21">
        <f>EXP(-LN(2)/25)*BQ192+(1-EXP(-LN(2)/25))/(LN(2)/25)*Calculateur!BL193*Calculateur!BN193*VLOOKUP('Données projet'!$B$11,Paramètres!$A$1:$I$89,3,0)*0.475*44/12</f>
        <v>4.7335496760013367</v>
      </c>
      <c r="BR193" s="21">
        <f>EXP(-LN(2)/2)*BR192+(1-EXP(-LN(2)/2))/(LN(2)/2)*BL193*BO193*VLOOKUP('Données projet'!$B$11,Paramètres!$A$1:$I$89,3,0)*0.475*44/12</f>
        <v>1.157325279937958E-9</v>
      </c>
      <c r="BS193" s="22">
        <f t="shared" si="169"/>
        <v>39.049728040409427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4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487.03094385904706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1.064108801074326E-13</v>
      </c>
      <c r="P194" s="13">
        <f t="shared" si="141"/>
        <v>1.5870730813698654E-12</v>
      </c>
      <c r="Q194" s="20">
        <f t="shared" si="162"/>
        <v>2.9494845662396269E-12</v>
      </c>
      <c r="R194" s="59">
        <f t="shared" si="109"/>
        <v>293.33333333333627</v>
      </c>
      <c r="S194" s="59">
        <f ca="1">AVERAGE(OFFSET($R$3,0,0,'Données projet'!$E$9+1,1))-AVERAGE(OFFSET($H$3,0,0,'Données projet'!$E$9+1,1))</f>
        <v>291.3013645858839</v>
      </c>
      <c r="T194" s="59">
        <f t="shared" si="142"/>
        <v>332.89241887762438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20.827008027269848</v>
      </c>
      <c r="AA194" s="21">
        <f>EXP(-LN(2)/25)*AA193+(1-EXP(-LN(2)/25))/(LN(2)/25)*Calculateur!V194*Calculateur!X194*VLOOKUP('Données projet'!$B$9,Paramètres!$A$1:$I$89,3,0)*0.475*44/12</f>
        <v>2.7788748744086971</v>
      </c>
      <c r="AB194" s="21">
        <f>EXP(-LN(2)/2)*AB193+(1-EXP(-LN(2)/2))/(LN(2)/2)*V194*Y194*VLOOKUP('Données projet'!$B$9,Paramètres!$A$1:$I$89,3,0)*0.475*44/12</f>
        <v>4.119420369066576E-16</v>
      </c>
      <c r="AC194" s="22">
        <f t="shared" si="163"/>
        <v>23.605882901678545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3.4106051316484809E-13</v>
      </c>
      <c r="AJ194" s="13">
        <f>AI194*VLOOKUP('Données projet'!$B$10,Paramètres!$A$1:$I$89,3,0)*VLOOKUP('Données projet'!$B$10,Paramètres!$A$1:$I$89,5,0)</f>
        <v>1.5074874681886286E-13</v>
      </c>
      <c r="AK194" s="13">
        <f t="shared" si="164"/>
        <v>2.1590218794584103E-12</v>
      </c>
      <c r="AL194" s="20">
        <f t="shared" si="165"/>
        <v>4.0228505074329168E-12</v>
      </c>
      <c r="AM194" s="59">
        <f t="shared" si="113"/>
        <v>293.33333333333735</v>
      </c>
      <c r="AN194" s="59">
        <f ca="1">AVERAGE(OFFSET($AM$3,0,0,'Données projet'!$E$10+1,1))-AVERAGE(OFFSET($H$3,0,0,'Données projet'!$E$10+1,1))</f>
        <v>293.17014997061574</v>
      </c>
      <c r="AO194" s="59">
        <f t="shared" si="144"/>
        <v>394.32615745219954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12.939912712378492</v>
      </c>
      <c r="AV194" s="21">
        <f>EXP(-LN(2)/25)*AV193+(1-EXP(-LN(2)/25))/(LN(2)/25)*Calculateur!AQ194*Calculateur!AS194*VLOOKUP('Données projet'!$B$10,Paramètres!$A$1:$I$89,3,0)*0.475*44/12</f>
        <v>1.5058742757509007</v>
      </c>
      <c r="AW194" s="21">
        <f>EXP(-LN(2)/2)*AW193+(1-EXP(-LN(2)/2))/(LN(2)/2)*AQ194*AT194*VLOOKUP('Données projet'!$B$10,Paramètres!$A$1:$I$89,3,0)*0.475*44/12</f>
        <v>1.7334661253922677E-19</v>
      </c>
      <c r="AX194" s="21">
        <f t="shared" si="166"/>
        <v>14.445786988129392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395.14818708356353</v>
      </c>
      <c r="BJ194" s="59">
        <f t="shared" si="146"/>
        <v>311.78229491474491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33.64325903634947</v>
      </c>
      <c r="BQ194" s="21">
        <f>EXP(-LN(2)/25)*BQ193+(1-EXP(-LN(2)/25))/(LN(2)/25)*Calculateur!BL194*Calculateur!BN194*VLOOKUP('Données projet'!$B$11,Paramètres!$A$1:$I$89,3,0)*0.475*44/12</f>
        <v>4.6041105111845217</v>
      </c>
      <c r="BR194" s="21">
        <f>EXP(-LN(2)/2)*BR193+(1-EXP(-LN(2)/2))/(LN(2)/2)*BL194*BO194*VLOOKUP('Données projet'!$B$11,Paramètres!$A$1:$I$89,3,0)*0.475*44/12</f>
        <v>8.1835255348274952E-10</v>
      </c>
      <c r="BS194" s="22">
        <f t="shared" si="169"/>
        <v>38.247369548352346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4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488.20727202973239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1.064108801074326E-13</v>
      </c>
      <c r="P195" s="13">
        <f t="shared" si="141"/>
        <v>1.5870730813698654E-12</v>
      </c>
      <c r="Q195" s="20">
        <f t="shared" si="162"/>
        <v>2.9494845662396269E-12</v>
      </c>
      <c r="R195" s="59">
        <f t="shared" ref="R195:R203" si="191">Q195+(I195+J195)*44/12</f>
        <v>293.33333333333627</v>
      </c>
      <c r="S195" s="59">
        <f ca="1">AVERAGE(OFFSET($R$3,0,0,'Données projet'!$E$9+1,1))-AVERAGE(OFFSET($H$3,0,0,'Données projet'!$E$9+1,1))</f>
        <v>291.3013645858839</v>
      </c>
      <c r="T195" s="59">
        <f t="shared" si="142"/>
        <v>332.89241887762438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20.418603103075643</v>
      </c>
      <c r="AA195" s="21">
        <f>EXP(-LN(2)/25)*AA194+(1-EXP(-LN(2)/25))/(LN(2)/25)*Calculateur!V195*Calculateur!X195*VLOOKUP('Données projet'!$B$9,Paramètres!$A$1:$I$89,3,0)*0.475*44/12</f>
        <v>2.7028863948333126</v>
      </c>
      <c r="AB195" s="21">
        <f>EXP(-LN(2)/2)*AB194+(1-EXP(-LN(2)/2))/(LN(2)/2)*V195*Y195*VLOOKUP('Données projet'!$B$9,Paramètres!$A$1:$I$89,3,0)*0.475*44/12</f>
        <v>2.9128700775249662E-16</v>
      </c>
      <c r="AC195" s="22">
        <f t="shared" si="163"/>
        <v>23.121489497908957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3.4106051316484809E-13</v>
      </c>
      <c r="AJ195" s="13">
        <f>AI195*VLOOKUP('Données projet'!$B$10,Paramètres!$A$1:$I$89,3,0)*VLOOKUP('Données projet'!$B$10,Paramètres!$A$1:$I$89,5,0)</f>
        <v>1.5074874681886286E-13</v>
      </c>
      <c r="AK195" s="13">
        <f t="shared" si="164"/>
        <v>2.1590218794584103E-12</v>
      </c>
      <c r="AL195" s="20">
        <f t="shared" si="165"/>
        <v>4.0228505074329168E-12</v>
      </c>
      <c r="AM195" s="59">
        <f t="shared" si="113"/>
        <v>293.33333333333735</v>
      </c>
      <c r="AN195" s="59">
        <f ca="1">AVERAGE(OFFSET($AM$3,0,0,'Données projet'!$E$10+1,1))-AVERAGE(OFFSET($H$3,0,0,'Données projet'!$E$10+1,1))</f>
        <v>293.17014997061574</v>
      </c>
      <c r="AO195" s="59">
        <f t="shared" si="144"/>
        <v>394.32615745219954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12.686168916656177</v>
      </c>
      <c r="AV195" s="21">
        <f>EXP(-LN(2)/25)*AV194+(1-EXP(-LN(2)/25))/(LN(2)/25)*Calculateur!AQ195*Calculateur!AS195*VLOOKUP('Données projet'!$B$10,Paramètres!$A$1:$I$89,3,0)*0.475*44/12</f>
        <v>1.464696064490006</v>
      </c>
      <c r="AW195" s="21">
        <f>EXP(-LN(2)/2)*AW194+(1-EXP(-LN(2)/2))/(LN(2)/2)*AQ195*AT195*VLOOKUP('Données projet'!$B$10,Paramètres!$A$1:$I$89,3,0)*0.475*44/12</f>
        <v>1.2257456522220426E-19</v>
      </c>
      <c r="AX195" s="21">
        <f t="shared" si="166"/>
        <v>14.150864981146183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395.14818708356353</v>
      </c>
      <c r="BJ195" s="59">
        <f t="shared" si="146"/>
        <v>311.78229491474491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32.983535247008454</v>
      </c>
      <c r="BQ195" s="21">
        <f>EXP(-LN(2)/25)*BQ194+(1-EXP(-LN(2)/25))/(LN(2)/25)*Calculateur!BL195*Calculateur!BN195*VLOOKUP('Données projet'!$B$11,Paramètres!$A$1:$I$89,3,0)*0.475*44/12</f>
        <v>4.4782108671365322</v>
      </c>
      <c r="BR195" s="21">
        <f>EXP(-LN(2)/2)*BR194+(1-EXP(-LN(2)/2))/(LN(2)/2)*BL195*BO195*VLOOKUP('Données projet'!$B$11,Paramètres!$A$1:$I$89,3,0)*0.475*44/12</f>
        <v>5.7866263996897899E-10</v>
      </c>
      <c r="BS195" s="22">
        <f t="shared" si="169"/>
        <v>37.461746114723653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4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489.38346360565777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1.064108801074326E-13</v>
      </c>
      <c r="P196" s="13">
        <f t="shared" si="141"/>
        <v>1.5870730813698654E-12</v>
      </c>
      <c r="Q196" s="20">
        <f t="shared" si="162"/>
        <v>2.9494845662396269E-12</v>
      </c>
      <c r="R196" s="59">
        <f t="shared" si="191"/>
        <v>293.33333333333627</v>
      </c>
      <c r="S196" s="59">
        <f ca="1">AVERAGE(OFFSET($R$3,0,0,'Données projet'!$E$9+1,1))-AVERAGE(OFFSET($H$3,0,0,'Données projet'!$E$9+1,1))</f>
        <v>291.3013645858839</v>
      </c>
      <c r="T196" s="59">
        <f t="shared" si="142"/>
        <v>332.89241887762438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20.018206750342479</v>
      </c>
      <c r="AA196" s="21">
        <f>EXP(-LN(2)/25)*AA195+(1-EXP(-LN(2)/25))/(LN(2)/25)*Calculateur!V196*Calculateur!X196*VLOOKUP('Données projet'!$B$9,Paramètres!$A$1:$I$89,3,0)*0.475*44/12</f>
        <v>2.6289758242279775</v>
      </c>
      <c r="AB196" s="21">
        <f>EXP(-LN(2)/2)*AB195+(1-EXP(-LN(2)/2))/(LN(2)/2)*V196*Y196*VLOOKUP('Données projet'!$B$9,Paramètres!$A$1:$I$89,3,0)*0.475*44/12</f>
        <v>2.059710184533288E-16</v>
      </c>
      <c r="AC196" s="22">
        <f t="shared" si="163"/>
        <v>22.647182574570458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3.4106051316484809E-13</v>
      </c>
      <c r="AJ196" s="13">
        <f>AI196*VLOOKUP('Données projet'!$B$10,Paramètres!$A$1:$I$89,3,0)*VLOOKUP('Données projet'!$B$10,Paramètres!$A$1:$I$89,5,0)</f>
        <v>1.5074874681886286E-13</v>
      </c>
      <c r="AK196" s="13">
        <f t="shared" si="164"/>
        <v>2.1590218794584103E-12</v>
      </c>
      <c r="AL196" s="20">
        <f t="shared" si="165"/>
        <v>4.0228505074329168E-12</v>
      </c>
      <c r="AM196" s="59">
        <f t="shared" ref="AM196:AM203" si="193">AL196+(AD196+AE196)*44/12</f>
        <v>293.33333333333735</v>
      </c>
      <c r="AN196" s="59">
        <f ca="1">AVERAGE(OFFSET($AM$3,0,0,'Données projet'!$E$10+1,1))-AVERAGE(OFFSET($H$3,0,0,'Données projet'!$E$10+1,1))</f>
        <v>293.17014997061574</v>
      </c>
      <c r="AO196" s="59">
        <f t="shared" si="144"/>
        <v>394.32615745219954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12.437400881999544</v>
      </c>
      <c r="AV196" s="21">
        <f>EXP(-LN(2)/25)*AV195+(1-EXP(-LN(2)/25))/(LN(2)/25)*Calculateur!AQ196*Calculateur!AS196*VLOOKUP('Données projet'!$B$10,Paramètres!$A$1:$I$89,3,0)*0.475*44/12</f>
        <v>1.4246438735815083</v>
      </c>
      <c r="AW196" s="21">
        <f>EXP(-LN(2)/2)*AW195+(1-EXP(-LN(2)/2))/(LN(2)/2)*AQ196*AT196*VLOOKUP('Données projet'!$B$10,Paramètres!$A$1:$I$89,3,0)*0.475*44/12</f>
        <v>8.6673306269613386E-20</v>
      </c>
      <c r="AX196" s="21">
        <f t="shared" si="166"/>
        <v>13.862044755581053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395.14818708356353</v>
      </c>
      <c r="BJ196" s="59">
        <f t="shared" si="146"/>
        <v>311.78229491474491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32.336748238784637</v>
      </c>
      <c r="BQ196" s="21">
        <f>EXP(-LN(2)/25)*BQ195+(1-EXP(-LN(2)/25))/(LN(2)/25)*Calculateur!BL196*Calculateur!BN196*VLOOKUP('Données projet'!$B$11,Paramètres!$A$1:$I$89,3,0)*0.475*44/12</f>
        <v>4.3557539554758096</v>
      </c>
      <c r="BR196" s="21">
        <f>EXP(-LN(2)/2)*BR195+(1-EXP(-LN(2)/2))/(LN(2)/2)*BL196*BO196*VLOOKUP('Données projet'!$B$11,Paramètres!$A$1:$I$89,3,0)*0.475*44/12</f>
        <v>4.0917627674137476E-10</v>
      </c>
      <c r="BS196" s="22">
        <f t="shared" si="169"/>
        <v>36.692502194669622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4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490.55951937671841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1.064108801074326E-13</v>
      </c>
      <c r="P197" s="13">
        <f t="shared" ref="P197:P203" si="203">EXP(-1.0587+0.8836*LN(O197)+0.284)</f>
        <v>1.5870730813698654E-12</v>
      </c>
      <c r="Q197" s="20">
        <f t="shared" si="162"/>
        <v>2.9494845662396269E-12</v>
      </c>
      <c r="R197" s="59">
        <f t="shared" si="191"/>
        <v>293.33333333333627</v>
      </c>
      <c r="S197" s="59">
        <f ca="1">AVERAGE(OFFSET($R$3,0,0,'Données projet'!$E$9+1,1))-AVERAGE(OFFSET($H$3,0,0,'Données projet'!$E$9+1,1))</f>
        <v>291.3013645858839</v>
      </c>
      <c r="T197" s="59">
        <f t="shared" ref="T197:T203" si="204">$T$3</f>
        <v>332.89241887762438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19.625661925868751</v>
      </c>
      <c r="AA197" s="21">
        <f>EXP(-LN(2)/25)*AA196+(1-EXP(-LN(2)/25))/(LN(2)/25)*Calculateur!V197*Calculateur!X197*VLOOKUP('Données projet'!$B$9,Paramètres!$A$1:$I$89,3,0)*0.475*44/12</f>
        <v>2.5570863420626333</v>
      </c>
      <c r="AB197" s="21">
        <f>EXP(-LN(2)/2)*AB196+(1-EXP(-LN(2)/2))/(LN(2)/2)*V197*Y197*VLOOKUP('Données projet'!$B$9,Paramètres!$A$1:$I$89,3,0)*0.475*44/12</f>
        <v>1.4564350387624831E-16</v>
      </c>
      <c r="AC197" s="22">
        <f t="shared" si="163"/>
        <v>22.182748267931384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3.4106051316484809E-13</v>
      </c>
      <c r="AJ197" s="13">
        <f>AI197*VLOOKUP('Données projet'!$B$10,Paramètres!$A$1:$I$89,3,0)*VLOOKUP('Données projet'!$B$10,Paramètres!$A$1:$I$89,5,0)</f>
        <v>1.5074874681886286E-13</v>
      </c>
      <c r="AK197" s="13">
        <f t="shared" si="164"/>
        <v>2.1590218794584103E-12</v>
      </c>
      <c r="AL197" s="20">
        <f t="shared" si="165"/>
        <v>4.0228505074329168E-12</v>
      </c>
      <c r="AM197" s="59">
        <f t="shared" si="193"/>
        <v>293.33333333333735</v>
      </c>
      <c r="AN197" s="59">
        <f ca="1">AVERAGE(OFFSET($AM$3,0,0,'Données projet'!$E$10+1,1))-AVERAGE(OFFSET($H$3,0,0,'Données projet'!$E$10+1,1))</f>
        <v>293.17014997061574</v>
      </c>
      <c r="AO197" s="59">
        <f t="shared" ref="AO197:AO203" si="205">$AO$3</f>
        <v>394.32615745219954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12.193511036769008</v>
      </c>
      <c r="AV197" s="21">
        <f>EXP(-LN(2)/25)*AV196+(1-EXP(-LN(2)/25))/(LN(2)/25)*Calculateur!AQ197*Calculateur!AS197*VLOOKUP('Données projet'!$B$10,Paramètres!$A$1:$I$89,3,0)*0.475*44/12</f>
        <v>1.3856869119396567</v>
      </c>
      <c r="AW197" s="21">
        <f>EXP(-LN(2)/2)*AW196+(1-EXP(-LN(2)/2))/(LN(2)/2)*AQ197*AT197*VLOOKUP('Données projet'!$B$10,Paramètres!$A$1:$I$89,3,0)*0.475*44/12</f>
        <v>6.1287282611102129E-20</v>
      </c>
      <c r="AX197" s="21">
        <f t="shared" si="166"/>
        <v>13.579197948708664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395.14818708356353</v>
      </c>
      <c r="BJ197" s="59">
        <f t="shared" ref="BJ197:BJ203" si="206">$BJ$3</f>
        <v>311.78229491474491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31.702644329290965</v>
      </c>
      <c r="BQ197" s="21">
        <f>EXP(-LN(2)/25)*BQ196+(1-EXP(-LN(2)/25))/(LN(2)/25)*Calculateur!BL197*Calculateur!BN197*VLOOKUP('Données projet'!$B$11,Paramètres!$A$1:$I$89,3,0)*0.475*44/12</f>
        <v>4.2366456345041783</v>
      </c>
      <c r="BR197" s="21">
        <f>EXP(-LN(2)/2)*BR196+(1-EXP(-LN(2)/2))/(LN(2)/2)*BL197*BO197*VLOOKUP('Données projet'!$B$11,Paramètres!$A$1:$I$89,3,0)*0.475*44/12</f>
        <v>2.8933131998448949E-10</v>
      </c>
      <c r="BS197" s="22">
        <f t="shared" si="169"/>
        <v>35.93928996408448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4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491.73544012419472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1.064108801074326E-13</v>
      </c>
      <c r="P198" s="13">
        <f t="shared" si="203"/>
        <v>1.5870730813698654E-12</v>
      </c>
      <c r="Q198" s="20">
        <f t="shared" si="162"/>
        <v>2.9494845662396269E-12</v>
      </c>
      <c r="R198" s="59">
        <f t="shared" si="191"/>
        <v>293.33333333333627</v>
      </c>
      <c r="S198" s="59">
        <f ca="1">AVERAGE(OFFSET($R$3,0,0,'Données projet'!$E$9+1,1))-AVERAGE(OFFSET($H$3,0,0,'Données projet'!$E$9+1,1))</f>
        <v>291.3013645858839</v>
      </c>
      <c r="T198" s="59">
        <f t="shared" si="204"/>
        <v>332.89241887762438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19.240814665974256</v>
      </c>
      <c r="AA198" s="21">
        <f>EXP(-LN(2)/25)*AA197+(1-EXP(-LN(2)/25))/(LN(2)/25)*Calculateur!V198*Calculateur!X198*VLOOKUP('Données projet'!$B$9,Paramètres!$A$1:$I$89,3,0)*0.475*44/12</f>
        <v>2.4871626815676042</v>
      </c>
      <c r="AB198" s="21">
        <f>EXP(-LN(2)/2)*AB197+(1-EXP(-LN(2)/2))/(LN(2)/2)*V198*Y198*VLOOKUP('Données projet'!$B$9,Paramètres!$A$1:$I$89,3,0)*0.475*44/12</f>
        <v>1.029855092266644E-16</v>
      </c>
      <c r="AC198" s="22">
        <f t="shared" si="163"/>
        <v>21.727977347541859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3.4106051316484809E-13</v>
      </c>
      <c r="AJ198" s="13">
        <f>AI198*VLOOKUP('Données projet'!$B$10,Paramètres!$A$1:$I$89,3,0)*VLOOKUP('Données projet'!$B$10,Paramètres!$A$1:$I$89,5,0)</f>
        <v>1.5074874681886286E-13</v>
      </c>
      <c r="AK198" s="13">
        <f t="shared" si="164"/>
        <v>2.1590218794584103E-12</v>
      </c>
      <c r="AL198" s="20">
        <f t="shared" si="165"/>
        <v>4.0228505074329168E-12</v>
      </c>
      <c r="AM198" s="59">
        <f t="shared" si="193"/>
        <v>293.33333333333735</v>
      </c>
      <c r="AN198" s="59">
        <f ca="1">AVERAGE(OFFSET($AM$3,0,0,'Données projet'!$E$10+1,1))-AVERAGE(OFFSET($H$3,0,0,'Données projet'!$E$10+1,1))</f>
        <v>293.17014997061574</v>
      </c>
      <c r="AO198" s="59">
        <f t="shared" si="205"/>
        <v>394.32615745219954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11.954403722645328</v>
      </c>
      <c r="AV198" s="21">
        <f>EXP(-LN(2)/25)*AV197+(1-EXP(-LN(2)/25))/(LN(2)/25)*Calculateur!AQ198*Calculateur!AS198*VLOOKUP('Données projet'!$B$10,Paramètres!$A$1:$I$89,3,0)*0.475*44/12</f>
        <v>1.3477952304625591</v>
      </c>
      <c r="AW198" s="21">
        <f>EXP(-LN(2)/2)*AW197+(1-EXP(-LN(2)/2))/(LN(2)/2)*AQ198*AT198*VLOOKUP('Données projet'!$B$10,Paramètres!$A$1:$I$89,3,0)*0.475*44/12</f>
        <v>4.3336653134806693E-20</v>
      </c>
      <c r="AX198" s="21">
        <f t="shared" si="166"/>
        <v>13.302198953107887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395.14818708356353</v>
      </c>
      <c r="BJ198" s="59">
        <f t="shared" si="206"/>
        <v>311.78229491474491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31.080974810697271</v>
      </c>
      <c r="BQ198" s="21">
        <f>EXP(-LN(2)/25)*BQ197+(1-EXP(-LN(2)/25))/(LN(2)/25)*Calculateur!BL198*Calculateur!BN198*VLOOKUP('Données projet'!$B$11,Paramètres!$A$1:$I$89,3,0)*0.475*44/12</f>
        <v>4.1207943368331508</v>
      </c>
      <c r="BR198" s="21">
        <f>EXP(-LN(2)/2)*BR197+(1-EXP(-LN(2)/2))/(LN(2)/2)*BL198*BO198*VLOOKUP('Données projet'!$B$11,Paramètres!$A$1:$I$89,3,0)*0.475*44/12</f>
        <v>2.0458813837068738E-10</v>
      </c>
      <c r="BS198" s="22">
        <f t="shared" si="169"/>
        <v>35.201769147735007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4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492.91122662089026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1.064108801074326E-13</v>
      </c>
      <c r="P199" s="13">
        <f t="shared" si="203"/>
        <v>1.5870730813698654E-12</v>
      </c>
      <c r="Q199" s="20">
        <f t="shared" si="162"/>
        <v>2.9494845662396269E-12</v>
      </c>
      <c r="R199" s="59">
        <f t="shared" si="191"/>
        <v>293.33333333333627</v>
      </c>
      <c r="S199" s="59">
        <f ca="1">AVERAGE(OFFSET($R$3,0,0,'Données projet'!$E$9+1,1))-AVERAGE(OFFSET($H$3,0,0,'Données projet'!$E$9+1,1))</f>
        <v>291.3013645858839</v>
      </c>
      <c r="T199" s="59">
        <f t="shared" si="204"/>
        <v>332.89241887762438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18.863514026112639</v>
      </c>
      <c r="AA199" s="21">
        <f>EXP(-LN(2)/25)*AA198+(1-EXP(-LN(2)/25))/(LN(2)/25)*Calculateur!V199*Calculateur!X199*VLOOKUP('Données projet'!$B$9,Paramètres!$A$1:$I$89,3,0)*0.475*44/12</f>
        <v>2.419151087245937</v>
      </c>
      <c r="AB199" s="21">
        <f>EXP(-LN(2)/2)*AB198+(1-EXP(-LN(2)/2))/(LN(2)/2)*V199*Y199*VLOOKUP('Données projet'!$B$9,Paramètres!$A$1:$I$89,3,0)*0.475*44/12</f>
        <v>7.2821751938124155E-17</v>
      </c>
      <c r="AC199" s="22">
        <f t="shared" si="163"/>
        <v>21.282665113358576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3.4106051316484809E-13</v>
      </c>
      <c r="AJ199" s="13">
        <f>AI199*VLOOKUP('Données projet'!$B$10,Paramètres!$A$1:$I$89,3,0)*VLOOKUP('Données projet'!$B$10,Paramètres!$A$1:$I$89,5,0)</f>
        <v>1.5074874681886286E-13</v>
      </c>
      <c r="AK199" s="13">
        <f t="shared" si="164"/>
        <v>2.1590218794584103E-12</v>
      </c>
      <c r="AL199" s="20">
        <f t="shared" si="165"/>
        <v>4.0228505074329168E-12</v>
      </c>
      <c r="AM199" s="59">
        <f t="shared" si="193"/>
        <v>293.33333333333735</v>
      </c>
      <c r="AN199" s="59">
        <f ca="1">AVERAGE(OFFSET($AM$3,0,0,'Données projet'!$E$10+1,1))-AVERAGE(OFFSET($H$3,0,0,'Données projet'!$E$10+1,1))</f>
        <v>293.17014997061574</v>
      </c>
      <c r="AO199" s="59">
        <f t="shared" si="205"/>
        <v>394.32615745219954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11.719985157110552</v>
      </c>
      <c r="AV199" s="21">
        <f>EXP(-LN(2)/25)*AV198+(1-EXP(-LN(2)/25))/(LN(2)/25)*Calculateur!AQ199*Calculateur!AS199*VLOOKUP('Données projet'!$B$10,Paramètres!$A$1:$I$89,3,0)*0.475*44/12</f>
        <v>1.3109396990080897</v>
      </c>
      <c r="AW199" s="21">
        <f>EXP(-LN(2)/2)*AW198+(1-EXP(-LN(2)/2))/(LN(2)/2)*AQ199*AT199*VLOOKUP('Données projet'!$B$10,Paramètres!$A$1:$I$89,3,0)*0.475*44/12</f>
        <v>3.0643641305551064E-20</v>
      </c>
      <c r="AX199" s="21">
        <f t="shared" si="166"/>
        <v>13.030924856118641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395.14818708356353</v>
      </c>
      <c r="BJ199" s="59">
        <f t="shared" si="206"/>
        <v>311.78229491474491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30.471495852182233</v>
      </c>
      <c r="BQ199" s="21">
        <f>EXP(-LN(2)/25)*BQ198+(1-EXP(-LN(2)/25))/(LN(2)/25)*Calculateur!BL199*Calculateur!BN199*VLOOKUP('Données projet'!$B$11,Paramètres!$A$1:$I$89,3,0)*0.475*44/12</f>
        <v>4.0081109989892925</v>
      </c>
      <c r="BR199" s="21">
        <f>EXP(-LN(2)/2)*BR198+(1-EXP(-LN(2)/2))/(LN(2)/2)*BL199*BO199*VLOOKUP('Données projet'!$B$11,Paramètres!$A$1:$I$89,3,0)*0.475*44/12</f>
        <v>1.4466565999224475E-10</v>
      </c>
      <c r="BS199" s="22">
        <f t="shared" si="169"/>
        <v>34.479606851316191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4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494.08687963126607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1.064108801074326E-13</v>
      </c>
      <c r="P200" s="13">
        <f t="shared" si="203"/>
        <v>1.5870730813698654E-12</v>
      </c>
      <c r="Q200" s="20">
        <f t="shared" si="162"/>
        <v>2.9494845662396269E-12</v>
      </c>
      <c r="R200" s="59">
        <f t="shared" si="191"/>
        <v>293.33333333333627</v>
      </c>
      <c r="S200" s="59">
        <f ca="1">AVERAGE(OFFSET($R$3,0,0,'Données projet'!$E$9+1,1))-AVERAGE(OFFSET($H$3,0,0,'Données projet'!$E$9+1,1))</f>
        <v>291.3013645858839</v>
      </c>
      <c r="T200" s="59">
        <f t="shared" si="204"/>
        <v>332.89241887762438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18.493612021668042</v>
      </c>
      <c r="AA200" s="21">
        <f>EXP(-LN(2)/25)*AA199+(1-EXP(-LN(2)/25))/(LN(2)/25)*Calculateur!V200*Calculateur!X200*VLOOKUP('Données projet'!$B$9,Paramètres!$A$1:$I$89,3,0)*0.475*44/12</f>
        <v>2.35299927354757</v>
      </c>
      <c r="AB200" s="21">
        <f>EXP(-LN(2)/2)*AB199+(1-EXP(-LN(2)/2))/(LN(2)/2)*V200*Y200*VLOOKUP('Données projet'!$B$9,Paramètres!$A$1:$I$89,3,0)*0.475*44/12</f>
        <v>5.14927546133322E-17</v>
      </c>
      <c r="AC200" s="22">
        <f t="shared" si="163"/>
        <v>20.846611295215613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3.4106051316484809E-13</v>
      </c>
      <c r="AJ200" s="13">
        <f>AI200*VLOOKUP('Données projet'!$B$10,Paramètres!$A$1:$I$89,3,0)*VLOOKUP('Données projet'!$B$10,Paramètres!$A$1:$I$89,5,0)</f>
        <v>1.5074874681886286E-13</v>
      </c>
      <c r="AK200" s="13">
        <f t="shared" si="164"/>
        <v>2.1590218794584103E-12</v>
      </c>
      <c r="AL200" s="20">
        <f t="shared" si="165"/>
        <v>4.0228505074329168E-12</v>
      </c>
      <c r="AM200" s="59">
        <f t="shared" si="193"/>
        <v>293.33333333333735</v>
      </c>
      <c r="AN200" s="59">
        <f ca="1">AVERAGE(OFFSET($AM$3,0,0,'Données projet'!$E$10+1,1))-AVERAGE(OFFSET($H$3,0,0,'Données projet'!$E$10+1,1))</f>
        <v>293.17014997061574</v>
      </c>
      <c r="AO200" s="59">
        <f t="shared" si="205"/>
        <v>394.32615745219954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11.490163396664705</v>
      </c>
      <c r="AV200" s="21">
        <f>EXP(-LN(2)/25)*AV199+(1-EXP(-LN(2)/25))/(LN(2)/25)*Calculateur!AQ200*Calculateur!AS200*VLOOKUP('Données projet'!$B$10,Paramètres!$A$1:$I$89,3,0)*0.475*44/12</f>
        <v>1.2750919839993908</v>
      </c>
      <c r="AW200" s="21">
        <f>EXP(-LN(2)/2)*AW199+(1-EXP(-LN(2)/2))/(LN(2)/2)*AQ200*AT200*VLOOKUP('Données projet'!$B$10,Paramètres!$A$1:$I$89,3,0)*0.475*44/12</f>
        <v>2.1668326567403346E-20</v>
      </c>
      <c r="AX200" s="21">
        <f t="shared" si="166"/>
        <v>12.765255380664096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395.14818708356353</v>
      </c>
      <c r="BJ200" s="59">
        <f t="shared" si="206"/>
        <v>311.78229491474491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29.873968404298218</v>
      </c>
      <c r="BQ200" s="21">
        <f>EXP(-LN(2)/25)*BQ199+(1-EXP(-LN(2)/25))/(LN(2)/25)*Calculateur!BL200*Calculateur!BN200*VLOOKUP('Données projet'!$B$11,Paramètres!$A$1:$I$89,3,0)*0.475*44/12</f>
        <v>3.8985089929445333</v>
      </c>
      <c r="BR200" s="21">
        <f>EXP(-LN(2)/2)*BR199+(1-EXP(-LN(2)/2))/(LN(2)/2)*BL200*BO200*VLOOKUP('Données projet'!$B$11,Paramètres!$A$1:$I$89,3,0)*0.475*44/12</f>
        <v>1.0229406918534369E-10</v>
      </c>
      <c r="BS200" s="22">
        <f t="shared" si="169"/>
        <v>33.77247739734505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4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495.26239991157297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1.064108801074326E-13</v>
      </c>
      <c r="P201" s="13">
        <f t="shared" si="203"/>
        <v>1.5870730813698654E-12</v>
      </c>
      <c r="Q201" s="20">
        <f t="shared" si="162"/>
        <v>2.9494845662396269E-12</v>
      </c>
      <c r="R201" s="59">
        <f t="shared" si="191"/>
        <v>293.33333333333627</v>
      </c>
      <c r="S201" s="59">
        <f ca="1">AVERAGE(OFFSET($R$3,0,0,'Données projet'!$E$9+1,1))-AVERAGE(OFFSET($H$3,0,0,'Données projet'!$E$9+1,1))</f>
        <v>291.3013645858839</v>
      </c>
      <c r="T201" s="59">
        <f t="shared" si="204"/>
        <v>332.89241887762438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18.130963569912659</v>
      </c>
      <c r="AA201" s="21">
        <f>EXP(-LN(2)/25)*AA200+(1-EXP(-LN(2)/25))/(LN(2)/25)*Calculateur!V201*Calculateur!X201*VLOOKUP('Données projet'!$B$9,Paramètres!$A$1:$I$89,3,0)*0.475*44/12</f>
        <v>2.2886563846735579</v>
      </c>
      <c r="AB201" s="21">
        <f>EXP(-LN(2)/2)*AB200+(1-EXP(-LN(2)/2))/(LN(2)/2)*V201*Y201*VLOOKUP('Données projet'!$B$9,Paramètres!$A$1:$I$89,3,0)*0.475*44/12</f>
        <v>3.6410875969062077E-17</v>
      </c>
      <c r="AC201" s="22">
        <f t="shared" si="163"/>
        <v>20.419619954586217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3.4106051316484809E-13</v>
      </c>
      <c r="AJ201" s="13">
        <f>AI201*VLOOKUP('Données projet'!$B$10,Paramètres!$A$1:$I$89,3,0)*VLOOKUP('Données projet'!$B$10,Paramètres!$A$1:$I$89,5,0)</f>
        <v>1.5074874681886286E-13</v>
      </c>
      <c r="AK201" s="13">
        <f t="shared" si="164"/>
        <v>2.1590218794584103E-12</v>
      </c>
      <c r="AL201" s="20">
        <f t="shared" si="165"/>
        <v>4.0228505074329168E-12</v>
      </c>
      <c r="AM201" s="59">
        <f t="shared" si="193"/>
        <v>293.33333333333735</v>
      </c>
      <c r="AN201" s="59">
        <f ca="1">AVERAGE(OFFSET($AM$3,0,0,'Données projet'!$E$10+1,1))-AVERAGE(OFFSET($H$3,0,0,'Données projet'!$E$10+1,1))</f>
        <v>293.17014997061574</v>
      </c>
      <c r="AO201" s="59">
        <f t="shared" si="205"/>
        <v>394.32615745219954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11.26484830076377</v>
      </c>
      <c r="AV201" s="21">
        <f>EXP(-LN(2)/25)*AV200+(1-EXP(-LN(2)/25))/(LN(2)/25)*Calculateur!AQ201*Calculateur!AS201*VLOOKUP('Données projet'!$B$10,Paramètres!$A$1:$I$89,3,0)*0.475*44/12</f>
        <v>1.2402245266427543</v>
      </c>
      <c r="AW201" s="21">
        <f>EXP(-LN(2)/2)*AW200+(1-EXP(-LN(2)/2))/(LN(2)/2)*AQ201*AT201*VLOOKUP('Données projet'!$B$10,Paramètres!$A$1:$I$89,3,0)*0.475*44/12</f>
        <v>1.5321820652775532E-20</v>
      </c>
      <c r="AX201" s="21">
        <f t="shared" si="166"/>
        <v>12.505072827406524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395.14818708356353</v>
      </c>
      <c r="BJ201" s="59">
        <f t="shared" si="206"/>
        <v>311.78229491474491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29.288158105211451</v>
      </c>
      <c r="BQ201" s="21">
        <f>EXP(-LN(2)/25)*BQ200+(1-EXP(-LN(2)/25))/(LN(2)/25)*Calculateur!BL201*Calculateur!BN201*VLOOKUP('Données projet'!$B$11,Paramètres!$A$1:$I$89,3,0)*0.475*44/12</f>
        <v>3.7919040595187874</v>
      </c>
      <c r="BR201" s="21">
        <f>EXP(-LN(2)/2)*BR200+(1-EXP(-LN(2)/2))/(LN(2)/2)*BL201*BO201*VLOOKUP('Données projet'!$B$11,Paramètres!$A$1:$I$89,3,0)*0.475*44/12</f>
        <v>7.2332829996122374E-11</v>
      </c>
      <c r="BS201" s="22">
        <f t="shared" si="169"/>
        <v>33.08006216480257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4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496.43778820998034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1.064108801074326E-13</v>
      </c>
      <c r="P202" s="13">
        <f t="shared" si="203"/>
        <v>1.5870730813698654E-12</v>
      </c>
      <c r="Q202" s="20">
        <f t="shared" si="162"/>
        <v>2.9494845662396269E-12</v>
      </c>
      <c r="R202" s="59">
        <f t="shared" si="191"/>
        <v>293.33333333333627</v>
      </c>
      <c r="S202" s="59">
        <f ca="1">AVERAGE(OFFSET($R$3,0,0,'Données projet'!$E$9+1,1))-AVERAGE(OFFSET($H$3,0,0,'Données projet'!$E$9+1,1))</f>
        <v>291.3013645858839</v>
      </c>
      <c r="T202" s="59">
        <f t="shared" si="204"/>
        <v>332.89241887762438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17.775426433102485</v>
      </c>
      <c r="AA202" s="21">
        <f>EXP(-LN(2)/25)*AA201+(1-EXP(-LN(2)/25))/(LN(2)/25)*Calculateur!V202*Calculateur!X202*VLOOKUP('Données projet'!$B$9,Paramètres!$A$1:$I$89,3,0)*0.475*44/12</f>
        <v>2.2260729554794509</v>
      </c>
      <c r="AB202" s="21">
        <f>EXP(-LN(2)/2)*AB201+(1-EXP(-LN(2)/2))/(LN(2)/2)*V202*Y202*VLOOKUP('Données projet'!$B$9,Paramètres!$A$1:$I$89,3,0)*0.475*44/12</f>
        <v>2.57463773066661E-17</v>
      </c>
      <c r="AC202" s="22">
        <f t="shared" si="163"/>
        <v>20.001499388581937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3.4106051316484809E-13</v>
      </c>
      <c r="AJ202" s="13">
        <f>AI202*VLOOKUP('Données projet'!$B$10,Paramètres!$A$1:$I$89,3,0)*VLOOKUP('Données projet'!$B$10,Paramètres!$A$1:$I$89,5,0)</f>
        <v>1.5074874681886286E-13</v>
      </c>
      <c r="AK202" s="13">
        <f t="shared" si="164"/>
        <v>2.1590218794584103E-12</v>
      </c>
      <c r="AL202" s="20">
        <f t="shared" si="165"/>
        <v>4.0228505074329168E-12</v>
      </c>
      <c r="AM202" s="59">
        <f t="shared" si="193"/>
        <v>293.33333333333735</v>
      </c>
      <c r="AN202" s="59">
        <f ca="1">AVERAGE(OFFSET($AM$3,0,0,'Données projet'!$E$10+1,1))-AVERAGE(OFFSET($H$3,0,0,'Données projet'!$E$10+1,1))</f>
        <v>293.17014997061574</v>
      </c>
      <c r="AO202" s="59">
        <f t="shared" si="205"/>
        <v>394.32615745219954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11.043951496464812</v>
      </c>
      <c r="AV202" s="21">
        <f>EXP(-LN(2)/25)*AV201+(1-EXP(-LN(2)/25))/(LN(2)/25)*Calculateur!AQ202*Calculateur!AS202*VLOOKUP('Données projet'!$B$10,Paramètres!$A$1:$I$89,3,0)*0.475*44/12</f>
        <v>1.206310521741135</v>
      </c>
      <c r="AW202" s="21">
        <f>EXP(-LN(2)/2)*AW201+(1-EXP(-LN(2)/2))/(LN(2)/2)*AQ202*AT202*VLOOKUP('Données projet'!$B$10,Paramètres!$A$1:$I$89,3,0)*0.475*44/12</f>
        <v>1.0834163283701673E-20</v>
      </c>
      <c r="AX202" s="21">
        <f t="shared" si="166"/>
        <v>12.250262018205948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395.14818708356353</v>
      </c>
      <c r="BJ202" s="59">
        <f t="shared" si="206"/>
        <v>311.78229491474491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28.713835188780774</v>
      </c>
      <c r="BQ202" s="21">
        <f>EXP(-LN(2)/25)*BQ201+(1-EXP(-LN(2)/25))/(LN(2)/25)*Calculateur!BL202*Calculateur!BN202*VLOOKUP('Données projet'!$B$11,Paramètres!$A$1:$I$89,3,0)*0.475*44/12</f>
        <v>3.688214243603678</v>
      </c>
      <c r="BR202" s="21">
        <f>EXP(-LN(2)/2)*BR201+(1-EXP(-LN(2)/2))/(LN(2)/2)*BL202*BO202*VLOOKUP('Données projet'!$B$11,Paramètres!$A$1:$I$89,3,0)*0.475*44/12</f>
        <v>5.1147034592671845E-11</v>
      </c>
      <c r="BS202" s="22">
        <f t="shared" si="169"/>
        <v>32.402049432435597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4.65" thickBot="1" x14ac:dyDescent="0.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497.61304526670318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1.064108801074326E-13</v>
      </c>
      <c r="P203" s="13">
        <f t="shared" si="203"/>
        <v>1.5870730813698654E-12</v>
      </c>
      <c r="Q203" s="20">
        <f t="shared" si="162"/>
        <v>2.9494845662396269E-12</v>
      </c>
      <c r="R203" s="59">
        <f t="shared" si="191"/>
        <v>293.33333333333627</v>
      </c>
      <c r="S203" s="59">
        <f ca="1">AVERAGE(OFFSET($R$3,0,0,'Données projet'!$E$9+1,1))-AVERAGE(OFFSET($H$3,0,0,'Données projet'!$E$9+1,1))</f>
        <v>291.3013645858839</v>
      </c>
      <c r="T203" s="59">
        <f t="shared" si="204"/>
        <v>332.89241887762438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17.426861162688915</v>
      </c>
      <c r="AA203" s="21">
        <f>EXP(-LN(2)/25)*AA202+(1-EXP(-LN(2)/25))/(LN(2)/25)*Calculateur!V203*Calculateur!X203*VLOOKUP('Données projet'!$B$9,Paramètres!$A$1:$I$89,3,0)*0.475*44/12</f>
        <v>2.1652008734477763</v>
      </c>
      <c r="AB203" s="21">
        <f>EXP(-LN(2)/2)*AB202+(1-EXP(-LN(2)/2))/(LN(2)/2)*V203*Y203*VLOOKUP('Données projet'!$B$9,Paramètres!$A$1:$I$89,3,0)*0.475*44/12</f>
        <v>1.8205437984531039E-17</v>
      </c>
      <c r="AC203" s="22">
        <f t="shared" si="163"/>
        <v>19.592062036136692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3.4106051316484809E-13</v>
      </c>
      <c r="AJ203" s="13">
        <f>AI203*VLOOKUP('Données projet'!$B$10,Paramètres!$A$1:$I$89,3,0)*VLOOKUP('Données projet'!$B$10,Paramètres!$A$1:$I$89,5,0)</f>
        <v>1.5074874681886286E-13</v>
      </c>
      <c r="AK203" s="13">
        <f t="shared" si="164"/>
        <v>2.1590218794584103E-12</v>
      </c>
      <c r="AL203" s="20">
        <f t="shared" si="165"/>
        <v>4.0228505074329168E-12</v>
      </c>
      <c r="AM203" s="59">
        <f t="shared" si="193"/>
        <v>293.33333333333735</v>
      </c>
      <c r="AN203" s="59">
        <f ca="1">AVERAGE(OFFSET($AM$3,0,0,'Données projet'!$E$10+1,1))-AVERAGE(OFFSET($H$3,0,0,'Données projet'!$E$10+1,1))</f>
        <v>293.17014997061574</v>
      </c>
      <c r="AO203" s="59">
        <f t="shared" si="205"/>
        <v>394.32615745219954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10.827386343764411</v>
      </c>
      <c r="AV203" s="21">
        <f>EXP(-LN(2)/25)*AV202+(1-EXP(-LN(2)/25))/(LN(2)/25)*Calculateur!AQ203*Calculateur!AS203*VLOOKUP('Données projet'!$B$10,Paramètres!$A$1:$I$89,3,0)*0.475*44/12</f>
        <v>1.1733238970870103</v>
      </c>
      <c r="AW203" s="21">
        <f>EXP(-LN(2)/2)*AW202+(1-EXP(-LN(2)/2))/(LN(2)/2)*AQ203*AT203*VLOOKUP('Données projet'!$B$10,Paramètres!$A$1:$I$89,3,0)*0.475*44/12</f>
        <v>7.6609103263877661E-21</v>
      </c>
      <c r="AX203" s="21">
        <f t="shared" si="166"/>
        <v>12.000710240851422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395.14818708356353</v>
      </c>
      <c r="BJ203" s="59">
        <f t="shared" si="206"/>
        <v>311.78229491474491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28.150774394438912</v>
      </c>
      <c r="BQ203" s="21">
        <f>EXP(-LN(2)/25)*BQ202+(1-EXP(-LN(2)/25))/(LN(2)/25)*Calculateur!BL203*Calculateur!BN203*VLOOKUP('Données projet'!$B$11,Paramètres!$A$1:$I$89,3,0)*0.475*44/12</f>
        <v>3.5873598311575781</v>
      </c>
      <c r="BR203" s="21">
        <f>EXP(-LN(2)/2)*BR202+(1-EXP(-LN(2)/2))/(LN(2)/2)*BL203*BO203*VLOOKUP('Données projet'!$B$11,Paramètres!$A$1:$I$89,3,0)*0.475*44/12</f>
        <v>3.6166414998061187E-11</v>
      </c>
      <c r="BS203" s="22">
        <f t="shared" si="169"/>
        <v>31.738134225632656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4.65" thickBot="1" x14ac:dyDescent="0.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4.65" thickBot="1" x14ac:dyDescent="0.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1.2496573925045706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1.3431520832915915</v>
      </c>
      <c r="BA205" s="82">
        <f>EXP(LN('Données projet'!B88)/'Données projet'!A88)</f>
        <v>1.1385947235720562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6484375" defaultRowHeight="14.25" x14ac:dyDescent="0.45"/>
  <cols>
    <col min="1" max="1" width="23.46484375" style="4" bestFit="1" customWidth="1"/>
    <col min="2" max="2" width="27.59765625" style="4" bestFit="1" customWidth="1"/>
    <col min="3" max="3" width="11.9296875" style="4" bestFit="1" customWidth="1"/>
    <col min="4" max="4" width="40" style="4" bestFit="1" customWidth="1"/>
    <col min="5" max="5" width="11.9296875" style="4" bestFit="1" customWidth="1"/>
    <col min="6" max="6" width="13.59765625" style="4" bestFit="1" customWidth="1"/>
    <col min="7" max="7" width="11.46484375" style="4" bestFit="1" customWidth="1"/>
    <col min="8" max="8" width="39" style="4" bestFit="1" customWidth="1"/>
    <col min="9" max="9" width="16.59765625" style="4" customWidth="1"/>
    <col min="10" max="14" width="11.46484375" style="4"/>
    <col min="15" max="15" width="23.46484375" style="4" bestFit="1" customWidth="1"/>
    <col min="16" max="16384" width="11.46484375" style="4"/>
  </cols>
  <sheetData>
    <row r="1" spans="1:16" ht="43.15" thickBot="1" x14ac:dyDescent="0.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4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4.65" thickBot="1" x14ac:dyDescent="0.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4.65" thickBot="1" x14ac:dyDescent="0.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4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4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4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4.65" thickBot="1" x14ac:dyDescent="0.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4.65" thickBot="1" x14ac:dyDescent="0.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4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4.65" thickBot="1" x14ac:dyDescent="0.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4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4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4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4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4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4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4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4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4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4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4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4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4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4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4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4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4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4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4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4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4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4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4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4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4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4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4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4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4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4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4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4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4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4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4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4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4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4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4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4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4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4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4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4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4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4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4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4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4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4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4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4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4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4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4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4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4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4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4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4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4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4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4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4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4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4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4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4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4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4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4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4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4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4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4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4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4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4.65" thickBot="1" x14ac:dyDescent="0.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45">
      <c r="A93" s="122" t="s">
        <v>208</v>
      </c>
    </row>
    <row r="94" spans="1:14" x14ac:dyDescent="0.45">
      <c r="A94" s="122" t="s">
        <v>209</v>
      </c>
    </row>
    <row r="95" spans="1:14" x14ac:dyDescent="0.4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D14" sqref="D14"/>
    </sheetView>
  </sheetViews>
  <sheetFormatPr baseColWidth="10" defaultColWidth="11.46484375" defaultRowHeight="14.25" x14ac:dyDescent="0.45"/>
  <cols>
    <col min="1" max="1" width="22.9296875" style="1" bestFit="1" customWidth="1"/>
    <col min="2" max="2" width="10.53125" style="1" bestFit="1" customWidth="1"/>
    <col min="3" max="3" width="15.53125" style="1" bestFit="1" customWidth="1"/>
    <col min="4" max="4" width="13.46484375" style="1" bestFit="1" customWidth="1"/>
    <col min="5" max="8" width="11.46484375" style="1"/>
    <col min="9" max="13" width="11.46484375" style="62"/>
    <col min="14" max="15" width="11.46484375" style="1"/>
    <col min="16" max="17" width="13.46484375" style="1" customWidth="1"/>
    <col min="18" max="16384" width="11.46484375" style="1"/>
  </cols>
  <sheetData>
    <row r="1" spans="1:6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5.9" thickBot="1" x14ac:dyDescent="0.8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4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4.65" thickBot="1" x14ac:dyDescent="0.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7.4" thickBot="1" x14ac:dyDescent="0.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45">
      <c r="A6" s="145" t="str">
        <f>IF('Données projet'!$B$9="","",'Données projet'!$B$9)</f>
        <v>Epicéa de Sitka</v>
      </c>
      <c r="B6" s="146">
        <f>'Données projet'!D9</f>
        <v>0.99119999999999986</v>
      </c>
      <c r="C6" s="147">
        <f ca="1">IF(OR('Données projet'!B9="",'Données projet'!C9="",'Données projet'!C9=0%),0,Calculateur!S3)</f>
        <v>291.3013645858839</v>
      </c>
      <c r="D6" s="147">
        <f>IF(OR('Données projet'!B9="",'Données projet'!C9="",'Données projet'!C9=0%),0,Calculateur!T3)</f>
        <v>332.89241887762438</v>
      </c>
      <c r="E6" s="147">
        <f ca="1">MIN(C6,D6)</f>
        <v>291.3013645858839</v>
      </c>
      <c r="F6" s="147">
        <f ca="1">E6*B6</f>
        <v>288.73791257752811</v>
      </c>
      <c r="G6" s="147">
        <f ca="1">F6*(100%-'Données projet'!$C$24)*(100%-'Données projet'!$C$25)*(100%-'Données projet'!$C$26)*(100%-'Données projet'!$C$27)</f>
        <v>246.87091525378651</v>
      </c>
      <c r="H6" s="148">
        <f>IF(OR('Données projet'!B9="",'Données projet'!C9="",'Données projet'!C9=0%),0,AVERAGE(Calculateur!$AC$3:$AC$33)*B6)</f>
        <v>5.1699032548343657</v>
      </c>
      <c r="I6" s="149">
        <f>H6*(100%-'Données projet'!$C$24)*(100%-'Données projet'!$C$25)*(100%-'Données projet'!$C$26)*(100%-'Données projet'!$C$27)</f>
        <v>4.4202672828833824</v>
      </c>
      <c r="J6" s="150">
        <f>IF(OR('Données projet'!B9="",'Données projet'!C9="",'Données projet'!C9=0%),0,SUM(Calculateur!$V$3:$V$33)*VLOOKUP('Données projet'!$B$9,Paramètres!$A$1:$I$89,9,0)*B6)</f>
        <v>69.942045599999986</v>
      </c>
      <c r="K6" s="151">
        <f>J6*(100%-'Données projet'!$C$24)*(100%-'Données projet'!$C$25)*(100%-'Données projet'!$C$26)*(100%-'Données projet'!$C$27)</f>
        <v>59.800448987999985</v>
      </c>
      <c r="L6" s="152">
        <f ca="1">G6+I6+K6</f>
        <v>311.09163152466988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45">
      <c r="A7" s="153" t="str">
        <f>IF('Données projet'!$B$10="","",'Données projet'!$B$10)</f>
        <v>Séquoia toujours vert</v>
      </c>
      <c r="B7" s="154">
        <f>'Données projet'!D10</f>
        <v>0.504</v>
      </c>
      <c r="C7" s="147">
        <f ca="1">IF(OR('Données projet'!B10="",'Données projet'!C10="",'Données projet'!C10=0%),0,Calculateur!AN3)</f>
        <v>293.17014997061574</v>
      </c>
      <c r="D7" s="147">
        <f>IF(OR('Données projet'!B10="",'Données projet'!C10="",'Données projet'!C10=0%),0,Calculateur!AO3)</f>
        <v>394.32615745219954</v>
      </c>
      <c r="E7" s="147">
        <f t="shared" ref="E7:E15" ca="1" si="0">MIN(C7,D7)</f>
        <v>293.17014997061574</v>
      </c>
      <c r="F7" s="147">
        <f t="shared" ref="F7:F15" ca="1" si="1">E7*B7</f>
        <v>147.75775558519032</v>
      </c>
      <c r="G7" s="147">
        <f ca="1">F7*(100%-'Données projet'!$C$24)*(100%-'Données projet'!$C$25)*(100%-'Données projet'!$C$26)*(100%-'Données projet'!$C$27)</f>
        <v>126.33288102533773</v>
      </c>
      <c r="H7" s="155">
        <f>IF(OR('Données projet'!B10="",'Données projet'!C10="",'Données projet'!C10=0%),0,AVERAGE(Calculateur!$AX$3:$AX$33)*B7)</f>
        <v>5.5680077588745913</v>
      </c>
      <c r="I7" s="149">
        <f>H7*(100%-'Données projet'!$C$24)*(100%-'Données projet'!$C$25)*(100%-'Données projet'!$C$26)*(100%-'Données projet'!$C$27)</f>
        <v>4.7606466338377755</v>
      </c>
      <c r="J7" s="150">
        <f>IF(OR('Données projet'!B10="",'Données projet'!C10="",'Données projet'!C10=0%),0,SUM(Calculateur!$AQ$3:$AQ$33)*VLOOKUP('Données projet'!$B$10,Paramètres!$A$1:$I$89,9,0)*B7)</f>
        <v>44.908718400000005</v>
      </c>
      <c r="K7" s="151">
        <f>J7*(100%-'Données projet'!$C$24)*(100%-'Données projet'!$C$25)*(100%-'Données projet'!$C$26)*(100%-'Données projet'!$C$27)</f>
        <v>38.396954232000006</v>
      </c>
      <c r="L7" s="152">
        <f t="shared" ref="L7:L15" ca="1" si="2">G7+I7+K7</f>
        <v>169.49048189117551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45">
      <c r="A8" s="153" t="str">
        <f>IF('Données projet'!$B$11="","",'Données projet'!$B$11)</f>
        <v>Hêtre</v>
      </c>
      <c r="B8" s="154">
        <f>'Données projet'!D11</f>
        <v>0.18479999999999999</v>
      </c>
      <c r="C8" s="147">
        <f ca="1">IF(OR('Données projet'!B11="",'Données projet'!C11="",'Données projet'!C11=0%),0,Calculateur!BI3)</f>
        <v>395.14818708356353</v>
      </c>
      <c r="D8" s="147">
        <f>IF(OR('Données projet'!B11="",'Données projet'!C11="",'Données projet'!C11=0%),0,Calculateur!BJ3)</f>
        <v>311.78229491474491</v>
      </c>
      <c r="E8" s="147">
        <f t="shared" ca="1" si="0"/>
        <v>311.78229491474491</v>
      </c>
      <c r="F8" s="147">
        <f t="shared" ca="1" si="1"/>
        <v>57.61736810024486</v>
      </c>
      <c r="G8" s="147">
        <f ca="1">F8*(100%-'Données projet'!$C$24)*(100%-'Données projet'!$C$25)*(100%-'Données projet'!$C$26)*(100%-'Données projet'!$C$27)</f>
        <v>49.262849725709351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49.262849725709351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4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4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4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4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4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4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4.65" thickBot="1" x14ac:dyDescent="0.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4.65" thickBot="1" x14ac:dyDescent="0.5">
      <c r="A16" s="209"/>
      <c r="B16" s="213"/>
      <c r="C16" s="214"/>
      <c r="D16" s="23"/>
      <c r="E16" s="23"/>
      <c r="F16" s="165">
        <f t="shared" ref="F16:L16" ca="1" si="3">SUM(F6:F15)</f>
        <v>494.11303626296325</v>
      </c>
      <c r="G16" s="166">
        <f t="shared" ca="1" si="3"/>
        <v>422.46664600483359</v>
      </c>
      <c r="H16" s="167">
        <f t="shared" si="3"/>
        <v>10.737911013708956</v>
      </c>
      <c r="I16" s="167">
        <f t="shared" si="3"/>
        <v>9.180913916721158</v>
      </c>
      <c r="J16" s="168">
        <f t="shared" si="3"/>
        <v>114.850764</v>
      </c>
      <c r="K16" s="168">
        <f t="shared" si="3"/>
        <v>98.197403219999984</v>
      </c>
      <c r="L16" s="169">
        <f t="shared" ca="1" si="3"/>
        <v>529.84496314155467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45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45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4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4.65" thickBot="1" x14ac:dyDescent="0.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4.65" thickBot="1" x14ac:dyDescent="0.5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4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4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4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4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4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4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4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4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4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4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4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4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4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4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4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4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4.65" thickBot="1" x14ac:dyDescent="0.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4.65" thickBot="1" x14ac:dyDescent="0.5">
      <c r="A39" s="170" t="str">
        <f>A7</f>
        <v>Séquoia toujours vert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4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4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4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4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4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4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4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4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4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4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4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4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4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4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4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4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4.65" thickBot="1" x14ac:dyDescent="0.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4.65" thickBot="1" x14ac:dyDescent="0.5">
      <c r="A57" s="170" t="str">
        <f>A8</f>
        <v>Hêtre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4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4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4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4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4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4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4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4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4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4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4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4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4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4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4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4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4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4.65" thickBot="1" x14ac:dyDescent="0.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4.65" thickBot="1" x14ac:dyDescent="0.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4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4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4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4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4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4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4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4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4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4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4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4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4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4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4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4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4.65" thickBot="1" x14ac:dyDescent="0.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4.65" thickBot="1" x14ac:dyDescent="0.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4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4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4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4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4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4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4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4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4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4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4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4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4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4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4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4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4.65" thickBot="1" x14ac:dyDescent="0.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4.65" thickBot="1" x14ac:dyDescent="0.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4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4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4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4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4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4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4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4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4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4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4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4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4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4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4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4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4.65" thickBot="1" x14ac:dyDescent="0.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4.65" thickBot="1" x14ac:dyDescent="0.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4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4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4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4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4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4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4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4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4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4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4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4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4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4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4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4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4.65" thickBot="1" x14ac:dyDescent="0.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4.65" thickBot="1" x14ac:dyDescent="0.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4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4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4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4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4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4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4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4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4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4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4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4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4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4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4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4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4.65" thickBot="1" x14ac:dyDescent="0.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4.65" thickBot="1" x14ac:dyDescent="0.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4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4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4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4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4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4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4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4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4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4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4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4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4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4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4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4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4.65" thickBot="1" x14ac:dyDescent="0.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4.65" thickBot="1" x14ac:dyDescent="0.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4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4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4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4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4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4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4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4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4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4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4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4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4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4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4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4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4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4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4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4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4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4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4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4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4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4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4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4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4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4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4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4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4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4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4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4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4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4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4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4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4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4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4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4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4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4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4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4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4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4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4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4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4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4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4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4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4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4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4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4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4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4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4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4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4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4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4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4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4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4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4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4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4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4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4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4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4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4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4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4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4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4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4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4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4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4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4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4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4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4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4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4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4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4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4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4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4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4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4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4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4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4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4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4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4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4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4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4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4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4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4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4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4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4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4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4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4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4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4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4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4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4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4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4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4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4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4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4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4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4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4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4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4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4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4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4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4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4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4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4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4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4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4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4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4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4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4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4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4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4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4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4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4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4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4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4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4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4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4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4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4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4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4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4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4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4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4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4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4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4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4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14" sqref="F14"/>
    </sheetView>
  </sheetViews>
  <sheetFormatPr baseColWidth="10" defaultColWidth="11.46484375" defaultRowHeight="14.25" x14ac:dyDescent="0.45"/>
  <cols>
    <col min="1" max="1" width="11.46484375" style="1"/>
    <col min="2" max="2" width="30.9296875" style="1" bestFit="1" customWidth="1"/>
    <col min="3" max="3" width="18.06640625" style="1" bestFit="1" customWidth="1"/>
    <col min="4" max="5" width="11.46484375" style="1"/>
    <col min="6" max="6" width="14" style="1" customWidth="1"/>
    <col min="7" max="7" width="17.53125" style="1" customWidth="1"/>
    <col min="8" max="8" width="21.59765625" style="1" customWidth="1"/>
    <col min="9" max="9" width="37" style="1" customWidth="1"/>
    <col min="10" max="10" width="11.46484375" style="1"/>
    <col min="11" max="11" width="8.9296875" style="1" customWidth="1"/>
    <col min="12" max="12" width="11.46484375" style="1"/>
    <col min="13" max="13" width="21" style="1" customWidth="1"/>
    <col min="14" max="16" width="11.46484375" style="1"/>
    <col min="17" max="17" width="8" style="1" customWidth="1"/>
    <col min="18" max="18" width="11.46484375" style="1"/>
    <col min="19" max="19" width="31" style="1" customWidth="1"/>
    <col min="20" max="20" width="18.06640625" style="1" customWidth="1"/>
    <col min="21" max="21" width="16.46484375" style="1" customWidth="1"/>
    <col min="22" max="22" width="17.9296875" style="1" customWidth="1"/>
    <col min="23" max="16384" width="11.46484375" style="1"/>
  </cols>
  <sheetData>
    <row r="1" spans="1:42" ht="14.65" thickBot="1" x14ac:dyDescent="0.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5.9" thickBot="1" x14ac:dyDescent="0.8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4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45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4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4.65" thickBot="1" x14ac:dyDescent="0.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8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4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4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4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4754.9575929812845</v>
      </c>
      <c r="U10" s="178">
        <f>'Données projet'!D9</f>
        <v>0.99119999999999986</v>
      </c>
      <c r="V10" s="177">
        <f>U10*T10</f>
        <v>4713.1139661630486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4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Séquoia toujours vert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7142.1372051831368</v>
      </c>
      <c r="U11" s="178">
        <f>'Données projet'!D10</f>
        <v>0.504</v>
      </c>
      <c r="V11" s="177">
        <f t="shared" ref="V11" si="0">U11*T11</f>
        <v>3599.6371514123011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4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Hêtre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719.87002214260849</v>
      </c>
      <c r="U12" s="178">
        <f>'Données projet'!D11</f>
        <v>0.18479999999999999</v>
      </c>
      <c r="V12" s="177">
        <f t="shared" ref="V12:V19" si="1">U12*T12</f>
        <v>133.03198009195404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4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45">
      <c r="A14" s="46" t="s">
        <v>165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45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4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>
        <v>54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4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53.999999999999964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4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>
        <v>12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4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647.99999999999955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4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>
        <v>1</v>
      </c>
      <c r="I20" s="191">
        <f>(19719-2247)/2.14</f>
        <v>8164.4859813084104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4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f>2247/3/2.14</f>
        <v>350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4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f t="shared" ref="I22:I23" si="2">2247/3/2.14</f>
        <v>350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45">
      <c r="A23" s="180">
        <f>'Données projet'!A36</f>
        <v>25</v>
      </c>
      <c r="B23" s="181">
        <f>'Données projet'!D36</f>
        <v>68.009999999999991</v>
      </c>
      <c r="C23" s="193">
        <v>18.125</v>
      </c>
      <c r="D23" s="182">
        <f>B23*C23</f>
        <v>1232.6812499999999</v>
      </c>
      <c r="E23" s="193">
        <v>60</v>
      </c>
      <c r="F23" s="230"/>
      <c r="H23" s="190">
        <v>5</v>
      </c>
      <c r="I23" s="191">
        <f t="shared" si="2"/>
        <v>350</v>
      </c>
      <c r="J23" s="257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-6205.4505442425907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45">
      <c r="A24" s="180">
        <f>'Données projet'!A37</f>
        <v>30</v>
      </c>
      <c r="B24" s="181">
        <f>'Données projet'!D37</f>
        <v>96.09</v>
      </c>
      <c r="C24" s="193">
        <v>18.125</v>
      </c>
      <c r="D24" s="182">
        <f t="shared" ref="D24:D42" si="3">B24*C24</f>
        <v>1741.6312500000001</v>
      </c>
      <c r="E24" s="193">
        <v>60</v>
      </c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101.06588968544504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45">
      <c r="A25" s="180">
        <f>'Données projet'!A38</f>
        <v>36</v>
      </c>
      <c r="B25" s="181">
        <f>'Données projet'!D38</f>
        <v>95.659999999999968</v>
      </c>
      <c r="C25" s="193">
        <v>40</v>
      </c>
      <c r="D25" s="182">
        <f t="shared" si="3"/>
        <v>3826.3999999999987</v>
      </c>
      <c r="E25" s="193">
        <v>60</v>
      </c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0">
        <f ca="1">T23-T24</f>
        <v>-6306.5164339280354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45">
      <c r="A26" s="180">
        <f>'Données projet'!A39</f>
        <v>42</v>
      </c>
      <c r="B26" s="181">
        <f>'Données projet'!D39</f>
        <v>89.87</v>
      </c>
      <c r="C26" s="193">
        <v>40</v>
      </c>
      <c r="D26" s="182">
        <f t="shared" si="3"/>
        <v>3594.8</v>
      </c>
      <c r="E26" s="193">
        <v>60</v>
      </c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est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45">
      <c r="A27" s="180">
        <f>'Données projet'!A40</f>
        <v>48</v>
      </c>
      <c r="B27" s="181">
        <f>'Données projet'!D40</f>
        <v>100.36000000000001</v>
      </c>
      <c r="C27" s="193">
        <v>40</v>
      </c>
      <c r="D27" s="182">
        <f t="shared" si="3"/>
        <v>4014.4000000000005</v>
      </c>
      <c r="E27" s="193">
        <v>60</v>
      </c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45">
      <c r="A28" s="180">
        <f>'Données projet'!A41</f>
        <v>55</v>
      </c>
      <c r="B28" s="181">
        <f>'Données projet'!D41</f>
        <v>98.979999999999961</v>
      </c>
      <c r="C28" s="193">
        <v>40</v>
      </c>
      <c r="D28" s="182">
        <f t="shared" si="3"/>
        <v>3959.1999999999985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45">
      <c r="A29" s="180">
        <f>'Données projet'!A42</f>
        <v>62</v>
      </c>
      <c r="B29" s="181">
        <f>'Données projet'!D42</f>
        <v>121.06000000000006</v>
      </c>
      <c r="C29" s="193">
        <v>55.5</v>
      </c>
      <c r="D29" s="182">
        <f t="shared" si="3"/>
        <v>6718.8300000000036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45">
      <c r="A30" s="180">
        <f>'Données projet'!A43</f>
        <v>69</v>
      </c>
      <c r="B30" s="181">
        <f>'Données projet'!D43</f>
        <v>112.11000000000007</v>
      </c>
      <c r="C30" s="193">
        <v>55.5</v>
      </c>
      <c r="D30" s="182">
        <f t="shared" si="3"/>
        <v>6222.1050000000041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45">
      <c r="A31" s="180">
        <f>'Données projet'!A44</f>
        <v>77</v>
      </c>
      <c r="B31" s="181">
        <f>'Données projet'!D44</f>
        <v>552.46</v>
      </c>
      <c r="C31" s="193">
        <v>55.5</v>
      </c>
      <c r="D31" s="182">
        <f t="shared" si="3"/>
        <v>30661.530000000002</v>
      </c>
      <c r="E31" s="193">
        <v>60</v>
      </c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45">
      <c r="A32" s="180">
        <f>'Données projet'!A45</f>
        <v>0</v>
      </c>
      <c r="B32" s="181">
        <f>'Données projet'!D45</f>
        <v>0</v>
      </c>
      <c r="C32" s="193"/>
      <c r="D32" s="182">
        <f t="shared" si="3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45">
      <c r="A33" s="180">
        <f>'Données projet'!A46</f>
        <v>0</v>
      </c>
      <c r="B33" s="181">
        <f>'Données projet'!D46</f>
        <v>0</v>
      </c>
      <c r="C33" s="193"/>
      <c r="D33" s="182">
        <f t="shared" si="3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4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45">
      <c r="A34" s="180">
        <f>'Données projet'!A47</f>
        <v>0</v>
      </c>
      <c r="B34" s="181">
        <f>'Données projet'!D47</f>
        <v>0</v>
      </c>
      <c r="C34" s="193"/>
      <c r="D34" s="182">
        <f t="shared" si="3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4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45">
      <c r="A35" s="180">
        <f>'Données projet'!A48</f>
        <v>0</v>
      </c>
      <c r="B35" s="181">
        <f>'Données projet'!D48</f>
        <v>0</v>
      </c>
      <c r="C35" s="193"/>
      <c r="D35" s="182">
        <f t="shared" si="3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4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45">
      <c r="A36" s="180">
        <f>'Données projet'!A49</f>
        <v>0</v>
      </c>
      <c r="B36" s="181">
        <f>'Données projet'!D49</f>
        <v>0</v>
      </c>
      <c r="C36" s="193"/>
      <c r="D36" s="182">
        <f t="shared" si="3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4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45">
      <c r="A37" s="180">
        <f>'Données projet'!A50</f>
        <v>0</v>
      </c>
      <c r="B37" s="181">
        <f>'Données projet'!D50</f>
        <v>0</v>
      </c>
      <c r="C37" s="193"/>
      <c r="D37" s="182">
        <f t="shared" si="3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4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45">
      <c r="A38" s="180">
        <f>'Données projet'!A51</f>
        <v>0</v>
      </c>
      <c r="B38" s="181">
        <f>'Données projet'!D51</f>
        <v>0</v>
      </c>
      <c r="C38" s="193"/>
      <c r="D38" s="182">
        <f t="shared" si="3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4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45">
      <c r="A39" s="180">
        <f>'Données projet'!A52</f>
        <v>0</v>
      </c>
      <c r="B39" s="181">
        <f>'Données projet'!D52</f>
        <v>0</v>
      </c>
      <c r="C39" s="193"/>
      <c r="D39" s="182">
        <f t="shared" si="3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4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45">
      <c r="A40" s="180">
        <f>'Données projet'!A53</f>
        <v>0</v>
      </c>
      <c r="B40" s="181">
        <f>'Données projet'!D53</f>
        <v>0</v>
      </c>
      <c r="C40" s="193"/>
      <c r="D40" s="182">
        <f t="shared" si="3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4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45">
      <c r="A41" s="180">
        <f>'Données projet'!A54</f>
        <v>0</v>
      </c>
      <c r="B41" s="181">
        <f>'Données projet'!D54</f>
        <v>0</v>
      </c>
      <c r="C41" s="193"/>
      <c r="D41" s="182">
        <f t="shared" si="3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4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45">
      <c r="A42" s="180">
        <f>'Données projet'!A55</f>
        <v>0</v>
      </c>
      <c r="B42" s="181">
        <f>'Données projet'!D55</f>
        <v>0</v>
      </c>
      <c r="C42" s="193"/>
      <c r="D42" s="182">
        <f t="shared" si="3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4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4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4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4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4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45">
      <c r="A45" s="46" t="s">
        <v>166</v>
      </c>
      <c r="B45" s="174" t="str">
        <f>IF('Données projet'!$B$10="","",'Données projet'!$B$10)</f>
        <v>Séquoia toujours vert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4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4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4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4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4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4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4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4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4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4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4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4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4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4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4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4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4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45">
      <c r="A54" s="180">
        <f>'Données projet'!A62</f>
        <v>18</v>
      </c>
      <c r="B54" s="181">
        <f>'Données projet'!D62</f>
        <v>74.829999999999984</v>
      </c>
      <c r="C54" s="191">
        <v>16.875</v>
      </c>
      <c r="D54" s="179">
        <f>B54*C54</f>
        <v>1262.7562499999997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4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45">
      <c r="A55" s="180">
        <f>'Données projet'!A63</f>
        <v>24</v>
      </c>
      <c r="B55" s="181">
        <f>'Données projet'!D63</f>
        <v>51.400000000000034</v>
      </c>
      <c r="C55" s="191">
        <v>16.875</v>
      </c>
      <c r="D55" s="179">
        <f t="shared" ref="D55:D73" si="5">B55*C55</f>
        <v>867.37500000000057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4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45">
      <c r="A56" s="180">
        <f>'Données projet'!A64</f>
        <v>30</v>
      </c>
      <c r="B56" s="181">
        <f>'Données projet'!D64</f>
        <v>80.990000000000009</v>
      </c>
      <c r="C56" s="191">
        <v>41</v>
      </c>
      <c r="D56" s="179">
        <f t="shared" si="5"/>
        <v>3320.59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4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45">
      <c r="A57" s="180">
        <f>'Données projet'!A65</f>
        <v>36</v>
      </c>
      <c r="B57" s="181">
        <f>'Données projet'!D65</f>
        <v>85.910000000000025</v>
      </c>
      <c r="C57" s="191">
        <v>41</v>
      </c>
      <c r="D57" s="179">
        <f t="shared" si="5"/>
        <v>3522.3100000000009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4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45">
      <c r="A58" s="180">
        <f>'Données projet'!A66</f>
        <v>42</v>
      </c>
      <c r="B58" s="181">
        <f>'Données projet'!D66</f>
        <v>91.32</v>
      </c>
      <c r="C58" s="191">
        <v>41</v>
      </c>
      <c r="D58" s="179">
        <f t="shared" si="5"/>
        <v>3744.12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4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45">
      <c r="A59" s="180">
        <f>'Données projet'!A67</f>
        <v>48</v>
      </c>
      <c r="B59" s="181">
        <f>'Données projet'!D67</f>
        <v>101.43000000000006</v>
      </c>
      <c r="C59" s="191">
        <v>41</v>
      </c>
      <c r="D59" s="179">
        <f t="shared" si="5"/>
        <v>4158.6300000000028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4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45">
      <c r="A60" s="180">
        <f>'Données projet'!A68</f>
        <v>54</v>
      </c>
      <c r="B60" s="181">
        <f>'Données projet'!D68</f>
        <v>708.61</v>
      </c>
      <c r="C60" s="191">
        <v>60</v>
      </c>
      <c r="D60" s="179">
        <f t="shared" si="5"/>
        <v>42516.6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4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45">
      <c r="A61" s="180">
        <f>'Données projet'!A69</f>
        <v>0</v>
      </c>
      <c r="B61" s="181">
        <f>'Données projet'!D69</f>
        <v>0</v>
      </c>
      <c r="C61" s="191"/>
      <c r="D61" s="179">
        <f t="shared" si="5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4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4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4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4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4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4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4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4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6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4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6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4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6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4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6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4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6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4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6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4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6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4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6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4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6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4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6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4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6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45">
      <c r="A76" s="46" t="s">
        <v>167</v>
      </c>
      <c r="B76" s="174" t="str">
        <f>IF('Données projet'!B11="","",'Données projet'!B11)</f>
        <v>Hêtre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6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4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6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4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6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4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6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4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6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4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6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4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6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4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6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4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6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45">
      <c r="A85" s="180">
        <f>'Données projet'!A88</f>
        <v>42</v>
      </c>
      <c r="B85" s="181">
        <f>'Données projet'!D88</f>
        <v>83.04000000000002</v>
      </c>
      <c r="C85" s="191">
        <v>12.5</v>
      </c>
      <c r="D85" s="179">
        <f>B85*C85</f>
        <v>1038.0000000000002</v>
      </c>
      <c r="E85" s="193">
        <v>60</v>
      </c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6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45">
      <c r="A86" s="180">
        <f>'Données projet'!A89</f>
        <v>48</v>
      </c>
      <c r="B86" s="181">
        <f>'Données projet'!D89</f>
        <v>56.129999999999995</v>
      </c>
      <c r="C86" s="191">
        <v>12.5</v>
      </c>
      <c r="D86" s="179">
        <f t="shared" ref="D86:D104" si="7">B86*C86</f>
        <v>701.625</v>
      </c>
      <c r="E86" s="193">
        <v>60</v>
      </c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6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45">
      <c r="A87" s="180">
        <f>'Données projet'!A90</f>
        <v>54</v>
      </c>
      <c r="B87" s="181">
        <f>'Données projet'!D90</f>
        <v>61.920000000000016</v>
      </c>
      <c r="C87" s="191">
        <v>12.5</v>
      </c>
      <c r="D87" s="179">
        <f t="shared" si="7"/>
        <v>774.00000000000023</v>
      </c>
      <c r="E87" s="193">
        <v>60</v>
      </c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6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45">
      <c r="A88" s="180">
        <f>'Données projet'!A91</f>
        <v>63</v>
      </c>
      <c r="B88" s="181">
        <f>'Données projet'!D91</f>
        <v>87.03000000000003</v>
      </c>
      <c r="C88" s="191">
        <v>23</v>
      </c>
      <c r="D88" s="179">
        <f t="shared" si="7"/>
        <v>2001.6900000000007</v>
      </c>
      <c r="E88" s="193">
        <v>60</v>
      </c>
      <c r="F88" s="232"/>
      <c r="G88" s="205"/>
      <c r="H88" s="190"/>
      <c r="I88" s="191"/>
      <c r="J88" s="4"/>
      <c r="K88" s="173"/>
      <c r="L88" s="4"/>
      <c r="M88" s="4"/>
      <c r="N88" s="4"/>
      <c r="O88" s="194" t="str">
        <f>IF(O87+1&lt;=MIN('Données projet'!$E$9:$E$18),O87+1,"STOP")</f>
        <v>STOP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45">
      <c r="A89" s="180">
        <f>'Données projet'!A92</f>
        <v>72</v>
      </c>
      <c r="B89" s="181">
        <f>'Données projet'!D92</f>
        <v>86.12</v>
      </c>
      <c r="C89" s="191">
        <v>23</v>
      </c>
      <c r="D89" s="179">
        <f t="shared" si="7"/>
        <v>1980.7600000000002</v>
      </c>
      <c r="E89" s="193">
        <v>60</v>
      </c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45">
      <c r="A90" s="180">
        <f>'Données projet'!A93</f>
        <v>81</v>
      </c>
      <c r="B90" s="181">
        <f>'Données projet'!D93</f>
        <v>79.700000000000045</v>
      </c>
      <c r="C90" s="191">
        <v>23</v>
      </c>
      <c r="D90" s="179">
        <f t="shared" si="7"/>
        <v>1833.100000000001</v>
      </c>
      <c r="E90" s="193">
        <v>60</v>
      </c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45">
      <c r="A91" s="180">
        <f>'Données projet'!A94</f>
        <v>90</v>
      </c>
      <c r="B91" s="181">
        <f>'Données projet'!D94</f>
        <v>74.100000000000023</v>
      </c>
      <c r="C91" s="191">
        <v>23</v>
      </c>
      <c r="D91" s="179">
        <f t="shared" si="7"/>
        <v>1704.3000000000006</v>
      </c>
      <c r="E91" s="193">
        <v>60</v>
      </c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45">
      <c r="A92" s="180">
        <f>'Données projet'!A95</f>
        <v>99</v>
      </c>
      <c r="B92" s="181">
        <f>'Données projet'!D95</f>
        <v>76.03000000000003</v>
      </c>
      <c r="C92" s="191">
        <v>23</v>
      </c>
      <c r="D92" s="179">
        <f t="shared" si="7"/>
        <v>1748.6900000000007</v>
      </c>
      <c r="E92" s="193">
        <v>60</v>
      </c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45">
      <c r="A93" s="180">
        <f>'Données projet'!A96</f>
        <v>111</v>
      </c>
      <c r="B93" s="181">
        <f>'Données projet'!D96</f>
        <v>154.10000000000002</v>
      </c>
      <c r="C93" s="191">
        <v>41.625</v>
      </c>
      <c r="D93" s="179">
        <f t="shared" si="7"/>
        <v>6414.4125000000013</v>
      </c>
      <c r="E93" s="193">
        <v>60</v>
      </c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45">
      <c r="A94" s="180">
        <f>'Données projet'!A97</f>
        <v>116</v>
      </c>
      <c r="B94" s="181">
        <f>'Données projet'!D97</f>
        <v>103.79999999999998</v>
      </c>
      <c r="C94" s="191">
        <v>41.625</v>
      </c>
      <c r="D94" s="179">
        <f t="shared" si="7"/>
        <v>4320.6749999999993</v>
      </c>
      <c r="E94" s="193">
        <v>60</v>
      </c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45">
      <c r="A95" s="180">
        <f>'Données projet'!A98</f>
        <v>121</v>
      </c>
      <c r="B95" s="181">
        <f>'Données projet'!D98</f>
        <v>94.670000000000016</v>
      </c>
      <c r="C95" s="191">
        <v>41.625</v>
      </c>
      <c r="D95" s="179">
        <f t="shared" si="7"/>
        <v>3940.6387500000005</v>
      </c>
      <c r="E95" s="193">
        <v>60</v>
      </c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45">
      <c r="A96" s="180">
        <f>'Données projet'!A99</f>
        <v>125</v>
      </c>
      <c r="B96" s="181">
        <f>'Données projet'!D99</f>
        <v>144.16999999999999</v>
      </c>
      <c r="C96" s="191">
        <v>41.625</v>
      </c>
      <c r="D96" s="179">
        <f t="shared" si="7"/>
        <v>6001.0762499999992</v>
      </c>
      <c r="E96" s="193">
        <v>60</v>
      </c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45">
      <c r="A97" s="180">
        <f>'Données projet'!A100</f>
        <v>0</v>
      </c>
      <c r="B97" s="181">
        <f>'Données projet'!D100</f>
        <v>0</v>
      </c>
      <c r="C97" s="191"/>
      <c r="D97" s="179">
        <f t="shared" si="7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8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45">
      <c r="A98" s="180">
        <f>'Données projet'!A101</f>
        <v>0</v>
      </c>
      <c r="B98" s="181">
        <f>'Données projet'!D101</f>
        <v>0</v>
      </c>
      <c r="C98" s="191"/>
      <c r="D98" s="179">
        <f t="shared" si="7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8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45">
      <c r="A99" s="180">
        <f>'Données projet'!A102</f>
        <v>0</v>
      </c>
      <c r="B99" s="181">
        <f>'Données projet'!D102</f>
        <v>0</v>
      </c>
      <c r="C99" s="191"/>
      <c r="D99" s="179">
        <f t="shared" si="7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8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45">
      <c r="A100" s="180">
        <f>'Données projet'!A103</f>
        <v>0</v>
      </c>
      <c r="B100" s="181">
        <f>'Données projet'!D103</f>
        <v>0</v>
      </c>
      <c r="C100" s="191"/>
      <c r="D100" s="179">
        <f t="shared" si="7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8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45">
      <c r="A101" s="180">
        <f>'Données projet'!A104</f>
        <v>0</v>
      </c>
      <c r="B101" s="181">
        <f>'Données projet'!D104</f>
        <v>0</v>
      </c>
      <c r="C101" s="191"/>
      <c r="D101" s="179">
        <f t="shared" si="7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8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45">
      <c r="A102" s="180">
        <f>'Données projet'!A105</f>
        <v>0</v>
      </c>
      <c r="B102" s="181">
        <f>'Données projet'!D105</f>
        <v>0</v>
      </c>
      <c r="C102" s="191"/>
      <c r="D102" s="179">
        <f t="shared" si="7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8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45">
      <c r="A103" s="180">
        <f>'Données projet'!A106</f>
        <v>0</v>
      </c>
      <c r="B103" s="181">
        <f>'Données projet'!D106</f>
        <v>0</v>
      </c>
      <c r="C103" s="191"/>
      <c r="D103" s="179">
        <f t="shared" si="7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8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45">
      <c r="A104" s="180">
        <f>'Données projet'!A107</f>
        <v>0</v>
      </c>
      <c r="B104" s="181">
        <f>'Données projet'!D107</f>
        <v>0</v>
      </c>
      <c r="C104" s="191"/>
      <c r="D104" s="179">
        <f t="shared" si="7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8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4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8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4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8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4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8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4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8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4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8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4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8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4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8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4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8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4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8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4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8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4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8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4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8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4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9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8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45">
      <c r="A118" s="180">
        <f>'Données projet'!A116</f>
        <v>0</v>
      </c>
      <c r="B118" s="181">
        <f>'Données projet'!D116</f>
        <v>0</v>
      </c>
      <c r="C118" s="191"/>
      <c r="D118" s="179">
        <f t="shared" si="9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8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45">
      <c r="A119" s="180">
        <f>'Données projet'!A117</f>
        <v>0</v>
      </c>
      <c r="B119" s="181">
        <f>'Données projet'!D117</f>
        <v>0</v>
      </c>
      <c r="C119" s="191"/>
      <c r="D119" s="179">
        <f t="shared" si="9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8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45">
      <c r="A120" s="180">
        <f>'Données projet'!A118</f>
        <v>0</v>
      </c>
      <c r="B120" s="181">
        <f>'Données projet'!D118</f>
        <v>0</v>
      </c>
      <c r="C120" s="191"/>
      <c r="D120" s="179">
        <f t="shared" si="9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8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45">
      <c r="A121" s="180">
        <f>'Données projet'!A119</f>
        <v>0</v>
      </c>
      <c r="B121" s="181">
        <f>'Données projet'!D119</f>
        <v>0</v>
      </c>
      <c r="C121" s="191"/>
      <c r="D121" s="179">
        <f t="shared" si="9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8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45">
      <c r="A122" s="180">
        <f>'Données projet'!A120</f>
        <v>0</v>
      </c>
      <c r="B122" s="181">
        <f>'Données projet'!D120</f>
        <v>0</v>
      </c>
      <c r="C122" s="191"/>
      <c r="D122" s="179">
        <f t="shared" si="9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8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45">
      <c r="A123" s="180">
        <f>'Données projet'!A121</f>
        <v>0</v>
      </c>
      <c r="B123" s="181">
        <f>'Données projet'!D121</f>
        <v>0</v>
      </c>
      <c r="C123" s="191"/>
      <c r="D123" s="179">
        <f t="shared" si="9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8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45">
      <c r="A124" s="180">
        <f>'Données projet'!A122</f>
        <v>0</v>
      </c>
      <c r="B124" s="181">
        <f>'Données projet'!D122</f>
        <v>0</v>
      </c>
      <c r="C124" s="191"/>
      <c r="D124" s="179">
        <f t="shared" si="9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8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45">
      <c r="A125" s="180">
        <f>'Données projet'!A123</f>
        <v>0</v>
      </c>
      <c r="B125" s="181">
        <f>'Données projet'!D123</f>
        <v>0</v>
      </c>
      <c r="C125" s="191"/>
      <c r="D125" s="179">
        <f t="shared" si="9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8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45">
      <c r="A126" s="180">
        <f>'Données projet'!A124</f>
        <v>0</v>
      </c>
      <c r="B126" s="181">
        <f>'Données projet'!D124</f>
        <v>0</v>
      </c>
      <c r="C126" s="191"/>
      <c r="D126" s="179">
        <f t="shared" si="9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8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45">
      <c r="A127" s="180">
        <f>'Données projet'!A125</f>
        <v>0</v>
      </c>
      <c r="B127" s="181">
        <f>'Données projet'!D125</f>
        <v>0</v>
      </c>
      <c r="C127" s="191"/>
      <c r="D127" s="179">
        <f t="shared" si="9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8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45">
      <c r="A128" s="180">
        <f>'Données projet'!A126</f>
        <v>0</v>
      </c>
      <c r="B128" s="181">
        <f>'Données projet'!D126</f>
        <v>0</v>
      </c>
      <c r="C128" s="191"/>
      <c r="D128" s="179">
        <f t="shared" si="9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8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45">
      <c r="A129" s="180">
        <f>'Données projet'!A127</f>
        <v>0</v>
      </c>
      <c r="B129" s="181">
        <f>'Données projet'!D127</f>
        <v>0</v>
      </c>
      <c r="C129" s="191"/>
      <c r="D129" s="179">
        <f t="shared" si="9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0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45">
      <c r="A130" s="180">
        <f>'Données projet'!A128</f>
        <v>0</v>
      </c>
      <c r="B130" s="181">
        <f>'Données projet'!D128</f>
        <v>0</v>
      </c>
      <c r="C130" s="191"/>
      <c r="D130" s="179">
        <f t="shared" si="9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0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45">
      <c r="A131" s="180">
        <f>'Données projet'!A129</f>
        <v>0</v>
      </c>
      <c r="B131" s="181">
        <f>'Données projet'!D129</f>
        <v>0</v>
      </c>
      <c r="C131" s="191"/>
      <c r="D131" s="179">
        <f t="shared" si="9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0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45">
      <c r="A132" s="180">
        <f>'Données projet'!A130</f>
        <v>0</v>
      </c>
      <c r="B132" s="181">
        <f>'Données projet'!D130</f>
        <v>0</v>
      </c>
      <c r="C132" s="191"/>
      <c r="D132" s="179">
        <f t="shared" si="9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0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45">
      <c r="A133" s="180">
        <f>'Données projet'!A131</f>
        <v>0</v>
      </c>
      <c r="B133" s="181">
        <f>'Données projet'!D131</f>
        <v>0</v>
      </c>
      <c r="C133" s="191"/>
      <c r="D133" s="179">
        <f t="shared" si="9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45">
      <c r="A134" s="180">
        <f>'Données projet'!A132</f>
        <v>0</v>
      </c>
      <c r="B134" s="181">
        <f>'Données projet'!D132</f>
        <v>0</v>
      </c>
      <c r="C134" s="191"/>
      <c r="D134" s="179">
        <f t="shared" si="9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45">
      <c r="A135" s="180">
        <f>'Données projet'!A133</f>
        <v>0</v>
      </c>
      <c r="B135" s="181">
        <f>'Données projet'!D133</f>
        <v>0</v>
      </c>
      <c r="C135" s="191"/>
      <c r="D135" s="179">
        <f t="shared" si="9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4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4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4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4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4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4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4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4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4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4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4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4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4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1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45">
      <c r="A149" s="42">
        <f>'Données projet'!A142</f>
        <v>0</v>
      </c>
      <c r="B149" s="175">
        <f>'Données projet'!D142</f>
        <v>0</v>
      </c>
      <c r="C149" s="191"/>
      <c r="D149" s="182">
        <f t="shared" si="11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45">
      <c r="A150" s="42">
        <f>'Données projet'!A143</f>
        <v>0</v>
      </c>
      <c r="B150" s="175">
        <f>'Données projet'!D143</f>
        <v>0</v>
      </c>
      <c r="C150" s="191"/>
      <c r="D150" s="182">
        <f t="shared" si="11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45">
      <c r="A151" s="42">
        <f>'Données projet'!A144</f>
        <v>0</v>
      </c>
      <c r="B151" s="175">
        <f>'Données projet'!D144</f>
        <v>0</v>
      </c>
      <c r="C151" s="191"/>
      <c r="D151" s="182">
        <f t="shared" si="11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45">
      <c r="A152" s="42">
        <f>'Données projet'!A145</f>
        <v>0</v>
      </c>
      <c r="B152" s="175">
        <f>'Données projet'!D145</f>
        <v>0</v>
      </c>
      <c r="C152" s="191"/>
      <c r="D152" s="182">
        <f t="shared" si="11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45">
      <c r="A153" s="42">
        <f>'Données projet'!A146</f>
        <v>0</v>
      </c>
      <c r="B153" s="175">
        <f>'Données projet'!D146</f>
        <v>0</v>
      </c>
      <c r="C153" s="191"/>
      <c r="D153" s="182">
        <f t="shared" si="11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45">
      <c r="A154" s="42">
        <f>'Données projet'!A147</f>
        <v>0</v>
      </c>
      <c r="B154" s="175">
        <f>'Données projet'!D147</f>
        <v>0</v>
      </c>
      <c r="C154" s="191"/>
      <c r="D154" s="182">
        <f t="shared" si="11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45">
      <c r="A155" s="42">
        <f>'Données projet'!A148</f>
        <v>0</v>
      </c>
      <c r="B155" s="175">
        <f>'Données projet'!D148</f>
        <v>0</v>
      </c>
      <c r="C155" s="191"/>
      <c r="D155" s="182">
        <f t="shared" si="11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45">
      <c r="A156" s="42">
        <f>'Données projet'!A149</f>
        <v>0</v>
      </c>
      <c r="B156" s="175">
        <f>'Données projet'!D149</f>
        <v>0</v>
      </c>
      <c r="C156" s="191"/>
      <c r="D156" s="182">
        <f t="shared" si="11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45">
      <c r="A157" s="42">
        <f>'Données projet'!A150</f>
        <v>0</v>
      </c>
      <c r="B157" s="175">
        <f>'Données projet'!D150</f>
        <v>0</v>
      </c>
      <c r="C157" s="191"/>
      <c r="D157" s="182">
        <f t="shared" si="11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45">
      <c r="A158" s="42">
        <f>'Données projet'!A151</f>
        <v>0</v>
      </c>
      <c r="B158" s="175">
        <f>'Données projet'!D151</f>
        <v>0</v>
      </c>
      <c r="C158" s="191"/>
      <c r="D158" s="182">
        <f t="shared" si="11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45">
      <c r="A159" s="42">
        <f>'Données projet'!A152</f>
        <v>0</v>
      </c>
      <c r="B159" s="175">
        <f>'Données projet'!D152</f>
        <v>0</v>
      </c>
      <c r="C159" s="191"/>
      <c r="D159" s="182">
        <f t="shared" si="11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45">
      <c r="A160" s="42">
        <f>'Données projet'!A153</f>
        <v>0</v>
      </c>
      <c r="B160" s="175">
        <f>'Données projet'!D153</f>
        <v>0</v>
      </c>
      <c r="C160" s="191"/>
      <c r="D160" s="182">
        <f t="shared" si="11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45">
      <c r="A161" s="42">
        <f>'Données projet'!A154</f>
        <v>0</v>
      </c>
      <c r="B161" s="175">
        <f>'Données projet'!D154</f>
        <v>0</v>
      </c>
      <c r="C161" s="191"/>
      <c r="D161" s="182">
        <f t="shared" si="11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45">
      <c r="A162" s="42">
        <f>'Données projet'!A155</f>
        <v>0</v>
      </c>
      <c r="B162" s="175">
        <f>'Données projet'!D155</f>
        <v>0</v>
      </c>
      <c r="C162" s="191"/>
      <c r="D162" s="182">
        <f t="shared" si="11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45">
      <c r="A163" s="42">
        <f>'Données projet'!A156</f>
        <v>0</v>
      </c>
      <c r="B163" s="175">
        <f>'Données projet'!D156</f>
        <v>0</v>
      </c>
      <c r="C163" s="191"/>
      <c r="D163" s="182">
        <f t="shared" si="11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45">
      <c r="A164" s="42">
        <f>'Données projet'!A157</f>
        <v>0</v>
      </c>
      <c r="B164" s="175">
        <f>'Données projet'!D157</f>
        <v>0</v>
      </c>
      <c r="C164" s="191"/>
      <c r="D164" s="182">
        <f t="shared" si="11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45">
      <c r="A165" s="42">
        <f>'Données projet'!A158</f>
        <v>0</v>
      </c>
      <c r="B165" s="175">
        <f>'Données projet'!D158</f>
        <v>0</v>
      </c>
      <c r="C165" s="191"/>
      <c r="D165" s="182">
        <f t="shared" si="11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45">
      <c r="A166" s="42">
        <f>'Données projet'!A159</f>
        <v>0</v>
      </c>
      <c r="B166" s="175">
        <f>'Données projet'!D159</f>
        <v>0</v>
      </c>
      <c r="C166" s="191"/>
      <c r="D166" s="182">
        <f t="shared" si="11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4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4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4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4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4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4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4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4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4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4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4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4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4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2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45">
      <c r="A180" s="180">
        <f>'Données projet'!A168</f>
        <v>0</v>
      </c>
      <c r="B180" s="181">
        <f>'Données projet'!D168</f>
        <v>0</v>
      </c>
      <c r="C180" s="193"/>
      <c r="D180" s="179">
        <f t="shared" si="12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45">
      <c r="A181" s="180">
        <f>'Données projet'!A169</f>
        <v>0</v>
      </c>
      <c r="B181" s="181">
        <f>'Données projet'!D169</f>
        <v>0</v>
      </c>
      <c r="C181" s="193"/>
      <c r="D181" s="179">
        <f t="shared" si="12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45">
      <c r="A182" s="180">
        <f>'Données projet'!A170</f>
        <v>0</v>
      </c>
      <c r="B182" s="181">
        <f>'Données projet'!D170</f>
        <v>0</v>
      </c>
      <c r="C182" s="193"/>
      <c r="D182" s="179">
        <f t="shared" si="12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45">
      <c r="A183" s="180">
        <f>'Données projet'!A171</f>
        <v>0</v>
      </c>
      <c r="B183" s="181">
        <f>'Données projet'!D171</f>
        <v>0</v>
      </c>
      <c r="C183" s="193"/>
      <c r="D183" s="179">
        <f t="shared" si="12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45">
      <c r="A184" s="180">
        <f>'Données projet'!A172</f>
        <v>0</v>
      </c>
      <c r="B184" s="181">
        <f>'Données projet'!D172</f>
        <v>0</v>
      </c>
      <c r="C184" s="193"/>
      <c r="D184" s="179">
        <f t="shared" si="12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45">
      <c r="A185" s="180">
        <f>'Données projet'!A173</f>
        <v>0</v>
      </c>
      <c r="B185" s="181">
        <f>'Données projet'!D173</f>
        <v>0</v>
      </c>
      <c r="C185" s="193"/>
      <c r="D185" s="179">
        <f t="shared" si="12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45">
      <c r="A186" s="180">
        <f>'Données projet'!A174</f>
        <v>0</v>
      </c>
      <c r="B186" s="181">
        <f>'Données projet'!D174</f>
        <v>0</v>
      </c>
      <c r="C186" s="193"/>
      <c r="D186" s="179">
        <f t="shared" si="12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45">
      <c r="A187" s="180">
        <f>'Données projet'!A175</f>
        <v>0</v>
      </c>
      <c r="B187" s="181">
        <f>'Données projet'!D175</f>
        <v>0</v>
      </c>
      <c r="C187" s="193"/>
      <c r="D187" s="179">
        <f t="shared" si="12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45">
      <c r="A188" s="180">
        <f>'Données projet'!A176</f>
        <v>0</v>
      </c>
      <c r="B188" s="181">
        <f>'Données projet'!D176</f>
        <v>0</v>
      </c>
      <c r="C188" s="193"/>
      <c r="D188" s="179">
        <f t="shared" si="12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45">
      <c r="A189" s="180">
        <f>'Données projet'!A177</f>
        <v>0</v>
      </c>
      <c r="B189" s="181">
        <f>'Données projet'!D177</f>
        <v>0</v>
      </c>
      <c r="C189" s="193"/>
      <c r="D189" s="179">
        <f t="shared" si="12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45">
      <c r="A190" s="180">
        <f>'Données projet'!A178</f>
        <v>0</v>
      </c>
      <c r="B190" s="181">
        <f>'Données projet'!D178</f>
        <v>0</v>
      </c>
      <c r="C190" s="193"/>
      <c r="D190" s="179">
        <f t="shared" si="12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45">
      <c r="A191" s="180">
        <f>'Données projet'!A179</f>
        <v>0</v>
      </c>
      <c r="B191" s="181">
        <f>'Données projet'!D179</f>
        <v>0</v>
      </c>
      <c r="C191" s="193"/>
      <c r="D191" s="179">
        <f t="shared" si="12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45">
      <c r="A192" s="180">
        <f>'Données projet'!A180</f>
        <v>0</v>
      </c>
      <c r="B192" s="181">
        <f>'Données projet'!D180</f>
        <v>0</v>
      </c>
      <c r="C192" s="193"/>
      <c r="D192" s="179">
        <f t="shared" si="12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45">
      <c r="A193" s="180">
        <f>'Données projet'!A181</f>
        <v>0</v>
      </c>
      <c r="B193" s="181">
        <f>'Données projet'!D181</f>
        <v>0</v>
      </c>
      <c r="C193" s="193"/>
      <c r="D193" s="179">
        <f t="shared" si="12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45">
      <c r="A194" s="180">
        <f>'Données projet'!A182</f>
        <v>0</v>
      </c>
      <c r="B194" s="181">
        <f>'Données projet'!D182</f>
        <v>0</v>
      </c>
      <c r="C194" s="193"/>
      <c r="D194" s="179">
        <f t="shared" si="12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45">
      <c r="A195" s="180">
        <f>'Données projet'!A183</f>
        <v>0</v>
      </c>
      <c r="B195" s="181">
        <f>'Données projet'!D183</f>
        <v>0</v>
      </c>
      <c r="C195" s="193"/>
      <c r="D195" s="179">
        <f t="shared" si="12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45">
      <c r="A196" s="180">
        <f>'Données projet'!A184</f>
        <v>0</v>
      </c>
      <c r="B196" s="181">
        <f>'Données projet'!D184</f>
        <v>0</v>
      </c>
      <c r="C196" s="193"/>
      <c r="D196" s="179">
        <f t="shared" si="12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45">
      <c r="A197" s="180">
        <f>'Données projet'!A185</f>
        <v>0</v>
      </c>
      <c r="B197" s="181">
        <f>'Données projet'!D185</f>
        <v>0</v>
      </c>
      <c r="C197" s="193"/>
      <c r="D197" s="179">
        <f t="shared" si="12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4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4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4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4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4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4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4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4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4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4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4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4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4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3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45">
      <c r="A211" s="180">
        <f>'Données projet'!A194</f>
        <v>0</v>
      </c>
      <c r="B211" s="181">
        <f>'Données projet'!D194</f>
        <v>0</v>
      </c>
      <c r="C211" s="193"/>
      <c r="D211" s="179">
        <f t="shared" si="13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45">
      <c r="A212" s="180">
        <f>'Données projet'!A195</f>
        <v>0</v>
      </c>
      <c r="B212" s="181">
        <f>'Données projet'!D195</f>
        <v>0</v>
      </c>
      <c r="C212" s="193"/>
      <c r="D212" s="179">
        <f t="shared" si="13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45">
      <c r="A213" s="180">
        <f>'Données projet'!A196</f>
        <v>0</v>
      </c>
      <c r="B213" s="181">
        <f>'Données projet'!D196</f>
        <v>0</v>
      </c>
      <c r="C213" s="193"/>
      <c r="D213" s="179">
        <f t="shared" si="13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45">
      <c r="A214" s="180">
        <f>'Données projet'!A197</f>
        <v>0</v>
      </c>
      <c r="B214" s="181">
        <f>'Données projet'!D197</f>
        <v>0</v>
      </c>
      <c r="C214" s="193"/>
      <c r="D214" s="179">
        <f t="shared" si="13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45">
      <c r="A215" s="180">
        <f>'Données projet'!A198</f>
        <v>0</v>
      </c>
      <c r="B215" s="181">
        <f>'Données projet'!D198</f>
        <v>0</v>
      </c>
      <c r="C215" s="193"/>
      <c r="D215" s="179">
        <f t="shared" si="13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45">
      <c r="A216" s="180">
        <f>'Données projet'!A199</f>
        <v>0</v>
      </c>
      <c r="B216" s="181">
        <f>'Données projet'!D199</f>
        <v>0</v>
      </c>
      <c r="C216" s="193"/>
      <c r="D216" s="179">
        <f t="shared" si="13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45">
      <c r="A217" s="180">
        <f>'Données projet'!A200</f>
        <v>0</v>
      </c>
      <c r="B217" s="181">
        <f>'Données projet'!D200</f>
        <v>0</v>
      </c>
      <c r="C217" s="193"/>
      <c r="D217" s="179">
        <f t="shared" si="13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45">
      <c r="A218" s="180">
        <f>'Données projet'!A201</f>
        <v>0</v>
      </c>
      <c r="B218" s="181">
        <f>'Données projet'!D201</f>
        <v>0</v>
      </c>
      <c r="C218" s="193"/>
      <c r="D218" s="179">
        <f t="shared" si="13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45">
      <c r="A219" s="180">
        <f>'Données projet'!A202</f>
        <v>0</v>
      </c>
      <c r="B219" s="181">
        <f>'Données projet'!D202</f>
        <v>0</v>
      </c>
      <c r="C219" s="193"/>
      <c r="D219" s="179">
        <f t="shared" si="13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45">
      <c r="A220" s="180">
        <f>'Données projet'!A203</f>
        <v>0</v>
      </c>
      <c r="B220" s="181">
        <f>'Données projet'!D203</f>
        <v>0</v>
      </c>
      <c r="C220" s="193"/>
      <c r="D220" s="179">
        <f t="shared" si="13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45">
      <c r="A221" s="180">
        <f>'Données projet'!A204</f>
        <v>0</v>
      </c>
      <c r="B221" s="181">
        <f>'Données projet'!D204</f>
        <v>0</v>
      </c>
      <c r="C221" s="193"/>
      <c r="D221" s="179">
        <f t="shared" si="13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45">
      <c r="A222" s="180">
        <f>'Données projet'!A205</f>
        <v>0</v>
      </c>
      <c r="B222" s="181">
        <f>'Données projet'!D205</f>
        <v>0</v>
      </c>
      <c r="C222" s="193"/>
      <c r="D222" s="179">
        <f t="shared" si="13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45">
      <c r="A223" s="180">
        <f>'Données projet'!A206</f>
        <v>0</v>
      </c>
      <c r="B223" s="181">
        <f>'Données projet'!D206</f>
        <v>0</v>
      </c>
      <c r="C223" s="193"/>
      <c r="D223" s="179">
        <f t="shared" si="13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45">
      <c r="A224" s="180">
        <f>'Données projet'!A207</f>
        <v>0</v>
      </c>
      <c r="B224" s="181">
        <f>'Données projet'!D207</f>
        <v>0</v>
      </c>
      <c r="C224" s="193"/>
      <c r="D224" s="179">
        <f t="shared" si="13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45">
      <c r="A225" s="180">
        <f>'Données projet'!A208</f>
        <v>0</v>
      </c>
      <c r="B225" s="181">
        <f>'Données projet'!D208</f>
        <v>0</v>
      </c>
      <c r="C225" s="193"/>
      <c r="D225" s="179">
        <f t="shared" si="13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45">
      <c r="A226" s="180">
        <f>'Données projet'!A209</f>
        <v>0</v>
      </c>
      <c r="B226" s="181">
        <f>'Données projet'!D209</f>
        <v>0</v>
      </c>
      <c r="C226" s="193"/>
      <c r="D226" s="179">
        <f t="shared" si="13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45">
      <c r="A227" s="180">
        <f>'Données projet'!A210</f>
        <v>0</v>
      </c>
      <c r="B227" s="181">
        <f>'Données projet'!D210</f>
        <v>0</v>
      </c>
      <c r="C227" s="193"/>
      <c r="D227" s="179">
        <f t="shared" si="13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45">
      <c r="A228" s="180">
        <f>'Données projet'!A211</f>
        <v>0</v>
      </c>
      <c r="B228" s="181">
        <f>'Données projet'!D211</f>
        <v>0</v>
      </c>
      <c r="C228" s="193"/>
      <c r="D228" s="179">
        <f t="shared" si="13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4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4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4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4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4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4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4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4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4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4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4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4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4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4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45">
      <c r="A242" s="180">
        <f>'Données projet'!A220</f>
        <v>0</v>
      </c>
      <c r="B242" s="181">
        <f>'Données projet'!D220</f>
        <v>0</v>
      </c>
      <c r="C242" s="193"/>
      <c r="D242" s="179">
        <f t="shared" si="14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45">
      <c r="A243" s="180">
        <f>'Données projet'!A221</f>
        <v>0</v>
      </c>
      <c r="B243" s="181">
        <f>'Données projet'!D221</f>
        <v>0</v>
      </c>
      <c r="C243" s="193"/>
      <c r="D243" s="179">
        <f t="shared" si="14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45">
      <c r="A244" s="180">
        <f>'Données projet'!A222</f>
        <v>0</v>
      </c>
      <c r="B244" s="181">
        <f>'Données projet'!D222</f>
        <v>0</v>
      </c>
      <c r="C244" s="193"/>
      <c r="D244" s="179">
        <f t="shared" si="14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45">
      <c r="A245" s="180">
        <f>'Données projet'!A223</f>
        <v>0</v>
      </c>
      <c r="B245" s="181">
        <f>'Données projet'!D223</f>
        <v>0</v>
      </c>
      <c r="C245" s="193"/>
      <c r="D245" s="179">
        <f t="shared" si="14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45">
      <c r="A246" s="180">
        <f>'Données projet'!A224</f>
        <v>0</v>
      </c>
      <c r="B246" s="181">
        <f>'Données projet'!D224</f>
        <v>0</v>
      </c>
      <c r="C246" s="193"/>
      <c r="D246" s="179">
        <f t="shared" si="14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45">
      <c r="A247" s="180">
        <f>'Données projet'!A225</f>
        <v>0</v>
      </c>
      <c r="B247" s="181">
        <f>'Données projet'!D225</f>
        <v>0</v>
      </c>
      <c r="C247" s="193"/>
      <c r="D247" s="179">
        <f t="shared" si="14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45">
      <c r="A248" s="180">
        <f>'Données projet'!A226</f>
        <v>0</v>
      </c>
      <c r="B248" s="181">
        <f>'Données projet'!D226</f>
        <v>0</v>
      </c>
      <c r="C248" s="193"/>
      <c r="D248" s="179">
        <f t="shared" si="14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45">
      <c r="A249" s="180">
        <f>'Données projet'!A227</f>
        <v>0</v>
      </c>
      <c r="B249" s="181">
        <f>'Données projet'!D227</f>
        <v>0</v>
      </c>
      <c r="C249" s="193"/>
      <c r="D249" s="179">
        <f t="shared" si="14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45">
      <c r="A250" s="180">
        <f>'Données projet'!A228</f>
        <v>0</v>
      </c>
      <c r="B250" s="181">
        <f>'Données projet'!D228</f>
        <v>0</v>
      </c>
      <c r="C250" s="193"/>
      <c r="D250" s="179">
        <f t="shared" si="14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45">
      <c r="A251" s="180">
        <f>'Données projet'!A229</f>
        <v>0</v>
      </c>
      <c r="B251" s="181">
        <f>'Données projet'!D229</f>
        <v>0</v>
      </c>
      <c r="C251" s="193"/>
      <c r="D251" s="179">
        <f t="shared" si="14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45">
      <c r="A252" s="180">
        <f>'Données projet'!A230</f>
        <v>0</v>
      </c>
      <c r="B252" s="181">
        <f>'Données projet'!D230</f>
        <v>0</v>
      </c>
      <c r="C252" s="193"/>
      <c r="D252" s="179">
        <f t="shared" si="14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45">
      <c r="A253" s="180">
        <f>'Données projet'!A231</f>
        <v>0</v>
      </c>
      <c r="B253" s="181">
        <f>'Données projet'!D231</f>
        <v>0</v>
      </c>
      <c r="C253" s="193"/>
      <c r="D253" s="179">
        <f t="shared" si="14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45">
      <c r="A254" s="180">
        <f>'Données projet'!A232</f>
        <v>0</v>
      </c>
      <c r="B254" s="181">
        <f>'Données projet'!D232</f>
        <v>0</v>
      </c>
      <c r="C254" s="193"/>
      <c r="D254" s="179">
        <f t="shared" si="14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45">
      <c r="A255" s="180">
        <f>'Données projet'!A233</f>
        <v>0</v>
      </c>
      <c r="B255" s="181">
        <f>'Données projet'!D233</f>
        <v>0</v>
      </c>
      <c r="C255" s="193"/>
      <c r="D255" s="179">
        <f t="shared" si="14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45">
      <c r="A256" s="180">
        <f>'Données projet'!A234</f>
        <v>0</v>
      </c>
      <c r="B256" s="181">
        <f>'Données projet'!D234</f>
        <v>0</v>
      </c>
      <c r="C256" s="193"/>
      <c r="D256" s="179">
        <f t="shared" si="14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45">
      <c r="A257" s="180">
        <f>'Données projet'!A235</f>
        <v>0</v>
      </c>
      <c r="B257" s="181">
        <f>'Données projet'!D235</f>
        <v>0</v>
      </c>
      <c r="C257" s="193"/>
      <c r="D257" s="179">
        <f t="shared" si="14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45">
      <c r="A258" s="180">
        <f>'Données projet'!A236</f>
        <v>0</v>
      </c>
      <c r="B258" s="181">
        <f>'Données projet'!D236</f>
        <v>0</v>
      </c>
      <c r="C258" s="193"/>
      <c r="D258" s="179">
        <f t="shared" si="14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45">
      <c r="A259" s="180">
        <f>'Données projet'!A237</f>
        <v>0</v>
      </c>
      <c r="B259" s="181">
        <f>'Données projet'!D237</f>
        <v>0</v>
      </c>
      <c r="C259" s="193"/>
      <c r="D259" s="179">
        <f t="shared" si="14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4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4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4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4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4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4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4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4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4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4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4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4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4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5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45">
      <c r="A273" s="180">
        <f>'Données projet'!A246</f>
        <v>0</v>
      </c>
      <c r="B273" s="181">
        <f>'Données projet'!D246</f>
        <v>0</v>
      </c>
      <c r="C273" s="193"/>
      <c r="D273" s="179">
        <f t="shared" si="15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45">
      <c r="A274" s="180">
        <f>'Données projet'!A247</f>
        <v>0</v>
      </c>
      <c r="B274" s="181">
        <f>'Données projet'!D247</f>
        <v>0</v>
      </c>
      <c r="C274" s="193"/>
      <c r="D274" s="179">
        <f t="shared" si="15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45">
      <c r="A275" s="180">
        <f>'Données projet'!A248</f>
        <v>0</v>
      </c>
      <c r="B275" s="181">
        <f>'Données projet'!D248</f>
        <v>0</v>
      </c>
      <c r="C275" s="193"/>
      <c r="D275" s="179">
        <f t="shared" si="15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45">
      <c r="A276" s="180">
        <f>'Données projet'!A249</f>
        <v>0</v>
      </c>
      <c r="B276" s="181">
        <f>'Données projet'!D249</f>
        <v>0</v>
      </c>
      <c r="C276" s="193"/>
      <c r="D276" s="179">
        <f t="shared" si="15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45">
      <c r="A277" s="180">
        <f>'Données projet'!A250</f>
        <v>0</v>
      </c>
      <c r="B277" s="181">
        <f>'Données projet'!D250</f>
        <v>0</v>
      </c>
      <c r="C277" s="193"/>
      <c r="D277" s="179">
        <f t="shared" si="15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45">
      <c r="A278" s="180">
        <f>'Données projet'!A251</f>
        <v>0</v>
      </c>
      <c r="B278" s="181">
        <f>'Données projet'!D251</f>
        <v>0</v>
      </c>
      <c r="C278" s="193"/>
      <c r="D278" s="179">
        <f t="shared" si="15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45">
      <c r="A279" s="180">
        <f>'Données projet'!A252</f>
        <v>0</v>
      </c>
      <c r="B279" s="181">
        <f>'Données projet'!D252</f>
        <v>0</v>
      </c>
      <c r="C279" s="193"/>
      <c r="D279" s="179">
        <f t="shared" si="15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45">
      <c r="A280" s="180">
        <f>'Données projet'!A253</f>
        <v>0</v>
      </c>
      <c r="B280" s="181">
        <f>'Données projet'!D253</f>
        <v>0</v>
      </c>
      <c r="C280" s="193"/>
      <c r="D280" s="179">
        <f t="shared" si="15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45">
      <c r="A281" s="180">
        <f>'Données projet'!A254</f>
        <v>0</v>
      </c>
      <c r="B281" s="181">
        <f>'Données projet'!D254</f>
        <v>0</v>
      </c>
      <c r="C281" s="193"/>
      <c r="D281" s="179">
        <f t="shared" si="15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45">
      <c r="A282" s="180">
        <f>'Données projet'!A255</f>
        <v>0</v>
      </c>
      <c r="B282" s="181">
        <f>'Données projet'!D255</f>
        <v>0</v>
      </c>
      <c r="C282" s="193"/>
      <c r="D282" s="179">
        <f t="shared" si="15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45">
      <c r="A283" s="180">
        <f>'Données projet'!A256</f>
        <v>0</v>
      </c>
      <c r="B283" s="181">
        <f>'Données projet'!D256</f>
        <v>0</v>
      </c>
      <c r="C283" s="193"/>
      <c r="D283" s="179">
        <f t="shared" si="15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45">
      <c r="A284" s="180">
        <f>'Données projet'!A257</f>
        <v>0</v>
      </c>
      <c r="B284" s="181">
        <f>'Données projet'!D257</f>
        <v>0</v>
      </c>
      <c r="C284" s="193"/>
      <c r="D284" s="179">
        <f t="shared" si="15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45">
      <c r="A285" s="180">
        <f>'Données projet'!A258</f>
        <v>0</v>
      </c>
      <c r="B285" s="181">
        <f>'Données projet'!D258</f>
        <v>0</v>
      </c>
      <c r="C285" s="193"/>
      <c r="D285" s="179">
        <f t="shared" si="15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45">
      <c r="A286" s="180">
        <f>'Données projet'!A259</f>
        <v>0</v>
      </c>
      <c r="B286" s="181">
        <f>'Données projet'!D259</f>
        <v>0</v>
      </c>
      <c r="C286" s="193"/>
      <c r="D286" s="179">
        <f t="shared" si="15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45">
      <c r="A287" s="180">
        <f>'Données projet'!A260</f>
        <v>0</v>
      </c>
      <c r="B287" s="181">
        <f>'Données projet'!D260</f>
        <v>0</v>
      </c>
      <c r="C287" s="193"/>
      <c r="D287" s="179">
        <f t="shared" si="15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45">
      <c r="A288" s="180">
        <f>'Données projet'!A261</f>
        <v>0</v>
      </c>
      <c r="B288" s="181">
        <f>'Données projet'!D261</f>
        <v>0</v>
      </c>
      <c r="C288" s="193"/>
      <c r="D288" s="179">
        <f t="shared" si="15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45">
      <c r="A289" s="180">
        <f>'Données projet'!A262</f>
        <v>0</v>
      </c>
      <c r="B289" s="181">
        <f>'Données projet'!D262</f>
        <v>0</v>
      </c>
      <c r="C289" s="193"/>
      <c r="D289" s="179">
        <f t="shared" si="15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45">
      <c r="A290" s="180">
        <f>'Données projet'!A263</f>
        <v>0</v>
      </c>
      <c r="B290" s="181">
        <f>'Données projet'!D263</f>
        <v>0</v>
      </c>
      <c r="C290" s="193"/>
      <c r="D290" s="179">
        <f t="shared" si="15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4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4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4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4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4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4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4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4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4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4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4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4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4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6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45">
      <c r="A304" s="180">
        <f>'Données projet'!A272</f>
        <v>0</v>
      </c>
      <c r="B304" s="181">
        <f>'Données projet'!D272</f>
        <v>0</v>
      </c>
      <c r="C304" s="191"/>
      <c r="D304" s="182">
        <f t="shared" si="16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45">
      <c r="A305" s="180">
        <f>'Données projet'!A273</f>
        <v>0</v>
      </c>
      <c r="B305" s="181">
        <f>'Données projet'!D273</f>
        <v>0</v>
      </c>
      <c r="C305" s="191"/>
      <c r="D305" s="182">
        <f t="shared" si="16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45">
      <c r="A306" s="180">
        <f>'Données projet'!A274</f>
        <v>0</v>
      </c>
      <c r="B306" s="181">
        <f>'Données projet'!D274</f>
        <v>0</v>
      </c>
      <c r="C306" s="191"/>
      <c r="D306" s="182">
        <f t="shared" si="16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45">
      <c r="A307" s="180">
        <f>'Données projet'!A275</f>
        <v>0</v>
      </c>
      <c r="B307" s="181">
        <f>'Données projet'!D275</f>
        <v>0</v>
      </c>
      <c r="C307" s="191"/>
      <c r="D307" s="182">
        <f t="shared" si="16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45">
      <c r="A308" s="180">
        <f>'Données projet'!A276</f>
        <v>0</v>
      </c>
      <c r="B308" s="181">
        <f>'Données projet'!D276</f>
        <v>0</v>
      </c>
      <c r="C308" s="191"/>
      <c r="D308" s="182">
        <f t="shared" si="16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45">
      <c r="A309" s="180">
        <f>'Données projet'!A277</f>
        <v>0</v>
      </c>
      <c r="B309" s="181">
        <f>'Données projet'!D277</f>
        <v>0</v>
      </c>
      <c r="C309" s="191"/>
      <c r="D309" s="182">
        <f t="shared" si="16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45">
      <c r="A310" s="180">
        <f>'Données projet'!A278</f>
        <v>0</v>
      </c>
      <c r="B310" s="181">
        <f>'Données projet'!D278</f>
        <v>0</v>
      </c>
      <c r="C310" s="191"/>
      <c r="D310" s="182">
        <f t="shared" si="16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45">
      <c r="A311" s="180">
        <f>'Données projet'!A279</f>
        <v>0</v>
      </c>
      <c r="B311" s="181">
        <f>'Données projet'!D279</f>
        <v>0</v>
      </c>
      <c r="C311" s="191"/>
      <c r="D311" s="182">
        <f t="shared" si="16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45">
      <c r="A312" s="180">
        <f>'Données projet'!A280</f>
        <v>0</v>
      </c>
      <c r="B312" s="181">
        <f>'Données projet'!D280</f>
        <v>0</v>
      </c>
      <c r="C312" s="191"/>
      <c r="D312" s="182">
        <f t="shared" si="16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45">
      <c r="A313" s="180">
        <f>'Données projet'!A281</f>
        <v>0</v>
      </c>
      <c r="B313" s="181">
        <f>'Données projet'!D281</f>
        <v>0</v>
      </c>
      <c r="C313" s="191"/>
      <c r="D313" s="182">
        <f t="shared" si="16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45">
      <c r="A314" s="180">
        <f>'Données projet'!A282</f>
        <v>0</v>
      </c>
      <c r="B314" s="181">
        <f>'Données projet'!D282</f>
        <v>0</v>
      </c>
      <c r="C314" s="191"/>
      <c r="D314" s="182">
        <f t="shared" si="16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45">
      <c r="A315" s="180">
        <f>'Données projet'!A283</f>
        <v>0</v>
      </c>
      <c r="B315" s="181">
        <f>'Données projet'!D283</f>
        <v>0</v>
      </c>
      <c r="C315" s="191"/>
      <c r="D315" s="182">
        <f t="shared" si="16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45">
      <c r="A316" s="180">
        <f>'Données projet'!A284</f>
        <v>0</v>
      </c>
      <c r="B316" s="181">
        <f>'Données projet'!D284</f>
        <v>0</v>
      </c>
      <c r="C316" s="191"/>
      <c r="D316" s="182">
        <f t="shared" si="16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45">
      <c r="A317" s="180">
        <f>'Données projet'!A285</f>
        <v>0</v>
      </c>
      <c r="B317" s="181">
        <f>'Données projet'!D285</f>
        <v>0</v>
      </c>
      <c r="C317" s="191"/>
      <c r="D317" s="182">
        <f t="shared" si="16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45">
      <c r="A318" s="180">
        <f>'Données projet'!A286</f>
        <v>0</v>
      </c>
      <c r="B318" s="181">
        <f>'Données projet'!D286</f>
        <v>0</v>
      </c>
      <c r="C318" s="191"/>
      <c r="D318" s="182">
        <f t="shared" si="16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45">
      <c r="A319" s="180">
        <f>'Données projet'!A287</f>
        <v>0</v>
      </c>
      <c r="B319" s="181">
        <f>'Données projet'!D287</f>
        <v>0</v>
      </c>
      <c r="C319" s="191"/>
      <c r="D319" s="182">
        <f t="shared" si="16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45">
      <c r="A320" s="180">
        <f>'Données projet'!A288</f>
        <v>0</v>
      </c>
      <c r="B320" s="181">
        <f>'Données projet'!D288</f>
        <v>0</v>
      </c>
      <c r="C320" s="191"/>
      <c r="D320" s="182">
        <f t="shared" si="16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45">
      <c r="A321" s="180">
        <f>'Données projet'!A289</f>
        <v>0</v>
      </c>
      <c r="B321" s="181">
        <f>'Données projet'!D289</f>
        <v>0</v>
      </c>
      <c r="C321" s="196"/>
      <c r="D321" s="182">
        <f t="shared" si="16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4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4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4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4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4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4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4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4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4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4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4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4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4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4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4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4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4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4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4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4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4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4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4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4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4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4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4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4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4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4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4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4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4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4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4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4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4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4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4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4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4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4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4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4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4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4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4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4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4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4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4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4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4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4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4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4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4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4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4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4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4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4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4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4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4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4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4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4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4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4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4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4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4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4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4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4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4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4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4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4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4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4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4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4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4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4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4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4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4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4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4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4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4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4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4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4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4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4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4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4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4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4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4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4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4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4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4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4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4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4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4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4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4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4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4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4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4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4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4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4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4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4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4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4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4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4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4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4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4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4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4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4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4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4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4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4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4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4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4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4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4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4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4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4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4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4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4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4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4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4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4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4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4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4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4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4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4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4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4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4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4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4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4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4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4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4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4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4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4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4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4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4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4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4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4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4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4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4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4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4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4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4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4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4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4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4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4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4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4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4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4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4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4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4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4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4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4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4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4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4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4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4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4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4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4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4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4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4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4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4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4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4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4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4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4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4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4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4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4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4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4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4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4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4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4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4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4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4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4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4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4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6" ma:contentTypeDescription="Create a new document." ma:contentTypeScope="" ma:versionID="b650ad57ab3a7623fd3df204a7303bfb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87e2e07588c417d1119dc0de3bcdcb0c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277D05-6E47-450E-9689-A4D10C0850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6861AC-80B4-4803-8030-7424409AD984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3.xml><?xml version="1.0" encoding="utf-8"?>
<ds:datastoreItem xmlns:ds="http://schemas.openxmlformats.org/officeDocument/2006/customXml" ds:itemID="{97375F83-DE23-4706-80ED-4A8DA07E8E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Lucas ELLENS</cp:lastModifiedBy>
  <dcterms:created xsi:type="dcterms:W3CDTF">2021-02-01T08:22:39Z</dcterms:created>
  <dcterms:modified xsi:type="dcterms:W3CDTF">2024-03-28T08:54:08Z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2102600</vt:r8>
  </property>
  <property fmtid="{D5CDD505-2E9C-101B-9397-08002B2CF9AE}" pid="4" name="MediaServiceImageTags">
    <vt:lpwstr/>
  </property>
</Properties>
</file>