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Quercy\ST DENIS CATUS (46) - GF de la GARNONNE\Dossier final\"/>
    </mc:Choice>
  </mc:AlternateContent>
  <xr:revisionPtr revIDLastSave="0" documentId="13_ncr:1_{9545740E-E640-4ABF-95D6-1DC8979826BD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<sst xmlns="http://schemas.openxmlformats.org/spreadsheetml/2006/main" count="1171" uniqueCount="324">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</sst>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415.40447321133934</c:v>
                </c:pt>
                <c:pt idx="77">
                  <c:v>421.71977019610921</c:v>
                </c:pt>
                <c:pt idx="78">
                  <c:v>428.03303100123208</c:v>
                </c:pt>
                <c:pt idx="79">
                  <c:v>434.34428991912688</c:v>
                </c:pt>
                <c:pt idx="80">
                  <c:v>440.65358016358783</c:v>
                </c:pt>
                <c:pt idx="81">
                  <c:v>422.09119450330417</c:v>
                </c:pt>
                <c:pt idx="82">
                  <c:v>427.66171846396475</c:v>
                </c:pt>
                <c:pt idx="83">
                  <c:v>433.23068233058711</c:v>
                </c:pt>
                <c:pt idx="84">
                  <c:v>438.7981090039205</c:v>
                </c:pt>
                <c:pt idx="85">
                  <c:v>444.36402075569328</c:v>
                </c:pt>
                <c:pt idx="86">
                  <c:v>427.29039899318792</c:v>
                </c:pt>
                <c:pt idx="87">
                  <c:v>432.4882431239887</c:v>
                </c:pt>
                <c:pt idx="88">
                  <c:v>437.68474556682276</c:v>
                </c:pt>
                <c:pt idx="89">
                  <c:v>442.87992451288659</c:v>
                </c:pt>
                <c:pt idx="90">
                  <c:v>448.07379769140448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L38" sqref="L3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44</v>
      </c>
      <c r="C9" s="35">
        <v>0.7</v>
      </c>
      <c r="D9" s="36">
        <f t="shared" ref="D9:D18" si="0">C9*$C$5</f>
        <v>1.75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</v>
      </c>
      <c r="C10" s="35">
        <v>0.3</v>
      </c>
      <c r="D10" s="36">
        <f t="shared" si="0"/>
        <v>0.75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Robinier faux-acacia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5</v>
      </c>
      <c r="B36" s="63">
        <v>28</v>
      </c>
      <c r="C36" s="63">
        <v>1</v>
      </c>
      <c r="D36" s="63">
        <v>4</v>
      </c>
      <c r="E36" s="54">
        <v>0</v>
      </c>
      <c r="F36" s="54">
        <v>0</v>
      </c>
      <c r="G36" s="54">
        <v>1</v>
      </c>
      <c r="H36" s="54"/>
      <c r="I36" s="52">
        <f>IFERROR(B36/A36,"")</f>
        <v>5.6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10</v>
      </c>
      <c r="B37" s="63">
        <v>79</v>
      </c>
      <c r="C37" s="63">
        <v>2</v>
      </c>
      <c r="D37" s="63">
        <v>21</v>
      </c>
      <c r="E37" s="54">
        <v>0</v>
      </c>
      <c r="F37" s="54">
        <v>0</v>
      </c>
      <c r="G37" s="54">
        <v>1</v>
      </c>
      <c r="H37" s="54"/>
      <c r="I37" s="56">
        <f t="shared" ref="I37:I55" si="1">IF(A37&lt;&gt;0,(B37-(B36-D36))/(A37-A36),"")</f>
        <v>11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15</v>
      </c>
      <c r="B38" s="63">
        <v>113</v>
      </c>
      <c r="C38" s="63">
        <v>3</v>
      </c>
      <c r="D38" s="63">
        <v>17</v>
      </c>
      <c r="E38" s="54">
        <v>0</v>
      </c>
      <c r="F38" s="54">
        <v>0</v>
      </c>
      <c r="G38" s="54">
        <v>1</v>
      </c>
      <c r="H38" s="54"/>
      <c r="I38" s="56">
        <f t="shared" si="1"/>
        <v>11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20</v>
      </c>
      <c r="B39" s="63">
        <v>145</v>
      </c>
      <c r="C39" s="63">
        <v>4</v>
      </c>
      <c r="D39" s="63">
        <v>14</v>
      </c>
      <c r="E39" s="54">
        <v>0</v>
      </c>
      <c r="F39" s="54">
        <v>0.1</v>
      </c>
      <c r="G39" s="54">
        <v>0.5</v>
      </c>
      <c r="H39" s="54">
        <v>0.4</v>
      </c>
      <c r="I39" s="52">
        <f t="shared" si="1"/>
        <v>9.8000000000000007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25</v>
      </c>
      <c r="B40" s="63">
        <v>173</v>
      </c>
      <c r="C40" s="63">
        <v>5</v>
      </c>
      <c r="D40" s="63">
        <v>11</v>
      </c>
      <c r="E40" s="54">
        <v>0</v>
      </c>
      <c r="F40" s="54">
        <v>0.1</v>
      </c>
      <c r="G40" s="54">
        <v>0.5</v>
      </c>
      <c r="H40" s="54">
        <v>0.4</v>
      </c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30</v>
      </c>
      <c r="B41" s="63">
        <v>196</v>
      </c>
      <c r="C41" s="63">
        <v>6</v>
      </c>
      <c r="D41" s="63">
        <v>9</v>
      </c>
      <c r="E41" s="54">
        <v>0.05</v>
      </c>
      <c r="F41" s="54">
        <v>0.15</v>
      </c>
      <c r="G41" s="54">
        <v>0.4</v>
      </c>
      <c r="H41" s="54">
        <v>0.4</v>
      </c>
      <c r="I41" s="56">
        <f t="shared" si="1"/>
        <v>6.8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35</v>
      </c>
      <c r="B42" s="63">
        <v>216</v>
      </c>
      <c r="C42" s="63">
        <v>7</v>
      </c>
      <c r="D42" s="63">
        <v>7</v>
      </c>
      <c r="E42" s="54"/>
      <c r="F42" s="54"/>
      <c r="G42" s="54"/>
      <c r="H42" s="54"/>
      <c r="I42" s="56">
        <f t="shared" si="1"/>
        <v>5.8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40</v>
      </c>
      <c r="B43" s="63">
        <v>233</v>
      </c>
      <c r="C43" s="63">
        <v>8</v>
      </c>
      <c r="D43" s="63">
        <v>6</v>
      </c>
      <c r="E43" s="54"/>
      <c r="F43" s="54"/>
      <c r="G43" s="54"/>
      <c r="H43" s="54"/>
      <c r="I43" s="52">
        <f t="shared" si="1"/>
        <v>4.8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45</v>
      </c>
      <c r="B44" s="63">
        <v>252</v>
      </c>
      <c r="C44" s="63">
        <v>9</v>
      </c>
      <c r="D44" s="63">
        <v>252</v>
      </c>
      <c r="E44" s="54"/>
      <c r="F44" s="54"/>
      <c r="G44" s="54"/>
      <c r="H44" s="54"/>
      <c r="I44" s="52">
        <f t="shared" si="1"/>
        <v>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132</v>
      </c>
      <c r="C62" s="63">
        <v>1</v>
      </c>
      <c r="D62" s="63">
        <v>50</v>
      </c>
      <c r="E62" s="54">
        <v>0</v>
      </c>
      <c r="F62" s="54">
        <v>0.1</v>
      </c>
      <c r="G62" s="54">
        <v>0.5</v>
      </c>
      <c r="H62" s="54">
        <v>0.4</v>
      </c>
      <c r="I62" s="56">
        <f>IFERROR(B62/A62,"")</f>
        <v>6.6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143</v>
      </c>
      <c r="C63" s="63">
        <v>2</v>
      </c>
      <c r="D63" s="63">
        <v>37</v>
      </c>
      <c r="E63" s="54">
        <v>0</v>
      </c>
      <c r="F63" s="54">
        <v>0.1</v>
      </c>
      <c r="G63" s="54">
        <v>0.5</v>
      </c>
      <c r="H63" s="54">
        <v>0.4</v>
      </c>
      <c r="I63" s="52">
        <f>IF(A63&lt;&gt;0,(B63-(B62-D62))/(A63-A62),"")</f>
        <v>12.2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163</v>
      </c>
      <c r="C64" s="63">
        <v>3</v>
      </c>
      <c r="D64" s="63">
        <v>37</v>
      </c>
      <c r="E64" s="54">
        <v>0.05</v>
      </c>
      <c r="F64" s="54">
        <v>0.15</v>
      </c>
      <c r="G64" s="54">
        <v>0.4</v>
      </c>
      <c r="H64" s="54">
        <v>0.4</v>
      </c>
      <c r="I64" s="52">
        <f>IF(A64&lt;&gt;0,(B64-(B63-D63))/(A64-A63),"")</f>
        <v>11.4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179</v>
      </c>
      <c r="C65" s="63">
        <v>4</v>
      </c>
      <c r="D65" s="63">
        <v>36</v>
      </c>
      <c r="E65" s="54"/>
      <c r="F65" s="54"/>
      <c r="G65" s="54"/>
      <c r="H65" s="54"/>
      <c r="I65" s="52">
        <f>IF(A65&lt;&gt;0,(B65-(B64-D64))/(A65-A64),"")</f>
        <v>10.6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191</v>
      </c>
      <c r="C66" s="63">
        <v>5</v>
      </c>
      <c r="D66" s="63">
        <v>33</v>
      </c>
      <c r="E66" s="54"/>
      <c r="F66" s="54"/>
      <c r="G66" s="54"/>
      <c r="H66" s="54"/>
      <c r="I66" s="52">
        <f t="shared" ref="I66:I81" si="2">IF(A66&lt;&gt;0,(B66-(B65-D65))/(A66-A65),"")</f>
        <v>9.6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201</v>
      </c>
      <c r="C67" s="63">
        <v>6</v>
      </c>
      <c r="D67" s="63">
        <v>31</v>
      </c>
      <c r="E67" s="54"/>
      <c r="F67" s="54"/>
      <c r="G67" s="54"/>
      <c r="H67" s="54"/>
      <c r="I67" s="52">
        <f t="shared" si="2"/>
        <v>8.6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209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215</v>
      </c>
      <c r="C69" s="53">
        <v>8</v>
      </c>
      <c r="D69" s="53">
        <v>25</v>
      </c>
      <c r="E69" s="54"/>
      <c r="F69" s="54"/>
      <c r="G69" s="54"/>
      <c r="H69" s="54"/>
      <c r="I69" s="52">
        <f t="shared" si="2"/>
        <v>6.8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220</v>
      </c>
      <c r="C70" s="53">
        <v>9</v>
      </c>
      <c r="D70" s="53">
        <v>22</v>
      </c>
      <c r="E70" s="54"/>
      <c r="F70" s="54"/>
      <c r="G70" s="54"/>
      <c r="H70" s="54"/>
      <c r="I70" s="52">
        <f t="shared" si="2"/>
        <v>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224</v>
      </c>
      <c r="C71" s="53">
        <v>10</v>
      </c>
      <c r="D71" s="53">
        <v>20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227</v>
      </c>
      <c r="C72" s="53">
        <v>11</v>
      </c>
      <c r="D72" s="53">
        <v>17</v>
      </c>
      <c r="E72" s="54"/>
      <c r="F72" s="54"/>
      <c r="G72" s="54"/>
      <c r="H72" s="54"/>
      <c r="I72" s="52">
        <f t="shared" si="2"/>
        <v>4.5999999999999996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230</v>
      </c>
      <c r="C73" s="53">
        <v>12</v>
      </c>
      <c r="D73" s="53">
        <v>15</v>
      </c>
      <c r="E73" s="54"/>
      <c r="F73" s="54"/>
      <c r="G73" s="54"/>
      <c r="H73" s="54"/>
      <c r="I73" s="52">
        <f t="shared" si="2"/>
        <v>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232</v>
      </c>
      <c r="C74" s="53">
        <v>13</v>
      </c>
      <c r="D74" s="53">
        <v>13</v>
      </c>
      <c r="E74" s="54"/>
      <c r="F74" s="54"/>
      <c r="G74" s="54"/>
      <c r="H74" s="54"/>
      <c r="I74" s="52">
        <f t="shared" si="2"/>
        <v>3.4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234</v>
      </c>
      <c r="C75" s="53">
        <v>14</v>
      </c>
      <c r="D75" s="53">
        <v>12</v>
      </c>
      <c r="E75" s="54"/>
      <c r="F75" s="54"/>
      <c r="G75" s="54"/>
      <c r="H75" s="54"/>
      <c r="I75" s="52">
        <f t="shared" si="2"/>
        <v>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236</v>
      </c>
      <c r="C76" s="53">
        <v>15</v>
      </c>
      <c r="D76" s="53">
        <v>236</v>
      </c>
      <c r="E76" s="54"/>
      <c r="F76" s="54"/>
      <c r="G76" s="54"/>
      <c r="H76" s="54"/>
      <c r="I76" s="52">
        <f t="shared" si="2"/>
        <v>2.8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Robinier faux-acacia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rouge d'Amérique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247.05981224668733</v>
      </c>
      <c r="T3" s="62">
        <f>IF('Données projet'!E9&gt;30,$R$33-$H$33,LOOKUP('Données projet'!$E$9,$A$3:$A$203,R3:R203)-LOOKUP('Données projet'!$E$9,$A$3:$A$203,$H$3:$H$203))</f>
        <v>345.23839191022898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235.92135862353973</v>
      </c>
      <c r="AO3" s="62">
        <f>IF('Données projet'!E10&gt;30,$AM$33-$H$33,LOOKUP('Données projet'!$E$10,$A$3:$A$203,AM3:AM203)-LOOKUP('Données projet'!$E$10,$A$3:$A$203,$H$3:$H$203))</f>
        <v>270.64539221029258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5.6</v>
      </c>
      <c r="N4" s="14">
        <f>IF('Données projet'!$A$36&gt;35,N3+M4-V3,IF(A4&lt;'Données projet'!$A$36,$K$205^A4,IF(A4='Données projet'!$A$36,'Données projet'!$B$36,N3+M4-V3)))</f>
        <v>1.9472943612303364</v>
      </c>
      <c r="O4" s="14">
        <f>N4*VLOOKUP('Données projet'!$B$9,Paramètres!$A$1:$I$89,3,0)*VLOOKUP('Données projet'!$B$9,Paramètres!$A$1:$I$89,5,0)</f>
        <v>1.7619119380412083</v>
      </c>
      <c r="P4" s="14">
        <f>EXP(-1.0587+0.8836*LN(O4)+0.284)</f>
        <v>0.76015770586189668</v>
      </c>
      <c r="Q4" s="22">
        <f t="shared" ref="Q4:Q34" si="2">(O4+P4)*0.475*44/12</f>
        <v>4.3926046297979076</v>
      </c>
      <c r="R4" s="62">
        <f t="shared" si="0"/>
        <v>297.72593796313123</v>
      </c>
      <c r="S4" s="62">
        <f ca="1">AVERAGE(OFFSET($R$3,0,0,'Données projet'!$E$9+1,1))-AVERAGE(OFFSET($H$3,0,0,'Données projet'!$E$9+1,1))</f>
        <v>247.05981224668733</v>
      </c>
      <c r="T4" s="62">
        <f>$T$3</f>
        <v>345.23839191022898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6.6</v>
      </c>
      <c r="AI4" s="14">
        <f>IF('Données projet'!$A$62&gt;35,AI3+AH4-AQ3,IF(A4&lt;'Données projet'!$A$62,$AF$205^A4,IF(A4='Données projet'!$A$62,'Données projet'!$B$62,AI3+AH4-AQ3)))</f>
        <v>1.2765231539157764</v>
      </c>
      <c r="AJ4" s="14">
        <f>AI4*VLOOKUP('Données projet'!$B$10,Paramètres!$A$1:$I$89,3,0)*VLOOKUP('Données projet'!$B$10,Paramètres!$A$1:$I$89,5,0)</f>
        <v>1.1151706272608224</v>
      </c>
      <c r="AK4" s="14">
        <f>EXP(-1.0587+0.8836*LN(AJ4)+0.284)</f>
        <v>0.50743784838663863</v>
      </c>
      <c r="AL4" s="22">
        <f t="shared" ref="AL4:AL67" si="4">(AJ4+AK4)*0.475*44/12</f>
        <v>2.8260430950859945</v>
      </c>
      <c r="AM4" s="62">
        <f t="shared" ref="AM4:AM67" si="5">AL4+(AD4+AE4)*44/12</f>
        <v>296.15937642841931</v>
      </c>
      <c r="AN4" s="62">
        <f ca="1">AVERAGE(OFFSET($AM$3,0,0,'Données projet'!$E$10+1,1))-AVERAGE(OFFSET($H$3,0,0,'Données projet'!$E$10+1,1))</f>
        <v>235.92135862353973</v>
      </c>
      <c r="AO4" s="62">
        <f>$AO$3</f>
        <v>270.64539221029258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5.6</v>
      </c>
      <c r="N5" s="14">
        <f>IF('Données projet'!$A$36&gt;35,N4+M5-V4,IF(A5&lt;'Données projet'!$A$36,$K$205^A5,IF(A5='Données projet'!$A$36,'Données projet'!$B$36,N4+M5-V4)))</f>
        <v>3.7919553292794639</v>
      </c>
      <c r="O5" s="14">
        <f>N5*VLOOKUP('Données projet'!$B$9,Paramètres!$A$1:$I$89,3,0)*VLOOKUP('Données projet'!$B$9,Paramètres!$A$1:$I$89,5,0)</f>
        <v>3.4309611819320587</v>
      </c>
      <c r="P5" s="14">
        <f t="shared" ref="P5:P68" si="33">EXP(-1.0587+0.8836*LN(O5)+0.284)</f>
        <v>1.3697631223860498</v>
      </c>
      <c r="Q5" s="22">
        <f t="shared" si="2"/>
        <v>8.3612614966873711</v>
      </c>
      <c r="R5" s="62">
        <f t="shared" si="0"/>
        <v>301.69459483002066</v>
      </c>
      <c r="S5" s="62">
        <f ca="1">AVERAGE(OFFSET($R$3,0,0,'Données projet'!$E$9+1,1))-AVERAGE(OFFSET($H$3,0,0,'Données projet'!$E$9+1,1))</f>
        <v>247.05981224668733</v>
      </c>
      <c r="T5" s="62">
        <f t="shared" ref="T5:T68" si="34">$T$3</f>
        <v>345.23839191022898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6.6</v>
      </c>
      <c r="AI5" s="14">
        <f>IF('Données projet'!$A$62&gt;35,AI4+AH5-AQ4,IF(A5&lt;'Données projet'!$A$62,$AF$205^A5,IF(A5='Données projet'!$A$62,'Données projet'!$B$62,AI4+AH5-AQ4)))</f>
        <v>1.629511362483081</v>
      </c>
      <c r="AJ5" s="14">
        <f>AI5*VLOOKUP('Données projet'!$B$10,Paramètres!$A$1:$I$89,3,0)*VLOOKUP('Données projet'!$B$10,Paramètres!$A$1:$I$89,5,0)</f>
        <v>1.4235411262652198</v>
      </c>
      <c r="AK5" s="14">
        <f t="shared" ref="AK5:AK68" si="35">EXP(-1.0587+0.8836*LN(AJ5)+0.284)</f>
        <v>0.62960738463416654</v>
      </c>
      <c r="AL5" s="22">
        <f t="shared" si="4"/>
        <v>3.5759003231497637</v>
      </c>
      <c r="AM5" s="62">
        <f t="shared" si="5"/>
        <v>296.90923365648308</v>
      </c>
      <c r="AN5" s="62">
        <f ca="1">AVERAGE(OFFSET($AM$3,0,0,'Données projet'!$E$10+1,1))-AVERAGE(OFFSET($H$3,0,0,'Données projet'!$E$10+1,1))</f>
        <v>235.92135862353973</v>
      </c>
      <c r="AO5" s="62">
        <f t="shared" ref="AO5:AO68" si="36">$AO$3</f>
        <v>270.64539221029258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5.6</v>
      </c>
      <c r="N6" s="14">
        <f>IF('Données projet'!$A$36&gt;35,N5+M6-V5,IF(A6&lt;'Données projet'!$A$36,$K$205^A6,IF(A6='Données projet'!$A$36,'Données projet'!$B$36,N5+M6-V5)))</f>
        <v>7.3840532307432234</v>
      </c>
      <c r="O6" s="14">
        <f>N6*VLOOKUP('Données projet'!$B$9,Paramètres!$A$1:$I$89,3,0)*VLOOKUP('Données projet'!$B$9,Paramètres!$A$1:$I$89,5,0)</f>
        <v>6.6810913631764679</v>
      </c>
      <c r="P6" s="14">
        <f t="shared" si="33"/>
        <v>2.4682391521919964</v>
      </c>
      <c r="Q6" s="22">
        <f t="shared" si="2"/>
        <v>15.935083980933408</v>
      </c>
      <c r="R6" s="62">
        <f t="shared" si="0"/>
        <v>309.26841731426674</v>
      </c>
      <c r="S6" s="62">
        <f ca="1">AVERAGE(OFFSET($R$3,0,0,'Données projet'!$E$9+1,1))-AVERAGE(OFFSET($H$3,0,0,'Données projet'!$E$9+1,1))</f>
        <v>247.05981224668733</v>
      </c>
      <c r="T6" s="62">
        <f t="shared" si="34"/>
        <v>345.23839191022898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6.6</v>
      </c>
      <c r="AI6" s="14">
        <f>IF('Données projet'!$A$62&gt;35,AI5+AH6-AQ5,IF(A6&lt;'Données projet'!$A$62,$AF$205^A6,IF(A6='Données projet'!$A$62,'Données projet'!$B$62,AI5+AH6-AQ5)))</f>
        <v>2.0801089837784965</v>
      </c>
      <c r="AJ6" s="14">
        <f>AI6*VLOOKUP('Données projet'!$B$10,Paramètres!$A$1:$I$89,3,0)*VLOOKUP('Données projet'!$B$10,Paramètres!$A$1:$I$89,5,0)</f>
        <v>1.8171832082288948</v>
      </c>
      <c r="AK6" s="14">
        <f t="shared" si="35"/>
        <v>0.7811901694881791</v>
      </c>
      <c r="AL6" s="22">
        <f t="shared" si="4"/>
        <v>4.5255002995239044</v>
      </c>
      <c r="AM6" s="62">
        <f t="shared" si="5"/>
        <v>297.85883363285723</v>
      </c>
      <c r="AN6" s="62">
        <f ca="1">AVERAGE(OFFSET($AM$3,0,0,'Données projet'!$E$10+1,1))-AVERAGE(OFFSET($H$3,0,0,'Données projet'!$E$10+1,1))</f>
        <v>235.92135862353973</v>
      </c>
      <c r="AO6" s="62">
        <f t="shared" si="36"/>
        <v>270.64539221029258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5.6</v>
      </c>
      <c r="N7" s="14">
        <f>IF('Données projet'!$A$36&gt;35,N6+M7-V6,IF(A7&lt;'Données projet'!$A$36,$K$205^A7,IF(A7='Données projet'!$A$36,'Données projet'!$B$36,N6+M7-V6)))</f>
        <v>14.378925219250927</v>
      </c>
      <c r="O7" s="14">
        <f>N7*VLOOKUP('Données projet'!$B$9,Paramètres!$A$1:$I$89,3,0)*VLOOKUP('Données projet'!$B$9,Paramètres!$A$1:$I$89,5,0)</f>
        <v>13.010051538378239</v>
      </c>
      <c r="P7" s="14">
        <f t="shared" si="33"/>
        <v>4.4476336184326453</v>
      </c>
      <c r="Q7" s="22">
        <f t="shared" si="2"/>
        <v>30.405468314778947</v>
      </c>
      <c r="R7" s="62">
        <f t="shared" si="0"/>
        <v>323.73880164811226</v>
      </c>
      <c r="S7" s="62">
        <f ca="1">AVERAGE(OFFSET($R$3,0,0,'Données projet'!$E$9+1,1))-AVERAGE(OFFSET($H$3,0,0,'Données projet'!$E$9+1,1))</f>
        <v>247.05981224668733</v>
      </c>
      <c r="T7" s="62">
        <f t="shared" si="34"/>
        <v>345.23839191022898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6.6</v>
      </c>
      <c r="AI7" s="14">
        <f>IF('Données projet'!$A$62&gt;35,AI6+AH7-AQ6,IF(A7&lt;'Données projet'!$A$62,$AF$205^A7,IF(A7='Données projet'!$A$62,'Données projet'!$B$62,AI6+AH7-AQ6)))</f>
        <v>2.655307280461467</v>
      </c>
      <c r="AJ7" s="14">
        <f>AI7*VLOOKUP('Données projet'!$B$10,Paramètres!$A$1:$I$89,3,0)*VLOOKUP('Données projet'!$B$10,Paramètres!$A$1:$I$89,5,0)</f>
        <v>2.3196764402111376</v>
      </c>
      <c r="AK7" s="14">
        <f t="shared" si="35"/>
        <v>0.96926766711854973</v>
      </c>
      <c r="AL7" s="22">
        <f t="shared" si="4"/>
        <v>5.7282443202658717</v>
      </c>
      <c r="AM7" s="62">
        <f t="shared" si="5"/>
        <v>299.06157765359916</v>
      </c>
      <c r="AN7" s="62">
        <f ca="1">AVERAGE(OFFSET($AM$3,0,0,'Données projet'!$E$10+1,1))-AVERAGE(OFFSET($H$3,0,0,'Données projet'!$E$10+1,1))</f>
        <v>235.92135862353973</v>
      </c>
      <c r="AO7" s="62">
        <f t="shared" si="36"/>
        <v>270.64539221029258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>
        <f>VLOOKUP(A8,'Données projet'!$A$35:$I$55,2,0)</f>
        <v>28</v>
      </c>
      <c r="L8" s="13">
        <f>VLOOKUP(A8,'Données projet'!$A$35:$I$55,9,0)</f>
        <v>5.6</v>
      </c>
      <c r="M8" s="13">
        <f t="array" ref="M8">INDEX(L:L,MIN(IF(ISNUMBER(L8:L204),ROW(L8:L204),"")))</f>
        <v>5.6</v>
      </c>
      <c r="N8" s="14">
        <f>IF('Données projet'!$A$36&gt;35,N7+M8-V7,IF(A8&lt;'Données projet'!$A$36,$K$205^A8,IF(A8='Données projet'!$A$36,'Données projet'!$B$36,N7+M8-V7)))</f>
        <v>28</v>
      </c>
      <c r="O8" s="14">
        <f>N8*VLOOKUP('Données projet'!$B$9,Paramètres!$A$1:$I$89,3,0)*VLOOKUP('Données projet'!$B$9,Paramètres!$A$1:$I$89,5,0)</f>
        <v>25.334399999999999</v>
      </c>
      <c r="P8" s="14">
        <f t="shared" si="33"/>
        <v>8.0143955200794572</v>
      </c>
      <c r="Q8" s="22">
        <f t="shared" si="2"/>
        <v>58.082485530805052</v>
      </c>
      <c r="R8" s="62">
        <f t="shared" si="0"/>
        <v>351.41581886413837</v>
      </c>
      <c r="S8" s="62">
        <f ca="1">AVERAGE(OFFSET($R$3,0,0,'Données projet'!$E$9+1,1))-AVERAGE(OFFSET($H$3,0,0,'Données projet'!$E$9+1,1))</f>
        <v>247.05981224668733</v>
      </c>
      <c r="T8" s="62">
        <f t="shared" si="34"/>
        <v>345.23839191022898</v>
      </c>
      <c r="U8" s="16">
        <f>IF(ISNA(VLOOKUP(A8,'Données projet'!$A$35:$I$55,3,0)),0,VLOOKUP(A8,'Données projet'!$A$35:$I$55,3,0))</f>
        <v>1</v>
      </c>
      <c r="V8" s="16">
        <f>IF(ISNA(VLOOKUP(A8,'Données projet'!$A$35:$I$55,4,0)),0,VLOOKUP(A8,'Données projet'!$A$35:$I$55,4,0))</f>
        <v>4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1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3.4148126093398208</v>
      </c>
      <c r="AC8" s="24">
        <f t="shared" si="3"/>
        <v>3.4148126093398208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6.6</v>
      </c>
      <c r="AI8" s="14">
        <f>IF('Données projet'!$A$62&gt;35,AI7+AH8-AQ7,IF(A8&lt;'Données projet'!$A$62,$AF$205^A8,IF(A8='Données projet'!$A$62,'Données projet'!$B$62,AI7+AH8-AQ7)))</f>
        <v>3.3895612242701949</v>
      </c>
      <c r="AJ8" s="14">
        <f>AI8*VLOOKUP('Données projet'!$B$10,Paramètres!$A$1:$I$89,3,0)*VLOOKUP('Données projet'!$B$10,Paramètres!$A$1:$I$89,5,0)</f>
        <v>2.9611206855224426</v>
      </c>
      <c r="AK8" s="14">
        <f t="shared" si="35"/>
        <v>1.2026262582604759</v>
      </c>
      <c r="AL8" s="22">
        <f t="shared" si="4"/>
        <v>7.2518592604219156</v>
      </c>
      <c r="AM8" s="62">
        <f t="shared" si="5"/>
        <v>300.58519259375521</v>
      </c>
      <c r="AN8" s="62">
        <f ca="1">AVERAGE(OFFSET($AM$3,0,0,'Données projet'!$E$10+1,1))-AVERAGE(OFFSET($H$3,0,0,'Données projet'!$E$10+1,1))</f>
        <v>235.92135862353973</v>
      </c>
      <c r="AO8" s="62">
        <f t="shared" si="36"/>
        <v>270.64539221029258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</v>
      </c>
      <c r="N9" s="14">
        <f>IF('Données projet'!$A$36&gt;35,N8+M9-V8,IF(A9&lt;'Données projet'!$A$36,$K$205^A9,IF(A9='Données projet'!$A$36,'Données projet'!$B$36,N8+M9-V8)))</f>
        <v>35</v>
      </c>
      <c r="O9" s="14">
        <f>N9*VLOOKUP('Données projet'!$B$9,Paramètres!$A$1:$I$89,3,0)*VLOOKUP('Données projet'!$B$9,Paramètres!$A$1:$I$89,5,0)</f>
        <v>31.667999999999996</v>
      </c>
      <c r="P9" s="14">
        <f t="shared" si="33"/>
        <v>9.7611381424130652</v>
      </c>
      <c r="Q9" s="22">
        <f t="shared" si="2"/>
        <v>72.155748931369416</v>
      </c>
      <c r="R9" s="62">
        <f t="shared" si="0"/>
        <v>365.48908226470274</v>
      </c>
      <c r="S9" s="62">
        <f ca="1">AVERAGE(OFFSET($R$3,0,0,'Données projet'!$E$9+1,1))-AVERAGE(OFFSET($H$3,0,0,'Données projet'!$E$9+1,1))</f>
        <v>247.05981224668733</v>
      </c>
      <c r="T9" s="62">
        <f t="shared" si="34"/>
        <v>345.23839191022898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2.4146371525455161</v>
      </c>
      <c r="AC9" s="24">
        <f t="shared" si="3"/>
        <v>2.4146371525455161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6.6</v>
      </c>
      <c r="AI9" s="14">
        <f>IF('Données projet'!$A$62&gt;35,AI8+AH9-AQ8,IF(A9&lt;'Données projet'!$A$62,$AF$205^A9,IF(A9='Données projet'!$A$62,'Données projet'!$B$62,AI8+AH9-AQ8)))</f>
        <v>4.32685338439601</v>
      </c>
      <c r="AJ9" s="14">
        <f>AI9*VLOOKUP('Données projet'!$B$10,Paramètres!$A$1:$I$89,3,0)*VLOOKUP('Données projet'!$B$10,Paramètres!$A$1:$I$89,5,0)</f>
        <v>3.7799391166083551</v>
      </c>
      <c r="AK9" s="14">
        <f t="shared" si="35"/>
        <v>1.4921677118944865</v>
      </c>
      <c r="AL9" s="22">
        <f t="shared" si="4"/>
        <v>9.1822527263091143</v>
      </c>
      <c r="AM9" s="62">
        <f t="shared" si="5"/>
        <v>302.51558605964243</v>
      </c>
      <c r="AN9" s="62">
        <f ca="1">AVERAGE(OFFSET($AM$3,0,0,'Données projet'!$E$10+1,1))-AVERAGE(OFFSET($H$3,0,0,'Données projet'!$E$10+1,1))</f>
        <v>235.92135862353973</v>
      </c>
      <c r="AO9" s="62">
        <f t="shared" si="36"/>
        <v>270.64539221029258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</v>
      </c>
      <c r="N10" s="14">
        <f>IF('Données projet'!$A$36&gt;35,N9+M10-V9,IF(A10&lt;'Données projet'!$A$36,$K$205^A10,IF(A10='Données projet'!$A$36,'Données projet'!$B$36,N9+M10-V9)))</f>
        <v>46</v>
      </c>
      <c r="O10" s="14">
        <f>N10*VLOOKUP('Données projet'!$B$9,Paramètres!$A$1:$I$89,3,0)*VLOOKUP('Données projet'!$B$9,Paramètres!$A$1:$I$89,5,0)</f>
        <v>41.620800000000003</v>
      </c>
      <c r="P10" s="14">
        <f t="shared" si="33"/>
        <v>12.427241987862391</v>
      </c>
      <c r="Q10" s="22">
        <f t="shared" si="2"/>
        <v>94.133673128860323</v>
      </c>
      <c r="R10" s="62">
        <f t="shared" si="0"/>
        <v>387.46700646219364</v>
      </c>
      <c r="S10" s="62">
        <f ca="1">AVERAGE(OFFSET($R$3,0,0,'Données projet'!$E$9+1,1))-AVERAGE(OFFSET($H$3,0,0,'Données projet'!$E$9+1,1))</f>
        <v>247.05981224668733</v>
      </c>
      <c r="T10" s="62">
        <f t="shared" si="34"/>
        <v>345.23839191022898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1.7074063046699106</v>
      </c>
      <c r="AC10" s="24">
        <f t="shared" si="3"/>
        <v>1.7074063046699106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6.6</v>
      </c>
      <c r="AI10" s="14">
        <f>IF('Données projet'!$A$62&gt;35,AI9+AH10-AQ9,IF(A10&lt;'Données projet'!$A$62,$AF$205^A10,IF(A10='Données projet'!$A$62,'Données projet'!$B$62,AI9+AH10-AQ9)))</f>
        <v>5.5233285287803451</v>
      </c>
      <c r="AJ10" s="14">
        <f>AI10*VLOOKUP('Données projet'!$B$10,Paramètres!$A$1:$I$89,3,0)*VLOOKUP('Données projet'!$B$10,Paramètres!$A$1:$I$89,5,0)</f>
        <v>4.8251798027425101</v>
      </c>
      <c r="AK10" s="14">
        <f t="shared" si="35"/>
        <v>1.8514184811173284</v>
      </c>
      <c r="AL10" s="22">
        <f t="shared" si="4"/>
        <v>11.628408677722552</v>
      </c>
      <c r="AM10" s="62">
        <f t="shared" si="5"/>
        <v>304.96174201105589</v>
      </c>
      <c r="AN10" s="62">
        <f ca="1">AVERAGE(OFFSET($AM$3,0,0,'Données projet'!$E$10+1,1))-AVERAGE(OFFSET($H$3,0,0,'Données projet'!$E$10+1,1))</f>
        <v>235.92135862353973</v>
      </c>
      <c r="AO10" s="62">
        <f t="shared" si="36"/>
        <v>270.64539221029258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</v>
      </c>
      <c r="N11" s="14">
        <f>IF('Données projet'!$A$36&gt;35,N10+M11-V10,IF(A11&lt;'Données projet'!$A$36,$K$205^A11,IF(A11='Données projet'!$A$36,'Données projet'!$B$36,N10+M11-V10)))</f>
        <v>57</v>
      </c>
      <c r="O11" s="14">
        <f>N11*VLOOKUP('Données projet'!$B$9,Paramètres!$A$1:$I$89,3,0)*VLOOKUP('Données projet'!$B$9,Paramètres!$A$1:$I$89,5,0)</f>
        <v>51.573599999999992</v>
      </c>
      <c r="P11" s="14">
        <f t="shared" si="33"/>
        <v>15.019412930275323</v>
      </c>
      <c r="Q11" s="22">
        <f t="shared" si="2"/>
        <v>115.98283085356282</v>
      </c>
      <c r="R11" s="62">
        <f t="shared" si="0"/>
        <v>409.31616418689612</v>
      </c>
      <c r="S11" s="62">
        <f ca="1">AVERAGE(OFFSET($R$3,0,0,'Données projet'!$E$9+1,1))-AVERAGE(OFFSET($H$3,0,0,'Données projet'!$E$9+1,1))</f>
        <v>247.05981224668733</v>
      </c>
      <c r="T11" s="62">
        <f t="shared" si="34"/>
        <v>345.23839191022898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1.2073185762727583</v>
      </c>
      <c r="AC11" s="24">
        <f t="shared" si="3"/>
        <v>1.2073185762727583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6.6</v>
      </c>
      <c r="AI11" s="14">
        <f>IF('Données projet'!$A$62&gt;35,AI10+AH11-AQ10,IF(A11&lt;'Données projet'!$A$62,$AF$205^A11,IF(A11='Données projet'!$A$62,'Données projet'!$B$62,AI10+AH11-AQ10)))</f>
        <v>7.0506567536716718</v>
      </c>
      <c r="AJ11" s="14">
        <f>AI11*VLOOKUP('Données projet'!$B$10,Paramètres!$A$1:$I$89,3,0)*VLOOKUP('Données projet'!$B$10,Paramètres!$A$1:$I$89,5,0)</f>
        <v>6.1594537400075735</v>
      </c>
      <c r="AK11" s="14">
        <f t="shared" si="35"/>
        <v>2.2971616158822084</v>
      </c>
      <c r="AL11" s="22">
        <f t="shared" si="4"/>
        <v>14.728605078174702</v>
      </c>
      <c r="AM11" s="62">
        <f t="shared" si="5"/>
        <v>308.06193841150804</v>
      </c>
      <c r="AN11" s="62">
        <f ca="1">AVERAGE(OFFSET($AM$3,0,0,'Données projet'!$E$10+1,1))-AVERAGE(OFFSET($H$3,0,0,'Données projet'!$E$10+1,1))</f>
        <v>235.92135862353973</v>
      </c>
      <c r="AO11" s="62">
        <f t="shared" si="36"/>
        <v>270.64539221029258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</v>
      </c>
      <c r="N12" s="14">
        <f>IF('Données projet'!$A$36&gt;35,N11+M12-V11,IF(A12&lt;'Données projet'!$A$36,$K$205^A12,IF(A12='Données projet'!$A$36,'Données projet'!$B$36,N11+M12-V11)))</f>
        <v>68</v>
      </c>
      <c r="O12" s="14">
        <f>N12*VLOOKUP('Données projet'!$B$9,Paramètres!$A$1:$I$89,3,0)*VLOOKUP('Données projet'!$B$9,Paramètres!$A$1:$I$89,5,0)</f>
        <v>61.526399999999995</v>
      </c>
      <c r="P12" s="14">
        <f t="shared" si="33"/>
        <v>17.553624762159014</v>
      </c>
      <c r="Q12" s="22">
        <f t="shared" si="2"/>
        <v>137.73104312742694</v>
      </c>
      <c r="R12" s="62">
        <f t="shared" si="0"/>
        <v>431.06437646076029</v>
      </c>
      <c r="S12" s="62">
        <f ca="1">AVERAGE(OFFSET($R$3,0,0,'Données projet'!$E$9+1,1))-AVERAGE(OFFSET($H$3,0,0,'Données projet'!$E$9+1,1))</f>
        <v>247.05981224668733</v>
      </c>
      <c r="T12" s="62">
        <f t="shared" si="34"/>
        <v>345.23839191022898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0.85370315233495542</v>
      </c>
      <c r="AC12" s="24">
        <f t="shared" si="3"/>
        <v>0.85370315233495542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6.6</v>
      </c>
      <c r="AI12" s="14">
        <f>IF('Données projet'!$A$62&gt;35,AI11+AH12-AQ11,IF(A12&lt;'Données projet'!$A$62,$AF$205^A12,IF(A12='Données projet'!$A$62,'Données projet'!$B$62,AI11+AH12-AQ11)))</f>
        <v>9.0003265963745314</v>
      </c>
      <c r="AJ12" s="14">
        <f>AI12*VLOOKUP('Données projet'!$B$10,Paramètres!$A$1:$I$89,3,0)*VLOOKUP('Données projet'!$B$10,Paramètres!$A$1:$I$89,5,0)</f>
        <v>7.8626853145927917</v>
      </c>
      <c r="AK12" s="14">
        <f t="shared" si="35"/>
        <v>2.8502208135558442</v>
      </c>
      <c r="AL12" s="22">
        <f t="shared" si="4"/>
        <v>18.658311506525539</v>
      </c>
      <c r="AM12" s="62">
        <f t="shared" si="5"/>
        <v>311.99164483985885</v>
      </c>
      <c r="AN12" s="62">
        <f ca="1">AVERAGE(OFFSET($AM$3,0,0,'Données projet'!$E$10+1,1))-AVERAGE(OFFSET($H$3,0,0,'Données projet'!$E$10+1,1))</f>
        <v>235.92135862353973</v>
      </c>
      <c r="AO12" s="62">
        <f t="shared" si="36"/>
        <v>270.64539221029258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>
        <f>VLOOKUP(A13,'Données projet'!$A$35:$I$55,2,0)</f>
        <v>79</v>
      </c>
      <c r="L13" s="13">
        <f>VLOOKUP(A13,'Données projet'!$A$35:$I$55,9,0)</f>
        <v>11</v>
      </c>
      <c r="M13" s="13">
        <f t="array" ref="M13">INDEX(L:L,MIN(IF(ISNUMBER(L13:L209),ROW(L13:L209),"")))</f>
        <v>11</v>
      </c>
      <c r="N13" s="14">
        <f>IF('Données projet'!$A$36&gt;35,N12+M13-V12,IF(A13&lt;'Données projet'!$A$36,$K$205^A13,IF(A13='Données projet'!$A$36,'Données projet'!$B$36,N12+M13-V12)))</f>
        <v>79</v>
      </c>
      <c r="O13" s="14">
        <f>N13*VLOOKUP('Données projet'!$B$9,Paramètres!$A$1:$I$89,3,0)*VLOOKUP('Données projet'!$B$9,Paramètres!$A$1:$I$89,5,0)</f>
        <v>71.479200000000006</v>
      </c>
      <c r="P13" s="14">
        <f t="shared" si="33"/>
        <v>20.040346808618612</v>
      </c>
      <c r="Q13" s="22">
        <f t="shared" si="2"/>
        <v>159.39654402501074</v>
      </c>
      <c r="R13" s="62">
        <f t="shared" si="0"/>
        <v>452.72987735834408</v>
      </c>
      <c r="S13" s="62">
        <f ca="1">AVERAGE(OFFSET($R$3,0,0,'Données projet'!$E$9+1,1))-AVERAGE(OFFSET($H$3,0,0,'Données projet'!$E$9+1,1))</f>
        <v>247.05981224668733</v>
      </c>
      <c r="T13" s="62">
        <f t="shared" si="34"/>
        <v>345.23839191022898</v>
      </c>
      <c r="U13" s="16">
        <f>IF(ISNA(VLOOKUP(A13,'Données projet'!$A$35:$I$55,3,0)),0,VLOOKUP(A13,'Données projet'!$A$35:$I$55,3,0))</f>
        <v>2</v>
      </c>
      <c r="V13" s="16">
        <f>IF(ISNA(VLOOKUP(A13,'Données projet'!$A$35:$I$55,4,0)),0,VLOOKUP(A13,'Données projet'!$A$35:$I$55,4,0))</f>
        <v>21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1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18.531425487170438</v>
      </c>
      <c r="AC13" s="24">
        <f t="shared" si="3"/>
        <v>18.531425487170438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6.6</v>
      </c>
      <c r="AI13" s="14">
        <f>IF('Données projet'!$A$62&gt;35,AI12+AH13-AQ12,IF(A13&lt;'Données projet'!$A$62,$AF$205^A13,IF(A13='Données projet'!$A$62,'Données projet'!$B$62,AI12+AH13-AQ12)))</f>
        <v>11.489125293076063</v>
      </c>
      <c r="AJ13" s="14">
        <f>AI13*VLOOKUP('Données projet'!$B$10,Paramètres!$A$1:$I$89,3,0)*VLOOKUP('Données projet'!$B$10,Paramètres!$A$1:$I$89,5,0)</f>
        <v>10.036899856031249</v>
      </c>
      <c r="AK13" s="14">
        <f t="shared" si="35"/>
        <v>3.5364332356333024</v>
      </c>
      <c r="AL13" s="22">
        <f t="shared" si="4"/>
        <v>23.640221801315761</v>
      </c>
      <c r="AM13" s="62">
        <f t="shared" si="5"/>
        <v>316.97355513464908</v>
      </c>
      <c r="AN13" s="62">
        <f ca="1">AVERAGE(OFFSET($AM$3,0,0,'Données projet'!$E$10+1,1))-AVERAGE(OFFSET($H$3,0,0,'Données projet'!$E$10+1,1))</f>
        <v>235.92135862353973</v>
      </c>
      <c r="AO13" s="62">
        <f t="shared" si="36"/>
        <v>270.64539221029258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</v>
      </c>
      <c r="N14" s="14">
        <f>IF('Données projet'!$A$36&gt;35,N13+M14-V13,IF(A14&lt;'Données projet'!$A$36,$K$205^A14,IF(A14='Données projet'!$A$36,'Données projet'!$B$36,N13+M14-V13)))</f>
        <v>69</v>
      </c>
      <c r="O14" s="14">
        <f>N14*VLOOKUP('Données projet'!$B$9,Paramètres!$A$1:$I$89,3,0)*VLOOKUP('Données projet'!$B$9,Paramètres!$A$1:$I$89,5,0)</f>
        <v>62.431199999999997</v>
      </c>
      <c r="P14" s="14">
        <f t="shared" si="33"/>
        <v>17.781524466058684</v>
      </c>
      <c r="Q14" s="22">
        <f t="shared" si="2"/>
        <v>139.70382844505221</v>
      </c>
      <c r="R14" s="62">
        <f t="shared" si="0"/>
        <v>433.03716177838555</v>
      </c>
      <c r="S14" s="62">
        <f ca="1">AVERAGE(OFFSET($R$3,0,0,'Données projet'!$E$9+1,1))-AVERAGE(OFFSET($H$3,0,0,'Données projet'!$E$9+1,1))</f>
        <v>247.05981224668733</v>
      </c>
      <c r="T14" s="62">
        <f t="shared" si="34"/>
        <v>345.23839191022898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13.103696627031438</v>
      </c>
      <c r="AC14" s="24">
        <f t="shared" si="3"/>
        <v>13.103696627031438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6.6</v>
      </c>
      <c r="AI14" s="14">
        <f>IF('Données projet'!$A$62&gt;35,AI13+AH14-AQ13,IF(A14&lt;'Données projet'!$A$62,$AF$205^A14,IF(A14='Données projet'!$A$62,'Données projet'!$B$62,AI13+AH14-AQ13)))</f>
        <v>14.666134454850974</v>
      </c>
      <c r="AJ14" s="14">
        <f>AI14*VLOOKUP('Données projet'!$B$10,Paramètres!$A$1:$I$89,3,0)*VLOOKUP('Données projet'!$B$10,Paramètres!$A$1:$I$89,5,0)</f>
        <v>12.812335059757812</v>
      </c>
      <c r="AK14" s="14">
        <f t="shared" si="35"/>
        <v>4.3878565375042955</v>
      </c>
      <c r="AL14" s="22">
        <f t="shared" si="4"/>
        <v>29.957000365231504</v>
      </c>
      <c r="AM14" s="62">
        <f t="shared" si="5"/>
        <v>323.29033369856484</v>
      </c>
      <c r="AN14" s="62">
        <f ca="1">AVERAGE(OFFSET($AM$3,0,0,'Données projet'!$E$10+1,1))-AVERAGE(OFFSET($H$3,0,0,'Données projet'!$E$10+1,1))</f>
        <v>235.92135862353973</v>
      </c>
      <c r="AO14" s="62">
        <f t="shared" si="36"/>
        <v>270.64539221029258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</v>
      </c>
      <c r="N15" s="14">
        <f>IF('Données projet'!$A$36&gt;35,N14+M15-V14,IF(A15&lt;'Données projet'!$A$36,$K$205^A15,IF(A15='Données projet'!$A$36,'Données projet'!$B$36,N14+M15-V14)))</f>
        <v>80</v>
      </c>
      <c r="O15" s="14">
        <f>N15*VLOOKUP('Données projet'!$B$9,Paramètres!$A$1:$I$89,3,0)*VLOOKUP('Données projet'!$B$9,Paramètres!$A$1:$I$89,5,0)</f>
        <v>72.384</v>
      </c>
      <c r="P15" s="14">
        <f t="shared" si="33"/>
        <v>20.264329923804397</v>
      </c>
      <c r="Q15" s="22">
        <f t="shared" si="2"/>
        <v>161.362507950626</v>
      </c>
      <c r="R15" s="62">
        <f t="shared" si="0"/>
        <v>454.69584128395934</v>
      </c>
      <c r="S15" s="62">
        <f ca="1">AVERAGE(OFFSET($R$3,0,0,'Données projet'!$E$9+1,1))-AVERAGE(OFFSET($H$3,0,0,'Données projet'!$E$9+1,1))</f>
        <v>247.05981224668733</v>
      </c>
      <c r="T15" s="62">
        <f t="shared" si="34"/>
        <v>345.23839191022898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9.2657127435852207</v>
      </c>
      <c r="AC15" s="24">
        <f t="shared" si="3"/>
        <v>9.2657127435852207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6.6</v>
      </c>
      <c r="AI15" s="14">
        <f>IF('Données projet'!$A$62&gt;35,AI14+AH15-AQ14,IF(A15&lt;'Données projet'!$A$62,$AF$205^A15,IF(A15='Données projet'!$A$62,'Données projet'!$B$62,AI14+AH15-AQ14)))</f>
        <v>18.721660210059202</v>
      </c>
      <c r="AJ15" s="14">
        <f>AI15*VLOOKUP('Données projet'!$B$10,Paramètres!$A$1:$I$89,3,0)*VLOOKUP('Données projet'!$B$10,Paramètres!$A$1:$I$89,5,0)</f>
        <v>16.35524235950772</v>
      </c>
      <c r="AK15" s="14">
        <f t="shared" si="35"/>
        <v>5.4442664998513175</v>
      </c>
      <c r="AL15" s="22">
        <f t="shared" si="4"/>
        <v>37.967477930050322</v>
      </c>
      <c r="AM15" s="62">
        <f t="shared" si="5"/>
        <v>331.30081126338365</v>
      </c>
      <c r="AN15" s="62">
        <f ca="1">AVERAGE(OFFSET($AM$3,0,0,'Données projet'!$E$10+1,1))-AVERAGE(OFFSET($H$3,0,0,'Données projet'!$E$10+1,1))</f>
        <v>235.92135862353973</v>
      </c>
      <c r="AO15" s="62">
        <f t="shared" si="36"/>
        <v>270.64539221029258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</v>
      </c>
      <c r="N16" s="14">
        <f>IF('Données projet'!$A$36&gt;35,N15+M16-V15,IF(A16&lt;'Données projet'!$A$36,$K$205^A16,IF(A16='Données projet'!$A$36,'Données projet'!$B$36,N15+M16-V15)))</f>
        <v>91</v>
      </c>
      <c r="O16" s="14">
        <f>N16*VLOOKUP('Données projet'!$B$9,Paramètres!$A$1:$I$89,3,0)*VLOOKUP('Données projet'!$B$9,Paramètres!$A$1:$I$89,5,0)</f>
        <v>82.336799999999997</v>
      </c>
      <c r="P16" s="14">
        <f t="shared" si="33"/>
        <v>22.707582950885364</v>
      </c>
      <c r="Q16" s="22">
        <f t="shared" si="2"/>
        <v>182.95230030612535</v>
      </c>
      <c r="R16" s="62">
        <f t="shared" si="0"/>
        <v>476.28563363945864</v>
      </c>
      <c r="S16" s="62">
        <f ca="1">AVERAGE(OFFSET($R$3,0,0,'Données projet'!$E$9+1,1))-AVERAGE(OFFSET($H$3,0,0,'Données projet'!$E$9+1,1))</f>
        <v>247.05981224668733</v>
      </c>
      <c r="T16" s="62">
        <f t="shared" si="34"/>
        <v>345.23839191022898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6.5518483135157197</v>
      </c>
      <c r="AC16" s="24">
        <f t="shared" si="3"/>
        <v>6.5518483135157197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6.6</v>
      </c>
      <c r="AI16" s="14">
        <f>IF('Données projet'!$A$62&gt;35,AI15+AH16-AQ15,IF(A16&lt;'Données projet'!$A$62,$AF$205^A16,IF(A16='Données projet'!$A$62,'Données projet'!$B$62,AI15+AH16-AQ15)))</f>
        <v>23.89863273788427</v>
      </c>
      <c r="AJ16" s="14">
        <f>AI16*VLOOKUP('Données projet'!$B$10,Paramètres!$A$1:$I$89,3,0)*VLOOKUP('Données projet'!$B$10,Paramètres!$A$1:$I$89,5,0)</f>
        <v>20.8778455598157</v>
      </c>
      <c r="AK16" s="14">
        <f t="shared" si="35"/>
        <v>6.7550152262411558</v>
      </c>
      <c r="AL16" s="22">
        <f t="shared" si="4"/>
        <v>48.127232535715684</v>
      </c>
      <c r="AM16" s="62">
        <f t="shared" si="5"/>
        <v>341.46056586904899</v>
      </c>
      <c r="AN16" s="62">
        <f ca="1">AVERAGE(OFFSET($AM$3,0,0,'Données projet'!$E$10+1,1))-AVERAGE(OFFSET($H$3,0,0,'Données projet'!$E$10+1,1))</f>
        <v>235.92135862353973</v>
      </c>
      <c r="AO16" s="62">
        <f t="shared" si="36"/>
        <v>270.64539221029258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</v>
      </c>
      <c r="N17" s="14">
        <f>IF('Données projet'!$A$36&gt;35,N16+M17-V16,IF(A17&lt;'Données projet'!$A$36,$K$205^A17,IF(A17='Données projet'!$A$36,'Données projet'!$B$36,N16+M17-V16)))</f>
        <v>102</v>
      </c>
      <c r="O17" s="14">
        <f>N17*VLOOKUP('Données projet'!$B$9,Paramètres!$A$1:$I$89,3,0)*VLOOKUP('Données projet'!$B$9,Paramètres!$A$1:$I$89,5,0)</f>
        <v>92.289599999999993</v>
      </c>
      <c r="P17" s="14">
        <f t="shared" si="33"/>
        <v>25.116611431659546</v>
      </c>
      <c r="Q17" s="22">
        <f t="shared" si="2"/>
        <v>204.48248491014036</v>
      </c>
      <c r="R17" s="62">
        <f t="shared" si="0"/>
        <v>497.8158182434737</v>
      </c>
      <c r="S17" s="62">
        <f ca="1">AVERAGE(OFFSET($R$3,0,0,'Données projet'!$E$9+1,1))-AVERAGE(OFFSET($H$3,0,0,'Données projet'!$E$9+1,1))</f>
        <v>247.05981224668733</v>
      </c>
      <c r="T17" s="62">
        <f t="shared" si="34"/>
        <v>345.23839191022898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4.6328563717926103</v>
      </c>
      <c r="AC17" s="24">
        <f t="shared" si="3"/>
        <v>4.6328563717926103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6.6</v>
      </c>
      <c r="AI17" s="14">
        <f>IF('Données projet'!$A$62&gt;35,AI16+AH17-AQ16,IF(A17&lt;'Données projet'!$A$62,$AF$205^A17,IF(A17='Données projet'!$A$62,'Données projet'!$B$62,AI16+AH17-AQ16)))</f>
        <v>30.50715803683886</v>
      </c>
      <c r="AJ17" s="14">
        <f>AI17*VLOOKUP('Données projet'!$B$10,Paramètres!$A$1:$I$89,3,0)*VLOOKUP('Données projet'!$B$10,Paramètres!$A$1:$I$89,5,0)</f>
        <v>26.651053260982433</v>
      </c>
      <c r="AK17" s="14">
        <f t="shared" si="35"/>
        <v>8.3813367159737684</v>
      </c>
      <c r="AL17" s="22">
        <f t="shared" si="4"/>
        <v>61.014745876532061</v>
      </c>
      <c r="AM17" s="62">
        <f t="shared" si="5"/>
        <v>354.34807920986538</v>
      </c>
      <c r="AN17" s="62">
        <f ca="1">AVERAGE(OFFSET($AM$3,0,0,'Données projet'!$E$10+1,1))-AVERAGE(OFFSET($H$3,0,0,'Données projet'!$E$10+1,1))</f>
        <v>235.92135862353973</v>
      </c>
      <c r="AO17" s="62">
        <f t="shared" si="36"/>
        <v>270.64539221029258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113</v>
      </c>
      <c r="L18" s="13">
        <f>VLOOKUP(A18,'Données projet'!$A$35:$I$55,9,0)</f>
        <v>11</v>
      </c>
      <c r="M18" s="13">
        <f t="array" ref="M18">INDEX(L:L,MIN(IF(ISNUMBER(L18:L214),ROW(L18:L214),"")))</f>
        <v>11</v>
      </c>
      <c r="N18" s="14">
        <f>IF('Données projet'!$A$36&gt;35,N17+M18-V17,IF(A18&lt;'Données projet'!$A$36,$K$205^A18,IF(A18='Données projet'!$A$36,'Données projet'!$B$36,N17+M18-V17)))</f>
        <v>113</v>
      </c>
      <c r="O18" s="14">
        <f>N18*VLOOKUP('Données projet'!$B$9,Paramètres!$A$1:$I$89,3,0)*VLOOKUP('Données projet'!$B$9,Paramètres!$A$1:$I$89,5,0)</f>
        <v>102.24239999999999</v>
      </c>
      <c r="P18" s="14">
        <f t="shared" si="33"/>
        <v>27.495526976991481</v>
      </c>
      <c r="Q18" s="22">
        <f t="shared" si="2"/>
        <v>225.96022281826015</v>
      </c>
      <c r="R18" s="62">
        <f t="shared" si="0"/>
        <v>519.29355615159352</v>
      </c>
      <c r="S18" s="62">
        <f ca="1">AVERAGE(OFFSET($R$3,0,0,'Données projet'!$E$9+1,1))-AVERAGE(OFFSET($H$3,0,0,'Données projet'!$E$9+1,1))</f>
        <v>247.05981224668733</v>
      </c>
      <c r="T18" s="62">
        <f t="shared" si="34"/>
        <v>345.23839191022898</v>
      </c>
      <c r="U18" s="16">
        <f>IF(ISNA(VLOOKUP(A18,'Données projet'!$A$35:$I$55,3,0)),0,VLOOKUP(A18,'Données projet'!$A$35:$I$55,3,0))</f>
        <v>3</v>
      </c>
      <c r="V18" s="16">
        <f>IF(ISNA(VLOOKUP(A18,'Données projet'!$A$35:$I$55,4,0)),0,VLOOKUP(A18,'Données projet'!$A$35:$I$55,4,0))</f>
        <v>17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1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17.788877746452094</v>
      </c>
      <c r="AC18" s="24">
        <f t="shared" si="3"/>
        <v>17.788877746452094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6.6</v>
      </c>
      <c r="AI18" s="14">
        <f>IF('Données projet'!$A$62&gt;35,AI17+AH18-AQ17,IF(A18&lt;'Données projet'!$A$62,$AF$205^A18,IF(A18='Données projet'!$A$62,'Données projet'!$B$62,AI17+AH18-AQ17)))</f>
        <v>38.943093594192561</v>
      </c>
      <c r="AJ18" s="14">
        <f>AI18*VLOOKUP('Données projet'!$B$10,Paramètres!$A$1:$I$89,3,0)*VLOOKUP('Données projet'!$B$10,Paramètres!$A$1:$I$89,5,0)</f>
        <v>34.02068656388662</v>
      </c>
      <c r="AK18" s="14">
        <f t="shared" si="35"/>
        <v>10.399207521197393</v>
      </c>
      <c r="AL18" s="22">
        <f t="shared" si="4"/>
        <v>77.364648864854644</v>
      </c>
      <c r="AM18" s="62">
        <f t="shared" si="5"/>
        <v>370.69798219818796</v>
      </c>
      <c r="AN18" s="62">
        <f ca="1">AVERAGE(OFFSET($AM$3,0,0,'Données projet'!$E$10+1,1))-AVERAGE(OFFSET($H$3,0,0,'Données projet'!$E$10+1,1))</f>
        <v>235.92135862353973</v>
      </c>
      <c r="AO18" s="62">
        <f t="shared" si="36"/>
        <v>270.64539221029258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9.8000000000000007</v>
      </c>
      <c r="N19" s="14">
        <f>IF('Données projet'!$A$36&gt;35,N18+M19-V18,IF(A19&lt;'Données projet'!$A$36,$K$205^A19,IF(A19='Données projet'!$A$36,'Données projet'!$B$36,N18+M19-V18)))</f>
        <v>105.8</v>
      </c>
      <c r="O19" s="14">
        <f>N19*VLOOKUP('Données projet'!$B$9,Paramètres!$A$1:$I$89,3,0)*VLOOKUP('Données projet'!$B$9,Paramètres!$A$1:$I$89,5,0)</f>
        <v>95.72784</v>
      </c>
      <c r="P19" s="14">
        <f t="shared" si="33"/>
        <v>25.941642560384413</v>
      </c>
      <c r="Q19" s="22">
        <f t="shared" si="2"/>
        <v>211.90768212600287</v>
      </c>
      <c r="R19" s="62">
        <f t="shared" si="0"/>
        <v>505.24101545933615</v>
      </c>
      <c r="S19" s="62">
        <f ca="1">AVERAGE(OFFSET($R$3,0,0,'Données projet'!$E$9+1,1))-AVERAGE(OFFSET($H$3,0,0,'Données projet'!$E$9+1,1))</f>
        <v>247.05981224668733</v>
      </c>
      <c r="T19" s="62">
        <f t="shared" si="34"/>
        <v>345.23839191022898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12.578636084214747</v>
      </c>
      <c r="AC19" s="24">
        <f t="shared" si="3"/>
        <v>12.578636084214747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6.6</v>
      </c>
      <c r="AI19" s="14">
        <f>IF('Données projet'!$A$62&gt;35,AI18+AH19-AQ18,IF(A19&lt;'Données projet'!$A$62,$AF$205^A19,IF(A19='Données projet'!$A$62,'Données projet'!$B$62,AI18+AH19-AQ18)))</f>
        <v>49.711760658095955</v>
      </c>
      <c r="AJ19" s="14">
        <f>AI19*VLOOKUP('Données projet'!$B$10,Paramètres!$A$1:$I$89,3,0)*VLOOKUP('Données projet'!$B$10,Paramètres!$A$1:$I$89,5,0)</f>
        <v>43.428194110912635</v>
      </c>
      <c r="AK19" s="14">
        <f t="shared" si="35"/>
        <v>12.902896129065022</v>
      </c>
      <c r="AL19" s="22">
        <f t="shared" si="4"/>
        <v>98.109982167961064</v>
      </c>
      <c r="AM19" s="62">
        <f t="shared" si="5"/>
        <v>391.44331550129436</v>
      </c>
      <c r="AN19" s="62">
        <f ca="1">AVERAGE(OFFSET($AM$3,0,0,'Données projet'!$E$10+1,1))-AVERAGE(OFFSET($H$3,0,0,'Données projet'!$E$10+1,1))</f>
        <v>235.92135862353973</v>
      </c>
      <c r="AO19" s="62">
        <f t="shared" si="36"/>
        <v>270.64539221029258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9.8000000000000007</v>
      </c>
      <c r="N20" s="14">
        <f>IF('Données projet'!$A$36&gt;35,N19+M20-V19,IF(A20&lt;'Données projet'!$A$36,$K$205^A20,IF(A20='Données projet'!$A$36,'Données projet'!$B$36,N19+M20-V19)))</f>
        <v>115.6</v>
      </c>
      <c r="O20" s="14">
        <f>N20*VLOOKUP('Données projet'!$B$9,Paramètres!$A$1:$I$89,3,0)*VLOOKUP('Données projet'!$B$9,Paramètres!$A$1:$I$89,5,0)</f>
        <v>104.59487999999999</v>
      </c>
      <c r="P20" s="14">
        <f t="shared" si="33"/>
        <v>28.053785838854211</v>
      </c>
      <c r="Q20" s="22">
        <f t="shared" si="2"/>
        <v>231.02975966933766</v>
      </c>
      <c r="R20" s="62">
        <f t="shared" si="0"/>
        <v>524.36309300267101</v>
      </c>
      <c r="S20" s="62">
        <f ca="1">AVERAGE(OFFSET($R$3,0,0,'Données projet'!$E$9+1,1))-AVERAGE(OFFSET($H$3,0,0,'Données projet'!$E$9+1,1))</f>
        <v>247.05981224668733</v>
      </c>
      <c r="T20" s="62">
        <f t="shared" si="34"/>
        <v>345.23839191022898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8.8944388732260489</v>
      </c>
      <c r="AC20" s="24">
        <f t="shared" si="3"/>
        <v>8.8944388732260489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6.6</v>
      </c>
      <c r="AI20" s="14">
        <f>IF('Données projet'!$A$62&gt;35,AI19+AH20-AQ19,IF(A20&lt;'Données projet'!$A$62,$AF$205^A20,IF(A20='Données projet'!$A$62,'Données projet'!$B$62,AI19+AH20-AQ19)))</f>
        <v>63.458213501978861</v>
      </c>
      <c r="AJ20" s="14">
        <f>AI20*VLOOKUP('Données projet'!$B$10,Paramètres!$A$1:$I$89,3,0)*VLOOKUP('Données projet'!$B$10,Paramètres!$A$1:$I$89,5,0)</f>
        <v>55.437095315328747</v>
      </c>
      <c r="AK20" s="14">
        <f t="shared" si="35"/>
        <v>16.009366884744278</v>
      </c>
      <c r="AL20" s="22">
        <f t="shared" si="4"/>
        <v>124.4359216651272</v>
      </c>
      <c r="AM20" s="62">
        <f t="shared" si="5"/>
        <v>417.7692549984605</v>
      </c>
      <c r="AN20" s="62">
        <f ca="1">AVERAGE(OFFSET($AM$3,0,0,'Données projet'!$E$10+1,1))-AVERAGE(OFFSET($H$3,0,0,'Données projet'!$E$10+1,1))</f>
        <v>235.92135862353973</v>
      </c>
      <c r="AO20" s="62">
        <f t="shared" si="36"/>
        <v>270.64539221029258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9.8000000000000007</v>
      </c>
      <c r="N21" s="14">
        <f>IF('Données projet'!$A$36&gt;35,N20+M21-V20,IF(A21&lt;'Données projet'!$A$36,$K$205^A21,IF(A21='Données projet'!$A$36,'Données projet'!$B$36,N20+M21-V20)))</f>
        <v>125.39999999999999</v>
      </c>
      <c r="O21" s="14">
        <f>N21*VLOOKUP('Données projet'!$B$9,Paramètres!$A$1:$I$89,3,0)*VLOOKUP('Données projet'!$B$9,Paramètres!$A$1:$I$89,5,0)</f>
        <v>113.46191999999998</v>
      </c>
      <c r="P21" s="14">
        <f t="shared" si="33"/>
        <v>30.145163126535493</v>
      </c>
      <c r="Q21" s="22">
        <f t="shared" si="2"/>
        <v>250.11566977871595</v>
      </c>
      <c r="R21" s="62">
        <f t="shared" si="0"/>
        <v>543.44900311204924</v>
      </c>
      <c r="S21" s="62">
        <f ca="1">AVERAGE(OFFSET($R$3,0,0,'Données projet'!$E$9+1,1))-AVERAGE(OFFSET($H$3,0,0,'Données projet'!$E$9+1,1))</f>
        <v>247.05981224668733</v>
      </c>
      <c r="T21" s="62">
        <f t="shared" si="34"/>
        <v>345.23839191022898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6.2893180421073742</v>
      </c>
      <c r="AC21" s="24">
        <f t="shared" si="3"/>
        <v>6.2893180421073742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6.6</v>
      </c>
      <c r="AI21" s="14">
        <f>IF('Données projet'!$A$62&gt;35,AI20+AH21-AQ20,IF(A21&lt;'Données projet'!$A$62,$AF$205^A21,IF(A21='Données projet'!$A$62,'Données projet'!$B$62,AI20+AH21-AQ20)))</f>
        <v>81.005878841406769</v>
      </c>
      <c r="AJ21" s="14">
        <f>AI21*VLOOKUP('Données projet'!$B$10,Paramètres!$A$1:$I$89,3,0)*VLOOKUP('Données projet'!$B$10,Paramètres!$A$1:$I$89,5,0)</f>
        <v>70.766735755852963</v>
      </c>
      <c r="AK21" s="14">
        <f t="shared" si="35"/>
        <v>19.863744192515547</v>
      </c>
      <c r="AL21" s="22">
        <f t="shared" si="4"/>
        <v>157.84808591007513</v>
      </c>
      <c r="AM21" s="62">
        <f t="shared" si="5"/>
        <v>451.18141924340841</v>
      </c>
      <c r="AN21" s="62">
        <f ca="1">AVERAGE(OFFSET($AM$3,0,0,'Données projet'!$E$10+1,1))-AVERAGE(OFFSET($H$3,0,0,'Données projet'!$E$10+1,1))</f>
        <v>235.92135862353973</v>
      </c>
      <c r="AO21" s="62">
        <f t="shared" si="36"/>
        <v>270.64539221029258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9.8000000000000007</v>
      </c>
      <c r="N22" s="14">
        <f>IF('Données projet'!$A$36&gt;35,N21+M22-V21,IF(A22&lt;'Données projet'!$A$36,$K$205^A22,IF(A22='Données projet'!$A$36,'Données projet'!$B$36,N21+M22-V21)))</f>
        <v>135.19999999999999</v>
      </c>
      <c r="O22" s="14">
        <f>N22*VLOOKUP('Données projet'!$B$9,Paramètres!$A$1:$I$89,3,0)*VLOOKUP('Données projet'!$B$9,Paramètres!$A$1:$I$89,5,0)</f>
        <v>122.32895999999998</v>
      </c>
      <c r="P22" s="14">
        <f t="shared" si="33"/>
        <v>32.217581794883031</v>
      </c>
      <c r="Q22" s="22">
        <f t="shared" si="2"/>
        <v>269.16856029275453</v>
      </c>
      <c r="R22" s="62">
        <f t="shared" si="0"/>
        <v>562.50189362608785</v>
      </c>
      <c r="S22" s="62">
        <f ca="1">AVERAGE(OFFSET($R$3,0,0,'Données projet'!$E$9+1,1))-AVERAGE(OFFSET($H$3,0,0,'Données projet'!$E$9+1,1))</f>
        <v>247.05981224668733</v>
      </c>
      <c r="T22" s="62">
        <f t="shared" si="34"/>
        <v>345.23839191022898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4.4472194366130244</v>
      </c>
      <c r="AC22" s="24">
        <f t="shared" si="3"/>
        <v>4.4472194366130244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6.6</v>
      </c>
      <c r="AI22" s="14">
        <f>IF('Données projet'!$A$62&gt;35,AI21+AH22-AQ21,IF(A22&lt;'Données projet'!$A$62,$AF$205^A22,IF(A22='Données projet'!$A$62,'Données projet'!$B$62,AI21+AH22-AQ21)))</f>
        <v>103.40587994435182</v>
      </c>
      <c r="AJ22" s="14">
        <f>AI22*VLOOKUP('Données projet'!$B$10,Paramètres!$A$1:$I$89,3,0)*VLOOKUP('Données projet'!$B$10,Paramètres!$A$1:$I$89,5,0)</f>
        <v>90.335376719385764</v>
      </c>
      <c r="AK22" s="14">
        <f t="shared" si="35"/>
        <v>24.646092265003244</v>
      </c>
      <c r="AL22" s="22">
        <f t="shared" si="4"/>
        <v>200.25939181447754</v>
      </c>
      <c r="AM22" s="62">
        <f t="shared" si="5"/>
        <v>493.59272514781082</v>
      </c>
      <c r="AN22" s="62">
        <f ca="1">AVERAGE(OFFSET($AM$3,0,0,'Données projet'!$E$10+1,1))-AVERAGE(OFFSET($H$3,0,0,'Données projet'!$E$10+1,1))</f>
        <v>235.92135862353973</v>
      </c>
      <c r="AO22" s="62">
        <f t="shared" si="36"/>
        <v>270.64539221029258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145</v>
      </c>
      <c r="L23" s="13">
        <f>VLOOKUP(A23,'Données projet'!$A$35:$I$55,9,0)</f>
        <v>9.8000000000000007</v>
      </c>
      <c r="M23" s="13">
        <f t="array" ref="M23">INDEX(L:L,MIN(IF(ISNUMBER(L23:L219),ROW(L23:L219),"")))</f>
        <v>9.8000000000000007</v>
      </c>
      <c r="N23" s="14">
        <f>IF('Données projet'!$A$36&gt;35,N22+M23-V22,IF(A23&lt;'Données projet'!$A$36,$K$205^A23,IF(A23='Données projet'!$A$36,'Données projet'!$B$36,N22+M23-V22)))</f>
        <v>145</v>
      </c>
      <c r="O23" s="14">
        <f>N23*VLOOKUP('Données projet'!$B$9,Paramètres!$A$1:$I$89,3,0)*VLOOKUP('Données projet'!$B$9,Paramètres!$A$1:$I$89,5,0)</f>
        <v>131.196</v>
      </c>
      <c r="P23" s="14">
        <f t="shared" si="33"/>
        <v>34.272572346624997</v>
      </c>
      <c r="Q23" s="22">
        <f t="shared" si="2"/>
        <v>288.19109683703851</v>
      </c>
      <c r="R23" s="62">
        <f t="shared" si="0"/>
        <v>581.52443017037183</v>
      </c>
      <c r="S23" s="62">
        <f ca="1">AVERAGE(OFFSET($R$3,0,0,'Données projet'!$E$9+1,1))-AVERAGE(OFFSET($H$3,0,0,'Données projet'!$E$9+1,1))</f>
        <v>247.05981224668733</v>
      </c>
      <c r="T23" s="62">
        <f t="shared" si="34"/>
        <v>345.23839191022898</v>
      </c>
      <c r="U23" s="16">
        <f>IF(ISNA(VLOOKUP(A23,'Données projet'!$A$35:$I$55,3,0)),0,VLOOKUP(A23,'Données projet'!$A$35:$I$55,3,0))</f>
        <v>4</v>
      </c>
      <c r="V23" s="16">
        <f>IF(ISNA(VLOOKUP(A23,'Données projet'!$A$35:$I$55,4,0)),0,VLOOKUP(A23,'Données projet'!$A$35:$I$55,4,0))</f>
        <v>14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0.03</v>
      </c>
      <c r="Y23" s="17">
        <f>IF(ISNA(VLOOKUP(A23,'Données projet'!$A$35:$I$55,7,0)),0%,VLOOKUP(A23,'Données projet'!$A$35:$I$55,7,0))</f>
        <v>0.5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0.41844235202750962</v>
      </c>
      <c r="AB23" s="23">
        <f>EXP(-LN(2)/2)*AB22+(1-EXP(-LN(2)/2))/(LN(2)/2)*V23*Y23*VLOOKUP('Données projet'!$B$9,Paramètres!$A$1:$I$89,3,0)*0.475*44/12</f>
        <v>9.1205810873983744</v>
      </c>
      <c r="AC23" s="24">
        <f t="shared" si="3"/>
        <v>9.5390234394258844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132</v>
      </c>
      <c r="AG23" s="13">
        <f>VLOOKUP(A23,'Données projet'!$A$61:$I$81,9,0)</f>
        <v>6.6</v>
      </c>
      <c r="AH23" s="13">
        <f t="array" ref="AH23">INDEX(AG:AG,MIN(IF(ISNUMBER(AG23:AG219),ROW(AG23:AG219),"")))</f>
        <v>6.6</v>
      </c>
      <c r="AI23" s="14">
        <f>IF('Données projet'!$A$62&gt;35,AI22+AH23-AQ22,IF(A23&lt;'Données projet'!$A$62,$AF$205^A23,IF(A23='Données projet'!$A$62,'Données projet'!$B$62,AI22+AH23-AQ22)))</f>
        <v>132</v>
      </c>
      <c r="AJ23" s="14">
        <f>AI23*VLOOKUP('Données projet'!$B$10,Paramètres!$A$1:$I$89,3,0)*VLOOKUP('Données projet'!$B$10,Paramètres!$A$1:$I$89,5,0)</f>
        <v>115.3152</v>
      </c>
      <c r="AK23" s="14">
        <f t="shared" si="35"/>
        <v>30.579827148797317</v>
      </c>
      <c r="AL23" s="22">
        <f t="shared" si="4"/>
        <v>254.10050561748861</v>
      </c>
      <c r="AM23" s="62">
        <f t="shared" si="5"/>
        <v>547.43383895082195</v>
      </c>
      <c r="AN23" s="62">
        <f ca="1">AVERAGE(OFFSET($AM$3,0,0,'Données projet'!$E$10+1,1))-AVERAGE(OFFSET($H$3,0,0,'Données projet'!$E$10+1,1))</f>
        <v>235.92135862353973</v>
      </c>
      <c r="AO23" s="62">
        <f t="shared" si="36"/>
        <v>270.64539221029258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50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4.3000000000000003E-2</v>
      </c>
      <c r="AT23" s="17">
        <f>IF(ISNA(VLOOKUP(A23,'Données projet'!$A$61:$I$81,7,0)),0%,VLOOKUP(A23,'Données projet'!$A$61:$I$81,7,0))</f>
        <v>0.5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2.0681633491014852</v>
      </c>
      <c r="AW23" s="23">
        <f>EXP(-LN(2)/2)*AW22+(1-EXP(-LN(2)/2))/(LN(2)/2)*AQ23*AT23*VLOOKUP('Données projet'!$B$10,Paramètres!$A$1:$I$89,3,0)*0.475*44/12</f>
        <v>20.606627814981682</v>
      </c>
      <c r="AX23" s="23">
        <f t="shared" si="6"/>
        <v>22.674791164083167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8.4</v>
      </c>
      <c r="N24" s="14">
        <f>IF('Données projet'!$A$36&gt;35,N23+M24-V23,IF(A24&lt;'Données projet'!$A$36,$K$205^A24,IF(A24='Données projet'!$A$36,'Données projet'!$B$36,N23+M24-V23)))</f>
        <v>139.4</v>
      </c>
      <c r="O24" s="14">
        <f>N24*VLOOKUP('Données projet'!$B$9,Paramètres!$A$1:$I$89,3,0)*VLOOKUP('Données projet'!$B$9,Paramètres!$A$1:$I$89,5,0)</f>
        <v>126.12912000000001</v>
      </c>
      <c r="P24" s="14">
        <f t="shared" si="33"/>
        <v>33.100345121748241</v>
      </c>
      <c r="Q24" s="22">
        <f t="shared" si="2"/>
        <v>277.32465175371152</v>
      </c>
      <c r="R24" s="62">
        <f t="shared" si="0"/>
        <v>570.65798508704484</v>
      </c>
      <c r="S24" s="62">
        <f ca="1">AVERAGE(OFFSET($R$3,0,0,'Données projet'!$E$9+1,1))-AVERAGE(OFFSET($H$3,0,0,'Données projet'!$E$9+1,1))</f>
        <v>247.05981224668733</v>
      </c>
      <c r="T24" s="62">
        <f t="shared" si="34"/>
        <v>345.23839191022898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0.40700002390639045</v>
      </c>
      <c r="AB24" s="23">
        <f>EXP(-LN(2)/2)*AB23+(1-EXP(-LN(2)/2))/(LN(2)/2)*V24*Y24*VLOOKUP('Données projet'!$B$9,Paramètres!$A$1:$I$89,3,0)*0.475*44/12</f>
        <v>6.4492247352611667</v>
      </c>
      <c r="AC24" s="24">
        <f t="shared" si="3"/>
        <v>6.8562247591675574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12.2</v>
      </c>
      <c r="AI24" s="14">
        <f>IF('Données projet'!$A$62&gt;35,AI23+AH24-AQ23,IF(A24&lt;'Données projet'!$A$62,$AF$205^A24,IF(A24='Données projet'!$A$62,'Données projet'!$B$62,AI23+AH24-AQ23)))</f>
        <v>94.199999999999989</v>
      </c>
      <c r="AJ24" s="14">
        <f>AI24*VLOOKUP('Données projet'!$B$10,Paramètres!$A$1:$I$89,3,0)*VLOOKUP('Données projet'!$B$10,Paramètres!$A$1:$I$89,5,0)</f>
        <v>82.293120000000002</v>
      </c>
      <c r="AK24" s="14">
        <f t="shared" si="35"/>
        <v>22.696938367376966</v>
      </c>
      <c r="AL24" s="22">
        <f t="shared" si="4"/>
        <v>182.85768498984825</v>
      </c>
      <c r="AM24" s="62">
        <f t="shared" si="5"/>
        <v>476.19101832318154</v>
      </c>
      <c r="AN24" s="62">
        <f ca="1">AVERAGE(OFFSET($AM$3,0,0,'Données projet'!$E$10+1,1))-AVERAGE(OFFSET($H$3,0,0,'Données projet'!$E$10+1,1))</f>
        <v>235.92135862353973</v>
      </c>
      <c r="AO24" s="62">
        <f t="shared" si="36"/>
        <v>270.64539221029258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2.0116093135603212</v>
      </c>
      <c r="AW24" s="23">
        <f>EXP(-LN(2)/2)*AW23+(1-EXP(-LN(2)/2))/(LN(2)/2)*AQ24*AT24*VLOOKUP('Données projet'!$B$10,Paramètres!$A$1:$I$89,3,0)*0.475*44/12</f>
        <v>14.571086265360877</v>
      </c>
      <c r="AX24" s="23">
        <f t="shared" si="6"/>
        <v>16.5826955789212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8.4</v>
      </c>
      <c r="N25" s="14">
        <f>IF('Données projet'!$A$36&gt;35,N24+M25-V24,IF(A25&lt;'Données projet'!$A$36,$K$205^A25,IF(A25='Données projet'!$A$36,'Données projet'!$B$36,N24+M25-V24)))</f>
        <v>147.80000000000001</v>
      </c>
      <c r="O25" s="14">
        <f>N25*VLOOKUP('Données projet'!$B$9,Paramètres!$A$1:$I$89,3,0)*VLOOKUP('Données projet'!$B$9,Paramètres!$A$1:$I$89,5,0)</f>
        <v>133.72944000000001</v>
      </c>
      <c r="P25" s="14">
        <f t="shared" si="33"/>
        <v>34.856699711744326</v>
      </c>
      <c r="Q25" s="22">
        <f t="shared" si="2"/>
        <v>293.62085999795471</v>
      </c>
      <c r="R25" s="62">
        <f t="shared" si="0"/>
        <v>586.95419333128802</v>
      </c>
      <c r="S25" s="62">
        <f ca="1">AVERAGE(OFFSET($R$3,0,0,'Données projet'!$E$9+1,1))-AVERAGE(OFFSET($H$3,0,0,'Données projet'!$E$9+1,1))</f>
        <v>247.05981224668733</v>
      </c>
      <c r="T25" s="62">
        <f t="shared" si="34"/>
        <v>345.23839191022898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0.39587058684946919</v>
      </c>
      <c r="AB25" s="23">
        <f>EXP(-LN(2)/2)*AB24+(1-EXP(-LN(2)/2))/(LN(2)/2)*V25*Y25*VLOOKUP('Données projet'!$B$9,Paramètres!$A$1:$I$89,3,0)*0.475*44/12</f>
        <v>4.5602905436991881</v>
      </c>
      <c r="AC25" s="24">
        <f t="shared" si="3"/>
        <v>4.956161130548657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12.2</v>
      </c>
      <c r="AI25" s="14">
        <f>IF('Données projet'!$A$62&gt;35,AI24+AH25-AQ24,IF(A25&lt;'Données projet'!$A$62,$AF$205^A25,IF(A25='Données projet'!$A$62,'Données projet'!$B$62,AI24+AH25-AQ24)))</f>
        <v>106.39999999999999</v>
      </c>
      <c r="AJ25" s="14">
        <f>AI25*VLOOKUP('Données projet'!$B$10,Paramètres!$A$1:$I$89,3,0)*VLOOKUP('Données projet'!$B$10,Paramètres!$A$1:$I$89,5,0)</f>
        <v>92.951040000000006</v>
      </c>
      <c r="AK25" s="14">
        <f t="shared" si="35"/>
        <v>25.275602869272223</v>
      </c>
      <c r="AL25" s="22">
        <f t="shared" si="4"/>
        <v>205.9114029973158</v>
      </c>
      <c r="AM25" s="62">
        <f t="shared" si="5"/>
        <v>499.24473633064912</v>
      </c>
      <c r="AN25" s="62">
        <f ca="1">AVERAGE(OFFSET($AM$3,0,0,'Données projet'!$E$10+1,1))-AVERAGE(OFFSET($H$3,0,0,'Données projet'!$E$10+1,1))</f>
        <v>235.92135862353973</v>
      </c>
      <c r="AO25" s="62">
        <f t="shared" si="36"/>
        <v>270.64539221029258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1.9566017510950779</v>
      </c>
      <c r="AW25" s="23">
        <f>EXP(-LN(2)/2)*AW24+(1-EXP(-LN(2)/2))/(LN(2)/2)*AQ25*AT25*VLOOKUP('Données projet'!$B$10,Paramètres!$A$1:$I$89,3,0)*0.475*44/12</f>
        <v>10.303313907490843</v>
      </c>
      <c r="AX25" s="23">
        <f t="shared" si="6"/>
        <v>12.259915658585921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8.4</v>
      </c>
      <c r="N26" s="14">
        <f>IF('Données projet'!$A$36&gt;35,N25+M26-V25,IF(A26&lt;'Données projet'!$A$36,$K$205^A26,IF(A26='Données projet'!$A$36,'Données projet'!$B$36,N25+M26-V25)))</f>
        <v>156.20000000000002</v>
      </c>
      <c r="O26" s="14">
        <f>N26*VLOOKUP('Données projet'!$B$9,Paramètres!$A$1:$I$89,3,0)*VLOOKUP('Données projet'!$B$9,Paramètres!$A$1:$I$89,5,0)</f>
        <v>141.32976000000002</v>
      </c>
      <c r="P26" s="14">
        <f t="shared" si="33"/>
        <v>36.601467030988793</v>
      </c>
      <c r="Q26" s="22">
        <f t="shared" si="2"/>
        <v>309.89688707897216</v>
      </c>
      <c r="R26" s="62">
        <f t="shared" si="0"/>
        <v>603.23022041230547</v>
      </c>
      <c r="S26" s="62">
        <f ca="1">AVERAGE(OFFSET($R$3,0,0,'Données projet'!$E$9+1,1))-AVERAGE(OFFSET($H$3,0,0,'Données projet'!$E$9+1,1))</f>
        <v>247.05981224668733</v>
      </c>
      <c r="T26" s="62">
        <f t="shared" si="34"/>
        <v>345.23839191022898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0.38504548483414108</v>
      </c>
      <c r="AB26" s="23">
        <f>EXP(-LN(2)/2)*AB25+(1-EXP(-LN(2)/2))/(LN(2)/2)*V26*Y26*VLOOKUP('Données projet'!$B$9,Paramètres!$A$1:$I$89,3,0)*0.475*44/12</f>
        <v>3.2246123676305838</v>
      </c>
      <c r="AC26" s="24">
        <f t="shared" si="3"/>
        <v>3.6096578524647249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12.2</v>
      </c>
      <c r="AI26" s="14">
        <f>IF('Données projet'!$A$62&gt;35,AI25+AH26-AQ25,IF(A26&lt;'Données projet'!$A$62,$AF$205^A26,IF(A26='Données projet'!$A$62,'Données projet'!$B$62,AI25+AH26-AQ25)))</f>
        <v>118.6</v>
      </c>
      <c r="AJ26" s="14">
        <f>AI26*VLOOKUP('Données projet'!$B$10,Paramètres!$A$1:$I$89,3,0)*VLOOKUP('Données projet'!$B$10,Paramètres!$A$1:$I$89,5,0)</f>
        <v>103.60896</v>
      </c>
      <c r="AK26" s="14">
        <f t="shared" si="35"/>
        <v>27.820000397643376</v>
      </c>
      <c r="AL26" s="22">
        <f t="shared" si="4"/>
        <v>228.90543935922889</v>
      </c>
      <c r="AM26" s="62">
        <f t="shared" si="5"/>
        <v>522.23877269256218</v>
      </c>
      <c r="AN26" s="62">
        <f ca="1">AVERAGE(OFFSET($AM$3,0,0,'Données projet'!$E$10+1,1))-AVERAGE(OFFSET($H$3,0,0,'Données projet'!$E$10+1,1))</f>
        <v>235.92135862353973</v>
      </c>
      <c r="AO26" s="62">
        <f t="shared" si="36"/>
        <v>270.64539221029258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1.9030983733181688</v>
      </c>
      <c r="AW26" s="23">
        <f>EXP(-LN(2)/2)*AW25+(1-EXP(-LN(2)/2))/(LN(2)/2)*AQ26*AT26*VLOOKUP('Données projet'!$B$10,Paramètres!$A$1:$I$89,3,0)*0.475*44/12</f>
        <v>7.2855431326804396</v>
      </c>
      <c r="AX26" s="23">
        <f t="shared" si="6"/>
        <v>9.1886415059986088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8.4</v>
      </c>
      <c r="N27" s="14">
        <f>IF('Données projet'!$A$36&gt;35,N26+M27-V26,IF(A27&lt;'Données projet'!$A$36,$K$205^A27,IF(A27='Données projet'!$A$36,'Données projet'!$B$36,N26+M27-V26)))</f>
        <v>164.60000000000002</v>
      </c>
      <c r="O27" s="14">
        <f>N27*VLOOKUP('Données projet'!$B$9,Paramètres!$A$1:$I$89,3,0)*VLOOKUP('Données projet'!$B$9,Paramètres!$A$1:$I$89,5,0)</f>
        <v>148.93008</v>
      </c>
      <c r="P27" s="14">
        <f t="shared" si="33"/>
        <v>38.335341256889777</v>
      </c>
      <c r="Q27" s="22">
        <f t="shared" si="2"/>
        <v>326.1539420224164</v>
      </c>
      <c r="R27" s="62">
        <f t="shared" si="0"/>
        <v>619.48727535574972</v>
      </c>
      <c r="S27" s="62">
        <f ca="1">AVERAGE(OFFSET($R$3,0,0,'Données projet'!$E$9+1,1))-AVERAGE(OFFSET($H$3,0,0,'Données projet'!$E$9+1,1))</f>
        <v>247.05981224668733</v>
      </c>
      <c r="T27" s="62">
        <f t="shared" si="34"/>
        <v>345.23839191022898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0.37451639580268947</v>
      </c>
      <c r="AB27" s="23">
        <f>EXP(-LN(2)/2)*AB26+(1-EXP(-LN(2)/2))/(LN(2)/2)*V27*Y27*VLOOKUP('Données projet'!$B$9,Paramètres!$A$1:$I$89,3,0)*0.475*44/12</f>
        <v>2.2801452718495945</v>
      </c>
      <c r="AC27" s="24">
        <f t="shared" si="3"/>
        <v>2.6546616676522841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12.2</v>
      </c>
      <c r="AI27" s="14">
        <f>IF('Données projet'!$A$62&gt;35,AI26+AH27-AQ26,IF(A27&lt;'Données projet'!$A$62,$AF$205^A27,IF(A27='Données projet'!$A$62,'Données projet'!$B$62,AI26+AH27-AQ26)))</f>
        <v>130.79999999999998</v>
      </c>
      <c r="AJ27" s="14">
        <f>AI27*VLOOKUP('Données projet'!$B$10,Paramètres!$A$1:$I$89,3,0)*VLOOKUP('Données projet'!$B$10,Paramètres!$A$1:$I$89,5,0)</f>
        <v>114.26687999999999</v>
      </c>
      <c r="AK27" s="14">
        <f t="shared" si="35"/>
        <v>30.334057329879929</v>
      </c>
      <c r="AL27" s="22">
        <f t="shared" si="4"/>
        <v>251.84663251620748</v>
      </c>
      <c r="AM27" s="62">
        <f t="shared" si="5"/>
        <v>545.17996584954085</v>
      </c>
      <c r="AN27" s="62">
        <f ca="1">AVERAGE(OFFSET($AM$3,0,0,'Données projet'!$E$10+1,1))-AVERAGE(OFFSET($H$3,0,0,'Données projet'!$E$10+1,1))</f>
        <v>235.92135862353973</v>
      </c>
      <c r="AO27" s="62">
        <f t="shared" si="36"/>
        <v>270.64539221029258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1.8510580482201895</v>
      </c>
      <c r="AW27" s="23">
        <f>EXP(-LN(2)/2)*AW26+(1-EXP(-LN(2)/2))/(LN(2)/2)*AQ27*AT27*VLOOKUP('Données projet'!$B$10,Paramètres!$A$1:$I$89,3,0)*0.475*44/12</f>
        <v>5.1516569537454222</v>
      </c>
      <c r="AX27" s="23">
        <f t="shared" si="6"/>
        <v>7.0027150019656119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173</v>
      </c>
      <c r="L28" s="13">
        <f>VLOOKUP(A28,'Données projet'!$A$35:$I$55,9,0)</f>
        <v>8.4</v>
      </c>
      <c r="M28" s="13">
        <f t="array" ref="M28">INDEX(L:L,MIN(IF(ISNUMBER(L28:L224),ROW(L28:L224),"")))</f>
        <v>8.4</v>
      </c>
      <c r="N28" s="14">
        <f>IF('Données projet'!$A$36&gt;35,N27+M28-V27,IF(A28&lt;'Données projet'!$A$36,$K$205^A28,IF(A28='Données projet'!$A$36,'Données projet'!$B$36,N27+M28-V27)))</f>
        <v>173.00000000000003</v>
      </c>
      <c r="O28" s="14">
        <f>N28*VLOOKUP('Données projet'!$B$9,Paramètres!$A$1:$I$89,3,0)*VLOOKUP('Données projet'!$B$9,Paramètres!$A$1:$I$89,5,0)</f>
        <v>156.53040000000001</v>
      </c>
      <c r="P28" s="14">
        <f t="shared" si="33"/>
        <v>40.058941713182037</v>
      </c>
      <c r="Q28" s="22">
        <f t="shared" si="2"/>
        <v>342.39310348379212</v>
      </c>
      <c r="R28" s="62">
        <f t="shared" si="0"/>
        <v>635.72643681712543</v>
      </c>
      <c r="S28" s="62">
        <f ca="1">AVERAGE(OFFSET($R$3,0,0,'Données projet'!$E$9+1,1))-AVERAGE(OFFSET($H$3,0,0,'Données projet'!$E$9+1,1))</f>
        <v>247.05981224668733</v>
      </c>
      <c r="T28" s="62">
        <f t="shared" si="34"/>
        <v>345.23839191022898</v>
      </c>
      <c r="U28" s="16">
        <f>IF(ISNA(VLOOKUP(A28,'Données projet'!$A$35:$I$55,3,0)),0,VLOOKUP(A28,'Données projet'!$A$35:$I$55,3,0))</f>
        <v>5</v>
      </c>
      <c r="V28" s="16">
        <f>IF(ISNA(VLOOKUP(A28,'Données projet'!$A$35:$I$55,4,0)),0,VLOOKUP(A28,'Données projet'!$A$35:$I$55,4,0))</f>
        <v>11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0.03</v>
      </c>
      <c r="Y28" s="17">
        <f>IF(ISNA(VLOOKUP(A28,'Données projet'!$A$35:$I$55,7,0)),0%,VLOOKUP(A28,'Données projet'!$A$35:$I$55,7,0))</f>
        <v>0.5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0.69305135900040415</v>
      </c>
      <c r="AB28" s="23">
        <f>EXP(-LN(2)/2)*AB27+(1-EXP(-LN(2)/2))/(LN(2)/2)*V28*Y28*VLOOKUP('Données projet'!$B$9,Paramètres!$A$1:$I$89,3,0)*0.475*44/12</f>
        <v>6.3076735216575459</v>
      </c>
      <c r="AC28" s="24">
        <f t="shared" si="3"/>
        <v>7.0007248806579501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143</v>
      </c>
      <c r="AG28" s="13">
        <f>VLOOKUP(A28,'Données projet'!$A$61:$I$81,9,0)</f>
        <v>12.2</v>
      </c>
      <c r="AH28" s="13">
        <f t="array" ref="AH28">INDEX(AG:AG,MIN(IF(ISNUMBER(AG28:AG224),ROW(AG28:AG224),"")))</f>
        <v>12.2</v>
      </c>
      <c r="AI28" s="14">
        <f>IF('Données projet'!$A$62&gt;35,AI27+AH28-AQ27,IF(A28&lt;'Données projet'!$A$62,$AF$205^A28,IF(A28='Données projet'!$A$62,'Données projet'!$B$62,AI27+AH28-AQ27)))</f>
        <v>142.99999999999997</v>
      </c>
      <c r="AJ28" s="14">
        <f>AI28*VLOOKUP('Données projet'!$B$10,Paramètres!$A$1:$I$89,3,0)*VLOOKUP('Données projet'!$B$10,Paramètres!$A$1:$I$89,5,0)</f>
        <v>124.9248</v>
      </c>
      <c r="AK28" s="14">
        <f t="shared" si="35"/>
        <v>32.820925500842712</v>
      </c>
      <c r="AL28" s="22">
        <f t="shared" si="4"/>
        <v>274.74047191396772</v>
      </c>
      <c r="AM28" s="62">
        <f t="shared" si="5"/>
        <v>568.07380524730104</v>
      </c>
      <c r="AN28" s="62">
        <f ca="1">AVERAGE(OFFSET($AM$3,0,0,'Données projet'!$E$10+1,1))-AVERAGE(OFFSET($H$3,0,0,'Données projet'!$E$10+1,1))</f>
        <v>235.92135862353973</v>
      </c>
      <c r="AO28" s="62">
        <f t="shared" si="36"/>
        <v>270.64539221029258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37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4.3000000000000003E-2</v>
      </c>
      <c r="AT28" s="17">
        <f>IF(ISNA(VLOOKUP(A28,'Données projet'!$A$61:$I$81,7,0)),0%,VLOOKUP(A28,'Données projet'!$A$61:$I$81,7,0))</f>
        <v>0.5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3.3308816468837952</v>
      </c>
      <c r="AW28" s="23">
        <f>EXP(-LN(2)/2)*AW27+(1-EXP(-LN(2)/2))/(LN(2)/2)*AQ28*AT28*VLOOKUP('Données projet'!$B$10,Paramètres!$A$1:$I$89,3,0)*0.475*44/12</f>
        <v>18.891676149426665</v>
      </c>
      <c r="AX28" s="23">
        <f t="shared" si="6"/>
        <v>22.222557796310461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6.8</v>
      </c>
      <c r="N29" s="14">
        <f>IF('Données projet'!$A$36&gt;35,N28+M29-V28,IF(A29&lt;'Données projet'!$A$36,$K$205^A29,IF(A29='Données projet'!$A$36,'Données projet'!$B$36,N28+M29-V28)))</f>
        <v>168.80000000000004</v>
      </c>
      <c r="O29" s="14">
        <f>N29*VLOOKUP('Données projet'!$B$9,Paramètres!$A$1:$I$89,3,0)*VLOOKUP('Données projet'!$B$9,Paramètres!$A$1:$I$89,5,0)</f>
        <v>152.73024000000001</v>
      </c>
      <c r="P29" s="14">
        <f t="shared" si="33"/>
        <v>39.198389597047516</v>
      </c>
      <c r="Q29" s="22">
        <f t="shared" si="2"/>
        <v>334.27569654819109</v>
      </c>
      <c r="R29" s="62">
        <f t="shared" si="0"/>
        <v>627.60902988152441</v>
      </c>
      <c r="S29" s="62">
        <f ca="1">AVERAGE(OFFSET($R$3,0,0,'Données projet'!$E$9+1,1))-AVERAGE(OFFSET($H$3,0,0,'Données projet'!$E$9+1,1))</f>
        <v>247.05981224668733</v>
      </c>
      <c r="T29" s="62">
        <f t="shared" si="34"/>
        <v>345.23839191022898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0.67409983314255117</v>
      </c>
      <c r="AB29" s="23">
        <f>EXP(-LN(2)/2)*AB28+(1-EXP(-LN(2)/2))/(LN(2)/2)*V29*Y29*VLOOKUP('Données projet'!$B$9,Paramètres!$A$1:$I$89,3,0)*0.475*44/12</f>
        <v>4.4601987206748825</v>
      </c>
      <c r="AC29" s="24">
        <f t="shared" si="3"/>
        <v>5.1342985538174339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11.4</v>
      </c>
      <c r="AI29" s="14">
        <f>IF('Données projet'!$A$62&gt;35,AI28+AH29-AQ28,IF(A29&lt;'Données projet'!$A$62,$AF$205^A29,IF(A29='Données projet'!$A$62,'Données projet'!$B$62,AI28+AH29-AQ28)))</f>
        <v>117.39999999999998</v>
      </c>
      <c r="AJ29" s="14">
        <f>AI29*VLOOKUP('Données projet'!$B$10,Paramètres!$A$1:$I$89,3,0)*VLOOKUP('Données projet'!$B$10,Paramètres!$A$1:$I$89,5,0)</f>
        <v>102.56064000000001</v>
      </c>
      <c r="AK29" s="14">
        <f t="shared" si="35"/>
        <v>27.571134131783779</v>
      </c>
      <c r="AL29" s="22">
        <f t="shared" si="4"/>
        <v>226.64617327952342</v>
      </c>
      <c r="AM29" s="62">
        <f t="shared" si="5"/>
        <v>519.97950661285677</v>
      </c>
      <c r="AN29" s="62">
        <f ca="1">AVERAGE(OFFSET($AM$3,0,0,'Données projet'!$E$10+1,1))-AVERAGE(OFFSET($H$3,0,0,'Données projet'!$E$10+1,1))</f>
        <v>235.92135862353973</v>
      </c>
      <c r="AO29" s="62">
        <f t="shared" si="36"/>
        <v>270.64539221029258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3.239798513086305</v>
      </c>
      <c r="AW29" s="23">
        <f>EXP(-LN(2)/2)*AW28+(1-EXP(-LN(2)/2))/(LN(2)/2)*AQ29*AT29*VLOOKUP('Données projet'!$B$10,Paramètres!$A$1:$I$89,3,0)*0.475*44/12</f>
        <v>13.35843231323976</v>
      </c>
      <c r="AX29" s="23">
        <f t="shared" si="6"/>
        <v>16.598230826326066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6.8</v>
      </c>
      <c r="N30" s="14">
        <f>IF('Données projet'!$A$36&gt;35,N29+M30-V29,IF(A30&lt;'Données projet'!$A$36,$K$205^A30,IF(A30='Données projet'!$A$36,'Données projet'!$B$36,N29+M30-V29)))</f>
        <v>175.60000000000005</v>
      </c>
      <c r="O30" s="14">
        <f>N30*VLOOKUP('Données projet'!$B$9,Paramètres!$A$1:$I$89,3,0)*VLOOKUP('Données projet'!$B$9,Paramètres!$A$1:$I$89,5,0)</f>
        <v>158.88288000000006</v>
      </c>
      <c r="P30" s="14">
        <f t="shared" si="33"/>
        <v>40.590443217000178</v>
      </c>
      <c r="Q30" s="22">
        <f t="shared" si="2"/>
        <v>347.41603793627536</v>
      </c>
      <c r="R30" s="62">
        <f t="shared" si="0"/>
        <v>640.74937126960867</v>
      </c>
      <c r="S30" s="62">
        <f ca="1">AVERAGE(OFFSET($R$3,0,0,'Données projet'!$E$9+1,1))-AVERAGE(OFFSET($H$3,0,0,'Données projet'!$E$9+1,1))</f>
        <v>247.05981224668733</v>
      </c>
      <c r="T30" s="62">
        <f t="shared" si="34"/>
        <v>345.23839191022898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0.65566653775589856</v>
      </c>
      <c r="AB30" s="23">
        <f>EXP(-LN(2)/2)*AB29+(1-EXP(-LN(2)/2))/(LN(2)/2)*V30*Y30*VLOOKUP('Données projet'!$B$9,Paramètres!$A$1:$I$89,3,0)*0.475*44/12</f>
        <v>3.1538367608287734</v>
      </c>
      <c r="AC30" s="24">
        <f t="shared" si="3"/>
        <v>3.809503298584672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11.4</v>
      </c>
      <c r="AI30" s="14">
        <f>IF('Données projet'!$A$62&gt;35,AI29+AH30-AQ29,IF(A30&lt;'Données projet'!$A$62,$AF$205^A30,IF(A30='Données projet'!$A$62,'Données projet'!$B$62,AI29+AH30-AQ29)))</f>
        <v>128.79999999999998</v>
      </c>
      <c r="AJ30" s="14">
        <f>AI30*VLOOKUP('Données projet'!$B$10,Paramètres!$A$1:$I$89,3,0)*VLOOKUP('Données projet'!$B$10,Paramètres!$A$1:$I$89,5,0)</f>
        <v>112.51968000000001</v>
      </c>
      <c r="AK30" s="14">
        <f t="shared" si="35"/>
        <v>29.923856072189899</v>
      </c>
      <c r="AL30" s="22">
        <f t="shared" si="4"/>
        <v>248.08915865906408</v>
      </c>
      <c r="AM30" s="62">
        <f t="shared" si="5"/>
        <v>541.42249199239745</v>
      </c>
      <c r="AN30" s="62">
        <f ca="1">AVERAGE(OFFSET($AM$3,0,0,'Données projet'!$E$10+1,1))-AVERAGE(OFFSET($H$3,0,0,'Données projet'!$E$10+1,1))</f>
        <v>235.92135862353973</v>
      </c>
      <c r="AO30" s="62">
        <f t="shared" si="36"/>
        <v>270.64539221029258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3.1512060523723608</v>
      </c>
      <c r="AW30" s="23">
        <f>EXP(-LN(2)/2)*AW29+(1-EXP(-LN(2)/2))/(LN(2)/2)*AQ30*AT30*VLOOKUP('Données projet'!$B$10,Paramètres!$A$1:$I$89,3,0)*0.475*44/12</f>
        <v>9.4458380747133344</v>
      </c>
      <c r="AX30" s="23">
        <f t="shared" si="6"/>
        <v>12.597044127085695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6.8</v>
      </c>
      <c r="N31" s="14">
        <f>IF('Données projet'!$A$36&gt;35,N30+M31-V30,IF(A31&lt;'Données projet'!$A$36,$K$205^A31,IF(A31='Données projet'!$A$36,'Données projet'!$B$36,N30+M31-V30)))</f>
        <v>182.40000000000006</v>
      </c>
      <c r="O31" s="14">
        <f>N31*VLOOKUP('Données projet'!$B$9,Paramètres!$A$1:$I$89,3,0)*VLOOKUP('Données projet'!$B$9,Paramètres!$A$1:$I$89,5,0)</f>
        <v>165.03552000000005</v>
      </c>
      <c r="P31" s="14">
        <f t="shared" si="33"/>
        <v>41.976234598846517</v>
      </c>
      <c r="Q31" s="22">
        <f t="shared" si="2"/>
        <v>360.54547259299108</v>
      </c>
      <c r="R31" s="62">
        <f t="shared" si="0"/>
        <v>653.87880592632439</v>
      </c>
      <c r="S31" s="62">
        <f ca="1">AVERAGE(OFFSET($R$3,0,0,'Données projet'!$E$9+1,1))-AVERAGE(OFFSET($H$3,0,0,'Données projet'!$E$9+1,1))</f>
        <v>247.05981224668733</v>
      </c>
      <c r="T31" s="62">
        <f t="shared" si="34"/>
        <v>345.23839191022898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0.63773730180095889</v>
      </c>
      <c r="AB31" s="23">
        <f>EXP(-LN(2)/2)*AB30+(1-EXP(-LN(2)/2))/(LN(2)/2)*V31*Y31*VLOOKUP('Données projet'!$B$9,Paramètres!$A$1:$I$89,3,0)*0.475*44/12</f>
        <v>2.2300993603374413</v>
      </c>
      <c r="AC31" s="24">
        <f t="shared" si="3"/>
        <v>2.8678366621384002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11.4</v>
      </c>
      <c r="AI31" s="14">
        <f>IF('Données projet'!$A$62&gt;35,AI30+AH31-AQ30,IF(A31&lt;'Données projet'!$A$62,$AF$205^A31,IF(A31='Données projet'!$A$62,'Données projet'!$B$62,AI30+AH31-AQ30)))</f>
        <v>140.19999999999999</v>
      </c>
      <c r="AJ31" s="14">
        <f>AI31*VLOOKUP('Données projet'!$B$10,Paramètres!$A$1:$I$89,3,0)*VLOOKUP('Données projet'!$B$10,Paramètres!$A$1:$I$89,5,0)</f>
        <v>122.47872000000001</v>
      </c>
      <c r="AK31" s="14">
        <f t="shared" si="35"/>
        <v>32.252430308904003</v>
      </c>
      <c r="AL31" s="22">
        <f t="shared" si="4"/>
        <v>269.49008678800777</v>
      </c>
      <c r="AM31" s="62">
        <f t="shared" si="5"/>
        <v>562.82342012134109</v>
      </c>
      <c r="AN31" s="62">
        <f ca="1">AVERAGE(OFFSET($AM$3,0,0,'Données projet'!$E$10+1,1))-AVERAGE(OFFSET($H$3,0,0,'Données projet'!$E$10+1,1))</f>
        <v>235.92135862353973</v>
      </c>
      <c r="AO31" s="62">
        <f t="shared" si="36"/>
        <v>270.64539221029258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3.0650361571555145</v>
      </c>
      <c r="AW31" s="23">
        <f>EXP(-LN(2)/2)*AW30+(1-EXP(-LN(2)/2))/(LN(2)/2)*AQ31*AT31*VLOOKUP('Données projet'!$B$10,Paramètres!$A$1:$I$89,3,0)*0.475*44/12</f>
        <v>6.6792161566198818</v>
      </c>
      <c r="AX31" s="23">
        <f t="shared" si="6"/>
        <v>9.7442523137753962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6.8</v>
      </c>
      <c r="N32" s="14">
        <f>IF('Données projet'!$A$36&gt;35,N31+M32-V31,IF(A32&lt;'Données projet'!$A$36,$K$205^A32,IF(A32='Données projet'!$A$36,'Données projet'!$B$36,N31+M32-V31)))</f>
        <v>189.20000000000007</v>
      </c>
      <c r="O32" s="14">
        <f>N32*VLOOKUP('Données projet'!$B$9,Paramètres!$A$1:$I$89,3,0)*VLOOKUP('Données projet'!$B$9,Paramètres!$A$1:$I$89,5,0)</f>
        <v>171.18816000000007</v>
      </c>
      <c r="P32" s="14">
        <f t="shared" si="33"/>
        <v>43.356023936000852</v>
      </c>
      <c r="Q32" s="22">
        <f t="shared" si="2"/>
        <v>373.66445368853493</v>
      </c>
      <c r="R32" s="62">
        <f t="shared" si="0"/>
        <v>666.99778702186825</v>
      </c>
      <c r="S32" s="62">
        <f ca="1">AVERAGE(OFFSET($R$3,0,0,'Données projet'!$E$9+1,1))-AVERAGE(OFFSET($H$3,0,0,'Données projet'!$E$9+1,1))</f>
        <v>247.05981224668733</v>
      </c>
      <c r="T32" s="62">
        <f t="shared" si="34"/>
        <v>345.23839191022898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0.62029834174606457</v>
      </c>
      <c r="AB32" s="23">
        <f>EXP(-LN(2)/2)*AB31+(1-EXP(-LN(2)/2))/(LN(2)/2)*V32*Y32*VLOOKUP('Données projet'!$B$9,Paramètres!$A$1:$I$89,3,0)*0.475*44/12</f>
        <v>1.5769183804143867</v>
      </c>
      <c r="AC32" s="24">
        <f t="shared" si="3"/>
        <v>2.1972167221604515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11.4</v>
      </c>
      <c r="AI32" s="14">
        <f>IF('Données projet'!$A$62&gt;35,AI31+AH32-AQ31,IF(A32&lt;'Données projet'!$A$62,$AF$205^A32,IF(A32='Données projet'!$A$62,'Données projet'!$B$62,AI31+AH32-AQ31)))</f>
        <v>151.6</v>
      </c>
      <c r="AJ32" s="14">
        <f>AI32*VLOOKUP('Données projet'!$B$10,Paramètres!$A$1:$I$89,3,0)*VLOOKUP('Données projet'!$B$10,Paramètres!$A$1:$I$89,5,0)</f>
        <v>132.43776</v>
      </c>
      <c r="AK32" s="14">
        <f t="shared" si="35"/>
        <v>34.559043580858436</v>
      </c>
      <c r="AL32" s="22">
        <f t="shared" si="4"/>
        <v>290.85276623666175</v>
      </c>
      <c r="AM32" s="62">
        <f t="shared" si="5"/>
        <v>584.18609956999512</v>
      </c>
      <c r="AN32" s="62">
        <f ca="1">AVERAGE(OFFSET($AM$3,0,0,'Données projet'!$E$10+1,1))-AVERAGE(OFFSET($H$3,0,0,'Données projet'!$E$10+1,1))</f>
        <v>235.92135862353973</v>
      </c>
      <c r="AO32" s="62">
        <f t="shared" si="36"/>
        <v>270.64539221029258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2.9812225822548508</v>
      </c>
      <c r="AW32" s="23">
        <f>EXP(-LN(2)/2)*AW31+(1-EXP(-LN(2)/2))/(LN(2)/2)*AQ32*AT32*VLOOKUP('Données projet'!$B$10,Paramètres!$A$1:$I$89,3,0)*0.475*44/12</f>
        <v>4.7229190373566681</v>
      </c>
      <c r="AX32" s="23">
        <f t="shared" si="6"/>
        <v>7.7041416196115193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196</v>
      </c>
      <c r="L33" s="13">
        <f>VLOOKUP(A33,'Données projet'!$A$35:$I$55,9,0)</f>
        <v>6.8</v>
      </c>
      <c r="M33" s="13">
        <f t="array" ref="M33">INDEX(L:L,MIN(IF(ISNUMBER(L33:L229),ROW(L33:L229),"")))</f>
        <v>6.8</v>
      </c>
      <c r="N33" s="14">
        <f>IF('Données projet'!$A$36&gt;35,N32+M33-V32,IF(A33&lt;'Données projet'!$A$36,$K$205^A33,IF(A33='Données projet'!$A$36,'Données projet'!$B$36,N32+M33-V32)))</f>
        <v>196.00000000000009</v>
      </c>
      <c r="O33" s="14">
        <f>N33*VLOOKUP('Données projet'!$B$9,Paramètres!$A$1:$I$89,3,0)*VLOOKUP('Données projet'!$B$9,Paramètres!$A$1:$I$89,5,0)</f>
        <v>177.34080000000006</v>
      </c>
      <c r="P33" s="14">
        <f t="shared" si="33"/>
        <v>44.730051658603102</v>
      </c>
      <c r="Q33" s="22">
        <f t="shared" si="2"/>
        <v>386.77339997206712</v>
      </c>
      <c r="R33" s="62">
        <f t="shared" si="0"/>
        <v>680.10673330540044</v>
      </c>
      <c r="S33" s="62">
        <f ca="1">AVERAGE(OFFSET($R$3,0,0,'Données projet'!$E$9+1,1))-AVERAGE(OFFSET($H$3,0,0,'Données projet'!$E$9+1,1))</f>
        <v>247.05981224668733</v>
      </c>
      <c r="T33" s="62">
        <f t="shared" si="34"/>
        <v>345.23839191022898</v>
      </c>
      <c r="U33" s="16">
        <f>IF(ISNA(VLOOKUP(A33,'Données projet'!$A$35:$I$55,3,0)),0,VLOOKUP(A33,'Données projet'!$A$35:$I$55,3,0))</f>
        <v>6</v>
      </c>
      <c r="V33" s="16">
        <f>IF(ISNA(VLOOKUP(A33,'Données projet'!$A$35:$I$55,4,0)),0,VLOOKUP(A33,'Données projet'!$A$35:$I$55,4,0))</f>
        <v>9</v>
      </c>
      <c r="W33" s="17">
        <f>IF(ISNA(VLOOKUP(A33,'Données projet'!$A$35:$I$55,5,0)),0%,VLOOKUP(A33,'Données projet'!$A$35:$I$55,5,0)*VLOOKUP('Données projet'!$B$9,Paramètres!$A$1:$I$89,7,0))</f>
        <v>1.4999999999999999E-2</v>
      </c>
      <c r="X33" s="17">
        <f>IF(ISNA(VLOOKUP(A33,'Données projet'!$A$35:$I$55,6,0)),0%,VLOOKUP(A33,'Données projet'!$A$35:$I$55,6,0)*VLOOKUP('Données projet'!$B$9,Paramètres!$A$1:$I$89,7,0))</f>
        <v>4.4999999999999998E-2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0.13503099591919079</v>
      </c>
      <c r="AA33" s="23">
        <f>EXP(-LN(2)/25)*AA32+(1-EXP(-LN(2)/25))/(LN(2)/25)*Calculateur!V33*Calculateur!X33*VLOOKUP('Données projet'!$B$9,Paramètres!$A$1:$I$89,3,0)*0.475*44/12</f>
        <v>1.0068342332831877</v>
      </c>
      <c r="AB33" s="23">
        <f>EXP(-LN(2)/2)*AB32+(1-EXP(-LN(2)/2))/(LN(2)/2)*V33*Y33*VLOOKUP('Données projet'!$B$9,Paramètres!$A$1:$I$89,3,0)*0.475*44/12</f>
        <v>4.1883810285745593</v>
      </c>
      <c r="AC33" s="24">
        <f t="shared" si="3"/>
        <v>5.3302462577769383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163</v>
      </c>
      <c r="AG33" s="13">
        <f>VLOOKUP(A33,'Données projet'!$A$61:$I$81,9,0)</f>
        <v>11.4</v>
      </c>
      <c r="AH33" s="13">
        <f t="array" ref="AH33">INDEX(AG:AG,MIN(IF(ISNUMBER(AG33:AG229),ROW(AG33:AG229),"")))</f>
        <v>11.4</v>
      </c>
      <c r="AI33" s="14">
        <f>IF('Données projet'!$A$62&gt;35,AI32+AH33-AQ32,IF(A33&lt;'Données projet'!$A$62,$AF$205^A33,IF(A33='Données projet'!$A$62,'Données projet'!$B$62,AI32+AH33-AQ32)))</f>
        <v>163</v>
      </c>
      <c r="AJ33" s="14">
        <f>AI33*VLOOKUP('Données projet'!$B$10,Paramètres!$A$1:$I$89,3,0)*VLOOKUP('Données projet'!$B$10,Paramètres!$A$1:$I$89,5,0)</f>
        <v>142.39680000000004</v>
      </c>
      <c r="AK33" s="14">
        <f t="shared" si="35"/>
        <v>36.845535084476985</v>
      </c>
      <c r="AL33" s="22">
        <f t="shared" si="4"/>
        <v>312.18040027213078</v>
      </c>
      <c r="AM33" s="62">
        <f t="shared" si="5"/>
        <v>605.51373360546404</v>
      </c>
      <c r="AN33" s="62">
        <f ca="1">AVERAGE(OFFSET($AM$3,0,0,'Données projet'!$E$10+1,1))-AVERAGE(OFFSET($H$3,0,0,'Données projet'!$E$10+1,1))</f>
        <v>235.92135862353973</v>
      </c>
      <c r="AO33" s="62">
        <f t="shared" si="36"/>
        <v>270.64539221029258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37</v>
      </c>
      <c r="AR33" s="17">
        <f>IF(ISNA(VLOOKUP(A33,'Données projet'!$A$61:$I$81,5,0)),0%,VLOOKUP(A33,'Données projet'!$A$61:$I$81,5,0)*VLOOKUP('Données projet'!$B$10,Paramètres!$A$1:$I$89,7,0))</f>
        <v>2.1500000000000002E-2</v>
      </c>
      <c r="AS33" s="17">
        <f>IF(ISNA(VLOOKUP(A33,'Données projet'!$A$61:$I$81,6,0)),0%,VLOOKUP(A33,'Données projet'!$A$61:$I$81,6,0)*VLOOKUP('Données projet'!$B$10,Paramètres!$A$1:$I$89,7,0))</f>
        <v>6.4500000000000002E-2</v>
      </c>
      <c r="AT33" s="17">
        <f>IF(ISNA(VLOOKUP(A33,'Données projet'!$A$61:$I$81,7,0)),0%,VLOOKUP(A33,'Données projet'!$A$61:$I$81,7,0))</f>
        <v>0.4</v>
      </c>
      <c r="AU33" s="23">
        <f>EXP(-LN(2)/35)*AU32+(1-EXP(-LN(2)/35))/(LN(2)/35)*AQ33*AR33*VLOOKUP('Données projet'!$B$10,Paramètres!$A$1:$I$89,3,0)*0.475*44/12</f>
        <v>0.76824531369196836</v>
      </c>
      <c r="AV33" s="23">
        <f>EXP(-LN(2)/25)*AV32+(1-EXP(-LN(2)/25))/(LN(2)/25)*Calculateur!AQ33*Calculateur!AS33*VLOOKUP('Données projet'!$B$10,Paramètres!$A$1:$I$89,3,0)*0.475*44/12</f>
        <v>5.1953622114700577</v>
      </c>
      <c r="AW33" s="23">
        <f>EXP(-LN(2)/2)*AW32+(1-EXP(-LN(2)/2))/(LN(2)/2)*AQ33*AT33*VLOOKUP('Données projet'!$B$10,Paramètres!$A$1:$I$89,3,0)*0.475*44/12</f>
        <v>15.538731744779097</v>
      </c>
      <c r="AX33" s="23">
        <f t="shared" si="6"/>
        <v>21.502339269941125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5.8</v>
      </c>
      <c r="N34" s="14">
        <f>IF('Données projet'!$A$36&gt;35,N33+M34-V33,IF(A34&lt;'Données projet'!$A$36,$K$205^A34,IF(A34='Données projet'!$A$36,'Données projet'!$B$36,N33+M34-V33)))</f>
        <v>192.8000000000001</v>
      </c>
      <c r="O34" s="14">
        <f>N34*VLOOKUP('Données projet'!$B$9,Paramètres!$A$1:$I$89,3,0)*VLOOKUP('Données projet'!$B$9,Paramètres!$A$1:$I$89,5,0)</f>
        <v>174.4454400000001</v>
      </c>
      <c r="P34" s="14">
        <f t="shared" si="33"/>
        <v>44.084153549607706</v>
      </c>
      <c r="Q34" s="22">
        <f t="shared" si="2"/>
        <v>380.60570876556693</v>
      </c>
      <c r="R34" s="62">
        <f t="shared" si="0"/>
        <v>673.93904209890025</v>
      </c>
      <c r="S34" s="62">
        <f ca="1">AVERAGE(OFFSET($R$3,0,0,'Données projet'!$E$9+1,1))-AVERAGE(OFFSET($H$3,0,0,'Données projet'!$E$9+1,1))</f>
        <v>247.05981224668733</v>
      </c>
      <c r="T34" s="62">
        <f t="shared" si="34"/>
        <v>345.23839191022898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0.13238312044999051</v>
      </c>
      <c r="AA34" s="23">
        <f>EXP(-LN(2)/25)*AA33+(1-EXP(-LN(2)/25))/(LN(2)/25)*Calculateur!V34*Calculateur!X34*VLOOKUP('Données projet'!$B$9,Paramètres!$A$1:$I$89,3,0)*0.475*44/12</f>
        <v>0.9793022982269477</v>
      </c>
      <c r="AB34" s="23">
        <f>EXP(-LN(2)/2)*AB33+(1-EXP(-LN(2)/2))/(LN(2)/2)*V34*Y34*VLOOKUP('Données projet'!$B$9,Paramètres!$A$1:$I$89,3,0)*0.475*44/12</f>
        <v>2.9616326274981581</v>
      </c>
      <c r="AC34" s="24">
        <f t="shared" si="3"/>
        <v>4.0733180461750962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10.6</v>
      </c>
      <c r="AI34" s="14">
        <f>IF('Données projet'!$A$62&gt;35,AI33+AH34-AQ33,IF(A34&lt;'Données projet'!$A$62,$AF$205^A34,IF(A34='Données projet'!$A$62,'Données projet'!$B$62,AI33+AH34-AQ33)))</f>
        <v>136.6</v>
      </c>
      <c r="AJ34" s="14">
        <f>AI34*VLOOKUP('Données projet'!$B$10,Paramètres!$A$1:$I$89,3,0)*VLOOKUP('Données projet'!$B$10,Paramètres!$A$1:$I$89,5,0)</f>
        <v>119.33376000000001</v>
      </c>
      <c r="AK34" s="14">
        <f t="shared" si="35"/>
        <v>31.519559440518702</v>
      </c>
      <c r="AL34" s="22">
        <f t="shared" si="4"/>
        <v>262.7361980255701</v>
      </c>
      <c r="AM34" s="62">
        <f t="shared" si="5"/>
        <v>556.06953135890342</v>
      </c>
      <c r="AN34" s="62">
        <f ca="1">AVERAGE(OFFSET($AM$3,0,0,'Données projet'!$E$10+1,1))-AVERAGE(OFFSET($H$3,0,0,'Données projet'!$E$10+1,1))</f>
        <v>235.92135862353973</v>
      </c>
      <c r="AO34" s="62">
        <f t="shared" si="36"/>
        <v>270.64539221029258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0.75318049167384149</v>
      </c>
      <c r="AV34" s="23">
        <f>EXP(-LN(2)/25)*AV33+(1-EXP(-LN(2)/25))/(LN(2)/25)*Calculateur!AQ34*Calculateur!AS34*VLOOKUP('Données projet'!$B$10,Paramètres!$A$1:$I$89,3,0)*0.475*44/12</f>
        <v>5.0532947585851842</v>
      </c>
      <c r="AW34" s="23">
        <f>EXP(-LN(2)/2)*AW33+(1-EXP(-LN(2)/2))/(LN(2)/2)*AQ34*AT34*VLOOKUP('Données projet'!$B$10,Paramètres!$A$1:$I$89,3,0)*0.475*44/12</f>
        <v>10.987542587771975</v>
      </c>
      <c r="AX34" s="23">
        <f t="shared" si="6"/>
        <v>16.794017838030999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5.8</v>
      </c>
      <c r="N35" s="14">
        <f>IF('Données projet'!$A$36&gt;35,N34+M35-V34,IF(A35&lt;'Données projet'!$A$36,$K$205^A35,IF(A35='Données projet'!$A$36,'Données projet'!$B$36,N34+M35-V34)))</f>
        <v>198.60000000000011</v>
      </c>
      <c r="O35" s="14">
        <f>N35*VLOOKUP('Données projet'!$B$9,Paramètres!$A$1:$I$89,3,0)*VLOOKUP('Données projet'!$B$9,Paramètres!$A$1:$I$89,5,0)</f>
        <v>179.6932800000001</v>
      </c>
      <c r="P35" s="14">
        <f t="shared" si="33"/>
        <v>45.253939845742352</v>
      </c>
      <c r="Q35" s="22">
        <f t="shared" ref="Q35:Q66" si="53">(O35+P35)*0.475*44/12</f>
        <v>391.78307456466808</v>
      </c>
      <c r="R35" s="62">
        <f t="shared" si="0"/>
        <v>685.1164078980014</v>
      </c>
      <c r="S35" s="62">
        <f ca="1">AVERAGE(OFFSET($R$3,0,0,'Données projet'!$E$9+1,1))-AVERAGE(OFFSET($H$3,0,0,'Données projet'!$E$9+1,1))</f>
        <v>247.05981224668733</v>
      </c>
      <c r="T35" s="62">
        <f t="shared" si="34"/>
        <v>345.23839191022898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0.12978716820369668</v>
      </c>
      <c r="AA35" s="23">
        <f>EXP(-LN(2)/25)*AA34+(1-EXP(-LN(2)/25))/(LN(2)/25)*Calculateur!V35*Calculateur!X35*VLOOKUP('Données projet'!$B$9,Paramètres!$A$1:$I$89,3,0)*0.475*44/12</f>
        <v>0.95252322538266221</v>
      </c>
      <c r="AB35" s="23">
        <f>EXP(-LN(2)/2)*AB34+(1-EXP(-LN(2)/2))/(LN(2)/2)*V35*Y35*VLOOKUP('Données projet'!$B$9,Paramètres!$A$1:$I$89,3,0)*0.475*44/12</f>
        <v>2.0941905142872801</v>
      </c>
      <c r="AC35" s="24">
        <f t="shared" si="3"/>
        <v>3.1765009078736393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10.6</v>
      </c>
      <c r="AI35" s="14">
        <f>IF('Données projet'!$A$62&gt;35,AI34+AH35-AQ34,IF(A35&lt;'Données projet'!$A$62,$AF$205^A35,IF(A35='Données projet'!$A$62,'Données projet'!$B$62,AI34+AH35-AQ34)))</f>
        <v>147.19999999999999</v>
      </c>
      <c r="AJ35" s="14">
        <f>AI35*VLOOKUP('Données projet'!$B$10,Paramètres!$A$1:$I$89,3,0)*VLOOKUP('Données projet'!$B$10,Paramètres!$A$1:$I$89,5,0)</f>
        <v>128.59392</v>
      </c>
      <c r="AK35" s="14">
        <f t="shared" si="35"/>
        <v>33.671250175837564</v>
      </c>
      <c r="AL35" s="22">
        <f t="shared" si="4"/>
        <v>282.61183805625041</v>
      </c>
      <c r="AM35" s="62">
        <f t="shared" si="5"/>
        <v>575.94517138958372</v>
      </c>
      <c r="AN35" s="62">
        <f ca="1">AVERAGE(OFFSET($AM$3,0,0,'Données projet'!$E$10+1,1))-AVERAGE(OFFSET($H$3,0,0,'Données projet'!$E$10+1,1))</f>
        <v>235.92135862353973</v>
      </c>
      <c r="AO35" s="62">
        <f t="shared" si="36"/>
        <v>270.64539221029258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0.73841108162685587</v>
      </c>
      <c r="AV35" s="23">
        <f>EXP(-LN(2)/25)*AV34+(1-EXP(-LN(2)/25))/(LN(2)/25)*Calculateur!AQ35*Calculateur!AS35*VLOOKUP('Données projet'!$B$10,Paramètres!$A$1:$I$89,3,0)*0.475*44/12</f>
        <v>4.9151121476704507</v>
      </c>
      <c r="AW35" s="23">
        <f>EXP(-LN(2)/2)*AW34+(1-EXP(-LN(2)/2))/(LN(2)/2)*AQ35*AT35*VLOOKUP('Données projet'!$B$10,Paramètres!$A$1:$I$89,3,0)*0.475*44/12</f>
        <v>7.7693658723895505</v>
      </c>
      <c r="AX35" s="23">
        <f t="shared" si="6"/>
        <v>13.422889101686856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5.8</v>
      </c>
      <c r="N36" s="14">
        <f>IF('Données projet'!$A$36&gt;35,N35+M36-V35,IF(A36&lt;'Données projet'!$A$36,$K$205^A36,IF(A36='Données projet'!$A$36,'Données projet'!$B$36,N35+M36-V35)))</f>
        <v>204.40000000000012</v>
      </c>
      <c r="O36" s="14">
        <f>N36*VLOOKUP('Données projet'!$B$9,Paramètres!$A$1:$I$89,3,0)*VLOOKUP('Données projet'!$B$9,Paramètres!$A$1:$I$89,5,0)</f>
        <v>184.9411200000001</v>
      </c>
      <c r="P36" s="14">
        <f t="shared" si="33"/>
        <v>46.419755730249477</v>
      </c>
      <c r="Q36" s="22">
        <f t="shared" si="53"/>
        <v>402.95352523018465</v>
      </c>
      <c r="R36" s="62">
        <f t="shared" si="0"/>
        <v>696.28685856351797</v>
      </c>
      <c r="S36" s="62">
        <f ca="1">AVERAGE(OFFSET($R$3,0,0,'Données projet'!$E$9+1,1))-AVERAGE(OFFSET($H$3,0,0,'Données projet'!$E$9+1,1))</f>
        <v>247.05981224668733</v>
      </c>
      <c r="T36" s="62">
        <f t="shared" si="34"/>
        <v>345.23839191022898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0.12724212099757815</v>
      </c>
      <c r="AA36" s="23">
        <f>EXP(-LN(2)/25)*AA35+(1-EXP(-LN(2)/25))/(LN(2)/25)*Calculateur!V36*Calculateur!X36*VLOOKUP('Données projet'!$B$9,Paramètres!$A$1:$I$89,3,0)*0.475*44/12</f>
        <v>0.92647642769355387</v>
      </c>
      <c r="AB36" s="23">
        <f>EXP(-LN(2)/2)*AB35+(1-EXP(-LN(2)/2))/(LN(2)/2)*V36*Y36*VLOOKUP('Données projet'!$B$9,Paramètres!$A$1:$I$89,3,0)*0.475*44/12</f>
        <v>1.4808163137490793</v>
      </c>
      <c r="AC36" s="24">
        <f t="shared" si="3"/>
        <v>2.5345348624402115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10.6</v>
      </c>
      <c r="AI36" s="14">
        <f>IF('Données projet'!$A$62&gt;35,AI35+AH36-AQ35,IF(A36&lt;'Données projet'!$A$62,$AF$205^A36,IF(A36='Données projet'!$A$62,'Données projet'!$B$62,AI35+AH36-AQ35)))</f>
        <v>157.79999999999998</v>
      </c>
      <c r="AJ36" s="14">
        <f>AI36*VLOOKUP('Données projet'!$B$10,Paramètres!$A$1:$I$89,3,0)*VLOOKUP('Données projet'!$B$10,Paramètres!$A$1:$I$89,5,0)</f>
        <v>137.85408000000001</v>
      </c>
      <c r="AK36" s="14">
        <f t="shared" si="35"/>
        <v>35.804964283629964</v>
      </c>
      <c r="AL36" s="22">
        <f t="shared" si="4"/>
        <v>302.45616879398887</v>
      </c>
      <c r="AM36" s="62">
        <f t="shared" si="5"/>
        <v>595.78950212732218</v>
      </c>
      <c r="AN36" s="62">
        <f ca="1">AVERAGE(OFFSET($AM$3,0,0,'Données projet'!$E$10+1,1))-AVERAGE(OFFSET($H$3,0,0,'Données projet'!$E$10+1,1))</f>
        <v>235.92135862353973</v>
      </c>
      <c r="AO36" s="62">
        <f t="shared" si="36"/>
        <v>270.64539221029258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0.72393129070244111</v>
      </c>
      <c r="AV36" s="23">
        <f>EXP(-LN(2)/25)*AV35+(1-EXP(-LN(2)/25))/(LN(2)/25)*Calculateur!AQ36*Calculateur!AS36*VLOOKUP('Données projet'!$B$10,Paramètres!$A$1:$I$89,3,0)*0.475*44/12</f>
        <v>4.7807081475178883</v>
      </c>
      <c r="AW36" s="23">
        <f>EXP(-LN(2)/2)*AW35+(1-EXP(-LN(2)/2))/(LN(2)/2)*AQ36*AT36*VLOOKUP('Données projet'!$B$10,Paramètres!$A$1:$I$89,3,0)*0.475*44/12</f>
        <v>5.4937712938859882</v>
      </c>
      <c r="AX36" s="23">
        <f t="shared" si="6"/>
        <v>10.998410732106318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5.8</v>
      </c>
      <c r="N37" s="14">
        <f>IF('Données projet'!$A$36&gt;35,N36+M37-V36,IF(A37&lt;'Données projet'!$A$36,$K$205^A37,IF(A37='Données projet'!$A$36,'Données projet'!$B$36,N36+M37-V36)))</f>
        <v>210.20000000000013</v>
      </c>
      <c r="O37" s="14">
        <f>N37*VLOOKUP('Données projet'!$B$9,Paramètres!$A$1:$I$89,3,0)*VLOOKUP('Données projet'!$B$9,Paramètres!$A$1:$I$89,5,0)</f>
        <v>190.18896000000012</v>
      </c>
      <c r="P37" s="14">
        <f t="shared" si="33"/>
        <v>47.581726807151739</v>
      </c>
      <c r="Q37" s="22">
        <f t="shared" si="53"/>
        <v>414.1172795224561</v>
      </c>
      <c r="R37" s="62">
        <f t="shared" si="0"/>
        <v>707.45061285578936</v>
      </c>
      <c r="S37" s="62">
        <f ca="1">AVERAGE(OFFSET($R$3,0,0,'Données projet'!$E$9+1,1))-AVERAGE(OFFSET($H$3,0,0,'Données projet'!$E$9+1,1))</f>
        <v>247.05981224668733</v>
      </c>
      <c r="T37" s="62">
        <f t="shared" si="34"/>
        <v>345.23839191022898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0.1247469806148461</v>
      </c>
      <c r="AA37" s="23">
        <f>EXP(-LN(2)/25)*AA36+(1-EXP(-LN(2)/25))/(LN(2)/25)*Calculateur!V37*Calculateur!X37*VLOOKUP('Données projet'!$B$9,Paramètres!$A$1:$I$89,3,0)*0.475*44/12</f>
        <v>0.90114188105699577</v>
      </c>
      <c r="AB37" s="23">
        <f>EXP(-LN(2)/2)*AB36+(1-EXP(-LN(2)/2))/(LN(2)/2)*V37*Y37*VLOOKUP('Données projet'!$B$9,Paramètres!$A$1:$I$89,3,0)*0.475*44/12</f>
        <v>1.0470952571436403</v>
      </c>
      <c r="AC37" s="24">
        <f t="shared" si="3"/>
        <v>2.0729841188154818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10.6</v>
      </c>
      <c r="AI37" s="14">
        <f>IF('Données projet'!$A$62&gt;35,AI36+AH37-AQ36,IF(A37&lt;'Données projet'!$A$62,$AF$205^A37,IF(A37='Données projet'!$A$62,'Données projet'!$B$62,AI36+AH37-AQ36)))</f>
        <v>168.39999999999998</v>
      </c>
      <c r="AJ37" s="14">
        <f>AI37*VLOOKUP('Données projet'!$B$10,Paramètres!$A$1:$I$89,3,0)*VLOOKUP('Données projet'!$B$10,Paramètres!$A$1:$I$89,5,0)</f>
        <v>147.11424</v>
      </c>
      <c r="AK37" s="14">
        <f t="shared" si="35"/>
        <v>37.922046712608186</v>
      </c>
      <c r="AL37" s="22">
        <f t="shared" si="4"/>
        <v>322.27153269112591</v>
      </c>
      <c r="AM37" s="62">
        <f t="shared" si="5"/>
        <v>615.60486602445917</v>
      </c>
      <c r="AN37" s="62">
        <f ca="1">AVERAGE(OFFSET($AM$3,0,0,'Données projet'!$E$10+1,1))-AVERAGE(OFFSET($H$3,0,0,'Données projet'!$E$10+1,1))</f>
        <v>235.92135862353973</v>
      </c>
      <c r="AO37" s="62">
        <f t="shared" si="36"/>
        <v>270.64539221029258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0.70973543964625363</v>
      </c>
      <c r="AV37" s="23">
        <f>EXP(-LN(2)/25)*AV36+(1-EXP(-LN(2)/25))/(LN(2)/25)*Calculateur!AQ37*Calculateur!AS37*VLOOKUP('Données projet'!$B$10,Paramètres!$A$1:$I$89,3,0)*0.475*44/12</f>
        <v>4.6499794318174965</v>
      </c>
      <c r="AW37" s="23">
        <f>EXP(-LN(2)/2)*AW36+(1-EXP(-LN(2)/2))/(LN(2)/2)*AQ37*AT37*VLOOKUP('Données projet'!$B$10,Paramètres!$A$1:$I$89,3,0)*0.475*44/12</f>
        <v>3.8846829361947757</v>
      </c>
      <c r="AX37" s="23">
        <f t="shared" si="6"/>
        <v>9.244397807658526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216</v>
      </c>
      <c r="L38" s="13">
        <f>VLOOKUP(A38,'Données projet'!$A$35:$I$55,9,0)</f>
        <v>5.8</v>
      </c>
      <c r="M38" s="13">
        <f t="array" ref="M38">INDEX(L:L,MIN(IF(ISNUMBER(L38:L234),ROW(L38:L234),"")))</f>
        <v>5.8</v>
      </c>
      <c r="N38" s="14">
        <f>IF('Données projet'!$A$36&gt;35,N37+M38-V37,IF(A38&lt;'Données projet'!$A$36,$K$205^A38,IF(A38='Données projet'!$A$36,'Données projet'!$B$36,N37+M38-V37)))</f>
        <v>216.00000000000014</v>
      </c>
      <c r="O38" s="14">
        <f>N38*VLOOKUP('Données projet'!$B$9,Paramètres!$A$1:$I$89,3,0)*VLOOKUP('Données projet'!$B$9,Paramètres!$A$1:$I$89,5,0)</f>
        <v>195.43680000000012</v>
      </c>
      <c r="P38" s="14">
        <f t="shared" si="33"/>
        <v>48.739971354487892</v>
      </c>
      <c r="Q38" s="22">
        <f t="shared" si="53"/>
        <v>425.27454344239999</v>
      </c>
      <c r="R38" s="62">
        <f t="shared" si="0"/>
        <v>718.6078767757333</v>
      </c>
      <c r="S38" s="62">
        <f ca="1">AVERAGE(OFFSET($R$3,0,0,'Données projet'!$E$9+1,1))-AVERAGE(OFFSET($H$3,0,0,'Données projet'!$E$9+1,1))</f>
        <v>247.05981224668733</v>
      </c>
      <c r="T38" s="62">
        <f t="shared" si="34"/>
        <v>345.23839191022898</v>
      </c>
      <c r="U38" s="16">
        <f>IF(ISNA(VLOOKUP(A38,'Données projet'!$A$35:$I$55,3,0)),0,VLOOKUP(A38,'Données projet'!$A$35:$I$55,3,0))</f>
        <v>7</v>
      </c>
      <c r="V38" s="16">
        <f>IF(ISNA(VLOOKUP(A38,'Données projet'!$A$35:$I$55,4,0)),0,VLOOKUP(A38,'Données projet'!$A$35:$I$55,4,0))</f>
        <v>7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0.12230076841313406</v>
      </c>
      <c r="AA38" s="23">
        <f>EXP(-LN(2)/25)*AA37+(1-EXP(-LN(2)/25))/(LN(2)/25)*Calculateur!V38*Calculateur!X38*VLOOKUP('Données projet'!$B$9,Paramètres!$A$1:$I$89,3,0)*0.475*44/12</f>
        <v>0.87650010893050034</v>
      </c>
      <c r="AB38" s="23">
        <f>EXP(-LN(2)/2)*AB37+(1-EXP(-LN(2)/2))/(LN(2)/2)*V38*Y38*VLOOKUP('Données projet'!$B$9,Paramètres!$A$1:$I$89,3,0)*0.475*44/12</f>
        <v>0.74040815687453976</v>
      </c>
      <c r="AC38" s="24">
        <f t="shared" si="3"/>
        <v>1.7392090342181743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179</v>
      </c>
      <c r="AG38" s="13">
        <f>VLOOKUP(A38,'Données projet'!$A$61:$I$81,9,0)</f>
        <v>10.6</v>
      </c>
      <c r="AH38" s="13">
        <f t="array" ref="AH38">INDEX(AG:AG,MIN(IF(ISNUMBER(AG38:AG234),ROW(AG38:AG234),"")))</f>
        <v>10.6</v>
      </c>
      <c r="AI38" s="14">
        <f>IF('Données projet'!$A$62&gt;35,AI37+AH38-AQ37,IF(A38&lt;'Données projet'!$A$62,$AF$205^A38,IF(A38='Données projet'!$A$62,'Données projet'!$B$62,AI37+AH38-AQ37)))</f>
        <v>178.99999999999997</v>
      </c>
      <c r="AJ38" s="14">
        <f>AI38*VLOOKUP('Données projet'!$B$10,Paramètres!$A$1:$I$89,3,0)*VLOOKUP('Données projet'!$B$10,Paramètres!$A$1:$I$89,5,0)</f>
        <v>156.37440000000001</v>
      </c>
      <c r="AK38" s="14">
        <f t="shared" si="35"/>
        <v>40.023663524293205</v>
      </c>
      <c r="AL38" s="22">
        <f t="shared" si="4"/>
        <v>342.05996063814399</v>
      </c>
      <c r="AM38" s="62">
        <f t="shared" si="5"/>
        <v>635.39329397147731</v>
      </c>
      <c r="AN38" s="62">
        <f ca="1">AVERAGE(OFFSET($AM$3,0,0,'Données projet'!$E$10+1,1))-AVERAGE(OFFSET($H$3,0,0,'Données projet'!$E$10+1,1))</f>
        <v>235.92135862353973</v>
      </c>
      <c r="AO38" s="62">
        <f t="shared" si="36"/>
        <v>270.64539221029258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36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0.69581796057066392</v>
      </c>
      <c r="AV38" s="23">
        <f>EXP(-LN(2)/25)*AV37+(1-EXP(-LN(2)/25))/(LN(2)/25)*Calculateur!AQ38*Calculateur!AS38*VLOOKUP('Données projet'!$B$10,Paramètres!$A$1:$I$89,3,0)*0.475*44/12</f>
        <v>4.5228254997226562</v>
      </c>
      <c r="AW38" s="23">
        <f>EXP(-LN(2)/2)*AW37+(1-EXP(-LN(2)/2))/(LN(2)/2)*AQ38*AT38*VLOOKUP('Données projet'!$B$10,Paramètres!$A$1:$I$89,3,0)*0.475*44/12</f>
        <v>2.7468856469429945</v>
      </c>
      <c r="AX38" s="23">
        <f t="shared" si="6"/>
        <v>7.9655291072363141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4.8</v>
      </c>
      <c r="N39" s="14">
        <f>IF('Données projet'!$A$36&gt;35,N38+M39-V38,IF(A39&lt;'Données projet'!$A$36,$K$205^A39,IF(A39='Données projet'!$A$36,'Données projet'!$B$36,N38+M39-V38)))</f>
        <v>213.80000000000015</v>
      </c>
      <c r="O39" s="14">
        <f>N39*VLOOKUP('Données projet'!$B$9,Paramètres!$A$1:$I$89,3,0)*VLOOKUP('Données projet'!$B$9,Paramètres!$A$1:$I$89,5,0)</f>
        <v>193.44624000000013</v>
      </c>
      <c r="P39" s="14">
        <f t="shared" si="33"/>
        <v>48.301068656218547</v>
      </c>
      <c r="Q39" s="22">
        <f t="shared" si="53"/>
        <v>421.04322924291415</v>
      </c>
      <c r="R39" s="62">
        <f t="shared" si="0"/>
        <v>714.37656257624747</v>
      </c>
      <c r="S39" s="62">
        <f ca="1">AVERAGE(OFFSET($R$3,0,0,'Données projet'!$E$9+1,1))-AVERAGE(OFFSET($H$3,0,0,'Données projet'!$E$9+1,1))</f>
        <v>247.05981224668733</v>
      </c>
      <c r="T39" s="62">
        <f t="shared" si="34"/>
        <v>345.23839191022898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0.11990252494065548</v>
      </c>
      <c r="AA39" s="23">
        <f>EXP(-LN(2)/25)*AA38+(1-EXP(-LN(2)/25))/(LN(2)/25)*Calculateur!V39*Calculateur!X39*VLOOKUP('Données projet'!$B$9,Paramètres!$A$1:$I$89,3,0)*0.475*44/12</f>
        <v>0.85253216735865833</v>
      </c>
      <c r="AB39" s="23">
        <f>EXP(-LN(2)/2)*AB38+(1-EXP(-LN(2)/2))/(LN(2)/2)*V39*Y39*VLOOKUP('Données projet'!$B$9,Paramètres!$A$1:$I$89,3,0)*0.475*44/12</f>
        <v>0.52354762857182013</v>
      </c>
      <c r="AC39" s="24">
        <f t="shared" si="3"/>
        <v>1.4959823208711338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9.6</v>
      </c>
      <c r="AI39" s="14">
        <f>IF('Données projet'!$A$62&gt;35,AI38+AH39-AQ38,IF(A39&lt;'Données projet'!$A$62,$AF$205^A39,IF(A39='Données projet'!$A$62,'Données projet'!$B$62,AI38+AH39-AQ38)))</f>
        <v>152.59999999999997</v>
      </c>
      <c r="AJ39" s="14">
        <f>AI39*VLOOKUP('Données projet'!$B$10,Paramètres!$A$1:$I$89,3,0)*VLOOKUP('Données projet'!$B$10,Paramètres!$A$1:$I$89,5,0)</f>
        <v>133.31135999999998</v>
      </c>
      <c r="AK39" s="14">
        <f t="shared" si="35"/>
        <v>34.760393689821633</v>
      </c>
      <c r="AL39" s="22">
        <f t="shared" si="4"/>
        <v>292.72497100977256</v>
      </c>
      <c r="AM39" s="62">
        <f t="shared" si="5"/>
        <v>586.05830434310587</v>
      </c>
      <c r="AN39" s="62">
        <f ca="1">AVERAGE(OFFSET($AM$3,0,0,'Données projet'!$E$10+1,1))-AVERAGE(OFFSET($H$3,0,0,'Données projet'!$E$10+1,1))</f>
        <v>235.92135862353973</v>
      </c>
      <c r="AO39" s="62">
        <f t="shared" si="36"/>
        <v>270.64539221029258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0.68217339477092243</v>
      </c>
      <c r="AV39" s="23">
        <f>EXP(-LN(2)/25)*AV38+(1-EXP(-LN(2)/25))/(LN(2)/25)*Calculateur!AQ39*Calculateur!AS39*VLOOKUP('Données projet'!$B$10,Paramètres!$A$1:$I$89,3,0)*0.475*44/12</f>
        <v>4.3991485985876846</v>
      </c>
      <c r="AW39" s="23">
        <f>EXP(-LN(2)/2)*AW38+(1-EXP(-LN(2)/2))/(LN(2)/2)*AQ39*AT39*VLOOKUP('Données projet'!$B$10,Paramètres!$A$1:$I$89,3,0)*0.475*44/12</f>
        <v>1.9423414680973883</v>
      </c>
      <c r="AX39" s="23">
        <f t="shared" si="6"/>
        <v>7.0236634614559952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4.8</v>
      </c>
      <c r="N40" s="14">
        <f>IF('Données projet'!$A$36&gt;35,N39+M40-V39,IF(A40&lt;'Données projet'!$A$36,$K$205^A40,IF(A40='Données projet'!$A$36,'Données projet'!$B$36,N39+M40-V39)))</f>
        <v>218.60000000000016</v>
      </c>
      <c r="O40" s="14">
        <f>N40*VLOOKUP('Données projet'!$B$9,Paramètres!$A$1:$I$89,3,0)*VLOOKUP('Données projet'!$B$9,Paramètres!$A$1:$I$89,5,0)</f>
        <v>197.78928000000013</v>
      </c>
      <c r="P40" s="14">
        <f t="shared" si="33"/>
        <v>49.258004531609984</v>
      </c>
      <c r="Q40" s="22">
        <f t="shared" si="53"/>
        <v>430.2740205592209</v>
      </c>
      <c r="R40" s="62">
        <f t="shared" si="0"/>
        <v>723.60735389255422</v>
      </c>
      <c r="S40" s="62">
        <f ca="1">AVERAGE(OFFSET($R$3,0,0,'Données projet'!$E$9+1,1))-AVERAGE(OFFSET($H$3,0,0,'Données projet'!$E$9+1,1))</f>
        <v>247.05981224668733</v>
      </c>
      <c r="T40" s="62">
        <f t="shared" si="34"/>
        <v>345.23839191022898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0.11755130955988813</v>
      </c>
      <c r="AA40" s="23">
        <f>EXP(-LN(2)/25)*AA39+(1-EXP(-LN(2)/25))/(LN(2)/25)*Calculateur!V40*Calculateur!X40*VLOOKUP('Données projet'!$B$9,Paramètres!$A$1:$I$89,3,0)*0.475*44/12</f>
        <v>0.82921963040951763</v>
      </c>
      <c r="AB40" s="23">
        <f>EXP(-LN(2)/2)*AB39+(1-EXP(-LN(2)/2))/(LN(2)/2)*V40*Y40*VLOOKUP('Données projet'!$B$9,Paramètres!$A$1:$I$89,3,0)*0.475*44/12</f>
        <v>0.37020407843726988</v>
      </c>
      <c r="AC40" s="24">
        <f t="shared" si="3"/>
        <v>1.3169750184066755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9.6</v>
      </c>
      <c r="AI40" s="14">
        <f>IF('Données projet'!$A$62&gt;35,AI39+AH40-AQ39,IF(A40&lt;'Données projet'!$A$62,$AF$205^A40,IF(A40='Données projet'!$A$62,'Données projet'!$B$62,AI39+AH40-AQ39)))</f>
        <v>162.19999999999996</v>
      </c>
      <c r="AJ40" s="14">
        <f>AI40*VLOOKUP('Données projet'!$B$10,Paramètres!$A$1:$I$89,3,0)*VLOOKUP('Données projet'!$B$10,Paramètres!$A$1:$I$89,5,0)</f>
        <v>141.69791999999998</v>
      </c>
      <c r="AK40" s="14">
        <f t="shared" si="35"/>
        <v>36.685701801209362</v>
      </c>
      <c r="AL40" s="22">
        <f t="shared" si="4"/>
        <v>310.68480797043964</v>
      </c>
      <c r="AM40" s="62">
        <f t="shared" si="5"/>
        <v>604.01814130377295</v>
      </c>
      <c r="AN40" s="62">
        <f ca="1">AVERAGE(OFFSET($AM$3,0,0,'Données projet'!$E$10+1,1))-AVERAGE(OFFSET($H$3,0,0,'Données projet'!$E$10+1,1))</f>
        <v>235.92135862353973</v>
      </c>
      <c r="AO40" s="62">
        <f t="shared" si="36"/>
        <v>270.64539221029258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0.66879639058415052</v>
      </c>
      <c r="AV40" s="23">
        <f>EXP(-LN(2)/25)*AV39+(1-EXP(-LN(2)/25))/(LN(2)/25)*Calculateur!AQ40*Calculateur!AS40*VLOOKUP('Données projet'!$B$10,Paramètres!$A$1:$I$89,3,0)*0.475*44/12</f>
        <v>4.2788536488181341</v>
      </c>
      <c r="AW40" s="23">
        <f>EXP(-LN(2)/2)*AW39+(1-EXP(-LN(2)/2))/(LN(2)/2)*AQ40*AT40*VLOOKUP('Données projet'!$B$10,Paramètres!$A$1:$I$89,3,0)*0.475*44/12</f>
        <v>1.3734428234714975</v>
      </c>
      <c r="AX40" s="23">
        <f t="shared" si="6"/>
        <v>6.3210928628737815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4.8</v>
      </c>
      <c r="N41" s="14">
        <f>IF('Données projet'!$A$36&gt;35,N40+M41-V40,IF(A41&lt;'Données projet'!$A$36,$K$205^A41,IF(A41='Données projet'!$A$36,'Données projet'!$B$36,N40+M41-V40)))</f>
        <v>223.40000000000018</v>
      </c>
      <c r="O41" s="14">
        <f>N41*VLOOKUP('Données projet'!$B$9,Paramètres!$A$1:$I$89,3,0)*VLOOKUP('Données projet'!$B$9,Paramètres!$A$1:$I$89,5,0)</f>
        <v>202.13232000000013</v>
      </c>
      <c r="P41" s="14">
        <f t="shared" si="33"/>
        <v>50.21249748895967</v>
      </c>
      <c r="Q41" s="22">
        <f t="shared" si="53"/>
        <v>439.50055712660497</v>
      </c>
      <c r="R41" s="62">
        <f t="shared" si="0"/>
        <v>732.83389045993829</v>
      </c>
      <c r="S41" s="62">
        <f ca="1">AVERAGE(OFFSET($R$3,0,0,'Données projet'!$E$9+1,1))-AVERAGE(OFFSET($H$3,0,0,'Données projet'!$E$9+1,1))</f>
        <v>247.05981224668733</v>
      </c>
      <c r="T41" s="62">
        <f t="shared" si="34"/>
        <v>345.23839191022898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0.11524620007863784</v>
      </c>
      <c r="AA41" s="23">
        <f>EXP(-LN(2)/25)*AA40+(1-EXP(-LN(2)/25))/(LN(2)/25)*Calculateur!V41*Calculateur!X41*VLOOKUP('Données projet'!$B$9,Paramètres!$A$1:$I$89,3,0)*0.475*44/12</f>
        <v>0.80654457600920426</v>
      </c>
      <c r="AB41" s="23">
        <f>EXP(-LN(2)/2)*AB40+(1-EXP(-LN(2)/2))/(LN(2)/2)*V41*Y41*VLOOKUP('Données projet'!$B$9,Paramètres!$A$1:$I$89,3,0)*0.475*44/12</f>
        <v>0.26177381428591007</v>
      </c>
      <c r="AC41" s="24">
        <f t="shared" si="3"/>
        <v>1.1835645903737522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9.6</v>
      </c>
      <c r="AI41" s="14">
        <f>IF('Données projet'!$A$62&gt;35,AI40+AH41-AQ40,IF(A41&lt;'Données projet'!$A$62,$AF$205^A41,IF(A41='Données projet'!$A$62,'Données projet'!$B$62,AI40+AH41-AQ40)))</f>
        <v>171.79999999999995</v>
      </c>
      <c r="AJ41" s="14">
        <f>AI41*VLOOKUP('Données projet'!$B$10,Paramètres!$A$1:$I$89,3,0)*VLOOKUP('Données projet'!$B$10,Paramètres!$A$1:$I$89,5,0)</f>
        <v>150.08447999999999</v>
      </c>
      <c r="AK41" s="14">
        <f t="shared" si="35"/>
        <v>38.597783374841299</v>
      </c>
      <c r="AL41" s="22">
        <f t="shared" si="4"/>
        <v>328.62160871118186</v>
      </c>
      <c r="AM41" s="62">
        <f t="shared" si="5"/>
        <v>621.95494204451518</v>
      </c>
      <c r="AN41" s="62">
        <f ca="1">AVERAGE(OFFSET($AM$3,0,0,'Données projet'!$E$10+1,1))-AVERAGE(OFFSET($H$3,0,0,'Données projet'!$E$10+1,1))</f>
        <v>235.92135862353973</v>
      </c>
      <c r="AO41" s="62">
        <f t="shared" si="36"/>
        <v>270.64539221029258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0.65568170129031433</v>
      </c>
      <c r="AV41" s="23">
        <f>EXP(-LN(2)/25)*AV40+(1-EXP(-LN(2)/25))/(LN(2)/25)*Calculateur!AQ41*Calculateur!AS41*VLOOKUP('Données projet'!$B$10,Paramètres!$A$1:$I$89,3,0)*0.475*44/12</f>
        <v>4.1618481707760679</v>
      </c>
      <c r="AW41" s="23">
        <f>EXP(-LN(2)/2)*AW40+(1-EXP(-LN(2)/2))/(LN(2)/2)*AQ41*AT41*VLOOKUP('Données projet'!$B$10,Paramètres!$A$1:$I$89,3,0)*0.475*44/12</f>
        <v>0.97117073404869425</v>
      </c>
      <c r="AX41" s="23">
        <f t="shared" si="6"/>
        <v>5.7887006061150768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4.8</v>
      </c>
      <c r="N42" s="14">
        <f>IF('Données projet'!$A$36&gt;35,N41+M42-V41,IF(A42&lt;'Données projet'!$A$36,$K$205^A42,IF(A42='Données projet'!$A$36,'Données projet'!$B$36,N41+M42-V41)))</f>
        <v>228.20000000000019</v>
      </c>
      <c r="O42" s="14">
        <f>N42*VLOOKUP('Données projet'!$B$9,Paramètres!$A$1:$I$89,3,0)*VLOOKUP('Données projet'!$B$9,Paramètres!$A$1:$I$89,5,0)</f>
        <v>206.47536000000017</v>
      </c>
      <c r="P42" s="14">
        <f t="shared" si="33"/>
        <v>51.164606062687312</v>
      </c>
      <c r="Q42" s="22">
        <f t="shared" si="53"/>
        <v>448.72294089251392</v>
      </c>
      <c r="R42" s="62">
        <f t="shared" si="0"/>
        <v>742.05627422584723</v>
      </c>
      <c r="S42" s="62">
        <f ca="1">AVERAGE(OFFSET($R$3,0,0,'Données projet'!$E$9+1,1))-AVERAGE(OFFSET($H$3,0,0,'Données projet'!$E$9+1,1))</f>
        <v>247.05981224668733</v>
      </c>
      <c r="T42" s="62">
        <f t="shared" si="34"/>
        <v>345.23839191022898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0.11298629238833692</v>
      </c>
      <c r="AA42" s="23">
        <f>EXP(-LN(2)/25)*AA41+(1-EXP(-LN(2)/25))/(LN(2)/25)*Calculateur!V42*Calculateur!X42*VLOOKUP('Données projet'!$B$9,Paramètres!$A$1:$I$89,3,0)*0.475*44/12</f>
        <v>0.7844895721638967</v>
      </c>
      <c r="AB42" s="23">
        <f>EXP(-LN(2)/2)*AB41+(1-EXP(-LN(2)/2))/(LN(2)/2)*V42*Y42*VLOOKUP('Données projet'!$B$9,Paramètres!$A$1:$I$89,3,0)*0.475*44/12</f>
        <v>0.18510203921863494</v>
      </c>
      <c r="AC42" s="24">
        <f t="shared" si="3"/>
        <v>1.0825779037708685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9.6</v>
      </c>
      <c r="AI42" s="14">
        <f>IF('Données projet'!$A$62&gt;35,AI41+AH42-AQ41,IF(A42&lt;'Données projet'!$A$62,$AF$205^A42,IF(A42='Données projet'!$A$62,'Données projet'!$B$62,AI41+AH42-AQ41)))</f>
        <v>181.39999999999995</v>
      </c>
      <c r="AJ42" s="14">
        <f>AI42*VLOOKUP('Données projet'!$B$10,Paramètres!$A$1:$I$89,3,0)*VLOOKUP('Données projet'!$B$10,Paramètres!$A$1:$I$89,5,0)</f>
        <v>158.47103999999996</v>
      </c>
      <c r="AK42" s="14">
        <f t="shared" si="35"/>
        <v>40.497461727609561</v>
      </c>
      <c r="AL42" s="22">
        <f t="shared" si="4"/>
        <v>346.53680717558655</v>
      </c>
      <c r="AM42" s="62">
        <f t="shared" si="5"/>
        <v>639.8701405089198</v>
      </c>
      <c r="AN42" s="62">
        <f ca="1">AVERAGE(OFFSET($AM$3,0,0,'Données projet'!$E$10+1,1))-AVERAGE(OFFSET($H$3,0,0,'Données projet'!$E$10+1,1))</f>
        <v>235.92135862353973</v>
      </c>
      <c r="AO42" s="62">
        <f t="shared" si="36"/>
        <v>270.64539221029258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0.64282418305435962</v>
      </c>
      <c r="AV42" s="23">
        <f>EXP(-LN(2)/25)*AV41+(1-EXP(-LN(2)/25))/(LN(2)/25)*Calculateur!AQ42*Calculateur!AS42*VLOOKUP('Données projet'!$B$10,Paramètres!$A$1:$I$89,3,0)*0.475*44/12</f>
        <v>4.0480422136841128</v>
      </c>
      <c r="AW42" s="23">
        <f>EXP(-LN(2)/2)*AW41+(1-EXP(-LN(2)/2))/(LN(2)/2)*AQ42*AT42*VLOOKUP('Données projet'!$B$10,Paramètres!$A$1:$I$89,3,0)*0.475*44/12</f>
        <v>0.68672141173574885</v>
      </c>
      <c r="AX42" s="23">
        <f t="shared" si="6"/>
        <v>5.377587808474221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233</v>
      </c>
      <c r="L43" s="13">
        <f>VLOOKUP(A43,'Données projet'!$A$35:$I$55,9,0)</f>
        <v>4.8</v>
      </c>
      <c r="M43" s="13">
        <f t="array" ref="M43">INDEX(L:L,MIN(IF(ISNUMBER(L43:L239),ROW(L43:L239),"")))</f>
        <v>4.8</v>
      </c>
      <c r="N43" s="14">
        <f>IF('Données projet'!$A$36&gt;35,N42+M43-V42,IF(A43&lt;'Données projet'!$A$36,$K$205^A43,IF(A43='Données projet'!$A$36,'Données projet'!$B$36,N42+M43-V42)))</f>
        <v>233.0000000000002</v>
      </c>
      <c r="O43" s="14">
        <f>N43*VLOOKUP('Données projet'!$B$9,Paramètres!$A$1:$I$89,3,0)*VLOOKUP('Données projet'!$B$9,Paramètres!$A$1:$I$89,5,0)</f>
        <v>210.81840000000017</v>
      </c>
      <c r="P43" s="14">
        <f t="shared" si="33"/>
        <v>52.114386184062248</v>
      </c>
      <c r="Q43" s="22">
        <f t="shared" si="53"/>
        <v>457.94126927057533</v>
      </c>
      <c r="R43" s="62">
        <f t="shared" si="0"/>
        <v>751.27460260390865</v>
      </c>
      <c r="S43" s="62">
        <f ca="1">AVERAGE(OFFSET($R$3,0,0,'Données projet'!$E$9+1,1))-AVERAGE(OFFSET($H$3,0,0,'Données projet'!$E$9+1,1))</f>
        <v>247.05981224668733</v>
      </c>
      <c r="T43" s="62">
        <f t="shared" si="34"/>
        <v>345.23839191022898</v>
      </c>
      <c r="U43" s="16">
        <f>IF(ISNA(VLOOKUP(A43,'Données projet'!$A$35:$I$55,3,0)),0,VLOOKUP(A43,'Données projet'!$A$35:$I$55,3,0))</f>
        <v>8</v>
      </c>
      <c r="V43" s="16">
        <f>IF(ISNA(VLOOKUP(A43,'Données projet'!$A$35:$I$55,4,0)),0,VLOOKUP(A43,'Données projet'!$A$35:$I$55,4,0))</f>
        <v>6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0.11077070010943521</v>
      </c>
      <c r="AA43" s="23">
        <f>EXP(-LN(2)/25)*AA42+(1-EXP(-LN(2)/25))/(LN(2)/25)*Calculateur!V43*Calculateur!X43*VLOOKUP('Données projet'!$B$9,Paramètres!$A$1:$I$89,3,0)*0.475*44/12</f>
        <v>0.76303766355856129</v>
      </c>
      <c r="AB43" s="23">
        <f>EXP(-LN(2)/2)*AB42+(1-EXP(-LN(2)/2))/(LN(2)/2)*V43*Y43*VLOOKUP('Données projet'!$B$9,Paramètres!$A$1:$I$89,3,0)*0.475*44/12</f>
        <v>0.13088690714295503</v>
      </c>
      <c r="AC43" s="24">
        <f t="shared" si="3"/>
        <v>1.0046952708109516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191</v>
      </c>
      <c r="AG43" s="13">
        <f>VLOOKUP(A43,'Données projet'!$A$61:$I$81,9,0)</f>
        <v>9.6</v>
      </c>
      <c r="AH43" s="13">
        <f t="array" ref="AH43">INDEX(AG:AG,MIN(IF(ISNUMBER(AG43:AG239),ROW(AG43:AG239),"")))</f>
        <v>9.6</v>
      </c>
      <c r="AI43" s="14">
        <f>IF('Données projet'!$A$62&gt;35,AI42+AH43-AQ42,IF(A43&lt;'Données projet'!$A$62,$AF$205^A43,IF(A43='Données projet'!$A$62,'Données projet'!$B$62,AI42+AH43-AQ42)))</f>
        <v>190.99999999999994</v>
      </c>
      <c r="AJ43" s="14">
        <f>AI43*VLOOKUP('Données projet'!$B$10,Paramètres!$A$1:$I$89,3,0)*VLOOKUP('Données projet'!$B$10,Paramètres!$A$1:$I$89,5,0)</f>
        <v>166.85759999999996</v>
      </c>
      <c r="AK43" s="14">
        <f t="shared" si="35"/>
        <v>42.385468111966098</v>
      </c>
      <c r="AL43" s="22">
        <f t="shared" si="4"/>
        <v>364.43167696167421</v>
      </c>
      <c r="AM43" s="62">
        <f t="shared" si="5"/>
        <v>657.76501029500753</v>
      </c>
      <c r="AN43" s="62">
        <f ca="1">AVERAGE(OFFSET($AM$3,0,0,'Données projet'!$E$10+1,1))-AVERAGE(OFFSET($H$3,0,0,'Données projet'!$E$10+1,1))</f>
        <v>235.92135862353973</v>
      </c>
      <c r="AO43" s="62">
        <f t="shared" si="36"/>
        <v>270.64539221029258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33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0.6302187929087002</v>
      </c>
      <c r="AV43" s="23">
        <f>EXP(-LN(2)/25)*AV42+(1-EXP(-LN(2)/25))/(LN(2)/25)*Calculateur!AQ43*Calculateur!AS43*VLOOKUP('Données projet'!$B$10,Paramètres!$A$1:$I$89,3,0)*0.475*44/12</f>
        <v>3.9373482864736324</v>
      </c>
      <c r="AW43" s="23">
        <f>EXP(-LN(2)/2)*AW42+(1-EXP(-LN(2)/2))/(LN(2)/2)*AQ43*AT43*VLOOKUP('Données projet'!$B$10,Paramètres!$A$1:$I$89,3,0)*0.475*44/12</f>
        <v>0.48558536702434718</v>
      </c>
      <c r="AX43" s="23">
        <f t="shared" si="6"/>
        <v>5.0531524464066795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</v>
      </c>
      <c r="N44" s="14">
        <f>IF('Données projet'!$A$36&gt;35,N43+M44-V43,IF(A44&lt;'Données projet'!$A$36,$K$205^A44,IF(A44='Données projet'!$A$36,'Données projet'!$B$36,N43+M44-V43)))</f>
        <v>232.0000000000002</v>
      </c>
      <c r="O44" s="14">
        <f>N44*VLOOKUP('Données projet'!$B$9,Paramètres!$A$1:$I$89,3,0)*VLOOKUP('Données projet'!$B$9,Paramètres!$A$1:$I$89,5,0)</f>
        <v>209.9136000000002</v>
      </c>
      <c r="P44" s="14">
        <f t="shared" si="33"/>
        <v>51.916704672341361</v>
      </c>
      <c r="Q44" s="22">
        <f t="shared" si="53"/>
        <v>456.02111397099492</v>
      </c>
      <c r="R44" s="62">
        <f t="shared" si="0"/>
        <v>749.35444730432823</v>
      </c>
      <c r="S44" s="62">
        <f ca="1">AVERAGE(OFFSET($R$3,0,0,'Données projet'!$E$9+1,1))-AVERAGE(OFFSET($H$3,0,0,'Données projet'!$E$9+1,1))</f>
        <v>247.05981224668733</v>
      </c>
      <c r="T44" s="62">
        <f t="shared" si="34"/>
        <v>345.23839191022898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0.10859855424374491</v>
      </c>
      <c r="AA44" s="23">
        <f>EXP(-LN(2)/25)*AA43+(1-EXP(-LN(2)/25))/(LN(2)/25)*Calculateur!V44*Calculateur!X44*VLOOKUP('Données projet'!$B$9,Paramètres!$A$1:$I$89,3,0)*0.475*44/12</f>
        <v>0.74217235852214569</v>
      </c>
      <c r="AB44" s="23">
        <f>EXP(-LN(2)/2)*AB43+(1-EXP(-LN(2)/2))/(LN(2)/2)*V44*Y44*VLOOKUP('Données projet'!$B$9,Paramètres!$A$1:$I$89,3,0)*0.475*44/12</f>
        <v>9.255101960931747E-2</v>
      </c>
      <c r="AC44" s="24">
        <f t="shared" si="3"/>
        <v>0.94332193237520801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8.6</v>
      </c>
      <c r="AI44" s="14">
        <f>IF('Données projet'!$A$62&gt;35,AI43+AH44-AQ43,IF(A44&lt;'Données projet'!$A$62,$AF$205^A44,IF(A44='Données projet'!$A$62,'Données projet'!$B$62,AI43+AH44-AQ43)))</f>
        <v>166.59999999999994</v>
      </c>
      <c r="AJ44" s="14">
        <f>AI44*VLOOKUP('Données projet'!$B$10,Paramètres!$A$1:$I$89,3,0)*VLOOKUP('Données projet'!$B$10,Paramètres!$A$1:$I$89,5,0)</f>
        <v>145.54175999999998</v>
      </c>
      <c r="AK44" s="14">
        <f t="shared" si="35"/>
        <v>37.563662342876064</v>
      </c>
      <c r="AL44" s="22">
        <f t="shared" si="4"/>
        <v>318.90861058050911</v>
      </c>
      <c r="AM44" s="62">
        <f t="shared" si="5"/>
        <v>612.24194391384242</v>
      </c>
      <c r="AN44" s="62">
        <f ca="1">AVERAGE(OFFSET($AM$3,0,0,'Données projet'!$E$10+1,1))-AVERAGE(OFFSET($H$3,0,0,'Données projet'!$E$10+1,1))</f>
        <v>235.92135862353973</v>
      </c>
      <c r="AO44" s="62">
        <f t="shared" si="36"/>
        <v>270.64539221029258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0.61786058677526834</v>
      </c>
      <c r="AV44" s="23">
        <f>EXP(-LN(2)/25)*AV43+(1-EXP(-LN(2)/25))/(LN(2)/25)*Calculateur!AQ44*Calculateur!AS44*VLOOKUP('Données projet'!$B$10,Paramètres!$A$1:$I$89,3,0)*0.475*44/12</f>
        <v>3.8296812905238635</v>
      </c>
      <c r="AW44" s="23">
        <f>EXP(-LN(2)/2)*AW43+(1-EXP(-LN(2)/2))/(LN(2)/2)*AQ44*AT44*VLOOKUP('Données projet'!$B$10,Paramètres!$A$1:$I$89,3,0)*0.475*44/12</f>
        <v>0.34336070586787448</v>
      </c>
      <c r="AX44" s="23">
        <f t="shared" si="6"/>
        <v>4.7909025831670071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</v>
      </c>
      <c r="N45" s="14">
        <f>IF('Données projet'!$A$36&gt;35,N44+M45-V44,IF(A45&lt;'Données projet'!$A$36,$K$205^A45,IF(A45='Données projet'!$A$36,'Données projet'!$B$36,N44+M45-V44)))</f>
        <v>237.0000000000002</v>
      </c>
      <c r="O45" s="14">
        <f>N45*VLOOKUP('Données projet'!$B$9,Paramètres!$A$1:$I$89,3,0)*VLOOKUP('Données projet'!$B$9,Paramètres!$A$1:$I$89,5,0)</f>
        <v>214.43760000000015</v>
      </c>
      <c r="P45" s="14">
        <f t="shared" si="33"/>
        <v>52.904129603372425</v>
      </c>
      <c r="Q45" s="22">
        <f t="shared" si="53"/>
        <v>465.6201790592072</v>
      </c>
      <c r="R45" s="62">
        <f t="shared" si="0"/>
        <v>758.95351239254046</v>
      </c>
      <c r="S45" s="62">
        <f ca="1">AVERAGE(OFFSET($R$3,0,0,'Données projet'!$E$9+1,1))-AVERAGE(OFFSET($H$3,0,0,'Données projet'!$E$9+1,1))</f>
        <v>247.05981224668733</v>
      </c>
      <c r="T45" s="62">
        <f t="shared" si="34"/>
        <v>345.23839191022898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0.10646900283360265</v>
      </c>
      <c r="AA45" s="23">
        <f>EXP(-LN(2)/25)*AA44+(1-EXP(-LN(2)/25))/(LN(2)/25)*Calculateur!V45*Calculateur!X45*VLOOKUP('Données projet'!$B$9,Paramètres!$A$1:$I$89,3,0)*0.475*44/12</f>
        <v>0.72187761634920955</v>
      </c>
      <c r="AB45" s="23">
        <f>EXP(-LN(2)/2)*AB44+(1-EXP(-LN(2)/2))/(LN(2)/2)*V45*Y45*VLOOKUP('Données projet'!$B$9,Paramètres!$A$1:$I$89,3,0)*0.475*44/12</f>
        <v>6.5443453571477517E-2</v>
      </c>
      <c r="AC45" s="24">
        <f t="shared" si="3"/>
        <v>0.89379007275428968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8.6</v>
      </c>
      <c r="AI45" s="14">
        <f>IF('Données projet'!$A$62&gt;35,AI44+AH45-AQ44,IF(A45&lt;'Données projet'!$A$62,$AF$205^A45,IF(A45='Données projet'!$A$62,'Données projet'!$B$62,AI44+AH45-AQ44)))</f>
        <v>175.19999999999993</v>
      </c>
      <c r="AJ45" s="14">
        <f>AI45*VLOOKUP('Données projet'!$B$10,Paramètres!$A$1:$I$89,3,0)*VLOOKUP('Données projet'!$B$10,Paramètres!$A$1:$I$89,5,0)</f>
        <v>153.05471999999995</v>
      </c>
      <c r="AK45" s="14">
        <f t="shared" si="35"/>
        <v>39.271965088385166</v>
      </c>
      <c r="AL45" s="22">
        <f t="shared" si="4"/>
        <v>334.96897652893739</v>
      </c>
      <c r="AM45" s="62">
        <f t="shared" si="5"/>
        <v>628.3023098622707</v>
      </c>
      <c r="AN45" s="62">
        <f ca="1">AVERAGE(OFFSET($AM$3,0,0,'Données projet'!$E$10+1,1))-AVERAGE(OFFSET($H$3,0,0,'Données projet'!$E$10+1,1))</f>
        <v>235.92135862353973</v>
      </c>
      <c r="AO45" s="62">
        <f t="shared" si="36"/>
        <v>270.64539221029258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0.60574471752635162</v>
      </c>
      <c r="AV45" s="23">
        <f>EXP(-LN(2)/25)*AV44+(1-EXP(-LN(2)/25))/(LN(2)/25)*Calculateur!AQ45*Calculateur!AS45*VLOOKUP('Données projet'!$B$10,Paramètres!$A$1:$I$89,3,0)*0.475*44/12</f>
        <v>3.7249584542403023</v>
      </c>
      <c r="AW45" s="23">
        <f>EXP(-LN(2)/2)*AW44+(1-EXP(-LN(2)/2))/(LN(2)/2)*AQ45*AT45*VLOOKUP('Données projet'!$B$10,Paramètres!$A$1:$I$89,3,0)*0.475*44/12</f>
        <v>0.24279268351217365</v>
      </c>
      <c r="AX45" s="23">
        <f t="shared" si="6"/>
        <v>4.5734958552788276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</v>
      </c>
      <c r="N46" s="14">
        <f>IF('Données projet'!$A$36&gt;35,N45+M46-V45,IF(A46&lt;'Données projet'!$A$36,$K$205^A46,IF(A46='Données projet'!$A$36,'Données projet'!$B$36,N45+M46-V45)))</f>
        <v>242.0000000000002</v>
      </c>
      <c r="O46" s="14">
        <f>N46*VLOOKUP('Données projet'!$B$9,Paramètres!$A$1:$I$89,3,0)*VLOOKUP('Données projet'!$B$9,Paramètres!$A$1:$I$89,5,0)</f>
        <v>218.96160000000017</v>
      </c>
      <c r="P46" s="14">
        <f t="shared" si="33"/>
        <v>53.889132503707479</v>
      </c>
      <c r="Q46" s="22">
        <f t="shared" si="53"/>
        <v>475.2150257772908</v>
      </c>
      <c r="R46" s="62">
        <f t="shared" si="0"/>
        <v>768.54835911062412</v>
      </c>
      <c r="S46" s="62">
        <f ca="1">AVERAGE(OFFSET($R$3,0,0,'Données projet'!$E$9+1,1))-AVERAGE(OFFSET($H$3,0,0,'Données projet'!$E$9+1,1))</f>
        <v>247.05981224668733</v>
      </c>
      <c r="T46" s="62">
        <f t="shared" si="34"/>
        <v>345.23839191022898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0.10438121062771517</v>
      </c>
      <c r="AA46" s="23">
        <f>EXP(-LN(2)/25)*AA45+(1-EXP(-LN(2)/25))/(LN(2)/25)*Calculateur!V46*Calculateur!X46*VLOOKUP('Données projet'!$B$9,Paramètres!$A$1:$I$89,3,0)*0.475*44/12</f>
        <v>0.70213783496824644</v>
      </c>
      <c r="AB46" s="23">
        <f>EXP(-LN(2)/2)*AB45+(1-EXP(-LN(2)/2))/(LN(2)/2)*V46*Y46*VLOOKUP('Données projet'!$B$9,Paramètres!$A$1:$I$89,3,0)*0.475*44/12</f>
        <v>4.6275509804658735E-2</v>
      </c>
      <c r="AC46" s="24">
        <f t="shared" si="3"/>
        <v>0.85279455540062044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8.6</v>
      </c>
      <c r="AI46" s="14">
        <f>IF('Données projet'!$A$62&gt;35,AI45+AH46-AQ45,IF(A46&lt;'Données projet'!$A$62,$AF$205^A46,IF(A46='Données projet'!$A$62,'Données projet'!$B$62,AI45+AH46-AQ45)))</f>
        <v>183.79999999999993</v>
      </c>
      <c r="AJ46" s="14">
        <f>AI46*VLOOKUP('Données projet'!$B$10,Paramètres!$A$1:$I$89,3,0)*VLOOKUP('Données projet'!$B$10,Paramètres!$A$1:$I$89,5,0)</f>
        <v>160.56767999999997</v>
      </c>
      <c r="AK46" s="14">
        <f t="shared" si="35"/>
        <v>40.970530810309882</v>
      </c>
      <c r="AL46" s="22">
        <f t="shared" si="4"/>
        <v>351.01238382795628</v>
      </c>
      <c r="AM46" s="62">
        <f t="shared" si="5"/>
        <v>644.3457171612896</v>
      </c>
      <c r="AN46" s="62">
        <f ca="1">AVERAGE(OFFSET($AM$3,0,0,'Données projet'!$E$10+1,1))-AVERAGE(OFFSET($H$3,0,0,'Données projet'!$E$10+1,1))</f>
        <v>235.92135862353973</v>
      </c>
      <c r="AO46" s="62">
        <f t="shared" si="36"/>
        <v>270.64539221029258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0.59386643308345566</v>
      </c>
      <c r="AV46" s="23">
        <f>EXP(-LN(2)/25)*AV45+(1-EXP(-LN(2)/25))/(LN(2)/25)*Calculateur!AQ46*Calculateur!AS46*VLOOKUP('Données projet'!$B$10,Paramètres!$A$1:$I$89,3,0)*0.475*44/12</f>
        <v>3.6230992694220494</v>
      </c>
      <c r="AW46" s="23">
        <f>EXP(-LN(2)/2)*AW45+(1-EXP(-LN(2)/2))/(LN(2)/2)*AQ46*AT46*VLOOKUP('Données projet'!$B$10,Paramètres!$A$1:$I$89,3,0)*0.475*44/12</f>
        <v>0.17168035293393727</v>
      </c>
      <c r="AX46" s="23">
        <f t="shared" si="6"/>
        <v>4.3886460554394429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</v>
      </c>
      <c r="N47" s="14">
        <f>IF('Données projet'!$A$36&gt;35,N46+M47-V46,IF(A47&lt;'Données projet'!$A$36,$K$205^A47,IF(A47='Données projet'!$A$36,'Données projet'!$B$36,N46+M47-V46)))</f>
        <v>247.0000000000002</v>
      </c>
      <c r="O47" s="14">
        <f>N47*VLOOKUP('Données projet'!$B$9,Paramètres!$A$1:$I$89,3,0)*VLOOKUP('Données projet'!$B$9,Paramètres!$A$1:$I$89,5,0)</f>
        <v>223.48560000000018</v>
      </c>
      <c r="P47" s="14">
        <f t="shared" si="33"/>
        <v>54.87176918107798</v>
      </c>
      <c r="Q47" s="22">
        <f t="shared" si="53"/>
        <v>484.80575132371115</v>
      </c>
      <c r="R47" s="62">
        <f t="shared" si="0"/>
        <v>778.13908465704446</v>
      </c>
      <c r="S47" s="62">
        <f ca="1">AVERAGE(OFFSET($R$3,0,0,'Données projet'!$E$9+1,1))-AVERAGE(OFFSET($H$3,0,0,'Données projet'!$E$9+1,1))</f>
        <v>247.05981224668733</v>
      </c>
      <c r="T47" s="62">
        <f t="shared" si="34"/>
        <v>345.23839191022898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0.10233435875355765</v>
      </c>
      <c r="AA47" s="23">
        <f>EXP(-LN(2)/25)*AA46+(1-EXP(-LN(2)/25))/(LN(2)/25)*Calculateur!V47*Calculateur!X47*VLOOKUP('Données projet'!$B$9,Paramètres!$A$1:$I$89,3,0)*0.475*44/12</f>
        <v>0.68293783894721571</v>
      </c>
      <c r="AB47" s="23">
        <f>EXP(-LN(2)/2)*AB46+(1-EXP(-LN(2)/2))/(LN(2)/2)*V47*Y47*VLOOKUP('Données projet'!$B$9,Paramètres!$A$1:$I$89,3,0)*0.475*44/12</f>
        <v>3.2721726785738758E-2</v>
      </c>
      <c r="AC47" s="24">
        <f t="shared" si="3"/>
        <v>0.8179939244865122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8.6</v>
      </c>
      <c r="AI47" s="14">
        <f>IF('Données projet'!$A$62&gt;35,AI46+AH47-AQ46,IF(A47&lt;'Données projet'!$A$62,$AF$205^A47,IF(A47='Données projet'!$A$62,'Données projet'!$B$62,AI46+AH47-AQ46)))</f>
        <v>192.39999999999992</v>
      </c>
      <c r="AJ47" s="14">
        <f>AI47*VLOOKUP('Données projet'!$B$10,Paramètres!$A$1:$I$89,3,0)*VLOOKUP('Données projet'!$B$10,Paramètres!$A$1:$I$89,5,0)</f>
        <v>168.08063999999996</v>
      </c>
      <c r="AK47" s="14">
        <f t="shared" si="35"/>
        <v>42.659867131343425</v>
      </c>
      <c r="AL47" s="22">
        <f t="shared" si="4"/>
        <v>367.03971658708974</v>
      </c>
      <c r="AM47" s="62">
        <f t="shared" si="5"/>
        <v>660.373049920423</v>
      </c>
      <c r="AN47" s="62">
        <f ca="1">AVERAGE(OFFSET($AM$3,0,0,'Données projet'!$E$10+1,1))-AVERAGE(OFFSET($H$3,0,0,'Données projet'!$E$10+1,1))</f>
        <v>235.92135862353973</v>
      </c>
      <c r="AO47" s="62">
        <f t="shared" si="36"/>
        <v>270.64539221029258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0.58222107455344674</v>
      </c>
      <c r="AV47" s="23">
        <f>EXP(-LN(2)/25)*AV46+(1-EXP(-LN(2)/25))/(LN(2)/25)*Calculateur!AQ47*Calculateur!AS47*VLOOKUP('Données projet'!$B$10,Paramètres!$A$1:$I$89,3,0)*0.475*44/12</f>
        <v>3.5240254293691935</v>
      </c>
      <c r="AW47" s="23">
        <f>EXP(-LN(2)/2)*AW46+(1-EXP(-LN(2)/2))/(LN(2)/2)*AQ47*AT47*VLOOKUP('Données projet'!$B$10,Paramètres!$A$1:$I$89,3,0)*0.475*44/12</f>
        <v>0.12139634175608684</v>
      </c>
      <c r="AX47" s="23">
        <f t="shared" si="6"/>
        <v>4.2276428456787274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252</v>
      </c>
      <c r="L48" s="13">
        <f>VLOOKUP(A48,'Données projet'!$A$35:$I$55,9,0)</f>
        <v>5</v>
      </c>
      <c r="M48" s="13">
        <f t="array" ref="M48">INDEX(L:L,MIN(IF(ISNUMBER(L48:L244),ROW(L48:L244),"")))</f>
        <v>5</v>
      </c>
      <c r="N48" s="14">
        <f>IF('Données projet'!$A$36&gt;35,N47+M48-V47,IF(A48&lt;'Données projet'!$A$36,$K$205^A48,IF(A48='Données projet'!$A$36,'Données projet'!$B$36,N47+M48-V47)))</f>
        <v>252.0000000000002</v>
      </c>
      <c r="O48" s="14">
        <f>N48*VLOOKUP('Données projet'!$B$9,Paramètres!$A$1:$I$89,3,0)*VLOOKUP('Données projet'!$B$9,Paramètres!$A$1:$I$89,5,0)</f>
        <v>228.00960000000018</v>
      </c>
      <c r="P48" s="14">
        <f t="shared" si="33"/>
        <v>55.852093054619878</v>
      </c>
      <c r="Q48" s="22">
        <f t="shared" si="53"/>
        <v>494.39244873679655</v>
      </c>
      <c r="R48" s="62">
        <f t="shared" si="0"/>
        <v>787.72578207012987</v>
      </c>
      <c r="S48" s="62">
        <f ca="1">AVERAGE(OFFSET($R$3,0,0,'Données projet'!$E$9+1,1))-AVERAGE(OFFSET($H$3,0,0,'Données projet'!$E$9+1,1))</f>
        <v>247.05981224668733</v>
      </c>
      <c r="T48" s="62">
        <f t="shared" si="34"/>
        <v>345.23839191022898</v>
      </c>
      <c r="U48" s="16">
        <f>IF(ISNA(VLOOKUP(A48,'Données projet'!$A$35:$I$55,3,0)),0,VLOOKUP(A48,'Données projet'!$A$35:$I$55,3,0))</f>
        <v>9</v>
      </c>
      <c r="V48" s="16">
        <f>IF(ISNA(VLOOKUP(A48,'Données projet'!$A$35:$I$55,4,0)),0,VLOOKUP(A48,'Données projet'!$A$35:$I$55,4,0))</f>
        <v>252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0.10032764439619597</v>
      </c>
      <c r="AA48" s="23">
        <f>EXP(-LN(2)/25)*AA47+(1-EXP(-LN(2)/25))/(LN(2)/25)*Calculateur!V48*Calculateur!X48*VLOOKUP('Données projet'!$B$9,Paramètres!$A$1:$I$89,3,0)*0.475*44/12</f>
        <v>0.66426286782706401</v>
      </c>
      <c r="AB48" s="23">
        <f>EXP(-LN(2)/2)*AB47+(1-EXP(-LN(2)/2))/(LN(2)/2)*V48*Y48*VLOOKUP('Données projet'!$B$9,Paramètres!$A$1:$I$89,3,0)*0.475*44/12</f>
        <v>2.3137754902329367E-2</v>
      </c>
      <c r="AC48" s="24">
        <f t="shared" si="3"/>
        <v>0.78772826712558941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201</v>
      </c>
      <c r="AG48" s="13">
        <f>VLOOKUP(A48,'Données projet'!$A$61:$I$81,9,0)</f>
        <v>8.6</v>
      </c>
      <c r="AH48" s="13">
        <f t="array" ref="AH48">INDEX(AG:AG,MIN(IF(ISNUMBER(AG48:AG244),ROW(AG48:AG244),"")))</f>
        <v>8.6</v>
      </c>
      <c r="AI48" s="14">
        <f>IF('Données projet'!$A$62&gt;35,AI47+AH48-AQ47,IF(A48&lt;'Données projet'!$A$62,$AF$205^A48,IF(A48='Données projet'!$A$62,'Données projet'!$B$62,AI47+AH48-AQ47)))</f>
        <v>200.99999999999991</v>
      </c>
      <c r="AJ48" s="14">
        <f>AI48*VLOOKUP('Données projet'!$B$10,Paramètres!$A$1:$I$89,3,0)*VLOOKUP('Données projet'!$B$10,Paramètres!$A$1:$I$89,5,0)</f>
        <v>175.59359999999995</v>
      </c>
      <c r="AK48" s="14">
        <f t="shared" si="35"/>
        <v>44.340433728638573</v>
      </c>
      <c r="AL48" s="22">
        <f t="shared" si="4"/>
        <v>383.05177541071203</v>
      </c>
      <c r="AM48" s="62">
        <f t="shared" si="5"/>
        <v>676.38510874404528</v>
      </c>
      <c r="AN48" s="62">
        <f ca="1">AVERAGE(OFFSET($AM$3,0,0,'Données projet'!$E$10+1,1))-AVERAGE(OFFSET($H$3,0,0,'Données projet'!$E$10+1,1))</f>
        <v>235.92135862353973</v>
      </c>
      <c r="AO48" s="62">
        <f t="shared" si="36"/>
        <v>270.64539221029258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31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0.57080407440124392</v>
      </c>
      <c r="AV48" s="23">
        <f>EXP(-LN(2)/25)*AV47+(1-EXP(-LN(2)/25))/(LN(2)/25)*Calculateur!AQ48*Calculateur!AS48*VLOOKUP('Données projet'!$B$10,Paramètres!$A$1:$I$89,3,0)*0.475*44/12</f>
        <v>3.4276607686826499</v>
      </c>
      <c r="AW48" s="23">
        <f>EXP(-LN(2)/2)*AW47+(1-EXP(-LN(2)/2))/(LN(2)/2)*AQ48*AT48*VLOOKUP('Données projet'!$B$10,Paramètres!$A$1:$I$89,3,0)*0.475*44/12</f>
        <v>8.5840176466968648E-2</v>
      </c>
      <c r="AX48" s="23">
        <f t="shared" si="6"/>
        <v>4.0843050195508619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1.9895196601282805E-13</v>
      </c>
      <c r="O49" s="14">
        <f>N49*VLOOKUP('Données projet'!$B$9,Paramètres!$A$1:$I$89,3,0)*VLOOKUP('Données projet'!$B$9,Paramètres!$A$1:$I$89,5,0)</f>
        <v>1.8001173884840681E-13</v>
      </c>
      <c r="P49" s="14">
        <f t="shared" si="33"/>
        <v>2.5254331426407198E-12</v>
      </c>
      <c r="Q49" s="22">
        <f t="shared" si="53"/>
        <v>4.7119831685935622E-12</v>
      </c>
      <c r="R49" s="62">
        <f t="shared" si="0"/>
        <v>293.33333333333803</v>
      </c>
      <c r="S49" s="62">
        <f ca="1">AVERAGE(OFFSET($R$3,0,0,'Données projet'!$E$9+1,1))-AVERAGE(OFFSET($H$3,0,0,'Données projet'!$E$9+1,1))</f>
        <v>247.05981224668733</v>
      </c>
      <c r="T49" s="62">
        <f t="shared" si="34"/>
        <v>345.23839191022898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9.8360280483407267E-2</v>
      </c>
      <c r="AA49" s="23">
        <f>EXP(-LN(2)/25)*AA48+(1-EXP(-LN(2)/25))/(LN(2)/25)*Calculateur!V49*Calculateur!X49*VLOOKUP('Données projet'!$B$9,Paramètres!$A$1:$I$89,3,0)*0.475*44/12</f>
        <v>0.64609856477426697</v>
      </c>
      <c r="AB49" s="23">
        <f>EXP(-LN(2)/2)*AB48+(1-EXP(-LN(2)/2))/(LN(2)/2)*V49*Y49*VLOOKUP('Données projet'!$B$9,Paramètres!$A$1:$I$89,3,0)*0.475*44/12</f>
        <v>1.6360863392869379E-2</v>
      </c>
      <c r="AC49" s="24">
        <f t="shared" si="3"/>
        <v>0.7608197086505436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7.8</v>
      </c>
      <c r="AI49" s="14">
        <f>IF('Données projet'!$A$62&gt;35,AI48+AH49-AQ48,IF(A49&lt;'Données projet'!$A$62,$AF$205^A49,IF(A49='Données projet'!$A$62,'Données projet'!$B$62,AI48+AH49-AQ48)))</f>
        <v>177.79999999999993</v>
      </c>
      <c r="AJ49" s="14">
        <f>AI49*VLOOKUP('Données projet'!$B$10,Paramètres!$A$1:$I$89,3,0)*VLOOKUP('Données projet'!$B$10,Paramètres!$A$1:$I$89,5,0)</f>
        <v>155.32607999999996</v>
      </c>
      <c r="AK49" s="14">
        <f t="shared" si="35"/>
        <v>39.786487601092411</v>
      </c>
      <c r="AL49" s="22">
        <f t="shared" si="4"/>
        <v>339.82105523856922</v>
      </c>
      <c r="AM49" s="62">
        <f t="shared" si="5"/>
        <v>633.15438857190247</v>
      </c>
      <c r="AN49" s="62">
        <f ca="1">AVERAGE(OFFSET($AM$3,0,0,'Données projet'!$E$10+1,1))-AVERAGE(OFFSET($H$3,0,0,'Données projet'!$E$10+1,1))</f>
        <v>235.92135862353973</v>
      </c>
      <c r="AO49" s="62">
        <f t="shared" si="36"/>
        <v>270.64539221029258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0.55961095465834332</v>
      </c>
      <c r="AV49" s="23">
        <f>EXP(-LN(2)/25)*AV48+(1-EXP(-LN(2)/25))/(LN(2)/25)*Calculateur!AQ49*Calculateur!AS49*VLOOKUP('Données projet'!$B$10,Paramètres!$A$1:$I$89,3,0)*0.475*44/12</f>
        <v>3.333931204710177</v>
      </c>
      <c r="AW49" s="23">
        <f>EXP(-LN(2)/2)*AW48+(1-EXP(-LN(2)/2))/(LN(2)/2)*AQ49*AT49*VLOOKUP('Données projet'!$B$10,Paramètres!$A$1:$I$89,3,0)*0.475*44/12</f>
        <v>6.0698170878043432E-2</v>
      </c>
      <c r="AX49" s="23">
        <f t="shared" si="6"/>
        <v>3.9542403302465639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1.9895196601282805E-13</v>
      </c>
      <c r="O50" s="14">
        <f>N50*VLOOKUP('Données projet'!$B$9,Paramètres!$A$1:$I$89,3,0)*VLOOKUP('Données projet'!$B$9,Paramètres!$A$1:$I$89,5,0)</f>
        <v>1.8001173884840681E-13</v>
      </c>
      <c r="P50" s="14">
        <f t="shared" si="33"/>
        <v>2.5254331426407198E-12</v>
      </c>
      <c r="Q50" s="22">
        <f t="shared" si="53"/>
        <v>4.7119831685935622E-12</v>
      </c>
      <c r="R50" s="62">
        <f t="shared" si="0"/>
        <v>293.33333333333803</v>
      </c>
      <c r="S50" s="62">
        <f ca="1">AVERAGE(OFFSET($R$3,0,0,'Données projet'!$E$9+1,1))-AVERAGE(OFFSET($H$3,0,0,'Données projet'!$E$9+1,1))</f>
        <v>247.05981224668733</v>
      </c>
      <c r="T50" s="62">
        <f t="shared" si="34"/>
        <v>345.23839191022898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9.6431495376974846E-2</v>
      </c>
      <c r="AA50" s="23">
        <f>EXP(-LN(2)/25)*AA49+(1-EXP(-LN(2)/25))/(LN(2)/25)*Calculateur!V50*Calculateur!X50*VLOOKUP('Données projet'!$B$9,Paramètres!$A$1:$I$89,3,0)*0.475*44/12</f>
        <v>0.62843096554366784</v>
      </c>
      <c r="AB50" s="23">
        <f>EXP(-LN(2)/2)*AB49+(1-EXP(-LN(2)/2))/(LN(2)/2)*V50*Y50*VLOOKUP('Données projet'!$B$9,Paramètres!$A$1:$I$89,3,0)*0.475*44/12</f>
        <v>1.1568877451164684E-2</v>
      </c>
      <c r="AC50" s="24">
        <f t="shared" si="3"/>
        <v>0.7364313383718073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7.8</v>
      </c>
      <c r="AI50" s="14">
        <f>IF('Données projet'!$A$62&gt;35,AI49+AH50-AQ49,IF(A50&lt;'Données projet'!$A$62,$AF$205^A50,IF(A50='Données projet'!$A$62,'Données projet'!$B$62,AI49+AH50-AQ49)))</f>
        <v>185.59999999999994</v>
      </c>
      <c r="AJ50" s="14">
        <f>AI50*VLOOKUP('Données projet'!$B$10,Paramètres!$A$1:$I$89,3,0)*VLOOKUP('Données projet'!$B$10,Paramètres!$A$1:$I$89,5,0)</f>
        <v>162.14015999999998</v>
      </c>
      <c r="AK50" s="14">
        <f t="shared" si="35"/>
        <v>41.324860537333677</v>
      </c>
      <c r="AL50" s="22">
        <f t="shared" si="4"/>
        <v>354.36824410252279</v>
      </c>
      <c r="AM50" s="62">
        <f t="shared" si="5"/>
        <v>647.70157743585605</v>
      </c>
      <c r="AN50" s="62">
        <f ca="1">AVERAGE(OFFSET($AM$3,0,0,'Données projet'!$E$10+1,1))-AVERAGE(OFFSET($H$3,0,0,'Données projet'!$E$10+1,1))</f>
        <v>235.92135862353973</v>
      </c>
      <c r="AO50" s="62">
        <f t="shared" si="36"/>
        <v>270.64539221029258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0.54863732516647212</v>
      </c>
      <c r="AV50" s="23">
        <f>EXP(-LN(2)/25)*AV49+(1-EXP(-LN(2)/25))/(LN(2)/25)*Calculateur!AQ50*Calculateur!AS50*VLOOKUP('Données projet'!$B$10,Paramètres!$A$1:$I$89,3,0)*0.475*44/12</f>
        <v>3.242764680593555</v>
      </c>
      <c r="AW50" s="23">
        <f>EXP(-LN(2)/2)*AW49+(1-EXP(-LN(2)/2))/(LN(2)/2)*AQ50*AT50*VLOOKUP('Données projet'!$B$10,Paramètres!$A$1:$I$89,3,0)*0.475*44/12</f>
        <v>4.2920088233484331E-2</v>
      </c>
      <c r="AX50" s="23">
        <f t="shared" si="6"/>
        <v>3.8343220939935114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1.9895196601282805E-13</v>
      </c>
      <c r="O51" s="14">
        <f>N51*VLOOKUP('Données projet'!$B$9,Paramètres!$A$1:$I$89,3,0)*VLOOKUP('Données projet'!$B$9,Paramètres!$A$1:$I$89,5,0)</f>
        <v>1.8001173884840681E-13</v>
      </c>
      <c r="P51" s="14">
        <f t="shared" si="33"/>
        <v>2.5254331426407198E-12</v>
      </c>
      <c r="Q51" s="22">
        <f t="shared" si="53"/>
        <v>4.7119831685935622E-12</v>
      </c>
      <c r="R51" s="62">
        <f t="shared" si="0"/>
        <v>293.33333333333803</v>
      </c>
      <c r="S51" s="62">
        <f ca="1">AVERAGE(OFFSET($R$3,0,0,'Données projet'!$E$9+1,1))-AVERAGE(OFFSET($H$3,0,0,'Données projet'!$E$9+1,1))</f>
        <v>247.05981224668733</v>
      </c>
      <c r="T51" s="62">
        <f t="shared" si="34"/>
        <v>345.23839191022898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9.454053257003682E-2</v>
      </c>
      <c r="AA51" s="23">
        <f>EXP(-LN(2)/25)*AA50+(1-EXP(-LN(2)/25))/(LN(2)/25)*Calculateur!V51*Calculateur!X51*VLOOKUP('Données projet'!$B$9,Paramètres!$A$1:$I$89,3,0)*0.475*44/12</f>
        <v>0.61124648774312806</v>
      </c>
      <c r="AB51" s="23">
        <f>EXP(-LN(2)/2)*AB50+(1-EXP(-LN(2)/2))/(LN(2)/2)*V51*Y51*VLOOKUP('Données projet'!$B$9,Paramètres!$A$1:$I$89,3,0)*0.475*44/12</f>
        <v>8.1804316964346896E-3</v>
      </c>
      <c r="AC51" s="24">
        <f t="shared" si="3"/>
        <v>0.71396745200959955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7.8</v>
      </c>
      <c r="AI51" s="14">
        <f>IF('Données projet'!$A$62&gt;35,AI50+AH51-AQ50,IF(A51&lt;'Données projet'!$A$62,$AF$205^A51,IF(A51='Données projet'!$A$62,'Données projet'!$B$62,AI50+AH51-AQ50)))</f>
        <v>193.39999999999995</v>
      </c>
      <c r="AJ51" s="14">
        <f>AI51*VLOOKUP('Données projet'!$B$10,Paramètres!$A$1:$I$89,3,0)*VLOOKUP('Données projet'!$B$10,Paramètres!$A$1:$I$89,5,0)</f>
        <v>168.95424</v>
      </c>
      <c r="AK51" s="14">
        <f t="shared" si="35"/>
        <v>42.855724087026708</v>
      </c>
      <c r="AL51" s="22">
        <f t="shared" si="4"/>
        <v>368.90235411823818</v>
      </c>
      <c r="AM51" s="62">
        <f t="shared" si="5"/>
        <v>662.23568745157149</v>
      </c>
      <c r="AN51" s="62">
        <f ca="1">AVERAGE(OFFSET($AM$3,0,0,'Données projet'!$E$10+1,1))-AVERAGE(OFFSET($H$3,0,0,'Données projet'!$E$10+1,1))</f>
        <v>235.92135862353973</v>
      </c>
      <c r="AO51" s="62">
        <f t="shared" si="36"/>
        <v>270.64539221029258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0.53787888185568344</v>
      </c>
      <c r="AV51" s="23">
        <f>EXP(-LN(2)/25)*AV50+(1-EXP(-LN(2)/25))/(LN(2)/25)*Calculateur!AQ51*Calculateur!AS51*VLOOKUP('Données projet'!$B$10,Paramètres!$A$1:$I$89,3,0)*0.475*44/12</f>
        <v>3.154091109873141</v>
      </c>
      <c r="AW51" s="23">
        <f>EXP(-LN(2)/2)*AW50+(1-EXP(-LN(2)/2))/(LN(2)/2)*AQ51*AT51*VLOOKUP('Données projet'!$B$10,Paramètres!$A$1:$I$89,3,0)*0.475*44/12</f>
        <v>3.034908543902172E-2</v>
      </c>
      <c r="AX51" s="23">
        <f t="shared" si="6"/>
        <v>3.7223190771678465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1.9895196601282805E-13</v>
      </c>
      <c r="O52" s="14">
        <f>N52*VLOOKUP('Données projet'!$B$9,Paramètres!$A$1:$I$89,3,0)*VLOOKUP('Données projet'!$B$9,Paramètres!$A$1:$I$89,5,0)</f>
        <v>1.8001173884840681E-13</v>
      </c>
      <c r="P52" s="14">
        <f t="shared" si="33"/>
        <v>2.5254331426407198E-12</v>
      </c>
      <c r="Q52" s="22">
        <f t="shared" si="53"/>
        <v>4.7119831685935622E-12</v>
      </c>
      <c r="R52" s="62">
        <f t="shared" si="0"/>
        <v>293.33333333333803</v>
      </c>
      <c r="S52" s="62">
        <f ca="1">AVERAGE(OFFSET($R$3,0,0,'Données projet'!$E$9+1,1))-AVERAGE(OFFSET($H$3,0,0,'Données projet'!$E$9+1,1))</f>
        <v>247.05981224668733</v>
      </c>
      <c r="T52" s="62">
        <f t="shared" si="34"/>
        <v>345.23839191022898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9.2686650390369413E-2</v>
      </c>
      <c r="AA52" s="23">
        <f>EXP(-LN(2)/25)*AA51+(1-EXP(-LN(2)/25))/(LN(2)/25)*Calculateur!V52*Calculateur!X52*VLOOKUP('Données projet'!$B$9,Paramètres!$A$1:$I$89,3,0)*0.475*44/12</f>
        <v>0.59453192039173641</v>
      </c>
      <c r="AB52" s="23">
        <f>EXP(-LN(2)/2)*AB51+(1-EXP(-LN(2)/2))/(LN(2)/2)*V52*Y52*VLOOKUP('Données projet'!$B$9,Paramètres!$A$1:$I$89,3,0)*0.475*44/12</f>
        <v>5.7844387255823419E-3</v>
      </c>
      <c r="AC52" s="24">
        <f t="shared" si="3"/>
        <v>0.69300300950768812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7.8</v>
      </c>
      <c r="AI52" s="14">
        <f>IF('Données projet'!$A$62&gt;35,AI51+AH52-AQ51,IF(A52&lt;'Données projet'!$A$62,$AF$205^A52,IF(A52='Données projet'!$A$62,'Données projet'!$B$62,AI51+AH52-AQ51)))</f>
        <v>201.19999999999996</v>
      </c>
      <c r="AJ52" s="14">
        <f>AI52*VLOOKUP('Données projet'!$B$10,Paramètres!$A$1:$I$89,3,0)*VLOOKUP('Données projet'!$B$10,Paramètres!$A$1:$I$89,5,0)</f>
        <v>175.76831999999999</v>
      </c>
      <c r="AK52" s="14">
        <f t="shared" si="35"/>
        <v>44.379415757690168</v>
      </c>
      <c r="AL52" s="22">
        <f t="shared" si="4"/>
        <v>383.42397311131032</v>
      </c>
      <c r="AM52" s="62">
        <f t="shared" si="5"/>
        <v>676.75730644464363</v>
      </c>
      <c r="AN52" s="62">
        <f ca="1">AVERAGE(OFFSET($AM$3,0,0,'Données projet'!$E$10+1,1))-AVERAGE(OFFSET($H$3,0,0,'Données projet'!$E$10+1,1))</f>
        <v>235.92135862353973</v>
      </c>
      <c r="AO52" s="62">
        <f t="shared" si="36"/>
        <v>270.64539221029258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0.52733140505621678</v>
      </c>
      <c r="AV52" s="23">
        <f>EXP(-LN(2)/25)*AV51+(1-EXP(-LN(2)/25))/(LN(2)/25)*Calculateur!AQ52*Calculateur!AS52*VLOOKUP('Données projet'!$B$10,Paramètres!$A$1:$I$89,3,0)*0.475*44/12</f>
        <v>3.0678423226072171</v>
      </c>
      <c r="AW52" s="23">
        <f>EXP(-LN(2)/2)*AW51+(1-EXP(-LN(2)/2))/(LN(2)/2)*AQ52*AT52*VLOOKUP('Données projet'!$B$10,Paramètres!$A$1:$I$89,3,0)*0.475*44/12</f>
        <v>2.1460044116742169E-2</v>
      </c>
      <c r="AX52" s="23">
        <f t="shared" si="6"/>
        <v>3.616633771780176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1.9895196601282805E-13</v>
      </c>
      <c r="O53" s="14">
        <f>N53*VLOOKUP('Données projet'!$B$9,Paramètres!$A$1:$I$89,3,0)*VLOOKUP('Données projet'!$B$9,Paramètres!$A$1:$I$89,5,0)</f>
        <v>1.8001173884840681E-13</v>
      </c>
      <c r="P53" s="14">
        <f t="shared" si="33"/>
        <v>2.5254331426407198E-12</v>
      </c>
      <c r="Q53" s="22">
        <f t="shared" si="53"/>
        <v>4.7119831685935622E-12</v>
      </c>
      <c r="R53" s="62">
        <f t="shared" si="0"/>
        <v>293.33333333333803</v>
      </c>
      <c r="S53" s="62">
        <f ca="1">AVERAGE(OFFSET($R$3,0,0,'Données projet'!$E$9+1,1))-AVERAGE(OFFSET($H$3,0,0,'Données projet'!$E$9+1,1))</f>
        <v>247.05981224668733</v>
      </c>
      <c r="T53" s="62">
        <f t="shared" si="34"/>
        <v>345.23839191022898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9.0869121709488812E-2</v>
      </c>
      <c r="AA53" s="23">
        <f>EXP(-LN(2)/25)*AA52+(1-EXP(-LN(2)/25))/(LN(2)/25)*Calculateur!V53*Calculateur!X53*VLOOKUP('Données projet'!$B$9,Paramètres!$A$1:$I$89,3,0)*0.475*44/12</f>
        <v>0.57827441376354949</v>
      </c>
      <c r="AB53" s="23">
        <f>EXP(-LN(2)/2)*AB52+(1-EXP(-LN(2)/2))/(LN(2)/2)*V53*Y53*VLOOKUP('Données projet'!$B$9,Paramètres!$A$1:$I$89,3,0)*0.475*44/12</f>
        <v>4.0902158482173448E-3</v>
      </c>
      <c r="AC53" s="24">
        <f t="shared" si="3"/>
        <v>0.67323375132125562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209</v>
      </c>
      <c r="AG53" s="13">
        <f>VLOOKUP(A53,'Données projet'!$A$61:$I$81,9,0)</f>
        <v>7.8</v>
      </c>
      <c r="AH53" s="13">
        <f t="array" ref="AH53">INDEX(AG:AG,MIN(IF(ISNUMBER(AG53:AG249),ROW(AG53:AG249),"")))</f>
        <v>7.8</v>
      </c>
      <c r="AI53" s="14">
        <f>IF('Données projet'!$A$62&gt;35,AI52+AH53-AQ52,IF(A53&lt;'Données projet'!$A$62,$AF$205^A53,IF(A53='Données projet'!$A$62,'Données projet'!$B$62,AI52+AH53-AQ52)))</f>
        <v>208.99999999999997</v>
      </c>
      <c r="AJ53" s="14">
        <f>AI53*VLOOKUP('Données projet'!$B$10,Paramètres!$A$1:$I$89,3,0)*VLOOKUP('Données projet'!$B$10,Paramètres!$A$1:$I$89,5,0)</f>
        <v>182.58240000000001</v>
      </c>
      <c r="AK53" s="14">
        <f t="shared" si="35"/>
        <v>45.896245406460288</v>
      </c>
      <c r="AL53" s="22">
        <f t="shared" si="4"/>
        <v>397.93364074958498</v>
      </c>
      <c r="AM53" s="62">
        <f t="shared" si="5"/>
        <v>691.2669740829183</v>
      </c>
      <c r="AN53" s="62">
        <f ca="1">AVERAGE(OFFSET($AM$3,0,0,'Données projet'!$E$10+1,1))-AVERAGE(OFFSET($H$3,0,0,'Données projet'!$E$10+1,1))</f>
        <v>235.92135862353973</v>
      </c>
      <c r="AO53" s="62">
        <f t="shared" si="36"/>
        <v>270.64539221029258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0.51699075784346216</v>
      </c>
      <c r="AV53" s="23">
        <f>EXP(-LN(2)/25)*AV52+(1-EXP(-LN(2)/25))/(LN(2)/25)*Calculateur!AQ53*Calculateur!AS53*VLOOKUP('Données projet'!$B$10,Paramètres!$A$1:$I$89,3,0)*0.475*44/12</f>
        <v>2.9839520129647066</v>
      </c>
      <c r="AW53" s="23">
        <f>EXP(-LN(2)/2)*AW52+(1-EXP(-LN(2)/2))/(LN(2)/2)*AQ53*AT53*VLOOKUP('Données projet'!$B$10,Paramètres!$A$1:$I$89,3,0)*0.475*44/12</f>
        <v>1.5174542719510863E-2</v>
      </c>
      <c r="AX53" s="23">
        <f t="shared" si="6"/>
        <v>3.5161173135276793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1.9895196601282805E-13</v>
      </c>
      <c r="O54" s="14">
        <f>N54*VLOOKUP('Données projet'!$B$9,Paramètres!$A$1:$I$89,3,0)*VLOOKUP('Données projet'!$B$9,Paramètres!$A$1:$I$89,5,0)</f>
        <v>1.8001173884840681E-13</v>
      </c>
      <c r="P54" s="14">
        <f t="shared" si="33"/>
        <v>2.5254331426407198E-12</v>
      </c>
      <c r="Q54" s="22">
        <f t="shared" si="53"/>
        <v>4.7119831685935622E-12</v>
      </c>
      <c r="R54" s="62">
        <f t="shared" si="0"/>
        <v>293.33333333333803</v>
      </c>
      <c r="S54" s="62">
        <f ca="1">AVERAGE(OFFSET($R$3,0,0,'Données projet'!$E$9+1,1))-AVERAGE(OFFSET($H$3,0,0,'Données projet'!$E$9+1,1))</f>
        <v>247.05981224668733</v>
      </c>
      <c r="T54" s="62">
        <f t="shared" si="34"/>
        <v>345.23839191022898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8.9087233657457243E-2</v>
      </c>
      <c r="AA54" s="23">
        <f>EXP(-LN(2)/25)*AA53+(1-EXP(-LN(2)/25))/(LN(2)/25)*Calculateur!V54*Calculateur!X54*VLOOKUP('Données projet'!$B$9,Paramètres!$A$1:$I$89,3,0)*0.475*44/12</f>
        <v>0.56246146950905551</v>
      </c>
      <c r="AB54" s="23">
        <f>EXP(-LN(2)/2)*AB53+(1-EXP(-LN(2)/2))/(LN(2)/2)*V54*Y54*VLOOKUP('Données projet'!$B$9,Paramètres!$A$1:$I$89,3,0)*0.475*44/12</f>
        <v>2.8922193627911709E-3</v>
      </c>
      <c r="AC54" s="24">
        <f t="shared" si="3"/>
        <v>0.65444092252930397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6.8</v>
      </c>
      <c r="AI54" s="14">
        <f>IF('Données projet'!$A$62&gt;35,AI53+AH54-AQ53,IF(A54&lt;'Données projet'!$A$62,$AF$205^A54,IF(A54='Données projet'!$A$62,'Données projet'!$B$62,AI53+AH54-AQ53)))</f>
        <v>187.79999999999998</v>
      </c>
      <c r="AJ54" s="14">
        <f>AI54*VLOOKUP('Données projet'!$B$10,Paramètres!$A$1:$I$89,3,0)*VLOOKUP('Données projet'!$B$10,Paramètres!$A$1:$I$89,5,0)</f>
        <v>164.06208000000001</v>
      </c>
      <c r="AK54" s="14">
        <f t="shared" si="35"/>
        <v>41.75738773013461</v>
      </c>
      <c r="AL54" s="22">
        <f t="shared" si="4"/>
        <v>358.46890629665108</v>
      </c>
      <c r="AM54" s="62">
        <f t="shared" si="5"/>
        <v>651.80223962998434</v>
      </c>
      <c r="AN54" s="62">
        <f ca="1">AVERAGE(OFFSET($AM$3,0,0,'Données projet'!$E$10+1,1))-AVERAGE(OFFSET($H$3,0,0,'Données projet'!$E$10+1,1))</f>
        <v>235.92135862353973</v>
      </c>
      <c r="AO54" s="62">
        <f t="shared" si="36"/>
        <v>270.64539221029258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0.50685288441537757</v>
      </c>
      <c r="AV54" s="23">
        <f>EXP(-LN(2)/25)*AV53+(1-EXP(-LN(2)/25))/(LN(2)/25)*Calculateur!AQ54*Calculateur!AS54*VLOOKUP('Données projet'!$B$10,Paramètres!$A$1:$I$89,3,0)*0.475*44/12</f>
        <v>2.90235568825097</v>
      </c>
      <c r="AW54" s="23">
        <f>EXP(-LN(2)/2)*AW53+(1-EXP(-LN(2)/2))/(LN(2)/2)*AQ54*AT54*VLOOKUP('Données projet'!$B$10,Paramètres!$A$1:$I$89,3,0)*0.475*44/12</f>
        <v>1.0730022058371086E-2</v>
      </c>
      <c r="AX54" s="23">
        <f t="shared" si="6"/>
        <v>3.4199385947247189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1.9895196601282805E-13</v>
      </c>
      <c r="O55" s="14">
        <f>N55*VLOOKUP('Données projet'!$B$9,Paramètres!$A$1:$I$89,3,0)*VLOOKUP('Données projet'!$B$9,Paramètres!$A$1:$I$89,5,0)</f>
        <v>1.8001173884840681E-13</v>
      </c>
      <c r="P55" s="14">
        <f t="shared" si="33"/>
        <v>2.5254331426407198E-12</v>
      </c>
      <c r="Q55" s="22">
        <f t="shared" si="53"/>
        <v>4.7119831685935622E-12</v>
      </c>
      <c r="R55" s="62">
        <f t="shared" si="0"/>
        <v>293.33333333333803</v>
      </c>
      <c r="S55" s="62">
        <f ca="1">AVERAGE(OFFSET($R$3,0,0,'Données projet'!$E$9+1,1))-AVERAGE(OFFSET($H$3,0,0,'Données projet'!$E$9+1,1))</f>
        <v>247.05981224668733</v>
      </c>
      <c r="T55" s="62">
        <f t="shared" si="34"/>
        <v>345.23839191022898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8.7340287343281614E-2</v>
      </c>
      <c r="AA55" s="23">
        <f>EXP(-LN(2)/25)*AA54+(1-EXP(-LN(2)/25))/(LN(2)/25)*Calculateur!V55*Calculateur!X55*VLOOKUP('Données projet'!$B$9,Paramètres!$A$1:$I$89,3,0)*0.475*44/12</f>
        <v>0.54708093104676725</v>
      </c>
      <c r="AB55" s="23">
        <f>EXP(-LN(2)/2)*AB54+(1-EXP(-LN(2)/2))/(LN(2)/2)*V55*Y55*VLOOKUP('Données projet'!$B$9,Paramètres!$A$1:$I$89,3,0)*0.475*44/12</f>
        <v>2.0451079241086724E-3</v>
      </c>
      <c r="AC55" s="24">
        <f t="shared" si="3"/>
        <v>0.63646632631415756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6.8</v>
      </c>
      <c r="AI55" s="14">
        <f>IF('Données projet'!$A$62&gt;35,AI54+AH55-AQ54,IF(A55&lt;'Données projet'!$A$62,$AF$205^A55,IF(A55='Données projet'!$A$62,'Données projet'!$B$62,AI54+AH55-AQ54)))</f>
        <v>194.6</v>
      </c>
      <c r="AJ55" s="14">
        <f>AI55*VLOOKUP('Données projet'!$B$10,Paramètres!$A$1:$I$89,3,0)*VLOOKUP('Données projet'!$B$10,Paramètres!$A$1:$I$89,5,0)</f>
        <v>170.00256000000002</v>
      </c>
      <c r="AK55" s="14">
        <f t="shared" si="35"/>
        <v>43.090596939649579</v>
      </c>
      <c r="AL55" s="22">
        <f t="shared" si="4"/>
        <v>371.1372483365563</v>
      </c>
      <c r="AM55" s="62">
        <f t="shared" si="5"/>
        <v>664.47058166988961</v>
      </c>
      <c r="AN55" s="62">
        <f ca="1">AVERAGE(OFFSET($AM$3,0,0,'Données projet'!$E$10+1,1))-AVERAGE(OFFSET($H$3,0,0,'Données projet'!$E$10+1,1))</f>
        <v>235.92135862353973</v>
      </c>
      <c r="AO55" s="62">
        <f t="shared" si="36"/>
        <v>270.64539221029258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0.49691380850172551</v>
      </c>
      <c r="AV55" s="23">
        <f>EXP(-LN(2)/25)*AV54+(1-EXP(-LN(2)/25))/(LN(2)/25)*Calculateur!AQ55*Calculateur!AS55*VLOOKUP('Données projet'!$B$10,Paramètres!$A$1:$I$89,3,0)*0.475*44/12</f>
        <v>2.822990619327495</v>
      </c>
      <c r="AW55" s="23">
        <f>EXP(-LN(2)/2)*AW54+(1-EXP(-LN(2)/2))/(LN(2)/2)*AQ55*AT55*VLOOKUP('Données projet'!$B$10,Paramètres!$A$1:$I$89,3,0)*0.475*44/12</f>
        <v>7.5872713597554325E-3</v>
      </c>
      <c r="AX55" s="23">
        <f t="shared" si="6"/>
        <v>3.3274916991889758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1.9895196601282805E-13</v>
      </c>
      <c r="O56" s="14">
        <f>N56*VLOOKUP('Données projet'!$B$9,Paramètres!$A$1:$I$89,3,0)*VLOOKUP('Données projet'!$B$9,Paramètres!$A$1:$I$89,5,0)</f>
        <v>1.8001173884840681E-13</v>
      </c>
      <c r="P56" s="14">
        <f t="shared" si="33"/>
        <v>2.5254331426407198E-12</v>
      </c>
      <c r="Q56" s="22">
        <f t="shared" si="53"/>
        <v>4.7119831685935622E-12</v>
      </c>
      <c r="R56" s="62">
        <f t="shared" si="0"/>
        <v>293.33333333333803</v>
      </c>
      <c r="S56" s="62">
        <f ca="1">AVERAGE(OFFSET($R$3,0,0,'Données projet'!$E$9+1,1))-AVERAGE(OFFSET($H$3,0,0,'Données projet'!$E$9+1,1))</f>
        <v>247.05981224668733</v>
      </c>
      <c r="T56" s="62">
        <f t="shared" si="34"/>
        <v>345.23839191022898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8.562759758079494E-2</v>
      </c>
      <c r="AA56" s="23">
        <f>EXP(-LN(2)/25)*AA55+(1-EXP(-LN(2)/25))/(LN(2)/25)*Calculateur!V56*Calculateur!X56*VLOOKUP('Données projet'!$B$9,Paramètres!$A$1:$I$89,3,0)*0.475*44/12</f>
        <v>0.53212097421755755</v>
      </c>
      <c r="AB56" s="23">
        <f>EXP(-LN(2)/2)*AB55+(1-EXP(-LN(2)/2))/(LN(2)/2)*V56*Y56*VLOOKUP('Données projet'!$B$9,Paramètres!$A$1:$I$89,3,0)*0.475*44/12</f>
        <v>1.4461096813955855E-3</v>
      </c>
      <c r="AC56" s="24">
        <f t="shared" si="3"/>
        <v>0.6191946814797481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6.8</v>
      </c>
      <c r="AI56" s="14">
        <f>IF('Données projet'!$A$62&gt;35,AI55+AH56-AQ55,IF(A56&lt;'Données projet'!$A$62,$AF$205^A56,IF(A56='Données projet'!$A$62,'Données projet'!$B$62,AI55+AH56-AQ55)))</f>
        <v>201.4</v>
      </c>
      <c r="AJ56" s="14">
        <f>AI56*VLOOKUP('Données projet'!$B$10,Paramètres!$A$1:$I$89,3,0)*VLOOKUP('Données projet'!$B$10,Paramètres!$A$1:$I$89,5,0)</f>
        <v>175.94304000000002</v>
      </c>
      <c r="AK56" s="14">
        <f t="shared" si="35"/>
        <v>44.418393276556458</v>
      </c>
      <c r="AL56" s="22">
        <f t="shared" si="4"/>
        <v>383.79616295666915</v>
      </c>
      <c r="AM56" s="62">
        <f t="shared" si="5"/>
        <v>677.12949629000241</v>
      </c>
      <c r="AN56" s="62">
        <f ca="1">AVERAGE(OFFSET($AM$3,0,0,'Données projet'!$E$10+1,1))-AVERAGE(OFFSET($H$3,0,0,'Données projet'!$E$10+1,1))</f>
        <v>235.92135862353973</v>
      </c>
      <c r="AO56" s="62">
        <f t="shared" si="36"/>
        <v>270.64539221029258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0.48716963180450246</v>
      </c>
      <c r="AV56" s="23">
        <f>EXP(-LN(2)/25)*AV55+(1-EXP(-LN(2)/25))/(LN(2)/25)*Calculateur!AQ56*Calculateur!AS56*VLOOKUP('Données projet'!$B$10,Paramètres!$A$1:$I$89,3,0)*0.475*44/12</f>
        <v>2.7457957923873599</v>
      </c>
      <c r="AW56" s="23">
        <f>EXP(-LN(2)/2)*AW55+(1-EXP(-LN(2)/2))/(LN(2)/2)*AQ56*AT56*VLOOKUP('Données projet'!$B$10,Paramètres!$A$1:$I$89,3,0)*0.475*44/12</f>
        <v>5.365011029185544E-3</v>
      </c>
      <c r="AX56" s="23">
        <f t="shared" si="6"/>
        <v>3.2383304352210476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1.9895196601282805E-13</v>
      </c>
      <c r="O57" s="14">
        <f>N57*VLOOKUP('Données projet'!$B$9,Paramètres!$A$1:$I$89,3,0)*VLOOKUP('Données projet'!$B$9,Paramètres!$A$1:$I$89,5,0)</f>
        <v>1.8001173884840681E-13</v>
      </c>
      <c r="P57" s="14">
        <f t="shared" si="33"/>
        <v>2.5254331426407198E-12</v>
      </c>
      <c r="Q57" s="22">
        <f t="shared" si="53"/>
        <v>4.7119831685935622E-12</v>
      </c>
      <c r="R57" s="62">
        <f t="shared" si="0"/>
        <v>293.33333333333803</v>
      </c>
      <c r="S57" s="62">
        <f ca="1">AVERAGE(OFFSET($R$3,0,0,'Données projet'!$E$9+1,1))-AVERAGE(OFFSET($H$3,0,0,'Données projet'!$E$9+1,1))</f>
        <v>247.05981224668733</v>
      </c>
      <c r="T57" s="62">
        <f t="shared" si="34"/>
        <v>345.23839191022898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8.3948492619913023E-2</v>
      </c>
      <c r="AA57" s="23">
        <f>EXP(-LN(2)/25)*AA56+(1-EXP(-LN(2)/25))/(LN(2)/25)*Calculateur!V57*Calculateur!X57*VLOOKUP('Données projet'!$B$9,Paramètres!$A$1:$I$89,3,0)*0.475*44/12</f>
        <v>0.51757009819455257</v>
      </c>
      <c r="AB57" s="23">
        <f>EXP(-LN(2)/2)*AB56+(1-EXP(-LN(2)/2))/(LN(2)/2)*V57*Y57*VLOOKUP('Données projet'!$B$9,Paramètres!$A$1:$I$89,3,0)*0.475*44/12</f>
        <v>1.0225539620543362E-3</v>
      </c>
      <c r="AC57" s="24">
        <f t="shared" si="3"/>
        <v>0.60254114477651988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6.8</v>
      </c>
      <c r="AI57" s="14">
        <f>IF('Données projet'!$A$62&gt;35,AI56+AH57-AQ56,IF(A57&lt;'Données projet'!$A$62,$AF$205^A57,IF(A57='Données projet'!$A$62,'Données projet'!$B$62,AI56+AH57-AQ56)))</f>
        <v>208.20000000000002</v>
      </c>
      <c r="AJ57" s="14">
        <f>AI57*VLOOKUP('Données projet'!$B$10,Paramètres!$A$1:$I$89,3,0)*VLOOKUP('Données projet'!$B$10,Paramètres!$A$1:$I$89,5,0)</f>
        <v>181.88352000000006</v>
      </c>
      <c r="AK57" s="14">
        <f t="shared" si="35"/>
        <v>45.74098045051349</v>
      </c>
      <c r="AL57" s="22">
        <f t="shared" si="4"/>
        <v>396.44600495131112</v>
      </c>
      <c r="AM57" s="62">
        <f t="shared" si="5"/>
        <v>689.77933828464438</v>
      </c>
      <c r="AN57" s="62">
        <f ca="1">AVERAGE(OFFSET($AM$3,0,0,'Données projet'!$E$10+1,1))-AVERAGE(OFFSET($H$3,0,0,'Données projet'!$E$10+1,1))</f>
        <v>235.92135862353973</v>
      </c>
      <c r="AO57" s="62">
        <f t="shared" si="36"/>
        <v>270.64539221029258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0.47761653246895103</v>
      </c>
      <c r="AV57" s="23">
        <f>EXP(-LN(2)/25)*AV56+(1-EXP(-LN(2)/25))/(LN(2)/25)*Calculateur!AQ57*Calculateur!AS57*VLOOKUP('Données projet'!$B$10,Paramètres!$A$1:$I$89,3,0)*0.475*44/12</f>
        <v>2.6707118620494024</v>
      </c>
      <c r="AW57" s="23">
        <f>EXP(-LN(2)/2)*AW56+(1-EXP(-LN(2)/2))/(LN(2)/2)*AQ57*AT57*VLOOKUP('Données projet'!$B$10,Paramètres!$A$1:$I$89,3,0)*0.475*44/12</f>
        <v>3.7936356798777167E-3</v>
      </c>
      <c r="AX57" s="23">
        <f t="shared" si="6"/>
        <v>3.1521220301982309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1.9895196601282805E-13</v>
      </c>
      <c r="O58" s="14">
        <f>N58*VLOOKUP('Données projet'!$B$9,Paramètres!$A$1:$I$89,3,0)*VLOOKUP('Données projet'!$B$9,Paramètres!$A$1:$I$89,5,0)</f>
        <v>1.8001173884840681E-13</v>
      </c>
      <c r="P58" s="14">
        <f t="shared" si="33"/>
        <v>2.5254331426407198E-12</v>
      </c>
      <c r="Q58" s="22">
        <f t="shared" si="53"/>
        <v>4.7119831685935622E-12</v>
      </c>
      <c r="R58" s="62">
        <f t="shared" si="0"/>
        <v>293.33333333333803</v>
      </c>
      <c r="S58" s="62">
        <f ca="1">AVERAGE(OFFSET($R$3,0,0,'Données projet'!$E$9+1,1))-AVERAGE(OFFSET($H$3,0,0,'Données projet'!$E$9+1,1))</f>
        <v>247.05981224668733</v>
      </c>
      <c r="T58" s="62">
        <f t="shared" si="34"/>
        <v>345.23839191022898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8.2302313883161102E-2</v>
      </c>
      <c r="AA58" s="23">
        <f>EXP(-LN(2)/25)*AA57+(1-EXP(-LN(2)/25))/(LN(2)/25)*Calculateur!V58*Calculateur!X58*VLOOKUP('Données projet'!$B$9,Paramètres!$A$1:$I$89,3,0)*0.475*44/12</f>
        <v>0.50341711664159394</v>
      </c>
      <c r="AB58" s="23">
        <f>EXP(-LN(2)/2)*AB57+(1-EXP(-LN(2)/2))/(LN(2)/2)*V58*Y58*VLOOKUP('Données projet'!$B$9,Paramètres!$A$1:$I$89,3,0)*0.475*44/12</f>
        <v>7.2305484069779273E-4</v>
      </c>
      <c r="AC58" s="24">
        <f t="shared" si="3"/>
        <v>0.58644248536545285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215</v>
      </c>
      <c r="AG58" s="13">
        <f>VLOOKUP(A58,'Données projet'!$A$61:$I$81,9,0)</f>
        <v>6.8</v>
      </c>
      <c r="AH58" s="13">
        <f t="array" ref="AH58">INDEX(AG:AG,MIN(IF(ISNUMBER(AG58:AG254),ROW(AG58:AG254),"")))</f>
        <v>6.8</v>
      </c>
      <c r="AI58" s="14">
        <f>IF('Données projet'!$A$62&gt;35,AI57+AH58-AQ57,IF(A58&lt;'Données projet'!$A$62,$AF$205^A58,IF(A58='Données projet'!$A$62,'Données projet'!$B$62,AI57+AH58-AQ57)))</f>
        <v>215.00000000000003</v>
      </c>
      <c r="AJ58" s="14">
        <f>AI58*VLOOKUP('Données projet'!$B$10,Paramètres!$A$1:$I$89,3,0)*VLOOKUP('Données projet'!$B$10,Paramètres!$A$1:$I$89,5,0)</f>
        <v>187.82400000000007</v>
      </c>
      <c r="AK58" s="14">
        <f t="shared" si="35"/>
        <v>47.05854810918273</v>
      </c>
      <c r="AL58" s="22">
        <f t="shared" si="4"/>
        <v>409.08710462349336</v>
      </c>
      <c r="AM58" s="62">
        <f t="shared" si="5"/>
        <v>702.42043795682662</v>
      </c>
      <c r="AN58" s="62">
        <f ca="1">AVERAGE(OFFSET($AM$3,0,0,'Données projet'!$E$10+1,1))-AVERAGE(OFFSET($H$3,0,0,'Données projet'!$E$10+1,1))</f>
        <v>235.92135862353973</v>
      </c>
      <c r="AO58" s="62">
        <f t="shared" si="36"/>
        <v>270.64539221029258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25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0.46825076358455453</v>
      </c>
      <c r="AV58" s="23">
        <f>EXP(-LN(2)/25)*AV57+(1-EXP(-LN(2)/25))/(LN(2)/25)*Calculateur!AQ58*Calculateur!AS58*VLOOKUP('Données projet'!$B$10,Paramètres!$A$1:$I$89,3,0)*0.475*44/12</f>
        <v>2.5976811057350284</v>
      </c>
      <c r="AW58" s="23">
        <f>EXP(-LN(2)/2)*AW57+(1-EXP(-LN(2)/2))/(LN(2)/2)*AQ58*AT58*VLOOKUP('Données projet'!$B$10,Paramètres!$A$1:$I$89,3,0)*0.475*44/12</f>
        <v>2.6825055145927724E-3</v>
      </c>
      <c r="AX58" s="23">
        <f t="shared" si="6"/>
        <v>3.0686143748341759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1.9895196601282805E-13</v>
      </c>
      <c r="O59" s="14">
        <f>N59*VLOOKUP('Données projet'!$B$9,Paramètres!$A$1:$I$89,3,0)*VLOOKUP('Données projet'!$B$9,Paramètres!$A$1:$I$89,5,0)</f>
        <v>1.8001173884840681E-13</v>
      </c>
      <c r="P59" s="14">
        <f t="shared" si="33"/>
        <v>2.5254331426407198E-12</v>
      </c>
      <c r="Q59" s="22">
        <f t="shared" si="53"/>
        <v>4.7119831685935622E-12</v>
      </c>
      <c r="R59" s="62">
        <f t="shared" si="0"/>
        <v>293.33333333333803</v>
      </c>
      <c r="S59" s="62">
        <f ca="1">AVERAGE(OFFSET($R$3,0,0,'Données projet'!$E$9+1,1))-AVERAGE(OFFSET($H$3,0,0,'Données projet'!$E$9+1,1))</f>
        <v>247.05981224668733</v>
      </c>
      <c r="T59" s="62">
        <f t="shared" si="34"/>
        <v>345.23839191022898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8.0688415707366998E-2</v>
      </c>
      <c r="AA59" s="23">
        <f>EXP(-LN(2)/25)*AA58+(1-EXP(-LN(2)/25))/(LN(2)/25)*Calculateur!V59*Calculateur!X59*VLOOKUP('Données projet'!$B$9,Paramètres!$A$1:$I$89,3,0)*0.475*44/12</f>
        <v>0.48965114911347396</v>
      </c>
      <c r="AB59" s="23">
        <f>EXP(-LN(2)/2)*AB58+(1-EXP(-LN(2)/2))/(LN(2)/2)*V59*Y59*VLOOKUP('Données projet'!$B$9,Paramètres!$A$1:$I$89,3,0)*0.475*44/12</f>
        <v>5.112769810271681E-4</v>
      </c>
      <c r="AC59" s="24">
        <f t="shared" si="3"/>
        <v>0.57085084180186807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</v>
      </c>
      <c r="AI59" s="14">
        <f>IF('Données projet'!$A$62&gt;35,AI58+AH59-AQ58,IF(A59&lt;'Données projet'!$A$62,$AF$205^A59,IF(A59='Données projet'!$A$62,'Données projet'!$B$62,AI58+AH59-AQ58)))</f>
        <v>196.00000000000003</v>
      </c>
      <c r="AJ59" s="14">
        <f>AI59*VLOOKUP('Données projet'!$B$10,Paramètres!$A$1:$I$89,3,0)*VLOOKUP('Données projet'!$B$10,Paramètres!$A$1:$I$89,5,0)</f>
        <v>171.22560000000004</v>
      </c>
      <c r="AK59" s="14">
        <f t="shared" si="35"/>
        <v>43.364402348589557</v>
      </c>
      <c r="AL59" s="22">
        <f t="shared" si="4"/>
        <v>373.74425409046017</v>
      </c>
      <c r="AM59" s="62">
        <f t="shared" si="5"/>
        <v>667.07758742379349</v>
      </c>
      <c r="AN59" s="62">
        <f ca="1">AVERAGE(OFFSET($AM$3,0,0,'Données projet'!$E$10+1,1))-AVERAGE(OFFSET($H$3,0,0,'Données projet'!$E$10+1,1))</f>
        <v>235.92135862353973</v>
      </c>
      <c r="AO59" s="62">
        <f t="shared" si="36"/>
        <v>270.64539221029258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0.4590686517154261</v>
      </c>
      <c r="AV59" s="23">
        <f>EXP(-LN(2)/25)*AV58+(1-EXP(-LN(2)/25))/(LN(2)/25)*Calculateur!AQ59*Calculateur!AS59*VLOOKUP('Données projet'!$B$10,Paramètres!$A$1:$I$89,3,0)*0.475*44/12</f>
        <v>2.5266473792925916</v>
      </c>
      <c r="AW59" s="23">
        <f>EXP(-LN(2)/2)*AW58+(1-EXP(-LN(2)/2))/(LN(2)/2)*AQ59*AT59*VLOOKUP('Données projet'!$B$10,Paramètres!$A$1:$I$89,3,0)*0.475*44/12</f>
        <v>1.8968178399388588E-3</v>
      </c>
      <c r="AX59" s="23">
        <f t="shared" si="6"/>
        <v>2.9876128488479563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1.9895196601282805E-13</v>
      </c>
      <c r="O60" s="14">
        <f>N60*VLOOKUP('Données projet'!$B$9,Paramètres!$A$1:$I$89,3,0)*VLOOKUP('Données projet'!$B$9,Paramètres!$A$1:$I$89,5,0)</f>
        <v>1.8001173884840681E-13</v>
      </c>
      <c r="P60" s="14">
        <f t="shared" si="33"/>
        <v>2.5254331426407198E-12</v>
      </c>
      <c r="Q60" s="22">
        <f t="shared" si="53"/>
        <v>4.7119831685935622E-12</v>
      </c>
      <c r="R60" s="62">
        <f t="shared" si="0"/>
        <v>293.33333333333803</v>
      </c>
      <c r="S60" s="62">
        <f ca="1">AVERAGE(OFFSET($R$3,0,0,'Données projet'!$E$9+1,1))-AVERAGE(OFFSET($H$3,0,0,'Données projet'!$E$9+1,1))</f>
        <v>247.05981224668733</v>
      </c>
      <c r="T60" s="62">
        <f t="shared" si="34"/>
        <v>345.23839191022898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7.9106165090419525E-2</v>
      </c>
      <c r="AA60" s="23">
        <f>EXP(-LN(2)/25)*AA59+(1-EXP(-LN(2)/25))/(LN(2)/25)*Calculateur!V60*Calculateur!X60*VLOOKUP('Données projet'!$B$9,Paramètres!$A$1:$I$89,3,0)*0.475*44/12</f>
        <v>0.47626161269133122</v>
      </c>
      <c r="AB60" s="23">
        <f>EXP(-LN(2)/2)*AB59+(1-EXP(-LN(2)/2))/(LN(2)/2)*V60*Y60*VLOOKUP('Données projet'!$B$9,Paramètres!$A$1:$I$89,3,0)*0.475*44/12</f>
        <v>3.6152742034889637E-4</v>
      </c>
      <c r="AC60" s="24">
        <f t="shared" si="3"/>
        <v>0.55572930520209962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</v>
      </c>
      <c r="AI60" s="14">
        <f>IF('Données projet'!$A$62&gt;35,AI59+AH60-AQ59,IF(A60&lt;'Données projet'!$A$62,$AF$205^A60,IF(A60='Données projet'!$A$62,'Données projet'!$B$62,AI59+AH60-AQ59)))</f>
        <v>202.00000000000003</v>
      </c>
      <c r="AJ60" s="14">
        <f>AI60*VLOOKUP('Données projet'!$B$10,Paramètres!$A$1:$I$89,3,0)*VLOOKUP('Données projet'!$B$10,Paramètres!$A$1:$I$89,5,0)</f>
        <v>176.46720000000005</v>
      </c>
      <c r="AK60" s="14">
        <f t="shared" si="35"/>
        <v>44.535298821989393</v>
      </c>
      <c r="AL60" s="22">
        <f t="shared" si="4"/>
        <v>384.91268544829819</v>
      </c>
      <c r="AM60" s="62">
        <f t="shared" si="5"/>
        <v>678.24601878163151</v>
      </c>
      <c r="AN60" s="62">
        <f ca="1">AVERAGE(OFFSET($AM$3,0,0,'Données projet'!$E$10+1,1))-AVERAGE(OFFSET($H$3,0,0,'Données projet'!$E$10+1,1))</f>
        <v>235.92135862353973</v>
      </c>
      <c r="AO60" s="62">
        <f t="shared" si="36"/>
        <v>270.64539221029258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0.45006659545951599</v>
      </c>
      <c r="AV60" s="23">
        <f>EXP(-LN(2)/25)*AV59+(1-EXP(-LN(2)/25))/(LN(2)/25)*Calculateur!AQ60*Calculateur!AS60*VLOOKUP('Données projet'!$B$10,Paramètres!$A$1:$I$89,3,0)*0.475*44/12</f>
        <v>2.4575560738352249</v>
      </c>
      <c r="AW60" s="23">
        <f>EXP(-LN(2)/2)*AW59+(1-EXP(-LN(2)/2))/(LN(2)/2)*AQ60*AT60*VLOOKUP('Données projet'!$B$10,Paramètres!$A$1:$I$89,3,0)*0.475*44/12</f>
        <v>1.3412527572963864E-3</v>
      </c>
      <c r="AX60" s="23">
        <f t="shared" si="6"/>
        <v>2.9089639220520374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1.9895196601282805E-13</v>
      </c>
      <c r="O61" s="14">
        <f>N61*VLOOKUP('Données projet'!$B$9,Paramètres!$A$1:$I$89,3,0)*VLOOKUP('Données projet'!$B$9,Paramètres!$A$1:$I$89,5,0)</f>
        <v>1.8001173884840681E-13</v>
      </c>
      <c r="P61" s="14">
        <f t="shared" si="33"/>
        <v>2.5254331426407198E-12</v>
      </c>
      <c r="Q61" s="22">
        <f t="shared" si="53"/>
        <v>4.7119831685935622E-12</v>
      </c>
      <c r="R61" s="62">
        <f t="shared" si="0"/>
        <v>293.33333333333803</v>
      </c>
      <c r="S61" s="62">
        <f ca="1">AVERAGE(OFFSET($R$3,0,0,'Données projet'!$E$9+1,1))-AVERAGE(OFFSET($H$3,0,0,'Données projet'!$E$9+1,1))</f>
        <v>247.05981224668733</v>
      </c>
      <c r="T61" s="62">
        <f t="shared" si="34"/>
        <v>345.23839191022898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7.7554941442992811E-2</v>
      </c>
      <c r="AA61" s="23">
        <f>EXP(-LN(2)/25)*AA60+(1-EXP(-LN(2)/25))/(LN(2)/25)*Calculateur!V61*Calculateur!X61*VLOOKUP('Données projet'!$B$9,Paramètres!$A$1:$I$89,3,0)*0.475*44/12</f>
        <v>0.46323821384677705</v>
      </c>
      <c r="AB61" s="23">
        <f>EXP(-LN(2)/2)*AB60+(1-EXP(-LN(2)/2))/(LN(2)/2)*V61*Y61*VLOOKUP('Données projet'!$B$9,Paramètres!$A$1:$I$89,3,0)*0.475*44/12</f>
        <v>2.5563849051358405E-4</v>
      </c>
      <c r="AC61" s="24">
        <f t="shared" si="3"/>
        <v>0.54104879378028348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</v>
      </c>
      <c r="AI61" s="14">
        <f>IF('Données projet'!$A$62&gt;35,AI60+AH61-AQ60,IF(A61&lt;'Données projet'!$A$62,$AF$205^A61,IF(A61='Données projet'!$A$62,'Données projet'!$B$62,AI60+AH61-AQ60)))</f>
        <v>208.00000000000003</v>
      </c>
      <c r="AJ61" s="14">
        <f>AI61*VLOOKUP('Données projet'!$B$10,Paramètres!$A$1:$I$89,3,0)*VLOOKUP('Données projet'!$B$10,Paramètres!$A$1:$I$89,5,0)</f>
        <v>181.70880000000005</v>
      </c>
      <c r="AK61" s="14">
        <f t="shared" si="35"/>
        <v>45.702153370067812</v>
      </c>
      <c r="AL61" s="22">
        <f t="shared" si="4"/>
        <v>396.07407711953482</v>
      </c>
      <c r="AM61" s="62">
        <f t="shared" si="5"/>
        <v>689.40741045286813</v>
      </c>
      <c r="AN61" s="62">
        <f ca="1">AVERAGE(OFFSET($AM$3,0,0,'Données projet'!$E$10+1,1))-AVERAGE(OFFSET($H$3,0,0,'Données projet'!$E$10+1,1))</f>
        <v>235.92135862353973</v>
      </c>
      <c r="AO61" s="62">
        <f t="shared" si="36"/>
        <v>270.64539221029258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0.44124106403607216</v>
      </c>
      <c r="AV61" s="23">
        <f>EXP(-LN(2)/25)*AV60+(1-EXP(-LN(2)/25))/(LN(2)/25)*Calculateur!AQ61*Calculateur!AS61*VLOOKUP('Données projet'!$B$10,Paramètres!$A$1:$I$89,3,0)*0.475*44/12</f>
        <v>2.3903540737589437</v>
      </c>
      <c r="AW61" s="23">
        <f>EXP(-LN(2)/2)*AW60+(1-EXP(-LN(2)/2))/(LN(2)/2)*AQ61*AT61*VLOOKUP('Données projet'!$B$10,Paramètres!$A$1:$I$89,3,0)*0.475*44/12</f>
        <v>9.484089199694295E-4</v>
      </c>
      <c r="AX61" s="23">
        <f t="shared" si="6"/>
        <v>2.8325435467149855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1.9895196601282805E-13</v>
      </c>
      <c r="O62" s="14">
        <f>N62*VLOOKUP('Données projet'!$B$9,Paramètres!$A$1:$I$89,3,0)*VLOOKUP('Données projet'!$B$9,Paramètres!$A$1:$I$89,5,0)</f>
        <v>1.8001173884840681E-13</v>
      </c>
      <c r="P62" s="14">
        <f t="shared" si="33"/>
        <v>2.5254331426407198E-12</v>
      </c>
      <c r="Q62" s="22">
        <f t="shared" si="53"/>
        <v>4.7119831685935622E-12</v>
      </c>
      <c r="R62" s="62">
        <f t="shared" si="0"/>
        <v>293.33333333333803</v>
      </c>
      <c r="S62" s="62">
        <f ca="1">AVERAGE(OFFSET($R$3,0,0,'Données projet'!$E$9+1,1))-AVERAGE(OFFSET($H$3,0,0,'Données projet'!$E$9+1,1))</f>
        <v>247.05981224668733</v>
      </c>
      <c r="T62" s="62">
        <f t="shared" si="34"/>
        <v>345.23839191022898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7.6034136345139142E-2</v>
      </c>
      <c r="AA62" s="23">
        <f>EXP(-LN(2)/25)*AA61+(1-EXP(-LN(2)/25))/(LN(2)/25)*Calculateur!V62*Calculateur!X62*VLOOKUP('Données projet'!$B$9,Paramètres!$A$1:$I$89,3,0)*0.475*44/12</f>
        <v>0.450570940528498</v>
      </c>
      <c r="AB62" s="23">
        <f>EXP(-LN(2)/2)*AB61+(1-EXP(-LN(2)/2))/(LN(2)/2)*V62*Y62*VLOOKUP('Données projet'!$B$9,Paramètres!$A$1:$I$89,3,0)*0.475*44/12</f>
        <v>1.8076371017444818E-4</v>
      </c>
      <c r="AC62" s="24">
        <f t="shared" si="3"/>
        <v>0.52678584058381162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</v>
      </c>
      <c r="AI62" s="14">
        <f>IF('Données projet'!$A$62&gt;35,AI61+AH62-AQ61,IF(A62&lt;'Données projet'!$A$62,$AF$205^A62,IF(A62='Données projet'!$A$62,'Données projet'!$B$62,AI61+AH62-AQ61)))</f>
        <v>214.00000000000003</v>
      </c>
      <c r="AJ62" s="14">
        <f>AI62*VLOOKUP('Données projet'!$B$10,Paramètres!$A$1:$I$89,3,0)*VLOOKUP('Données projet'!$B$10,Paramètres!$A$1:$I$89,5,0)</f>
        <v>186.95040000000006</v>
      </c>
      <c r="AK62" s="14">
        <f t="shared" si="35"/>
        <v>46.865095976617653</v>
      </c>
      <c r="AL62" s="22">
        <f t="shared" si="4"/>
        <v>407.22865549260922</v>
      </c>
      <c r="AM62" s="62">
        <f t="shared" si="5"/>
        <v>700.56198882594254</v>
      </c>
      <c r="AN62" s="62">
        <f ca="1">AVERAGE(OFFSET($AM$3,0,0,'Données projet'!$E$10+1,1))-AVERAGE(OFFSET($H$3,0,0,'Données projet'!$E$10+1,1))</f>
        <v>235.92135862353973</v>
      </c>
      <c r="AO62" s="62">
        <f t="shared" si="36"/>
        <v>270.64539221029258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0.4325885959007994</v>
      </c>
      <c r="AV62" s="23">
        <f>EXP(-LN(2)/25)*AV61+(1-EXP(-LN(2)/25))/(LN(2)/25)*Calculateur!AQ62*Calculateur!AS62*VLOOKUP('Données projet'!$B$10,Paramètres!$A$1:$I$89,3,0)*0.475*44/12</f>
        <v>2.3249897159087478</v>
      </c>
      <c r="AW62" s="23">
        <f>EXP(-LN(2)/2)*AW61+(1-EXP(-LN(2)/2))/(LN(2)/2)*AQ62*AT62*VLOOKUP('Données projet'!$B$10,Paramètres!$A$1:$I$89,3,0)*0.475*44/12</f>
        <v>6.7062637864819332E-4</v>
      </c>
      <c r="AX62" s="23">
        <f t="shared" si="6"/>
        <v>2.7582489381881952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1.9895196601282805E-13</v>
      </c>
      <c r="O63" s="14">
        <f>N63*VLOOKUP('Données projet'!$B$9,Paramètres!$A$1:$I$89,3,0)*VLOOKUP('Données projet'!$B$9,Paramètres!$A$1:$I$89,5,0)</f>
        <v>1.8001173884840681E-13</v>
      </c>
      <c r="P63" s="14">
        <f t="shared" si="33"/>
        <v>2.5254331426407198E-12</v>
      </c>
      <c r="Q63" s="22">
        <f t="shared" si="53"/>
        <v>4.7119831685935622E-12</v>
      </c>
      <c r="R63" s="62">
        <f t="shared" si="0"/>
        <v>293.33333333333803</v>
      </c>
      <c r="S63" s="62">
        <f ca="1">AVERAGE(OFFSET($R$3,0,0,'Données projet'!$E$9+1,1))-AVERAGE(OFFSET($H$3,0,0,'Données projet'!$E$9+1,1))</f>
        <v>247.05981224668733</v>
      </c>
      <c r="T63" s="62">
        <f t="shared" si="34"/>
        <v>345.23839191022898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7.4543153307654861E-2</v>
      </c>
      <c r="AA63" s="23">
        <f>EXP(-LN(2)/25)*AA62+(1-EXP(-LN(2)/25))/(LN(2)/25)*Calculateur!V63*Calculateur!X63*VLOOKUP('Données projet'!$B$9,Paramètres!$A$1:$I$89,3,0)*0.475*44/12</f>
        <v>0.43825005446525023</v>
      </c>
      <c r="AB63" s="23">
        <f>EXP(-LN(2)/2)*AB62+(1-EXP(-LN(2)/2))/(LN(2)/2)*V63*Y63*VLOOKUP('Données projet'!$B$9,Paramètres!$A$1:$I$89,3,0)*0.475*44/12</f>
        <v>1.2781924525679202E-4</v>
      </c>
      <c r="AC63" s="24">
        <f t="shared" si="3"/>
        <v>0.51292102701816189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220</v>
      </c>
      <c r="AG63" s="13">
        <f>VLOOKUP(A63,'Données projet'!$A$61:$I$81,9,0)</f>
        <v>6</v>
      </c>
      <c r="AH63" s="13">
        <f t="array" ref="AH63">INDEX(AG:AG,MIN(IF(ISNUMBER(AG63:AG259),ROW(AG63:AG259),"")))</f>
        <v>6</v>
      </c>
      <c r="AI63" s="14">
        <f>IF('Données projet'!$A$62&gt;35,AI62+AH63-AQ62,IF(A63&lt;'Données projet'!$A$62,$AF$205^A63,IF(A63='Données projet'!$A$62,'Données projet'!$B$62,AI62+AH63-AQ62)))</f>
        <v>220.00000000000003</v>
      </c>
      <c r="AJ63" s="14">
        <f>AI63*VLOOKUP('Données projet'!$B$10,Paramètres!$A$1:$I$89,3,0)*VLOOKUP('Données projet'!$B$10,Paramètres!$A$1:$I$89,5,0)</f>
        <v>192.19200000000006</v>
      </c>
      <c r="AK63" s="14">
        <f t="shared" si="35"/>
        <v>48.02424892193244</v>
      </c>
      <c r="AL63" s="22">
        <f t="shared" si="4"/>
        <v>418.37663353903241</v>
      </c>
      <c r="AM63" s="62">
        <f t="shared" si="5"/>
        <v>711.70996687236573</v>
      </c>
      <c r="AN63" s="62">
        <f ca="1">AVERAGE(OFFSET($AM$3,0,0,'Données projet'!$E$10+1,1))-AVERAGE(OFFSET($H$3,0,0,'Données projet'!$E$10+1,1))</f>
        <v>235.92135862353973</v>
      </c>
      <c r="AO63" s="62">
        <f t="shared" si="36"/>
        <v>270.64539221029258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0.42410579738817489</v>
      </c>
      <c r="AV63" s="23">
        <f>EXP(-LN(2)/25)*AV62+(1-EXP(-LN(2)/25))/(LN(2)/25)*Calculateur!AQ63*Calculateur!AS63*VLOOKUP('Données projet'!$B$10,Paramètres!$A$1:$I$89,3,0)*0.475*44/12</f>
        <v>2.2614127498613277</v>
      </c>
      <c r="AW63" s="23">
        <f>EXP(-LN(2)/2)*AW62+(1-EXP(-LN(2)/2))/(LN(2)/2)*AQ63*AT63*VLOOKUP('Données projet'!$B$10,Paramètres!$A$1:$I$89,3,0)*0.475*44/12</f>
        <v>4.7420445998471486E-4</v>
      </c>
      <c r="AX63" s="23">
        <f t="shared" si="6"/>
        <v>2.6859927517094873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1.9895196601282805E-13</v>
      </c>
      <c r="O64" s="14">
        <f>N64*VLOOKUP('Données projet'!$B$9,Paramètres!$A$1:$I$89,3,0)*VLOOKUP('Données projet'!$B$9,Paramètres!$A$1:$I$89,5,0)</f>
        <v>1.8001173884840681E-13</v>
      </c>
      <c r="P64" s="14">
        <f t="shared" si="33"/>
        <v>2.5254331426407198E-12</v>
      </c>
      <c r="Q64" s="22">
        <f t="shared" si="53"/>
        <v>4.7119831685935622E-12</v>
      </c>
      <c r="R64" s="62">
        <f t="shared" si="0"/>
        <v>293.33333333333803</v>
      </c>
      <c r="S64" s="62">
        <f ca="1">AVERAGE(OFFSET($R$3,0,0,'Données projet'!$E$9+1,1))-AVERAGE(OFFSET($H$3,0,0,'Données projet'!$E$9+1,1))</f>
        <v>247.05981224668733</v>
      </c>
      <c r="T64" s="62">
        <f t="shared" si="34"/>
        <v>345.23839191022898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7.3081407538125795E-2</v>
      </c>
      <c r="AA64" s="23">
        <f>EXP(-LN(2)/25)*AA63+(1-EXP(-LN(2)/25))/(LN(2)/25)*Calculateur!V64*Calculateur!X64*VLOOKUP('Données projet'!$B$9,Paramètres!$A$1:$I$89,3,0)*0.475*44/12</f>
        <v>0.42626608367932922</v>
      </c>
      <c r="AB64" s="23">
        <f>EXP(-LN(2)/2)*AB63+(1-EXP(-LN(2)/2))/(LN(2)/2)*V64*Y64*VLOOKUP('Données projet'!$B$9,Paramètres!$A$1:$I$89,3,0)*0.475*44/12</f>
        <v>9.0381855087224092E-5</v>
      </c>
      <c r="AC64" s="24">
        <f t="shared" si="3"/>
        <v>0.49943787307254228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203.20000000000002</v>
      </c>
      <c r="AJ64" s="14">
        <f>AI64*VLOOKUP('Données projet'!$B$10,Paramètres!$A$1:$I$89,3,0)*VLOOKUP('Données projet'!$B$10,Paramètres!$A$1:$I$89,5,0)</f>
        <v>177.51552000000004</v>
      </c>
      <c r="AK64" s="14">
        <f t="shared" si="35"/>
        <v>44.768988809542904</v>
      </c>
      <c r="AL64" s="22">
        <f t="shared" si="4"/>
        <v>387.145519509954</v>
      </c>
      <c r="AM64" s="62">
        <f t="shared" si="5"/>
        <v>680.47885284328731</v>
      </c>
      <c r="AN64" s="62">
        <f ca="1">AVERAGE(OFFSET($AM$3,0,0,'Données projet'!$E$10+1,1))-AVERAGE(OFFSET($H$3,0,0,'Données projet'!$E$10+1,1))</f>
        <v>235.92135862353973</v>
      </c>
      <c r="AO64" s="62">
        <f t="shared" si="36"/>
        <v>270.64539221029258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0.41578934138038676</v>
      </c>
      <c r="AV64" s="23">
        <f>EXP(-LN(2)/25)*AV63+(1-EXP(-LN(2)/25))/(LN(2)/25)*Calculateur!AQ64*Calculateur!AS64*VLOOKUP('Données projet'!$B$10,Paramètres!$A$1:$I$89,3,0)*0.475*44/12</f>
        <v>2.1995742992938419</v>
      </c>
      <c r="AW64" s="23">
        <f>EXP(-LN(2)/2)*AW63+(1-EXP(-LN(2)/2))/(LN(2)/2)*AQ64*AT64*VLOOKUP('Données projet'!$B$10,Paramètres!$A$1:$I$89,3,0)*0.475*44/12</f>
        <v>3.3531318932409672E-4</v>
      </c>
      <c r="AX64" s="23">
        <f t="shared" si="6"/>
        <v>2.6156989538635527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1.9895196601282805E-13</v>
      </c>
      <c r="O65" s="14">
        <f>N65*VLOOKUP('Données projet'!$B$9,Paramètres!$A$1:$I$89,3,0)*VLOOKUP('Données projet'!$B$9,Paramètres!$A$1:$I$89,5,0)</f>
        <v>1.8001173884840681E-13</v>
      </c>
      <c r="P65" s="14">
        <f t="shared" si="33"/>
        <v>2.5254331426407198E-12</v>
      </c>
      <c r="Q65" s="22">
        <f t="shared" si="53"/>
        <v>4.7119831685935622E-12</v>
      </c>
      <c r="R65" s="62">
        <f t="shared" si="0"/>
        <v>293.33333333333803</v>
      </c>
      <c r="S65" s="62">
        <f ca="1">AVERAGE(OFFSET($R$3,0,0,'Données projet'!$E$9+1,1))-AVERAGE(OFFSET($H$3,0,0,'Données projet'!$E$9+1,1))</f>
        <v>247.05981224668733</v>
      </c>
      <c r="T65" s="62">
        <f t="shared" si="34"/>
        <v>345.23839191022898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7.1648325711560309E-2</v>
      </c>
      <c r="AA65" s="23">
        <f>EXP(-LN(2)/25)*AA64+(1-EXP(-LN(2)/25))/(LN(2)/25)*Calculateur!V65*Calculateur!X65*VLOOKUP('Données projet'!$B$9,Paramètres!$A$1:$I$89,3,0)*0.475*44/12</f>
        <v>0.41460981520475887</v>
      </c>
      <c r="AB65" s="23">
        <f>EXP(-LN(2)/2)*AB64+(1-EXP(-LN(2)/2))/(LN(2)/2)*V65*Y65*VLOOKUP('Données projet'!$B$9,Paramètres!$A$1:$I$89,3,0)*0.475*44/12</f>
        <v>6.3909622628396012E-5</v>
      </c>
      <c r="AC65" s="24">
        <f t="shared" si="3"/>
        <v>0.48632205053894761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208.4</v>
      </c>
      <c r="AJ65" s="14">
        <f>AI65*VLOOKUP('Données projet'!$B$10,Paramètres!$A$1:$I$89,3,0)*VLOOKUP('Données projet'!$B$10,Paramètres!$A$1:$I$89,5,0)</f>
        <v>182.05824000000001</v>
      </c>
      <c r="AK65" s="14">
        <f t="shared" si="35"/>
        <v>45.779803189729343</v>
      </c>
      <c r="AL65" s="22">
        <f t="shared" si="4"/>
        <v>396.81792522211191</v>
      </c>
      <c r="AM65" s="62">
        <f t="shared" si="5"/>
        <v>690.15125855544522</v>
      </c>
      <c r="AN65" s="62">
        <f ca="1">AVERAGE(OFFSET($AM$3,0,0,'Données projet'!$E$10+1,1))-AVERAGE(OFFSET($H$3,0,0,'Données projet'!$E$10+1,1))</f>
        <v>235.92135862353973</v>
      </c>
      <c r="AO65" s="62">
        <f t="shared" si="36"/>
        <v>270.64539221029258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0.40763596600237406</v>
      </c>
      <c r="AV65" s="23">
        <f>EXP(-LN(2)/25)*AV64+(1-EXP(-LN(2)/25))/(LN(2)/25)*Calculateur!AQ65*Calculateur!AS65*VLOOKUP('Données projet'!$B$10,Paramètres!$A$1:$I$89,3,0)*0.475*44/12</f>
        <v>2.1394268244090666</v>
      </c>
      <c r="AW65" s="23">
        <f>EXP(-LN(2)/2)*AW64+(1-EXP(-LN(2)/2))/(LN(2)/2)*AQ65*AT65*VLOOKUP('Données projet'!$B$10,Paramètres!$A$1:$I$89,3,0)*0.475*44/12</f>
        <v>2.3710222999235746E-4</v>
      </c>
      <c r="AX65" s="23">
        <f t="shared" si="6"/>
        <v>2.547299892641433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1.9895196601282805E-13</v>
      </c>
      <c r="O66" s="14">
        <f>N66*VLOOKUP('Données projet'!$B$9,Paramètres!$A$1:$I$89,3,0)*VLOOKUP('Données projet'!$B$9,Paramètres!$A$1:$I$89,5,0)</f>
        <v>1.8001173884840681E-13</v>
      </c>
      <c r="P66" s="14">
        <f t="shared" si="33"/>
        <v>2.5254331426407198E-12</v>
      </c>
      <c r="Q66" s="22">
        <f t="shared" si="53"/>
        <v>4.7119831685935622E-12</v>
      </c>
      <c r="R66" s="62">
        <f t="shared" si="0"/>
        <v>293.33333333333803</v>
      </c>
      <c r="S66" s="62">
        <f ca="1">AVERAGE(OFFSET($R$3,0,0,'Données projet'!$E$9+1,1))-AVERAGE(OFFSET($H$3,0,0,'Données projet'!$E$9+1,1))</f>
        <v>247.05981224668733</v>
      </c>
      <c r="T66" s="62">
        <f t="shared" si="34"/>
        <v>345.23839191022898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7.0243345745520158E-2</v>
      </c>
      <c r="AA66" s="23">
        <f>EXP(-LN(2)/25)*AA65+(1-EXP(-LN(2)/25))/(LN(2)/25)*Calculateur!V66*Calculateur!X66*VLOOKUP('Données projet'!$B$9,Paramètres!$A$1:$I$89,3,0)*0.475*44/12</f>
        <v>0.40327228800460219</v>
      </c>
      <c r="AB66" s="23">
        <f>EXP(-LN(2)/2)*AB65+(1-EXP(-LN(2)/2))/(LN(2)/2)*V66*Y66*VLOOKUP('Données projet'!$B$9,Paramètres!$A$1:$I$89,3,0)*0.475*44/12</f>
        <v>4.5190927543612046E-5</v>
      </c>
      <c r="AC66" s="24">
        <f t="shared" si="3"/>
        <v>0.47356082467766597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213.6</v>
      </c>
      <c r="AJ66" s="14">
        <f>AI66*VLOOKUP('Données projet'!$B$10,Paramètres!$A$1:$I$89,3,0)*VLOOKUP('Données projet'!$B$10,Paramètres!$A$1:$I$89,5,0)</f>
        <v>186.60096000000001</v>
      </c>
      <c r="AK66" s="14">
        <f t="shared" si="35"/>
        <v>46.787685683664144</v>
      </c>
      <c r="AL66" s="22">
        <f t="shared" si="4"/>
        <v>406.48522456571504</v>
      </c>
      <c r="AM66" s="62">
        <f t="shared" si="5"/>
        <v>699.8185578990483</v>
      </c>
      <c r="AN66" s="62">
        <f ca="1">AVERAGE(OFFSET($AM$3,0,0,'Données projet'!$E$10+1,1))-AVERAGE(OFFSET($H$3,0,0,'Données projet'!$E$10+1,1))</f>
        <v>235.92135862353973</v>
      </c>
      <c r="AO66" s="62">
        <f t="shared" si="36"/>
        <v>270.64539221029258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0.39964247334245628</v>
      </c>
      <c r="AV66" s="23">
        <f>EXP(-LN(2)/25)*AV65+(1-EXP(-LN(2)/25))/(LN(2)/25)*Calculateur!AQ66*Calculateur!AS66*VLOOKUP('Données projet'!$B$10,Paramètres!$A$1:$I$89,3,0)*0.475*44/12</f>
        <v>2.0809240853880335</v>
      </c>
      <c r="AW66" s="23">
        <f>EXP(-LN(2)/2)*AW65+(1-EXP(-LN(2)/2))/(LN(2)/2)*AQ66*AT66*VLOOKUP('Données projet'!$B$10,Paramètres!$A$1:$I$89,3,0)*0.475*44/12</f>
        <v>1.6765659466204839E-4</v>
      </c>
      <c r="AX66" s="23">
        <f t="shared" si="6"/>
        <v>2.4807342153251519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1.9895196601282805E-13</v>
      </c>
      <c r="O67" s="14">
        <f>N67*VLOOKUP('Données projet'!$B$9,Paramètres!$A$1:$I$89,3,0)*VLOOKUP('Données projet'!$B$9,Paramètres!$A$1:$I$89,5,0)</f>
        <v>1.8001173884840681E-13</v>
      </c>
      <c r="P67" s="14">
        <f t="shared" si="33"/>
        <v>2.5254331426407198E-12</v>
      </c>
      <c r="Q67" s="22">
        <f t="shared" ref="Q67:Q98" si="54">(O67+P67)*0.475*44/12</f>
        <v>4.7119831685935622E-12</v>
      </c>
      <c r="R67" s="62">
        <f t="shared" ref="R67:R130" si="55">Q67+(I67+J67)*44/12</f>
        <v>293.33333333333803</v>
      </c>
      <c r="S67" s="62">
        <f ca="1">AVERAGE(OFFSET($R$3,0,0,'Données projet'!$E$9+1,1))-AVERAGE(OFFSET($H$3,0,0,'Données projet'!$E$9+1,1))</f>
        <v>247.05981224668733</v>
      </c>
      <c r="T67" s="62">
        <f t="shared" si="34"/>
        <v>345.23839191022898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6.8865916579660902E-2</v>
      </c>
      <c r="AA67" s="23">
        <f>EXP(-LN(2)/25)*AA66+(1-EXP(-LN(2)/25))/(LN(2)/25)*Calculateur!V67*Calculateur!X67*VLOOKUP('Données projet'!$B$9,Paramètres!$A$1:$I$89,3,0)*0.475*44/12</f>
        <v>0.3922447860819484</v>
      </c>
      <c r="AB67" s="23">
        <f>EXP(-LN(2)/2)*AB66+(1-EXP(-LN(2)/2))/(LN(2)/2)*V67*Y67*VLOOKUP('Données projet'!$B$9,Paramètres!$A$1:$I$89,3,0)*0.475*44/12</f>
        <v>3.1954811314198006E-5</v>
      </c>
      <c r="AC67" s="24">
        <f t="shared" si="3"/>
        <v>0.46114265747292349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218.79999999999998</v>
      </c>
      <c r="AJ67" s="14">
        <f>AI67*VLOOKUP('Données projet'!$B$10,Paramètres!$A$1:$I$89,3,0)*VLOOKUP('Données projet'!$B$10,Paramètres!$A$1:$I$89,5,0)</f>
        <v>191.14368000000002</v>
      </c>
      <c r="AK67" s="14">
        <f t="shared" si="35"/>
        <v>47.792715878069586</v>
      </c>
      <c r="AL67" s="22">
        <f t="shared" si="4"/>
        <v>416.14755615430454</v>
      </c>
      <c r="AM67" s="62">
        <f t="shared" si="5"/>
        <v>709.4808894876378</v>
      </c>
      <c r="AN67" s="62">
        <f ca="1">AVERAGE(OFFSET($AM$3,0,0,'Données projet'!$E$10+1,1))-AVERAGE(OFFSET($H$3,0,0,'Données projet'!$E$10+1,1))</f>
        <v>235.92135862353973</v>
      </c>
      <c r="AO67" s="62">
        <f t="shared" si="36"/>
        <v>270.64539221029258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0.39180572819805037</v>
      </c>
      <c r="AV67" s="23">
        <f>EXP(-LN(2)/25)*AV66+(1-EXP(-LN(2)/25))/(LN(2)/25)*Calculateur!AQ67*Calculateur!AS67*VLOOKUP('Données projet'!$B$10,Paramètres!$A$1:$I$89,3,0)*0.475*44/12</f>
        <v>2.0240211068420559</v>
      </c>
      <c r="AW67" s="23">
        <f>EXP(-LN(2)/2)*AW66+(1-EXP(-LN(2)/2))/(LN(2)/2)*AQ67*AT67*VLOOKUP('Données projet'!$B$10,Paramètres!$A$1:$I$89,3,0)*0.475*44/12</f>
        <v>1.1855111499617874E-4</v>
      </c>
      <c r="AX67" s="23">
        <f t="shared" si="6"/>
        <v>2.4159453861551028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1.9895196601282805E-13</v>
      </c>
      <c r="O68" s="14">
        <f>N68*VLOOKUP('Données projet'!$B$9,Paramètres!$A$1:$I$89,3,0)*VLOOKUP('Données projet'!$B$9,Paramètres!$A$1:$I$89,5,0)</f>
        <v>1.8001173884840681E-13</v>
      </c>
      <c r="P68" s="14">
        <f t="shared" si="33"/>
        <v>2.5254331426407198E-12</v>
      </c>
      <c r="Q68" s="22">
        <f t="shared" si="54"/>
        <v>4.7119831685935622E-12</v>
      </c>
      <c r="R68" s="62">
        <f t="shared" si="55"/>
        <v>293.33333333333803</v>
      </c>
      <c r="S68" s="62">
        <f ca="1">AVERAGE(OFFSET($R$3,0,0,'Données projet'!$E$9+1,1))-AVERAGE(OFFSET($H$3,0,0,'Données projet'!$E$9+1,1))</f>
        <v>247.05981224668733</v>
      </c>
      <c r="T68" s="62">
        <f t="shared" si="34"/>
        <v>345.23839191022898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6.7515497959595314E-2</v>
      </c>
      <c r="AA68" s="23">
        <f>EXP(-LN(2)/25)*AA67+(1-EXP(-LN(2)/25))/(LN(2)/25)*Calculateur!V68*Calculateur!X68*VLOOKUP('Données projet'!$B$9,Paramètres!$A$1:$I$89,3,0)*0.475*44/12</f>
        <v>0.3815188317792807</v>
      </c>
      <c r="AB68" s="23">
        <f>EXP(-LN(2)/2)*AB67+(1-EXP(-LN(2)/2))/(LN(2)/2)*V68*Y68*VLOOKUP('Données projet'!$B$9,Paramètres!$A$1:$I$89,3,0)*0.475*44/12</f>
        <v>2.2595463771806023E-5</v>
      </c>
      <c r="AC68" s="24">
        <f t="shared" ref="AC68:AC131" si="57">SUM(Z68:AB68)</f>
        <v>0.44905692520264784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224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223.99999999999997</v>
      </c>
      <c r="AJ68" s="14">
        <f>AI68*VLOOKUP('Données projet'!$B$10,Paramètres!$A$1:$I$89,3,0)*VLOOKUP('Données projet'!$B$10,Paramètres!$A$1:$I$89,5,0)</f>
        <v>195.68639999999999</v>
      </c>
      <c r="AK68" s="14">
        <f t="shared" si="35"/>
        <v>48.794969360985156</v>
      </c>
      <c r="AL68" s="22">
        <f t="shared" ref="AL68:AL131" si="58">(AJ68+AK68)*0.475*44/12</f>
        <v>425.80505163704908</v>
      </c>
      <c r="AM68" s="62">
        <f t="shared" ref="AM68:AM131" si="59">AL68+(AD68+AE68)*44/12</f>
        <v>719.13838497038239</v>
      </c>
      <c r="AN68" s="62">
        <f ca="1">AVERAGE(OFFSET($AM$3,0,0,'Données projet'!$E$10+1,1))-AVERAGE(OFFSET($H$3,0,0,'Données projet'!$E$10+1,1))</f>
        <v>235.92135862353973</v>
      </c>
      <c r="AO68" s="62">
        <f t="shared" si="36"/>
        <v>270.64539221029258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0.38412265684598368</v>
      </c>
      <c r="AV68" s="23">
        <f>EXP(-LN(2)/25)*AV67+(1-EXP(-LN(2)/25))/(LN(2)/25)*Calculateur!AQ68*Calculateur!AS68*VLOOKUP('Données projet'!$B$10,Paramètres!$A$1:$I$89,3,0)*0.475*44/12</f>
        <v>1.9686741432368158</v>
      </c>
      <c r="AW68" s="23">
        <f>EXP(-LN(2)/2)*AW67+(1-EXP(-LN(2)/2))/(LN(2)/2)*AQ68*AT68*VLOOKUP('Données projet'!$B$10,Paramètres!$A$1:$I$89,3,0)*0.475*44/12</f>
        <v>8.3828297331024206E-5</v>
      </c>
      <c r="AX68" s="23">
        <f t="shared" ref="AX68:AX131" si="60">SUM(AU68:AW68)</f>
        <v>2.3528806283801309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1.9895196601282805E-13</v>
      </c>
      <c r="O69" s="14">
        <f>N69*VLOOKUP('Données projet'!$B$9,Paramètres!$A$1:$I$89,3,0)*VLOOKUP('Données projet'!$B$9,Paramètres!$A$1:$I$89,5,0)</f>
        <v>1.8001173884840681E-13</v>
      </c>
      <c r="P69" s="14">
        <f t="shared" ref="P69:P132" si="87">EXP(-1.0587+0.8836*LN(O69)+0.284)</f>
        <v>2.5254331426407198E-12</v>
      </c>
      <c r="Q69" s="22">
        <f t="shared" si="54"/>
        <v>4.7119831685935622E-12</v>
      </c>
      <c r="R69" s="62">
        <f t="shared" si="55"/>
        <v>293.33333333333803</v>
      </c>
      <c r="S69" s="62">
        <f ca="1">AVERAGE(OFFSET($R$3,0,0,'Données projet'!$E$9+1,1))-AVERAGE(OFFSET($H$3,0,0,'Données projet'!$E$9+1,1))</f>
        <v>247.05981224668733</v>
      </c>
      <c r="T69" s="62">
        <f t="shared" ref="T69:T132" si="88">$T$3</f>
        <v>345.23839191022898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6.6191560224995186E-2</v>
      </c>
      <c r="AA69" s="23">
        <f>EXP(-LN(2)/25)*AA68+(1-EXP(-LN(2)/25))/(LN(2)/25)*Calculateur!V69*Calculateur!X69*VLOOKUP('Données projet'!$B$9,Paramètres!$A$1:$I$89,3,0)*0.475*44/12</f>
        <v>0.3710861792610729</v>
      </c>
      <c r="AB69" s="23">
        <f>EXP(-LN(2)/2)*AB68+(1-EXP(-LN(2)/2))/(LN(2)/2)*V69*Y69*VLOOKUP('Données projet'!$B$9,Paramètres!$A$1:$I$89,3,0)*0.475*44/12</f>
        <v>1.5977405657099003E-5</v>
      </c>
      <c r="AC69" s="24">
        <f t="shared" si="57"/>
        <v>0.43729371689172519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4.5999999999999996</v>
      </c>
      <c r="AI69" s="14">
        <f>IF('Données projet'!$A$62&gt;35,AI68+AH69-AQ68,IF(A69&lt;'Données projet'!$A$62,$AF$205^A69,IF(A69='Données projet'!$A$62,'Données projet'!$B$62,AI68+AH69-AQ68)))</f>
        <v>208.59999999999997</v>
      </c>
      <c r="AJ69" s="14">
        <f>AI69*VLOOKUP('Données projet'!$B$10,Paramètres!$A$1:$I$89,3,0)*VLOOKUP('Données projet'!$B$10,Paramètres!$A$1:$I$89,5,0)</f>
        <v>182.23295999999999</v>
      </c>
      <c r="AK69" s="14">
        <f t="shared" ref="AK69:AK132" si="89">EXP(-1.0587+0.8836*LN(AJ69)+0.284)</f>
        <v>45.818621592366291</v>
      </c>
      <c r="AL69" s="22">
        <f t="shared" si="58"/>
        <v>397.18983794003793</v>
      </c>
      <c r="AM69" s="62">
        <f t="shared" si="59"/>
        <v>690.52317127337119</v>
      </c>
      <c r="AN69" s="62">
        <f ca="1">AVERAGE(OFFSET($AM$3,0,0,'Données projet'!$E$10+1,1))-AVERAGE(OFFSET($H$3,0,0,'Données projet'!$E$10+1,1))</f>
        <v>235.92135862353973</v>
      </c>
      <c r="AO69" s="62">
        <f t="shared" ref="AO69:AO132" si="90">$AO$3</f>
        <v>270.64539221029258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0.37659024583692025</v>
      </c>
      <c r="AV69" s="23">
        <f>EXP(-LN(2)/25)*AV68+(1-EXP(-LN(2)/25))/(LN(2)/25)*Calculateur!AQ69*Calculateur!AS69*VLOOKUP('Données projet'!$B$10,Paramètres!$A$1:$I$89,3,0)*0.475*44/12</f>
        <v>1.9148406452619313</v>
      </c>
      <c r="AW69" s="23">
        <f>EXP(-LN(2)/2)*AW68+(1-EXP(-LN(2)/2))/(LN(2)/2)*AQ69*AT69*VLOOKUP('Données projet'!$B$10,Paramètres!$A$1:$I$89,3,0)*0.475*44/12</f>
        <v>5.9275557498089384E-5</v>
      </c>
      <c r="AX69" s="23">
        <f t="shared" si="60"/>
        <v>2.2914901666563496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1.9895196601282805E-13</v>
      </c>
      <c r="O70" s="14">
        <f>N70*VLOOKUP('Données projet'!$B$9,Paramètres!$A$1:$I$89,3,0)*VLOOKUP('Données projet'!$B$9,Paramètres!$A$1:$I$89,5,0)</f>
        <v>1.8001173884840681E-13</v>
      </c>
      <c r="P70" s="14">
        <f t="shared" si="87"/>
        <v>2.5254331426407198E-12</v>
      </c>
      <c r="Q70" s="22">
        <f t="shared" si="54"/>
        <v>4.7119831685935622E-12</v>
      </c>
      <c r="R70" s="62">
        <f t="shared" si="55"/>
        <v>293.33333333333803</v>
      </c>
      <c r="S70" s="62">
        <f ca="1">AVERAGE(OFFSET($R$3,0,0,'Données projet'!$E$9+1,1))-AVERAGE(OFFSET($H$3,0,0,'Données projet'!$E$9+1,1))</f>
        <v>247.05981224668733</v>
      </c>
      <c r="T70" s="62">
        <f t="shared" si="88"/>
        <v>345.23839191022898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6.4893584101848284E-2</v>
      </c>
      <c r="AA70" s="23">
        <f>EXP(-LN(2)/25)*AA69+(1-EXP(-LN(2)/25))/(LN(2)/25)*Calculateur!V70*Calculateur!X70*VLOOKUP('Données projet'!$B$9,Paramètres!$A$1:$I$89,3,0)*0.475*44/12</f>
        <v>0.36093880817460483</v>
      </c>
      <c r="AB70" s="23">
        <f>EXP(-LN(2)/2)*AB69+(1-EXP(-LN(2)/2))/(LN(2)/2)*V70*Y70*VLOOKUP('Données projet'!$B$9,Paramètres!$A$1:$I$89,3,0)*0.475*44/12</f>
        <v>1.1297731885903011E-5</v>
      </c>
      <c r="AC70" s="24">
        <f t="shared" si="57"/>
        <v>0.42584369000833899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4.5999999999999996</v>
      </c>
      <c r="AI70" s="14">
        <f>IF('Données projet'!$A$62&gt;35,AI69+AH70-AQ69,IF(A70&lt;'Données projet'!$A$62,$AF$205^A70,IF(A70='Données projet'!$A$62,'Données projet'!$B$62,AI69+AH70-AQ69)))</f>
        <v>213.19999999999996</v>
      </c>
      <c r="AJ70" s="14">
        <f>AI70*VLOOKUP('Données projet'!$B$10,Paramètres!$A$1:$I$89,3,0)*VLOOKUP('Données projet'!$B$10,Paramètres!$A$1:$I$89,5,0)</f>
        <v>186.25152</v>
      </c>
      <c r="AK70" s="14">
        <f t="shared" si="89"/>
        <v>46.71025851515671</v>
      </c>
      <c r="AL70" s="22">
        <f t="shared" si="58"/>
        <v>405.74176424723129</v>
      </c>
      <c r="AM70" s="62">
        <f t="shared" si="59"/>
        <v>699.0750975805646</v>
      </c>
      <c r="AN70" s="62">
        <f ca="1">AVERAGE(OFFSET($AM$3,0,0,'Données projet'!$E$10+1,1))-AVERAGE(OFFSET($H$3,0,0,'Données projet'!$E$10+1,1))</f>
        <v>235.92135862353973</v>
      </c>
      <c r="AO70" s="62">
        <f t="shared" si="90"/>
        <v>270.64539221029258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0.36920554081342749</v>
      </c>
      <c r="AV70" s="23">
        <f>EXP(-LN(2)/25)*AV69+(1-EXP(-LN(2)/25))/(LN(2)/25)*Calculateur!AQ70*Calculateur!AS70*VLOOKUP('Données projet'!$B$10,Paramètres!$A$1:$I$89,3,0)*0.475*44/12</f>
        <v>1.8624792271201507</v>
      </c>
      <c r="AW70" s="23">
        <f>EXP(-LN(2)/2)*AW69+(1-EXP(-LN(2)/2))/(LN(2)/2)*AQ70*AT70*VLOOKUP('Données projet'!$B$10,Paramètres!$A$1:$I$89,3,0)*0.475*44/12</f>
        <v>4.191414866551211E-5</v>
      </c>
      <c r="AX70" s="23">
        <f t="shared" si="60"/>
        <v>2.2317266820822437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1.9895196601282805E-13</v>
      </c>
      <c r="O71" s="14">
        <f>N71*VLOOKUP('Données projet'!$B$9,Paramètres!$A$1:$I$89,3,0)*VLOOKUP('Données projet'!$B$9,Paramètres!$A$1:$I$89,5,0)</f>
        <v>1.8001173884840681E-13</v>
      </c>
      <c r="P71" s="14">
        <f t="shared" si="87"/>
        <v>2.5254331426407198E-12</v>
      </c>
      <c r="Q71" s="22">
        <f t="shared" si="54"/>
        <v>4.7119831685935622E-12</v>
      </c>
      <c r="R71" s="62">
        <f t="shared" si="55"/>
        <v>293.33333333333803</v>
      </c>
      <c r="S71" s="62">
        <f ca="1">AVERAGE(OFFSET($R$3,0,0,'Données projet'!$E$9+1,1))-AVERAGE(OFFSET($H$3,0,0,'Données projet'!$E$9+1,1))</f>
        <v>247.05981224668733</v>
      </c>
      <c r="T71" s="62">
        <f t="shared" si="88"/>
        <v>345.23839191022898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6.3621060498789031E-2</v>
      </c>
      <c r="AA71" s="23">
        <f>EXP(-LN(2)/25)*AA70+(1-EXP(-LN(2)/25))/(LN(2)/25)*Calculateur!V71*Calculateur!X71*VLOOKUP('Données projet'!$B$9,Paramètres!$A$1:$I$89,3,0)*0.475*44/12</f>
        <v>0.35106891748412328</v>
      </c>
      <c r="AB71" s="23">
        <f>EXP(-LN(2)/2)*AB70+(1-EXP(-LN(2)/2))/(LN(2)/2)*V71*Y71*VLOOKUP('Données projet'!$B$9,Paramètres!$A$1:$I$89,3,0)*0.475*44/12</f>
        <v>7.9887028285495016E-6</v>
      </c>
      <c r="AC71" s="24">
        <f t="shared" si="57"/>
        <v>0.41469796668574083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4.5999999999999996</v>
      </c>
      <c r="AI71" s="14">
        <f>IF('Données projet'!$A$62&gt;35,AI70+AH71-AQ70,IF(A71&lt;'Données projet'!$A$62,$AF$205^A71,IF(A71='Données projet'!$A$62,'Données projet'!$B$62,AI70+AH71-AQ70)))</f>
        <v>217.79999999999995</v>
      </c>
      <c r="AJ71" s="14">
        <f>AI71*VLOOKUP('Données projet'!$B$10,Paramètres!$A$1:$I$89,3,0)*VLOOKUP('Données projet'!$B$10,Paramètres!$A$1:$I$89,5,0)</f>
        <v>190.27007999999998</v>
      </c>
      <c r="AK71" s="14">
        <f t="shared" si="89"/>
        <v>47.599658767320413</v>
      </c>
      <c r="AL71" s="22">
        <f t="shared" si="58"/>
        <v>414.28979501974965</v>
      </c>
      <c r="AM71" s="62">
        <f t="shared" si="59"/>
        <v>707.62312835308296</v>
      </c>
      <c r="AN71" s="62">
        <f ca="1">AVERAGE(OFFSET($AM$3,0,0,'Données projet'!$E$10+1,1))-AVERAGE(OFFSET($H$3,0,0,'Données projet'!$E$10+1,1))</f>
        <v>235.92135862353973</v>
      </c>
      <c r="AO71" s="62">
        <f t="shared" si="90"/>
        <v>270.64539221029258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0.36196564535122011</v>
      </c>
      <c r="AV71" s="23">
        <f>EXP(-LN(2)/25)*AV70+(1-EXP(-LN(2)/25))/(LN(2)/25)*Calculateur!AQ71*Calculateur!AS71*VLOOKUP('Données projet'!$B$10,Paramètres!$A$1:$I$89,3,0)*0.475*44/12</f>
        <v>1.8115496347110243</v>
      </c>
      <c r="AW71" s="23">
        <f>EXP(-LN(2)/2)*AW70+(1-EXP(-LN(2)/2))/(LN(2)/2)*AQ71*AT71*VLOOKUP('Données projet'!$B$10,Paramètres!$A$1:$I$89,3,0)*0.475*44/12</f>
        <v>2.9637778749044696E-5</v>
      </c>
      <c r="AX71" s="23">
        <f t="shared" si="60"/>
        <v>2.1735449178409936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1.9895196601282805E-13</v>
      </c>
      <c r="O72" s="14">
        <f>N72*VLOOKUP('Données projet'!$B$9,Paramètres!$A$1:$I$89,3,0)*VLOOKUP('Données projet'!$B$9,Paramètres!$A$1:$I$89,5,0)</f>
        <v>1.8001173884840681E-13</v>
      </c>
      <c r="P72" s="14">
        <f t="shared" si="87"/>
        <v>2.5254331426407198E-12</v>
      </c>
      <c r="Q72" s="22">
        <f t="shared" si="54"/>
        <v>4.7119831685935622E-12</v>
      </c>
      <c r="R72" s="62">
        <f t="shared" si="55"/>
        <v>293.33333333333803</v>
      </c>
      <c r="S72" s="62">
        <f ca="1">AVERAGE(OFFSET($R$3,0,0,'Données projet'!$E$9+1,1))-AVERAGE(OFFSET($H$3,0,0,'Données projet'!$E$9+1,1))</f>
        <v>247.05981224668733</v>
      </c>
      <c r="T72" s="62">
        <f t="shared" si="88"/>
        <v>345.23839191022898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6.2373490307423007E-2</v>
      </c>
      <c r="AA72" s="23">
        <f>EXP(-LN(2)/25)*AA71+(1-EXP(-LN(2)/25))/(LN(2)/25)*Calculateur!V72*Calculateur!X72*VLOOKUP('Données projet'!$B$9,Paramètres!$A$1:$I$89,3,0)*0.475*44/12</f>
        <v>0.34146891947360791</v>
      </c>
      <c r="AB72" s="23">
        <f>EXP(-LN(2)/2)*AB71+(1-EXP(-LN(2)/2))/(LN(2)/2)*V72*Y72*VLOOKUP('Données projet'!$B$9,Paramètres!$A$1:$I$89,3,0)*0.475*44/12</f>
        <v>5.6488659429515057E-6</v>
      </c>
      <c r="AC72" s="24">
        <f t="shared" si="57"/>
        <v>0.40384805864697387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4.5999999999999996</v>
      </c>
      <c r="AI72" s="14">
        <f>IF('Données projet'!$A$62&gt;35,AI71+AH72-AQ71,IF(A72&lt;'Données projet'!$A$62,$AF$205^A72,IF(A72='Données projet'!$A$62,'Données projet'!$B$62,AI71+AH72-AQ71)))</f>
        <v>222.39999999999995</v>
      </c>
      <c r="AJ72" s="14">
        <f>AI72*VLOOKUP('Données projet'!$B$10,Paramètres!$A$1:$I$89,3,0)*VLOOKUP('Données projet'!$B$10,Paramètres!$A$1:$I$89,5,0)</f>
        <v>194.28863999999999</v>
      </c>
      <c r="AK72" s="14">
        <f t="shared" si="89"/>
        <v>48.486875029770822</v>
      </c>
      <c r="AL72" s="22">
        <f t="shared" si="58"/>
        <v>422.83402201018413</v>
      </c>
      <c r="AM72" s="62">
        <f t="shared" si="59"/>
        <v>716.16735534351744</v>
      </c>
      <c r="AN72" s="62">
        <f ca="1">AVERAGE(OFFSET($AM$3,0,0,'Données projet'!$E$10+1,1))-AVERAGE(OFFSET($H$3,0,0,'Données projet'!$E$10+1,1))</f>
        <v>235.92135862353973</v>
      </c>
      <c r="AO72" s="62">
        <f t="shared" si="90"/>
        <v>270.64539221029258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0.35486771982312643</v>
      </c>
      <c r="AV72" s="23">
        <f>EXP(-LN(2)/25)*AV71+(1-EXP(-LN(2)/25))/(LN(2)/25)*Calculateur!AQ72*Calculateur!AS72*VLOOKUP('Données projet'!$B$10,Paramètres!$A$1:$I$89,3,0)*0.475*44/12</f>
        <v>1.7620127146845963</v>
      </c>
      <c r="AW72" s="23">
        <f>EXP(-LN(2)/2)*AW71+(1-EXP(-LN(2)/2))/(LN(2)/2)*AQ72*AT72*VLOOKUP('Données projet'!$B$10,Paramètres!$A$1:$I$89,3,0)*0.475*44/12</f>
        <v>2.0957074332756058E-5</v>
      </c>
      <c r="AX72" s="23">
        <f t="shared" si="60"/>
        <v>2.1169013915820556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1.9895196601282805E-13</v>
      </c>
      <c r="O73" s="14">
        <f>N73*VLOOKUP('Données projet'!$B$9,Paramètres!$A$1:$I$89,3,0)*VLOOKUP('Données projet'!$B$9,Paramètres!$A$1:$I$89,5,0)</f>
        <v>1.8001173884840681E-13</v>
      </c>
      <c r="P73" s="14">
        <f t="shared" si="87"/>
        <v>2.5254331426407198E-12</v>
      </c>
      <c r="Q73" s="22">
        <f t="shared" si="54"/>
        <v>4.7119831685935622E-12</v>
      </c>
      <c r="R73" s="62">
        <f t="shared" si="55"/>
        <v>293.33333333333803</v>
      </c>
      <c r="S73" s="62">
        <f ca="1">AVERAGE(OFFSET($R$3,0,0,'Données projet'!$E$9+1,1))-AVERAGE(OFFSET($H$3,0,0,'Données projet'!$E$9+1,1))</f>
        <v>247.05981224668733</v>
      </c>
      <c r="T73" s="62">
        <f t="shared" si="88"/>
        <v>345.23839191022898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6.1150384206566988E-2</v>
      </c>
      <c r="AA73" s="23">
        <f>EXP(-LN(2)/25)*AA72+(1-EXP(-LN(2)/25))/(LN(2)/25)*Calculateur!V73*Calculateur!X73*VLOOKUP('Données projet'!$B$9,Paramètres!$A$1:$I$89,3,0)*0.475*44/12</f>
        <v>0.33213143391353206</v>
      </c>
      <c r="AB73" s="23">
        <f>EXP(-LN(2)/2)*AB72+(1-EXP(-LN(2)/2))/(LN(2)/2)*V73*Y73*VLOOKUP('Données projet'!$B$9,Paramètres!$A$1:$I$89,3,0)*0.475*44/12</f>
        <v>3.9943514142747508E-6</v>
      </c>
      <c r="AC73" s="24">
        <f t="shared" si="57"/>
        <v>0.39328581247151334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227</v>
      </c>
      <c r="AG73" s="13">
        <f>VLOOKUP(A73,'Données projet'!$A$61:$I$81,9,0)</f>
        <v>4.5999999999999996</v>
      </c>
      <c r="AH73" s="13">
        <f t="array" ref="AH73">INDEX(AG:AG,MIN(IF(ISNUMBER(AG73:AG269),ROW(AG73:AG269),"")))</f>
        <v>4.5999999999999996</v>
      </c>
      <c r="AI73" s="14">
        <f>IF('Données projet'!$A$62&gt;35,AI72+AH73-AQ72,IF(A73&lt;'Données projet'!$A$62,$AF$205^A73,IF(A73='Données projet'!$A$62,'Données projet'!$B$62,AI72+AH73-AQ72)))</f>
        <v>226.99999999999994</v>
      </c>
      <c r="AJ73" s="14">
        <f>AI73*VLOOKUP('Données projet'!$B$10,Paramètres!$A$1:$I$89,3,0)*VLOOKUP('Données projet'!$B$10,Paramètres!$A$1:$I$89,5,0)</f>
        <v>198.30719999999997</v>
      </c>
      <c r="AK73" s="14">
        <f t="shared" si="89"/>
        <v>49.371957679623371</v>
      </c>
      <c r="AL73" s="22">
        <f t="shared" si="58"/>
        <v>431.37453295867726</v>
      </c>
      <c r="AM73" s="62">
        <f t="shared" si="59"/>
        <v>724.70786629201052</v>
      </c>
      <c r="AN73" s="62">
        <f ca="1">AVERAGE(OFFSET($AM$3,0,0,'Données projet'!$E$10+1,1))-AVERAGE(OFFSET($H$3,0,0,'Données projet'!$E$10+1,1))</f>
        <v>235.92135862353973</v>
      </c>
      <c r="AO73" s="62">
        <f t="shared" si="90"/>
        <v>270.64539221029258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17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0.34790898028533157</v>
      </c>
      <c r="AV73" s="23">
        <f>EXP(-LN(2)/25)*AV72+(1-EXP(-LN(2)/25))/(LN(2)/25)*Calculateur!AQ73*Calculateur!AS73*VLOOKUP('Données projet'!$B$10,Paramètres!$A$1:$I$89,3,0)*0.475*44/12</f>
        <v>1.7138303843413245</v>
      </c>
      <c r="AW73" s="23">
        <f>EXP(-LN(2)/2)*AW72+(1-EXP(-LN(2)/2))/(LN(2)/2)*AQ73*AT73*VLOOKUP('Données projet'!$B$10,Paramètres!$A$1:$I$89,3,0)*0.475*44/12</f>
        <v>1.4818889374522351E-5</v>
      </c>
      <c r="AX73" s="23">
        <f t="shared" si="60"/>
        <v>2.0617541835160309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1.9895196601282805E-13</v>
      </c>
      <c r="O74" s="14">
        <f>N74*VLOOKUP('Données projet'!$B$9,Paramètres!$A$1:$I$89,3,0)*VLOOKUP('Données projet'!$B$9,Paramètres!$A$1:$I$89,5,0)</f>
        <v>1.8001173884840681E-13</v>
      </c>
      <c r="P74" s="14">
        <f t="shared" si="87"/>
        <v>2.5254331426407198E-12</v>
      </c>
      <c r="Q74" s="22">
        <f t="shared" si="54"/>
        <v>4.7119831685935622E-12</v>
      </c>
      <c r="R74" s="62">
        <f t="shared" si="55"/>
        <v>293.33333333333803</v>
      </c>
      <c r="S74" s="62">
        <f ca="1">AVERAGE(OFFSET($R$3,0,0,'Données projet'!$E$9+1,1))-AVERAGE(OFFSET($H$3,0,0,'Données projet'!$E$9+1,1))</f>
        <v>247.05981224668733</v>
      </c>
      <c r="T74" s="62">
        <f t="shared" si="88"/>
        <v>345.23839191022898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5.9951262470327699E-2</v>
      </c>
      <c r="AA74" s="23">
        <f>EXP(-LN(2)/25)*AA73+(1-EXP(-LN(2)/25))/(LN(2)/25)*Calculateur!V74*Calculateur!X74*VLOOKUP('Données projet'!$B$9,Paramètres!$A$1:$I$89,3,0)*0.475*44/12</f>
        <v>0.32304928238713349</v>
      </c>
      <c r="AB74" s="23">
        <f>EXP(-LN(2)/2)*AB73+(1-EXP(-LN(2)/2))/(LN(2)/2)*V74*Y74*VLOOKUP('Données projet'!$B$9,Paramètres!$A$1:$I$89,3,0)*0.475*44/12</f>
        <v>2.8244329714757529E-6</v>
      </c>
      <c r="AC74" s="24">
        <f t="shared" si="57"/>
        <v>0.3830033692904326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</v>
      </c>
      <c r="AI74" s="14">
        <f>IF('Données projet'!$A$62&gt;35,AI73+AH74-AQ73,IF(A74&lt;'Données projet'!$A$62,$AF$205^A74,IF(A74='Données projet'!$A$62,'Données projet'!$B$62,AI73+AH74-AQ73)))</f>
        <v>213.99999999999994</v>
      </c>
      <c r="AJ74" s="14">
        <f>AI74*VLOOKUP('Données projet'!$B$10,Paramètres!$A$1:$I$89,3,0)*VLOOKUP('Données projet'!$B$10,Paramètres!$A$1:$I$89,5,0)</f>
        <v>186.95039999999997</v>
      </c>
      <c r="AK74" s="14">
        <f t="shared" si="89"/>
        <v>46.865095976617653</v>
      </c>
      <c r="AL74" s="22">
        <f t="shared" si="58"/>
        <v>407.22865549260905</v>
      </c>
      <c r="AM74" s="62">
        <f t="shared" si="59"/>
        <v>700.56198882594231</v>
      </c>
      <c r="AN74" s="62">
        <f ca="1">AVERAGE(OFFSET($AM$3,0,0,'Données projet'!$E$10+1,1))-AVERAGE(OFFSET($H$3,0,0,'Données projet'!$E$10+1,1))</f>
        <v>235.92135862353973</v>
      </c>
      <c r="AO74" s="62">
        <f t="shared" si="90"/>
        <v>270.64539221029258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0.34108669738546082</v>
      </c>
      <c r="AV74" s="23">
        <f>EXP(-LN(2)/25)*AV73+(1-EXP(-LN(2)/25))/(LN(2)/25)*Calculateur!AQ74*Calculateur!AS74*VLOOKUP('Données projet'!$B$10,Paramètres!$A$1:$I$89,3,0)*0.475*44/12</f>
        <v>1.6669656023550881</v>
      </c>
      <c r="AW74" s="23">
        <f>EXP(-LN(2)/2)*AW73+(1-EXP(-LN(2)/2))/(LN(2)/2)*AQ74*AT74*VLOOKUP('Données projet'!$B$10,Paramètres!$A$1:$I$89,3,0)*0.475*44/12</f>
        <v>1.0478537166378031E-5</v>
      </c>
      <c r="AX74" s="23">
        <f t="shared" si="60"/>
        <v>2.0080627782777154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1.9895196601282805E-13</v>
      </c>
      <c r="O75" s="14">
        <f>N75*VLOOKUP('Données projet'!$B$9,Paramètres!$A$1:$I$89,3,0)*VLOOKUP('Données projet'!$B$9,Paramètres!$A$1:$I$89,5,0)</f>
        <v>1.8001173884840681E-13</v>
      </c>
      <c r="P75" s="14">
        <f t="shared" si="87"/>
        <v>2.5254331426407198E-12</v>
      </c>
      <c r="Q75" s="22">
        <f t="shared" si="54"/>
        <v>4.7119831685935622E-12</v>
      </c>
      <c r="R75" s="62">
        <f t="shared" si="55"/>
        <v>293.33333333333803</v>
      </c>
      <c r="S75" s="62">
        <f ca="1">AVERAGE(OFFSET($R$3,0,0,'Données projet'!$E$9+1,1))-AVERAGE(OFFSET($H$3,0,0,'Données projet'!$E$9+1,1))</f>
        <v>247.05981224668733</v>
      </c>
      <c r="T75" s="62">
        <f t="shared" si="88"/>
        <v>345.23839191022898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5.8775654779944023E-2</v>
      </c>
      <c r="AA75" s="23">
        <f>EXP(-LN(2)/25)*AA74+(1-EXP(-LN(2)/25))/(LN(2)/25)*Calculateur!V75*Calculateur!X75*VLOOKUP('Données projet'!$B$9,Paramètres!$A$1:$I$89,3,0)*0.475*44/12</f>
        <v>0.31421548277183392</v>
      </c>
      <c r="AB75" s="23">
        <f>EXP(-LN(2)/2)*AB74+(1-EXP(-LN(2)/2))/(LN(2)/2)*V75*Y75*VLOOKUP('Données projet'!$B$9,Paramètres!$A$1:$I$89,3,0)*0.475*44/12</f>
        <v>1.9971757071373754E-6</v>
      </c>
      <c r="AC75" s="24">
        <f t="shared" si="57"/>
        <v>0.37299313472748508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</v>
      </c>
      <c r="AI75" s="14">
        <f>IF('Données projet'!$A$62&gt;35,AI74+AH75-AQ74,IF(A75&lt;'Données projet'!$A$62,$AF$205^A75,IF(A75='Données projet'!$A$62,'Données projet'!$B$62,AI74+AH75-AQ74)))</f>
        <v>217.99999999999994</v>
      </c>
      <c r="AJ75" s="14">
        <f>AI75*VLOOKUP('Données projet'!$B$10,Paramètres!$A$1:$I$89,3,0)*VLOOKUP('Données projet'!$B$10,Paramètres!$A$1:$I$89,5,0)</f>
        <v>190.44479999999999</v>
      </c>
      <c r="AK75" s="14">
        <f t="shared" si="89"/>
        <v>47.638278428909231</v>
      </c>
      <c r="AL75" s="22">
        <f t="shared" si="58"/>
        <v>414.66136159701688</v>
      </c>
      <c r="AM75" s="62">
        <f t="shared" si="59"/>
        <v>707.99469493035019</v>
      </c>
      <c r="AN75" s="62">
        <f ca="1">AVERAGE(OFFSET($AM$3,0,0,'Données projet'!$E$10+1,1))-AVERAGE(OFFSET($H$3,0,0,'Données projet'!$E$10+1,1))</f>
        <v>235.92135862353973</v>
      </c>
      <c r="AO75" s="62">
        <f t="shared" si="90"/>
        <v>270.64539221029258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0.33439819529207487</v>
      </c>
      <c r="AV75" s="23">
        <f>EXP(-LN(2)/25)*AV74+(1-EXP(-LN(2)/25))/(LN(2)/25)*Calculateur!AQ75*Calculateur!AS75*VLOOKUP('Données projet'!$B$10,Paramètres!$A$1:$I$89,3,0)*0.475*44/12</f>
        <v>1.6213823402967771</v>
      </c>
      <c r="AW75" s="23">
        <f>EXP(-LN(2)/2)*AW74+(1-EXP(-LN(2)/2))/(LN(2)/2)*AQ75*AT75*VLOOKUP('Données projet'!$B$10,Paramètres!$A$1:$I$89,3,0)*0.475*44/12</f>
        <v>7.4094446872611764E-6</v>
      </c>
      <c r="AX75" s="23">
        <f t="shared" si="60"/>
        <v>1.9557879450335394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1.9895196601282805E-13</v>
      </c>
      <c r="O76" s="14">
        <f>N76*VLOOKUP('Données projet'!$B$9,Paramètres!$A$1:$I$89,3,0)*VLOOKUP('Données projet'!$B$9,Paramètres!$A$1:$I$89,5,0)</f>
        <v>1.8001173884840681E-13</v>
      </c>
      <c r="P76" s="14">
        <f t="shared" si="87"/>
        <v>2.5254331426407198E-12</v>
      </c>
      <c r="Q76" s="22">
        <f t="shared" si="54"/>
        <v>4.7119831685935622E-12</v>
      </c>
      <c r="R76" s="62">
        <f t="shared" si="55"/>
        <v>293.33333333333803</v>
      </c>
      <c r="S76" s="62">
        <f ca="1">AVERAGE(OFFSET($R$3,0,0,'Données projet'!$E$9+1,1))-AVERAGE(OFFSET($H$3,0,0,'Données projet'!$E$9+1,1))</f>
        <v>247.05981224668733</v>
      </c>
      <c r="T76" s="62">
        <f t="shared" si="88"/>
        <v>345.23839191022898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5.7623100039318878E-2</v>
      </c>
      <c r="AA76" s="23">
        <f>EXP(-LN(2)/25)*AA75+(1-EXP(-LN(2)/25))/(LN(2)/25)*Calculateur!V76*Calculateur!X76*VLOOKUP('Données projet'!$B$9,Paramètres!$A$1:$I$89,3,0)*0.475*44/12</f>
        <v>0.30562324387156403</v>
      </c>
      <c r="AB76" s="23">
        <f>EXP(-LN(2)/2)*AB75+(1-EXP(-LN(2)/2))/(LN(2)/2)*V76*Y76*VLOOKUP('Données projet'!$B$9,Paramètres!$A$1:$I$89,3,0)*0.475*44/12</f>
        <v>1.4122164857378764E-6</v>
      </c>
      <c r="AC76" s="24">
        <f t="shared" si="57"/>
        <v>0.36324775612736865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</v>
      </c>
      <c r="AI76" s="14">
        <f>IF('Données projet'!$A$62&gt;35,AI75+AH76-AQ75,IF(A76&lt;'Données projet'!$A$62,$AF$205^A76,IF(A76='Données projet'!$A$62,'Données projet'!$B$62,AI75+AH76-AQ75)))</f>
        <v>221.99999999999994</v>
      </c>
      <c r="AJ76" s="14">
        <f>AI76*VLOOKUP('Données projet'!$B$10,Paramètres!$A$1:$I$89,3,0)*VLOOKUP('Données projet'!$B$10,Paramètres!$A$1:$I$89,5,0)</f>
        <v>193.93919999999997</v>
      </c>
      <c r="AK76" s="14">
        <f t="shared" si="89"/>
        <v>48.409811198069342</v>
      </c>
      <c r="AL76" s="22">
        <f t="shared" si="58"/>
        <v>422.091194503304</v>
      </c>
      <c r="AM76" s="62">
        <f t="shared" si="59"/>
        <v>715.42452783663725</v>
      </c>
      <c r="AN76" s="62">
        <f ca="1">AVERAGE(OFFSET($AM$3,0,0,'Données projet'!$E$10+1,1))-AVERAGE(OFFSET($H$3,0,0,'Données projet'!$E$10+1,1))</f>
        <v>235.92135862353973</v>
      </c>
      <c r="AO76" s="62">
        <f t="shared" si="90"/>
        <v>270.64539221029258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0.32784085064515678</v>
      </c>
      <c r="AV76" s="23">
        <f>EXP(-LN(2)/25)*AV75+(1-EXP(-LN(2)/25))/(LN(2)/25)*Calculateur!AQ76*Calculateur!AS76*VLOOKUP('Données projet'!$B$10,Paramètres!$A$1:$I$89,3,0)*0.475*44/12</f>
        <v>1.5770455549365701</v>
      </c>
      <c r="AW76" s="23">
        <f>EXP(-LN(2)/2)*AW75+(1-EXP(-LN(2)/2))/(LN(2)/2)*AQ76*AT76*VLOOKUP('Données projet'!$B$10,Paramètres!$A$1:$I$89,3,0)*0.475*44/12</f>
        <v>5.2392685831890163E-6</v>
      </c>
      <c r="AX76" s="23">
        <f t="shared" si="60"/>
        <v>1.9048916448503099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1.9895196601282805E-13</v>
      </c>
      <c r="O77" s="14">
        <f>N77*VLOOKUP('Données projet'!$B$9,Paramètres!$A$1:$I$89,3,0)*VLOOKUP('Données projet'!$B$9,Paramètres!$A$1:$I$89,5,0)</f>
        <v>1.8001173884840681E-13</v>
      </c>
      <c r="P77" s="14">
        <f t="shared" si="87"/>
        <v>2.5254331426407198E-12</v>
      </c>
      <c r="Q77" s="22">
        <f t="shared" si="54"/>
        <v>4.7119831685935622E-12</v>
      </c>
      <c r="R77" s="62">
        <f t="shared" si="55"/>
        <v>293.33333333333803</v>
      </c>
      <c r="S77" s="62">
        <f ca="1">AVERAGE(OFFSET($R$3,0,0,'Données projet'!$E$9+1,1))-AVERAGE(OFFSET($H$3,0,0,'Données projet'!$E$9+1,1))</f>
        <v>247.05981224668733</v>
      </c>
      <c r="T77" s="62">
        <f t="shared" si="88"/>
        <v>345.23839191022898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5.6493146194168418E-2</v>
      </c>
      <c r="AA77" s="23">
        <f>EXP(-LN(2)/25)*AA76+(1-EXP(-LN(2)/25))/(LN(2)/25)*Calculateur!V77*Calculateur!X77*VLOOKUP('Données projet'!$B$9,Paramètres!$A$1:$I$89,3,0)*0.475*44/12</f>
        <v>0.29726596019586821</v>
      </c>
      <c r="AB77" s="23">
        <f>EXP(-LN(2)/2)*AB76+(1-EXP(-LN(2)/2))/(LN(2)/2)*V77*Y77*VLOOKUP('Données projet'!$B$9,Paramètres!$A$1:$I$89,3,0)*0.475*44/12</f>
        <v>9.9858785356868769E-7</v>
      </c>
      <c r="AC77" s="24">
        <f t="shared" si="57"/>
        <v>0.35376010497789018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</v>
      </c>
      <c r="AI77" s="14">
        <f>IF('Données projet'!$A$62&gt;35,AI76+AH77-AQ76,IF(A77&lt;'Données projet'!$A$62,$AF$205^A77,IF(A77='Données projet'!$A$62,'Données projet'!$B$62,AI76+AH77-AQ76)))</f>
        <v>225.99999999999994</v>
      </c>
      <c r="AJ77" s="14">
        <f>AI77*VLOOKUP('Données projet'!$B$10,Paramètres!$A$1:$I$89,3,0)*VLOOKUP('Données projet'!$B$10,Paramètres!$A$1:$I$89,5,0)</f>
        <v>197.43359999999996</v>
      </c>
      <c r="AK77" s="14">
        <f t="shared" si="89"/>
        <v>49.179727436837609</v>
      </c>
      <c r="AL77" s="22">
        <f t="shared" si="58"/>
        <v>429.51821195249204</v>
      </c>
      <c r="AM77" s="62">
        <f t="shared" si="59"/>
        <v>722.8515452858253</v>
      </c>
      <c r="AN77" s="62">
        <f ca="1">AVERAGE(OFFSET($AM$3,0,0,'Données projet'!$E$10+1,1))-AVERAGE(OFFSET($H$3,0,0,'Données projet'!$E$10+1,1))</f>
        <v>235.92135862353973</v>
      </c>
      <c r="AO77" s="62">
        <f t="shared" si="90"/>
        <v>270.64539221029258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0.32141209152717942</v>
      </c>
      <c r="AV77" s="23">
        <f>EXP(-LN(2)/25)*AV76+(1-EXP(-LN(2)/25))/(LN(2)/25)*Calculateur!AQ77*Calculateur!AS77*VLOOKUP('Données projet'!$B$10,Paramètres!$A$1:$I$89,3,0)*0.475*44/12</f>
        <v>1.5339211613036081</v>
      </c>
      <c r="AW77" s="23">
        <f>EXP(-LN(2)/2)*AW76+(1-EXP(-LN(2)/2))/(LN(2)/2)*AQ77*AT77*VLOOKUP('Données projet'!$B$10,Paramètres!$A$1:$I$89,3,0)*0.475*44/12</f>
        <v>3.7047223436305891E-6</v>
      </c>
      <c r="AX77" s="23">
        <f t="shared" si="60"/>
        <v>1.8553369575531311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1.9895196601282805E-13</v>
      </c>
      <c r="O78" s="14">
        <f>N78*VLOOKUP('Données projet'!$B$9,Paramètres!$A$1:$I$89,3,0)*VLOOKUP('Données projet'!$B$9,Paramètres!$A$1:$I$89,5,0)</f>
        <v>1.8001173884840681E-13</v>
      </c>
      <c r="P78" s="14">
        <f t="shared" si="87"/>
        <v>2.5254331426407198E-12</v>
      </c>
      <c r="Q78" s="22">
        <f t="shared" si="54"/>
        <v>4.7119831685935622E-12</v>
      </c>
      <c r="R78" s="62">
        <f t="shared" si="55"/>
        <v>293.33333333333803</v>
      </c>
      <c r="S78" s="62">
        <f ca="1">AVERAGE(OFFSET($R$3,0,0,'Données projet'!$E$9+1,1))-AVERAGE(OFFSET($H$3,0,0,'Données projet'!$E$9+1,1))</f>
        <v>247.05981224668733</v>
      </c>
      <c r="T78" s="62">
        <f t="shared" si="88"/>
        <v>345.23839191022898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5.5385350054717564E-2</v>
      </c>
      <c r="AA78" s="23">
        <f>EXP(-LN(2)/25)*AA77+(1-EXP(-LN(2)/25))/(LN(2)/25)*Calculateur!V78*Calculateur!X78*VLOOKUP('Données projet'!$B$9,Paramètres!$A$1:$I$89,3,0)*0.475*44/12</f>
        <v>0.28913720688177474</v>
      </c>
      <c r="AB78" s="23">
        <f>EXP(-LN(2)/2)*AB77+(1-EXP(-LN(2)/2))/(LN(2)/2)*V78*Y78*VLOOKUP('Données projet'!$B$9,Paramètres!$A$1:$I$89,3,0)*0.475*44/12</f>
        <v>7.0610824286893822E-7</v>
      </c>
      <c r="AC78" s="24">
        <f t="shared" si="57"/>
        <v>0.34452326304473518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230</v>
      </c>
      <c r="AG78" s="13">
        <f>VLOOKUP(A78,'Données projet'!$A$61:$I$81,9,0)</f>
        <v>4</v>
      </c>
      <c r="AH78" s="13">
        <f t="array" ref="AH78">INDEX(AG:AG,MIN(IF(ISNUMBER(AG78:AG274),ROW(AG78:AG274),"")))</f>
        <v>4</v>
      </c>
      <c r="AI78" s="14">
        <f>IF('Données projet'!$A$62&gt;35,AI77+AH78-AQ77,IF(A78&lt;'Données projet'!$A$62,$AF$205^A78,IF(A78='Données projet'!$A$62,'Données projet'!$B$62,AI77+AH78-AQ77)))</f>
        <v>229.99999999999994</v>
      </c>
      <c r="AJ78" s="14">
        <f>AI78*VLOOKUP('Données projet'!$B$10,Paramètres!$A$1:$I$89,3,0)*VLOOKUP('Données projet'!$B$10,Paramètres!$A$1:$I$89,5,0)</f>
        <v>200.92799999999997</v>
      </c>
      <c r="AK78" s="14">
        <f t="shared" si="89"/>
        <v>49.948059057189042</v>
      </c>
      <c r="AL78" s="22">
        <f t="shared" si="58"/>
        <v>436.94246952460418</v>
      </c>
      <c r="AM78" s="62">
        <f t="shared" si="59"/>
        <v>730.27580285793749</v>
      </c>
      <c r="AN78" s="62">
        <f ca="1">AVERAGE(OFFSET($AM$3,0,0,'Données projet'!$E$10+1,1))-AVERAGE(OFFSET($H$3,0,0,'Données projet'!$E$10+1,1))</f>
        <v>235.92135862353973</v>
      </c>
      <c r="AO78" s="62">
        <f t="shared" si="90"/>
        <v>270.64539221029258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15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0.31510939645434971</v>
      </c>
      <c r="AV78" s="23">
        <f>EXP(-LN(2)/25)*AV77+(1-EXP(-LN(2)/25))/(LN(2)/25)*Calculateur!AQ78*Calculateur!AS78*VLOOKUP('Données projet'!$B$10,Paramètres!$A$1:$I$89,3,0)*0.475*44/12</f>
        <v>1.4919760064823528</v>
      </c>
      <c r="AW78" s="23">
        <f>EXP(-LN(2)/2)*AW77+(1-EXP(-LN(2)/2))/(LN(2)/2)*AQ78*AT78*VLOOKUP('Données projet'!$B$10,Paramètres!$A$1:$I$89,3,0)*0.475*44/12</f>
        <v>2.6196342915945086E-6</v>
      </c>
      <c r="AX78" s="23">
        <f t="shared" si="60"/>
        <v>1.807088022570994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1.9895196601282805E-13</v>
      </c>
      <c r="O79" s="14">
        <f>N79*VLOOKUP('Données projet'!$B$9,Paramètres!$A$1:$I$89,3,0)*VLOOKUP('Données projet'!$B$9,Paramètres!$A$1:$I$89,5,0)</f>
        <v>1.8001173884840681E-13</v>
      </c>
      <c r="P79" s="14">
        <f t="shared" si="87"/>
        <v>2.5254331426407198E-12</v>
      </c>
      <c r="Q79" s="22">
        <f t="shared" si="54"/>
        <v>4.7119831685935622E-12</v>
      </c>
      <c r="R79" s="62">
        <f t="shared" si="55"/>
        <v>293.33333333333803</v>
      </c>
      <c r="S79" s="62">
        <f ca="1">AVERAGE(OFFSET($R$3,0,0,'Données projet'!$E$9+1,1))-AVERAGE(OFFSET($H$3,0,0,'Données projet'!$E$9+1,1))</f>
        <v>247.05981224668733</v>
      </c>
      <c r="T79" s="62">
        <f t="shared" si="88"/>
        <v>345.23839191022898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5.4299277121872415E-2</v>
      </c>
      <c r="AA79" s="23">
        <f>EXP(-LN(2)/25)*AA78+(1-EXP(-LN(2)/25))/(LN(2)/25)*Calculateur!V79*Calculateur!X79*VLOOKUP('Données projet'!$B$9,Paramètres!$A$1:$I$89,3,0)*0.475*44/12</f>
        <v>0.28123073475452776</v>
      </c>
      <c r="AB79" s="23">
        <f>EXP(-LN(2)/2)*AB78+(1-EXP(-LN(2)/2))/(LN(2)/2)*V79*Y79*VLOOKUP('Données projet'!$B$9,Paramètres!$A$1:$I$89,3,0)*0.475*44/12</f>
        <v>4.9929392678434385E-7</v>
      </c>
      <c r="AC79" s="24">
        <f t="shared" si="57"/>
        <v>0.33553051117032695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3.4</v>
      </c>
      <c r="AI79" s="14">
        <f>IF('Données projet'!$A$62&gt;35,AI78+AH79-AQ78,IF(A79&lt;'Données projet'!$A$62,$AF$205^A79,IF(A79='Données projet'!$A$62,'Données projet'!$B$62,AI78+AH79-AQ78)))</f>
        <v>218.39999999999995</v>
      </c>
      <c r="AJ79" s="14">
        <f>AI79*VLOOKUP('Données projet'!$B$10,Paramètres!$A$1:$I$89,3,0)*VLOOKUP('Données projet'!$B$10,Paramètres!$A$1:$I$89,5,0)</f>
        <v>190.79423999999997</v>
      </c>
      <c r="AK79" s="14">
        <f t="shared" si="89"/>
        <v>47.715505384501107</v>
      </c>
      <c r="AL79" s="22">
        <f t="shared" si="58"/>
        <v>415.40447321133934</v>
      </c>
      <c r="AM79" s="62">
        <f t="shared" si="59"/>
        <v>708.73780654467259</v>
      </c>
      <c r="AN79" s="62">
        <f ca="1">AVERAGE(OFFSET($AM$3,0,0,'Données projet'!$E$10+1,1))-AVERAGE(OFFSET($H$3,0,0,'Données projet'!$E$10+1,1))</f>
        <v>235.92135862353973</v>
      </c>
      <c r="AO79" s="62">
        <f t="shared" si="90"/>
        <v>270.64539221029258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0.30893029338763378</v>
      </c>
      <c r="AV79" s="23">
        <f>EXP(-LN(2)/25)*AV78+(1-EXP(-LN(2)/25))/(LN(2)/25)*Calculateur!AQ79*Calculateur!AS79*VLOOKUP('Données projet'!$B$10,Paramètres!$A$1:$I$89,3,0)*0.475*44/12</f>
        <v>1.4511778441254848</v>
      </c>
      <c r="AW79" s="23">
        <f>EXP(-LN(2)/2)*AW78+(1-EXP(-LN(2)/2))/(LN(2)/2)*AQ79*AT79*VLOOKUP('Données projet'!$B$10,Paramètres!$A$1:$I$89,3,0)*0.475*44/12</f>
        <v>1.8523611718152947E-6</v>
      </c>
      <c r="AX79" s="23">
        <f t="shared" si="60"/>
        <v>1.7601099898742902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1.9895196601282805E-13</v>
      </c>
      <c r="O80" s="14">
        <f>N80*VLOOKUP('Données projet'!$B$9,Paramètres!$A$1:$I$89,3,0)*VLOOKUP('Données projet'!$B$9,Paramètres!$A$1:$I$89,5,0)</f>
        <v>1.8001173884840681E-13</v>
      </c>
      <c r="P80" s="14">
        <f t="shared" si="87"/>
        <v>2.5254331426407198E-12</v>
      </c>
      <c r="Q80" s="22">
        <f t="shared" si="54"/>
        <v>4.7119831685935622E-12</v>
      </c>
      <c r="R80" s="62">
        <f t="shared" si="55"/>
        <v>293.33333333333803</v>
      </c>
      <c r="S80" s="62">
        <f ca="1">AVERAGE(OFFSET($R$3,0,0,'Données projet'!$E$9+1,1))-AVERAGE(OFFSET($H$3,0,0,'Données projet'!$E$9+1,1))</f>
        <v>247.05981224668733</v>
      </c>
      <c r="T80" s="62">
        <f t="shared" si="88"/>
        <v>345.23839191022898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5.3234501416801285E-2</v>
      </c>
      <c r="AA80" s="23">
        <f>EXP(-LN(2)/25)*AA79+(1-EXP(-LN(2)/25))/(LN(2)/25)*Calculateur!V80*Calculateur!X80*VLOOKUP('Données projet'!$B$9,Paramètres!$A$1:$I$89,3,0)*0.475*44/12</f>
        <v>0.27354046552338362</v>
      </c>
      <c r="AB80" s="23">
        <f>EXP(-LN(2)/2)*AB79+(1-EXP(-LN(2)/2))/(LN(2)/2)*V80*Y80*VLOOKUP('Données projet'!$B$9,Paramètres!$A$1:$I$89,3,0)*0.475*44/12</f>
        <v>3.5305412143446911E-7</v>
      </c>
      <c r="AC80" s="24">
        <f t="shared" si="57"/>
        <v>0.32677531999430637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3.4</v>
      </c>
      <c r="AI80" s="14">
        <f>IF('Données projet'!$A$62&gt;35,AI79+AH80-AQ79,IF(A80&lt;'Données projet'!$A$62,$AF$205^A80,IF(A80='Données projet'!$A$62,'Données projet'!$B$62,AI79+AH80-AQ79)))</f>
        <v>221.79999999999995</v>
      </c>
      <c r="AJ80" s="14">
        <f>AI80*VLOOKUP('Données projet'!$B$10,Paramètres!$A$1:$I$89,3,0)*VLOOKUP('Données projet'!$B$10,Paramètres!$A$1:$I$89,5,0)</f>
        <v>193.76447999999999</v>
      </c>
      <c r="AK80" s="14">
        <f t="shared" si="89"/>
        <v>48.371273222646451</v>
      </c>
      <c r="AL80" s="22">
        <f t="shared" si="58"/>
        <v>421.71977019610921</v>
      </c>
      <c r="AM80" s="62">
        <f t="shared" si="59"/>
        <v>715.05310352944252</v>
      </c>
      <c r="AN80" s="62">
        <f ca="1">AVERAGE(OFFSET($AM$3,0,0,'Données projet'!$E$10+1,1))-AVERAGE(OFFSET($H$3,0,0,'Données projet'!$E$10+1,1))</f>
        <v>235.92135862353973</v>
      </c>
      <c r="AO80" s="62">
        <f t="shared" si="90"/>
        <v>270.64539221029258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0.30287235876317542</v>
      </c>
      <c r="AV80" s="23">
        <f>EXP(-LN(2)/25)*AV79+(1-EXP(-LN(2)/25))/(LN(2)/25)*Calculateur!AQ80*Calculateur!AS80*VLOOKUP('Données projet'!$B$10,Paramètres!$A$1:$I$89,3,0)*0.475*44/12</f>
        <v>1.4114953096637473</v>
      </c>
      <c r="AW80" s="23">
        <f>EXP(-LN(2)/2)*AW79+(1-EXP(-LN(2)/2))/(LN(2)/2)*AQ80*AT80*VLOOKUP('Données projet'!$B$10,Paramètres!$A$1:$I$89,3,0)*0.475*44/12</f>
        <v>1.3098171457972545E-6</v>
      </c>
      <c r="AX80" s="23">
        <f t="shared" si="60"/>
        <v>1.7143689782440685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1.9895196601282805E-13</v>
      </c>
      <c r="O81" s="14">
        <f>N81*VLOOKUP('Données projet'!$B$9,Paramètres!$A$1:$I$89,3,0)*VLOOKUP('Données projet'!$B$9,Paramètres!$A$1:$I$89,5,0)</f>
        <v>1.8001173884840681E-13</v>
      </c>
      <c r="P81" s="14">
        <f t="shared" si="87"/>
        <v>2.5254331426407198E-12</v>
      </c>
      <c r="Q81" s="22">
        <f t="shared" si="54"/>
        <v>4.7119831685935622E-12</v>
      </c>
      <c r="R81" s="62">
        <f t="shared" si="55"/>
        <v>293.33333333333803</v>
      </c>
      <c r="S81" s="62">
        <f ca="1">AVERAGE(OFFSET($R$3,0,0,'Données projet'!$E$9+1,1))-AVERAGE(OFFSET($H$3,0,0,'Données projet'!$E$9+1,1))</f>
        <v>247.05981224668733</v>
      </c>
      <c r="T81" s="62">
        <f t="shared" si="88"/>
        <v>345.23839191022898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5.2190605313857545E-2</v>
      </c>
      <c r="AA81" s="23">
        <f>EXP(-LN(2)/25)*AA80+(1-EXP(-LN(2)/25))/(LN(2)/25)*Calculateur!V81*Calculateur!X81*VLOOKUP('Données projet'!$B$9,Paramètres!$A$1:$I$89,3,0)*0.475*44/12</f>
        <v>0.26606048710877878</v>
      </c>
      <c r="AB81" s="23">
        <f>EXP(-LN(2)/2)*AB80+(1-EXP(-LN(2)/2))/(LN(2)/2)*V81*Y81*VLOOKUP('Données projet'!$B$9,Paramètres!$A$1:$I$89,3,0)*0.475*44/12</f>
        <v>2.4964696339217192E-7</v>
      </c>
      <c r="AC81" s="24">
        <f t="shared" si="57"/>
        <v>0.31825134206959971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3.4</v>
      </c>
      <c r="AI81" s="14">
        <f>IF('Données projet'!$A$62&gt;35,AI80+AH81-AQ80,IF(A81&lt;'Données projet'!$A$62,$AF$205^A81,IF(A81='Données projet'!$A$62,'Données projet'!$B$62,AI80+AH81-AQ80)))</f>
        <v>225.19999999999996</v>
      </c>
      <c r="AJ81" s="14">
        <f>AI81*VLOOKUP('Données projet'!$B$10,Paramètres!$A$1:$I$89,3,0)*VLOOKUP('Données projet'!$B$10,Paramètres!$A$1:$I$89,5,0)</f>
        <v>196.73472000000001</v>
      </c>
      <c r="AK81" s="14">
        <f t="shared" si="89"/>
        <v>49.025871962429896</v>
      </c>
      <c r="AL81" s="22">
        <f t="shared" si="58"/>
        <v>428.03303100123208</v>
      </c>
      <c r="AM81" s="62">
        <f t="shared" si="59"/>
        <v>721.36636433456533</v>
      </c>
      <c r="AN81" s="62">
        <f ca="1">AVERAGE(OFFSET($AM$3,0,0,'Données projet'!$E$10+1,1))-AVERAGE(OFFSET($H$3,0,0,'Données projet'!$E$10+1,1))</f>
        <v>235.92135862353973</v>
      </c>
      <c r="AO81" s="62">
        <f t="shared" si="90"/>
        <v>270.64539221029258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0.29693321654172744</v>
      </c>
      <c r="AV81" s="23">
        <f>EXP(-LN(2)/25)*AV80+(1-EXP(-LN(2)/25))/(LN(2)/25)*Calculateur!AQ81*Calculateur!AS81*VLOOKUP('Données projet'!$B$10,Paramètres!$A$1:$I$89,3,0)*0.475*44/12</f>
        <v>1.3728978961936797</v>
      </c>
      <c r="AW81" s="23">
        <f>EXP(-LN(2)/2)*AW80+(1-EXP(-LN(2)/2))/(LN(2)/2)*AQ81*AT81*VLOOKUP('Données projet'!$B$10,Paramètres!$A$1:$I$89,3,0)*0.475*44/12</f>
        <v>9.2618058590764748E-7</v>
      </c>
      <c r="AX81" s="23">
        <f t="shared" si="60"/>
        <v>1.6698320389159931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1.9895196601282805E-13</v>
      </c>
      <c r="O82" s="14">
        <f>N82*VLOOKUP('Données projet'!$B$9,Paramètres!$A$1:$I$89,3,0)*VLOOKUP('Données projet'!$B$9,Paramètres!$A$1:$I$89,5,0)</f>
        <v>1.8001173884840681E-13</v>
      </c>
      <c r="P82" s="14">
        <f t="shared" si="87"/>
        <v>2.5254331426407198E-12</v>
      </c>
      <c r="Q82" s="22">
        <f t="shared" si="54"/>
        <v>4.7119831685935622E-12</v>
      </c>
      <c r="R82" s="62">
        <f t="shared" si="55"/>
        <v>293.33333333333803</v>
      </c>
      <c r="S82" s="62">
        <f ca="1">AVERAGE(OFFSET($R$3,0,0,'Données projet'!$E$9+1,1))-AVERAGE(OFFSET($H$3,0,0,'Données projet'!$E$9+1,1))</f>
        <v>247.05981224668733</v>
      </c>
      <c r="T82" s="62">
        <f t="shared" si="88"/>
        <v>345.23839191022898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5.1167179376778782E-2</v>
      </c>
      <c r="AA82" s="23">
        <f>EXP(-LN(2)/25)*AA81+(1-EXP(-LN(2)/25))/(LN(2)/25)*Calculateur!V82*Calculateur!X82*VLOOKUP('Données projet'!$B$9,Paramètres!$A$1:$I$89,3,0)*0.475*44/12</f>
        <v>0.25878504909727629</v>
      </c>
      <c r="AB82" s="23">
        <f>EXP(-LN(2)/2)*AB81+(1-EXP(-LN(2)/2))/(LN(2)/2)*V82*Y82*VLOOKUP('Données projet'!$B$9,Paramètres!$A$1:$I$89,3,0)*0.475*44/12</f>
        <v>1.7652706071723455E-7</v>
      </c>
      <c r="AC82" s="24">
        <f t="shared" si="57"/>
        <v>0.30995240500111576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3.4</v>
      </c>
      <c r="AI82" s="14">
        <f>IF('Données projet'!$A$62&gt;35,AI81+AH82-AQ81,IF(A82&lt;'Données projet'!$A$62,$AF$205^A82,IF(A82='Données projet'!$A$62,'Données projet'!$B$62,AI81+AH82-AQ81)))</f>
        <v>228.59999999999997</v>
      </c>
      <c r="AJ82" s="14">
        <f>AI82*VLOOKUP('Données projet'!$B$10,Paramètres!$A$1:$I$89,3,0)*VLOOKUP('Données projet'!$B$10,Paramètres!$A$1:$I$89,5,0)</f>
        <v>199.70496</v>
      </c>
      <c r="AK82" s="14">
        <f t="shared" si="89"/>
        <v>49.679321293278612</v>
      </c>
      <c r="AL82" s="22">
        <f t="shared" si="58"/>
        <v>434.34428991912688</v>
      </c>
      <c r="AM82" s="62">
        <f t="shared" si="59"/>
        <v>727.67762325246019</v>
      </c>
      <c r="AN82" s="62">
        <f ca="1">AVERAGE(OFFSET($AM$3,0,0,'Données projet'!$E$10+1,1))-AVERAGE(OFFSET($H$3,0,0,'Données projet'!$E$10+1,1))</f>
        <v>235.92135862353973</v>
      </c>
      <c r="AO82" s="62">
        <f t="shared" si="90"/>
        <v>270.64539221029258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0.29111053727672298</v>
      </c>
      <c r="AV82" s="23">
        <f>EXP(-LN(2)/25)*AV81+(1-EXP(-LN(2)/25))/(LN(2)/25)*Calculateur!AQ82*Calculateur!AS82*VLOOKUP('Données projet'!$B$10,Paramètres!$A$1:$I$89,3,0)*0.475*44/12</f>
        <v>1.335355931024701</v>
      </c>
      <c r="AW82" s="23">
        <f>EXP(-LN(2)/2)*AW81+(1-EXP(-LN(2)/2))/(LN(2)/2)*AQ82*AT82*VLOOKUP('Données projet'!$B$10,Paramètres!$A$1:$I$89,3,0)*0.475*44/12</f>
        <v>6.5490857289862735E-7</v>
      </c>
      <c r="AX82" s="23">
        <f t="shared" si="60"/>
        <v>1.626467123209997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1.9895196601282805E-13</v>
      </c>
      <c r="O83" s="14">
        <f>N83*VLOOKUP('Données projet'!$B$9,Paramètres!$A$1:$I$89,3,0)*VLOOKUP('Données projet'!$B$9,Paramètres!$A$1:$I$89,5,0)</f>
        <v>1.8001173884840681E-13</v>
      </c>
      <c r="P83" s="14">
        <f t="shared" si="87"/>
        <v>2.5254331426407198E-12</v>
      </c>
      <c r="Q83" s="22">
        <f t="shared" si="54"/>
        <v>4.7119831685935622E-12</v>
      </c>
      <c r="R83" s="62">
        <f t="shared" si="55"/>
        <v>293.33333333333803</v>
      </c>
      <c r="S83" s="62">
        <f ca="1">AVERAGE(OFFSET($R$3,0,0,'Données projet'!$E$9+1,1))-AVERAGE(OFFSET($H$3,0,0,'Données projet'!$E$9+1,1))</f>
        <v>247.05981224668733</v>
      </c>
      <c r="T83" s="62">
        <f t="shared" si="88"/>
        <v>345.23839191022898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5.0163822198097945E-2</v>
      </c>
      <c r="AA83" s="23">
        <f>EXP(-LN(2)/25)*AA82+(1-EXP(-LN(2)/25))/(LN(2)/25)*Calculateur!V83*Calculateur!X83*VLOOKUP('Données projet'!$B$9,Paramètres!$A$1:$I$89,3,0)*0.475*44/12</f>
        <v>0.25170855832079697</v>
      </c>
      <c r="AB83" s="23">
        <f>EXP(-LN(2)/2)*AB82+(1-EXP(-LN(2)/2))/(LN(2)/2)*V83*Y83*VLOOKUP('Données projet'!$B$9,Paramètres!$A$1:$I$89,3,0)*0.475*44/12</f>
        <v>1.2482348169608596E-7</v>
      </c>
      <c r="AC83" s="24">
        <f t="shared" si="57"/>
        <v>0.30187250534237664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232</v>
      </c>
      <c r="AG83" s="13">
        <f>VLOOKUP(A83,'Données projet'!$A$61:$I$81,9,0)</f>
        <v>3.4</v>
      </c>
      <c r="AH83" s="13">
        <f t="array" ref="AH83">INDEX(AG:AG,MIN(IF(ISNUMBER(AG83:AG279),ROW(AG83:AG279),"")))</f>
        <v>3.4</v>
      </c>
      <c r="AI83" s="14">
        <f>IF('Données projet'!$A$62&gt;35,AI82+AH83-AQ82,IF(A83&lt;'Données projet'!$A$62,$AF$205^A83,IF(A83='Données projet'!$A$62,'Données projet'!$B$62,AI82+AH83-AQ82)))</f>
        <v>231.99999999999997</v>
      </c>
      <c r="AJ83" s="14">
        <f>AI83*VLOOKUP('Données projet'!$B$10,Paramètres!$A$1:$I$89,3,0)*VLOOKUP('Données projet'!$B$10,Paramètres!$A$1:$I$89,5,0)</f>
        <v>202.67519999999999</v>
      </c>
      <c r="AK83" s="14">
        <f t="shared" si="89"/>
        <v>50.33164028531364</v>
      </c>
      <c r="AL83" s="22">
        <f t="shared" si="58"/>
        <v>440.65358016358783</v>
      </c>
      <c r="AM83" s="62">
        <f t="shared" si="59"/>
        <v>733.98691349692115</v>
      </c>
      <c r="AN83" s="62">
        <f ca="1">AVERAGE(OFFSET($AM$3,0,0,'Données projet'!$E$10+1,1))-AVERAGE(OFFSET($H$3,0,0,'Données projet'!$E$10+1,1))</f>
        <v>235.92135862353973</v>
      </c>
      <c r="AO83" s="62">
        <f t="shared" si="90"/>
        <v>270.64539221029258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13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0.28540203720062157</v>
      </c>
      <c r="AV83" s="23">
        <f>EXP(-LN(2)/25)*AV82+(1-EXP(-LN(2)/25))/(LN(2)/25)*Calculateur!AQ83*Calculateur!AS83*VLOOKUP('Données projet'!$B$10,Paramètres!$A$1:$I$89,3,0)*0.475*44/12</f>
        <v>1.298840552867514</v>
      </c>
      <c r="AW83" s="23">
        <f>EXP(-LN(2)/2)*AW82+(1-EXP(-LN(2)/2))/(LN(2)/2)*AQ83*AT83*VLOOKUP('Données projet'!$B$10,Paramètres!$A$1:$I$89,3,0)*0.475*44/12</f>
        <v>4.6309029295382384E-7</v>
      </c>
      <c r="AX83" s="23">
        <f t="shared" si="60"/>
        <v>1.5842430531584286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1.9895196601282805E-13</v>
      </c>
      <c r="O84" s="14">
        <f>N84*VLOOKUP('Données projet'!$B$9,Paramètres!$A$1:$I$89,3,0)*VLOOKUP('Données projet'!$B$9,Paramètres!$A$1:$I$89,5,0)</f>
        <v>1.8001173884840681E-13</v>
      </c>
      <c r="P84" s="14">
        <f t="shared" si="87"/>
        <v>2.5254331426407198E-12</v>
      </c>
      <c r="Q84" s="22">
        <f t="shared" si="54"/>
        <v>4.7119831685935622E-12</v>
      </c>
      <c r="R84" s="62">
        <f t="shared" si="55"/>
        <v>293.33333333333803</v>
      </c>
      <c r="S84" s="62">
        <f ca="1">AVERAGE(OFFSET($R$3,0,0,'Données projet'!$E$9+1,1))-AVERAGE(OFFSET($H$3,0,0,'Données projet'!$E$9+1,1))</f>
        <v>247.05981224668733</v>
      </c>
      <c r="T84" s="62">
        <f t="shared" si="88"/>
        <v>345.23839191022898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4.9180140241703592E-2</v>
      </c>
      <c r="AA84" s="23">
        <f>EXP(-LN(2)/25)*AA83+(1-EXP(-LN(2)/25))/(LN(2)/25)*Calculateur!V84*Calculateur!X84*VLOOKUP('Données projet'!$B$9,Paramètres!$A$1:$I$89,3,0)*0.475*44/12</f>
        <v>0.24482557455673698</v>
      </c>
      <c r="AB84" s="23">
        <f>EXP(-LN(2)/2)*AB83+(1-EXP(-LN(2)/2))/(LN(2)/2)*V84*Y84*VLOOKUP('Données projet'!$B$9,Paramètres!$A$1:$I$89,3,0)*0.475*44/12</f>
        <v>8.8263530358617277E-8</v>
      </c>
      <c r="AC84" s="24">
        <f t="shared" si="57"/>
        <v>0.29400580306197094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</v>
      </c>
      <c r="AI84" s="14">
        <f>IF('Données projet'!$A$62&gt;35,AI83+AH84-AQ83,IF(A84&lt;'Données projet'!$A$62,$AF$205^A84,IF(A84='Données projet'!$A$62,'Données projet'!$B$62,AI83+AH84-AQ83)))</f>
        <v>221.99999999999997</v>
      </c>
      <c r="AJ84" s="14">
        <f>AI84*VLOOKUP('Données projet'!$B$10,Paramètres!$A$1:$I$89,3,0)*VLOOKUP('Données projet'!$B$10,Paramètres!$A$1:$I$89,5,0)</f>
        <v>193.9392</v>
      </c>
      <c r="AK84" s="14">
        <f t="shared" si="89"/>
        <v>48.409811198069384</v>
      </c>
      <c r="AL84" s="22">
        <f t="shared" si="58"/>
        <v>422.09119450330417</v>
      </c>
      <c r="AM84" s="62">
        <f t="shared" si="59"/>
        <v>715.42452783663748</v>
      </c>
      <c r="AN84" s="62">
        <f ca="1">AVERAGE(OFFSET($AM$3,0,0,'Données projet'!$E$10+1,1))-AVERAGE(OFFSET($H$3,0,0,'Données projet'!$E$10+1,1))</f>
        <v>235.92135862353973</v>
      </c>
      <c r="AO84" s="62">
        <f t="shared" si="90"/>
        <v>270.64539221029258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0.27980547732917127</v>
      </c>
      <c r="AV84" s="23">
        <f>EXP(-LN(2)/25)*AV83+(1-EXP(-LN(2)/25))/(LN(2)/25)*Calculateur!AQ84*Calculateur!AS84*VLOOKUP('Données projet'!$B$10,Paramètres!$A$1:$I$89,3,0)*0.475*44/12</f>
        <v>1.2633236896462956</v>
      </c>
      <c r="AW84" s="23">
        <f>EXP(-LN(2)/2)*AW83+(1-EXP(-LN(2)/2))/(LN(2)/2)*AQ84*AT84*VLOOKUP('Données projet'!$B$10,Paramètres!$A$1:$I$89,3,0)*0.475*44/12</f>
        <v>3.2745428644931373E-7</v>
      </c>
      <c r="AX84" s="23">
        <f t="shared" si="60"/>
        <v>1.5431294944297531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1.9895196601282805E-13</v>
      </c>
      <c r="O85" s="14">
        <f>N85*VLOOKUP('Données projet'!$B$9,Paramètres!$A$1:$I$89,3,0)*VLOOKUP('Données projet'!$B$9,Paramètres!$A$1:$I$89,5,0)</f>
        <v>1.8001173884840681E-13</v>
      </c>
      <c r="P85" s="14">
        <f t="shared" si="87"/>
        <v>2.5254331426407198E-12</v>
      </c>
      <c r="Q85" s="22">
        <f t="shared" si="54"/>
        <v>4.7119831685935622E-12</v>
      </c>
      <c r="R85" s="62">
        <f t="shared" si="55"/>
        <v>293.33333333333803</v>
      </c>
      <c r="S85" s="62">
        <f ca="1">AVERAGE(OFFSET($R$3,0,0,'Données projet'!$E$9+1,1))-AVERAGE(OFFSET($H$3,0,0,'Données projet'!$E$9+1,1))</f>
        <v>247.05981224668733</v>
      </c>
      <c r="T85" s="62">
        <f t="shared" si="88"/>
        <v>345.23839191022898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4.8215747688487381E-2</v>
      </c>
      <c r="AA85" s="23">
        <f>EXP(-LN(2)/25)*AA84+(1-EXP(-LN(2)/25))/(LN(2)/25)*Calculateur!V85*Calculateur!X85*VLOOKUP('Données projet'!$B$9,Paramètres!$A$1:$I$89,3,0)*0.475*44/12</f>
        <v>0.23813080634566561</v>
      </c>
      <c r="AB85" s="23">
        <f>EXP(-LN(2)/2)*AB84+(1-EXP(-LN(2)/2))/(LN(2)/2)*V85*Y85*VLOOKUP('Données projet'!$B$9,Paramètres!$A$1:$I$89,3,0)*0.475*44/12</f>
        <v>6.2411740848042981E-8</v>
      </c>
      <c r="AC85" s="24">
        <f t="shared" si="57"/>
        <v>0.28634661644589382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</v>
      </c>
      <c r="AI85" s="14">
        <f>IF('Données projet'!$A$62&gt;35,AI84+AH85-AQ84,IF(A85&lt;'Données projet'!$A$62,$AF$205^A85,IF(A85='Données projet'!$A$62,'Données projet'!$B$62,AI84+AH85-AQ84)))</f>
        <v>224.99999999999997</v>
      </c>
      <c r="AJ85" s="14">
        <f>AI85*VLOOKUP('Données projet'!$B$10,Paramètres!$A$1:$I$89,3,0)*VLOOKUP('Données projet'!$B$10,Paramètres!$A$1:$I$89,5,0)</f>
        <v>196.56</v>
      </c>
      <c r="AK85" s="14">
        <f t="shared" si="89"/>
        <v>48.987398161128091</v>
      </c>
      <c r="AL85" s="22">
        <f t="shared" si="58"/>
        <v>427.66171846396475</v>
      </c>
      <c r="AM85" s="62">
        <f t="shared" si="59"/>
        <v>720.99505179729806</v>
      </c>
      <c r="AN85" s="62">
        <f ca="1">AVERAGE(OFFSET($AM$3,0,0,'Données projet'!$E$10+1,1))-AVERAGE(OFFSET($H$3,0,0,'Données projet'!$E$10+1,1))</f>
        <v>235.92135862353973</v>
      </c>
      <c r="AO85" s="62">
        <f t="shared" si="90"/>
        <v>270.64539221029258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0.27431866258323567</v>
      </c>
      <c r="AV85" s="23">
        <f>EXP(-LN(2)/25)*AV84+(1-EXP(-LN(2)/25))/(LN(2)/25)*Calculateur!AQ85*Calculateur!AS85*VLOOKUP('Données projet'!$B$10,Paramètres!$A$1:$I$89,3,0)*0.475*44/12</f>
        <v>1.2287780369176122</v>
      </c>
      <c r="AW85" s="23">
        <f>EXP(-LN(2)/2)*AW84+(1-EXP(-LN(2)/2))/(LN(2)/2)*AQ85*AT85*VLOOKUP('Données projet'!$B$10,Paramètres!$A$1:$I$89,3,0)*0.475*44/12</f>
        <v>2.3154514647691195E-7</v>
      </c>
      <c r="AX85" s="23">
        <f t="shared" si="60"/>
        <v>1.5030969310459943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1.9895196601282805E-13</v>
      </c>
      <c r="O86" s="14">
        <f>N86*VLOOKUP('Données projet'!$B$9,Paramètres!$A$1:$I$89,3,0)*VLOOKUP('Données projet'!$B$9,Paramètres!$A$1:$I$89,5,0)</f>
        <v>1.8001173884840681E-13</v>
      </c>
      <c r="P86" s="14">
        <f t="shared" si="87"/>
        <v>2.5254331426407198E-12</v>
      </c>
      <c r="Q86" s="22">
        <f t="shared" si="54"/>
        <v>4.7119831685935622E-12</v>
      </c>
      <c r="R86" s="62">
        <f t="shared" si="55"/>
        <v>293.33333333333803</v>
      </c>
      <c r="S86" s="62">
        <f ca="1">AVERAGE(OFFSET($R$3,0,0,'Données projet'!$E$9+1,1))-AVERAGE(OFFSET($H$3,0,0,'Données projet'!$E$9+1,1))</f>
        <v>247.05981224668733</v>
      </c>
      <c r="T86" s="62">
        <f t="shared" si="88"/>
        <v>345.23839191022898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4.7270266285018368E-2</v>
      </c>
      <c r="AA86" s="23">
        <f>EXP(-LN(2)/25)*AA85+(1-EXP(-LN(2)/25))/(LN(2)/25)*Calculateur!V86*Calculateur!X86*VLOOKUP('Données projet'!$B$9,Paramètres!$A$1:$I$89,3,0)*0.475*44/12</f>
        <v>0.23161910692338852</v>
      </c>
      <c r="AB86" s="23">
        <f>EXP(-LN(2)/2)*AB85+(1-EXP(-LN(2)/2))/(LN(2)/2)*V86*Y86*VLOOKUP('Données projet'!$B$9,Paramètres!$A$1:$I$89,3,0)*0.475*44/12</f>
        <v>4.4131765179308638E-8</v>
      </c>
      <c r="AC86" s="24">
        <f t="shared" si="57"/>
        <v>0.27888941734017209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</v>
      </c>
      <c r="AI86" s="14">
        <f>IF('Données projet'!$A$62&gt;35,AI85+AH86-AQ85,IF(A86&lt;'Données projet'!$A$62,$AF$205^A86,IF(A86='Données projet'!$A$62,'Données projet'!$B$62,AI85+AH86-AQ85)))</f>
        <v>227.99999999999997</v>
      </c>
      <c r="AJ86" s="14">
        <f>AI86*VLOOKUP('Données projet'!$B$10,Paramètres!$A$1:$I$89,3,0)*VLOOKUP('Données projet'!$B$10,Paramètres!$A$1:$I$89,5,0)</f>
        <v>199.1808</v>
      </c>
      <c r="AK86" s="14">
        <f t="shared" si="89"/>
        <v>49.564089376413683</v>
      </c>
      <c r="AL86" s="22">
        <f t="shared" si="58"/>
        <v>433.23068233058711</v>
      </c>
      <c r="AM86" s="62">
        <f t="shared" si="59"/>
        <v>726.56401566392037</v>
      </c>
      <c r="AN86" s="62">
        <f ca="1">AVERAGE(OFFSET($AM$3,0,0,'Données projet'!$E$10+1,1))-AVERAGE(OFFSET($H$3,0,0,'Données projet'!$E$10+1,1))</f>
        <v>235.92135862353973</v>
      </c>
      <c r="AO86" s="62">
        <f t="shared" si="90"/>
        <v>270.64539221029258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0.26893944092784133</v>
      </c>
      <c r="AV86" s="23">
        <f>EXP(-LN(2)/25)*AV85+(1-EXP(-LN(2)/25))/(LN(2)/25)*Calculateur!AQ86*Calculateur!AS86*VLOOKUP('Données projet'!$B$10,Paramètres!$A$1:$I$89,3,0)*0.475*44/12</f>
        <v>1.1951770368794716</v>
      </c>
      <c r="AW86" s="23">
        <f>EXP(-LN(2)/2)*AW85+(1-EXP(-LN(2)/2))/(LN(2)/2)*AQ86*AT86*VLOOKUP('Données projet'!$B$10,Paramètres!$A$1:$I$89,3,0)*0.475*44/12</f>
        <v>1.6372714322465689E-7</v>
      </c>
      <c r="AX86" s="23">
        <f t="shared" si="60"/>
        <v>1.4641166415344562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1.9895196601282805E-13</v>
      </c>
      <c r="O87" s="14">
        <f>N87*VLOOKUP('Données projet'!$B$9,Paramètres!$A$1:$I$89,3,0)*VLOOKUP('Données projet'!$B$9,Paramètres!$A$1:$I$89,5,0)</f>
        <v>1.8001173884840681E-13</v>
      </c>
      <c r="P87" s="14">
        <f t="shared" si="87"/>
        <v>2.5254331426407198E-12</v>
      </c>
      <c r="Q87" s="22">
        <f t="shared" si="54"/>
        <v>4.7119831685935622E-12</v>
      </c>
      <c r="R87" s="62">
        <f t="shared" si="55"/>
        <v>293.33333333333803</v>
      </c>
      <c r="S87" s="62">
        <f ca="1">AVERAGE(OFFSET($R$3,0,0,'Données projet'!$E$9+1,1))-AVERAGE(OFFSET($H$3,0,0,'Données projet'!$E$9+1,1))</f>
        <v>247.05981224668733</v>
      </c>
      <c r="T87" s="62">
        <f t="shared" si="88"/>
        <v>345.23839191022898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4.6343325195184665E-2</v>
      </c>
      <c r="AA87" s="23">
        <f>EXP(-LN(2)/25)*AA86+(1-EXP(-LN(2)/25))/(LN(2)/25)*Calculateur!V87*Calculateur!X87*VLOOKUP('Données projet'!$B$9,Paramètres!$A$1:$I$89,3,0)*0.475*44/12</f>
        <v>0.225285470264249</v>
      </c>
      <c r="AB87" s="23">
        <f>EXP(-LN(2)/2)*AB86+(1-EXP(-LN(2)/2))/(LN(2)/2)*V87*Y87*VLOOKUP('Données projet'!$B$9,Paramètres!$A$1:$I$89,3,0)*0.475*44/12</f>
        <v>3.120587042402149E-8</v>
      </c>
      <c r="AC87" s="24">
        <f t="shared" si="57"/>
        <v>0.27162882666530408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</v>
      </c>
      <c r="AI87" s="14">
        <f>IF('Données projet'!$A$62&gt;35,AI86+AH87-AQ86,IF(A87&lt;'Données projet'!$A$62,$AF$205^A87,IF(A87='Données projet'!$A$62,'Données projet'!$B$62,AI86+AH87-AQ86)))</f>
        <v>230.99999999999997</v>
      </c>
      <c r="AJ87" s="14">
        <f>AI87*VLOOKUP('Données projet'!$B$10,Paramètres!$A$1:$I$89,3,0)*VLOOKUP('Données projet'!$B$10,Paramètres!$A$1:$I$89,5,0)</f>
        <v>201.80159999999998</v>
      </c>
      <c r="AK87" s="14">
        <f t="shared" si="89"/>
        <v>50.139897992681668</v>
      </c>
      <c r="AL87" s="22">
        <f t="shared" si="58"/>
        <v>438.7981090039205</v>
      </c>
      <c r="AM87" s="62">
        <f t="shared" si="59"/>
        <v>732.13144233725382</v>
      </c>
      <c r="AN87" s="62">
        <f ca="1">AVERAGE(OFFSET($AM$3,0,0,'Données projet'!$E$10+1,1))-AVERAGE(OFFSET($H$3,0,0,'Données projet'!$E$10+1,1))</f>
        <v>235.92135862353973</v>
      </c>
      <c r="AO87" s="62">
        <f t="shared" si="90"/>
        <v>270.64539221029258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0.26366570252810806</v>
      </c>
      <c r="AV87" s="23">
        <f>EXP(-LN(2)/25)*AV86+(1-EXP(-LN(2)/25))/(LN(2)/25)*Calculateur!AQ87*Calculateur!AS87*VLOOKUP('Données projet'!$B$10,Paramètres!$A$1:$I$89,3,0)*0.475*44/12</f>
        <v>1.1624948579543737</v>
      </c>
      <c r="AW87" s="23">
        <f>EXP(-LN(2)/2)*AW86+(1-EXP(-LN(2)/2))/(LN(2)/2)*AQ87*AT87*VLOOKUP('Données projet'!$B$10,Paramètres!$A$1:$I$89,3,0)*0.475*44/12</f>
        <v>1.15772573238456E-7</v>
      </c>
      <c r="AX87" s="23">
        <f t="shared" si="60"/>
        <v>1.4261606762550549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1.9895196601282805E-13</v>
      </c>
      <c r="O88" s="14">
        <f>N88*VLOOKUP('Données projet'!$B$9,Paramètres!$A$1:$I$89,3,0)*VLOOKUP('Données projet'!$B$9,Paramètres!$A$1:$I$89,5,0)</f>
        <v>1.8001173884840681E-13</v>
      </c>
      <c r="P88" s="14">
        <f t="shared" si="87"/>
        <v>2.5254331426407198E-12</v>
      </c>
      <c r="Q88" s="22">
        <f t="shared" si="54"/>
        <v>4.7119831685935622E-12</v>
      </c>
      <c r="R88" s="62">
        <f t="shared" si="55"/>
        <v>293.33333333333803</v>
      </c>
      <c r="S88" s="62">
        <f ca="1">AVERAGE(OFFSET($R$3,0,0,'Données projet'!$E$9+1,1))-AVERAGE(OFFSET($H$3,0,0,'Données projet'!$E$9+1,1))</f>
        <v>247.05981224668733</v>
      </c>
      <c r="T88" s="62">
        <f t="shared" si="88"/>
        <v>345.23839191022898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4.5434560854744364E-2</v>
      </c>
      <c r="AA88" s="23">
        <f>EXP(-LN(2)/25)*AA87+(1-EXP(-LN(2)/25))/(LN(2)/25)*Calculateur!V88*Calculateur!X88*VLOOKUP('Données projet'!$B$9,Paramètres!$A$1:$I$89,3,0)*0.475*44/12</f>
        <v>0.21912502723262511</v>
      </c>
      <c r="AB88" s="23">
        <f>EXP(-LN(2)/2)*AB87+(1-EXP(-LN(2)/2))/(LN(2)/2)*V88*Y88*VLOOKUP('Données projet'!$B$9,Paramètres!$A$1:$I$89,3,0)*0.475*44/12</f>
        <v>2.2065882589654319E-8</v>
      </c>
      <c r="AC88" s="24">
        <f t="shared" si="57"/>
        <v>0.26455961015325202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234</v>
      </c>
      <c r="AG88" s="13">
        <f>VLOOKUP(A88,'Données projet'!$A$61:$I$81,9,0)</f>
        <v>3</v>
      </c>
      <c r="AH88" s="13">
        <f t="array" ref="AH88">INDEX(AG:AG,MIN(IF(ISNUMBER(AG88:AG284),ROW(AG88:AG284),"")))</f>
        <v>3</v>
      </c>
      <c r="AI88" s="14">
        <f>IF('Données projet'!$A$62&gt;35,AI87+AH88-AQ87,IF(A88&lt;'Données projet'!$A$62,$AF$205^A88,IF(A88='Données projet'!$A$62,'Données projet'!$B$62,AI87+AH88-AQ87)))</f>
        <v>233.99999999999997</v>
      </c>
      <c r="AJ88" s="14">
        <f>AI88*VLOOKUP('Données projet'!$B$10,Paramètres!$A$1:$I$89,3,0)*VLOOKUP('Données projet'!$B$10,Paramètres!$A$1:$I$89,5,0)</f>
        <v>204.42239999999998</v>
      </c>
      <c r="AK88" s="14">
        <f t="shared" si="89"/>
        <v>50.714836797527262</v>
      </c>
      <c r="AL88" s="22">
        <f t="shared" si="58"/>
        <v>444.36402075569328</v>
      </c>
      <c r="AM88" s="62">
        <f t="shared" si="59"/>
        <v>737.69735408902659</v>
      </c>
      <c r="AN88" s="62">
        <f ca="1">AVERAGE(OFFSET($AM$3,0,0,'Données projet'!$E$10+1,1))-AVERAGE(OFFSET($H$3,0,0,'Données projet'!$E$10+1,1))</f>
        <v>235.92135862353973</v>
      </c>
      <c r="AO88" s="62">
        <f t="shared" si="90"/>
        <v>270.64539221029258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12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0.25849537892173075</v>
      </c>
      <c r="AV88" s="23">
        <f>EXP(-LN(2)/25)*AV87+(1-EXP(-LN(2)/25))/(LN(2)/25)*Calculateur!AQ88*Calculateur!AS88*VLOOKUP('Données projet'!$B$10,Paramètres!$A$1:$I$89,3,0)*0.475*44/12</f>
        <v>1.1307063749306636</v>
      </c>
      <c r="AW88" s="23">
        <f>EXP(-LN(2)/2)*AW87+(1-EXP(-LN(2)/2))/(LN(2)/2)*AQ88*AT88*VLOOKUP('Données projet'!$B$10,Paramètres!$A$1:$I$89,3,0)*0.475*44/12</f>
        <v>8.1863571612328459E-8</v>
      </c>
      <c r="AX88" s="23">
        <f t="shared" si="60"/>
        <v>1.3892018357159661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1.9895196601282805E-13</v>
      </c>
      <c r="O89" s="14">
        <f>N89*VLOOKUP('Données projet'!$B$9,Paramètres!$A$1:$I$89,3,0)*VLOOKUP('Données projet'!$B$9,Paramètres!$A$1:$I$89,5,0)</f>
        <v>1.8001173884840681E-13</v>
      </c>
      <c r="P89" s="14">
        <f t="shared" si="87"/>
        <v>2.5254331426407198E-12</v>
      </c>
      <c r="Q89" s="22">
        <f t="shared" si="54"/>
        <v>4.7119831685935622E-12</v>
      </c>
      <c r="R89" s="62">
        <f t="shared" si="55"/>
        <v>293.33333333333803</v>
      </c>
      <c r="S89" s="62">
        <f ca="1">AVERAGE(OFFSET($R$3,0,0,'Données projet'!$E$9+1,1))-AVERAGE(OFFSET($H$3,0,0,'Données projet'!$E$9+1,1))</f>
        <v>247.05981224668733</v>
      </c>
      <c r="T89" s="62">
        <f t="shared" si="88"/>
        <v>345.23839191022898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4.454361682872858E-2</v>
      </c>
      <c r="AA89" s="23">
        <f>EXP(-LN(2)/25)*AA88+(1-EXP(-LN(2)/25))/(LN(2)/25)*Calculateur!V89*Calculateur!X89*VLOOKUP('Données projet'!$B$9,Paramètres!$A$1:$I$89,3,0)*0.475*44/12</f>
        <v>0.21313304183966461</v>
      </c>
      <c r="AB89" s="23">
        <f>EXP(-LN(2)/2)*AB88+(1-EXP(-LN(2)/2))/(LN(2)/2)*V89*Y89*VLOOKUP('Données projet'!$B$9,Paramètres!$A$1:$I$89,3,0)*0.475*44/12</f>
        <v>1.5602935212010745E-8</v>
      </c>
      <c r="AC89" s="24">
        <f t="shared" si="57"/>
        <v>0.2576766742713284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2.8</v>
      </c>
      <c r="AI89" s="14">
        <f>IF('Données projet'!$A$62&gt;35,AI88+AH89-AQ88,IF(A89&lt;'Données projet'!$A$62,$AF$205^A89,IF(A89='Données projet'!$A$62,'Données projet'!$B$62,AI88+AH89-AQ88)))</f>
        <v>224.79999999999998</v>
      </c>
      <c r="AJ89" s="14">
        <f>AI89*VLOOKUP('Données projet'!$B$10,Paramètres!$A$1:$I$89,3,0)*VLOOKUP('Données projet'!$B$10,Paramètres!$A$1:$I$89,5,0)</f>
        <v>196.38528000000002</v>
      </c>
      <c r="AK89" s="14">
        <f t="shared" si="89"/>
        <v>48.948920378863868</v>
      </c>
      <c r="AL89" s="22">
        <f t="shared" si="58"/>
        <v>427.29039899318792</v>
      </c>
      <c r="AM89" s="62">
        <f t="shared" si="59"/>
        <v>720.62373232652124</v>
      </c>
      <c r="AN89" s="62">
        <f ca="1">AVERAGE(OFFSET($AM$3,0,0,'Données projet'!$E$10+1,1))-AVERAGE(OFFSET($H$3,0,0,'Données projet'!$E$10+1,1))</f>
        <v>235.92135862353973</v>
      </c>
      <c r="AO89" s="62">
        <f t="shared" si="90"/>
        <v>270.64539221029258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0.25342644220768845</v>
      </c>
      <c r="AV89" s="23">
        <f>EXP(-LN(2)/25)*AV88+(1-EXP(-LN(2)/25))/(LN(2)/25)*Calculateur!AQ89*Calculateur!AS89*VLOOKUP('Données projet'!$B$10,Paramètres!$A$1:$I$89,3,0)*0.475*44/12</f>
        <v>1.0997871496469207</v>
      </c>
      <c r="AW89" s="23">
        <f>EXP(-LN(2)/2)*AW88+(1-EXP(-LN(2)/2))/(LN(2)/2)*AQ89*AT89*VLOOKUP('Données projet'!$B$10,Paramètres!$A$1:$I$89,3,0)*0.475*44/12</f>
        <v>5.7886286619228007E-8</v>
      </c>
      <c r="AX89" s="23">
        <f t="shared" si="60"/>
        <v>1.3532136497408958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1.9895196601282805E-13</v>
      </c>
      <c r="O90" s="14">
        <f>N90*VLOOKUP('Données projet'!$B$9,Paramètres!$A$1:$I$89,3,0)*VLOOKUP('Données projet'!$B$9,Paramètres!$A$1:$I$89,5,0)</f>
        <v>1.8001173884840681E-13</v>
      </c>
      <c r="P90" s="14">
        <f t="shared" si="87"/>
        <v>2.5254331426407198E-12</v>
      </c>
      <c r="Q90" s="22">
        <f t="shared" si="54"/>
        <v>4.7119831685935622E-12</v>
      </c>
      <c r="R90" s="62">
        <f t="shared" si="55"/>
        <v>293.33333333333803</v>
      </c>
      <c r="S90" s="62">
        <f ca="1">AVERAGE(OFFSET($R$3,0,0,'Données projet'!$E$9+1,1))-AVERAGE(OFFSET($H$3,0,0,'Données projet'!$E$9+1,1))</f>
        <v>247.05981224668733</v>
      </c>
      <c r="T90" s="62">
        <f t="shared" si="88"/>
        <v>345.23839191022898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4.3670143671640772E-2</v>
      </c>
      <c r="AA90" s="23">
        <f>EXP(-LN(2)/25)*AA89+(1-EXP(-LN(2)/25))/(LN(2)/25)*Calculateur!V90*Calculateur!X90*VLOOKUP('Données projet'!$B$9,Paramètres!$A$1:$I$89,3,0)*0.475*44/12</f>
        <v>0.20730490760237943</v>
      </c>
      <c r="AB90" s="23">
        <f>EXP(-LN(2)/2)*AB89+(1-EXP(-LN(2)/2))/(LN(2)/2)*V90*Y90*VLOOKUP('Données projet'!$B$9,Paramètres!$A$1:$I$89,3,0)*0.475*44/12</f>
        <v>1.103294129482716E-8</v>
      </c>
      <c r="AC90" s="24">
        <f t="shared" si="57"/>
        <v>0.25097506230696148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2.8</v>
      </c>
      <c r="AI90" s="14">
        <f>IF('Données projet'!$A$62&gt;35,AI89+AH90-AQ89,IF(A90&lt;'Données projet'!$A$62,$AF$205^A90,IF(A90='Données projet'!$A$62,'Données projet'!$B$62,AI89+AH90-AQ89)))</f>
        <v>227.6</v>
      </c>
      <c r="AJ90" s="14">
        <f>AI90*VLOOKUP('Données projet'!$B$10,Paramètres!$A$1:$I$89,3,0)*VLOOKUP('Données projet'!$B$10,Paramètres!$A$1:$I$89,5,0)</f>
        <v>198.83136000000002</v>
      </c>
      <c r="AK90" s="14">
        <f t="shared" si="89"/>
        <v>49.48724849224233</v>
      </c>
      <c r="AL90" s="22">
        <f t="shared" si="58"/>
        <v>432.4882431239887</v>
      </c>
      <c r="AM90" s="62">
        <f t="shared" si="59"/>
        <v>725.82157645732195</v>
      </c>
      <c r="AN90" s="62">
        <f ca="1">AVERAGE(OFFSET($AM$3,0,0,'Données projet'!$E$10+1,1))-AVERAGE(OFFSET($H$3,0,0,'Données projet'!$E$10+1,1))</f>
        <v>235.92135862353973</v>
      </c>
      <c r="AO90" s="62">
        <f t="shared" si="90"/>
        <v>270.64539221029258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0.24845690425086242</v>
      </c>
      <c r="AV90" s="23">
        <f>EXP(-LN(2)/25)*AV89+(1-EXP(-LN(2)/25))/(LN(2)/25)*Calculateur!AQ90*Calculateur!AS90*VLOOKUP('Données projet'!$B$10,Paramètres!$A$1:$I$89,3,0)*0.475*44/12</f>
        <v>1.0697134122045331</v>
      </c>
      <c r="AW90" s="23">
        <f>EXP(-LN(2)/2)*AW89+(1-EXP(-LN(2)/2))/(LN(2)/2)*AQ90*AT90*VLOOKUP('Données projet'!$B$10,Paramètres!$A$1:$I$89,3,0)*0.475*44/12</f>
        <v>4.0931785806164236E-8</v>
      </c>
      <c r="AX90" s="23">
        <f t="shared" si="60"/>
        <v>1.3181703573871812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1.9895196601282805E-13</v>
      </c>
      <c r="O91" s="14">
        <f>N91*VLOOKUP('Données projet'!$B$9,Paramètres!$A$1:$I$89,3,0)*VLOOKUP('Données projet'!$B$9,Paramètres!$A$1:$I$89,5,0)</f>
        <v>1.8001173884840681E-13</v>
      </c>
      <c r="P91" s="14">
        <f t="shared" si="87"/>
        <v>2.5254331426407198E-12</v>
      </c>
      <c r="Q91" s="22">
        <f t="shared" si="54"/>
        <v>4.7119831685935622E-12</v>
      </c>
      <c r="R91" s="62">
        <f t="shared" si="55"/>
        <v>293.33333333333803</v>
      </c>
      <c r="S91" s="62">
        <f ca="1">AVERAGE(OFFSET($R$3,0,0,'Données projet'!$E$9+1,1))-AVERAGE(OFFSET($H$3,0,0,'Données projet'!$E$9+1,1))</f>
        <v>247.05981224668733</v>
      </c>
      <c r="T91" s="62">
        <f t="shared" si="88"/>
        <v>345.23839191022898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4.2813798790397435E-2</v>
      </c>
      <c r="AA91" s="23">
        <f>EXP(-LN(2)/25)*AA90+(1-EXP(-LN(2)/25))/(LN(2)/25)*Calculateur!V91*Calculateur!X91*VLOOKUP('Données projet'!$B$9,Paramètres!$A$1:$I$89,3,0)*0.475*44/12</f>
        <v>0.20163614400230109</v>
      </c>
      <c r="AB91" s="23">
        <f>EXP(-LN(2)/2)*AB90+(1-EXP(-LN(2)/2))/(LN(2)/2)*V91*Y91*VLOOKUP('Données projet'!$B$9,Paramètres!$A$1:$I$89,3,0)*0.475*44/12</f>
        <v>7.8014676060053726E-9</v>
      </c>
      <c r="AC91" s="24">
        <f t="shared" si="57"/>
        <v>0.24444995059416613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2.8</v>
      </c>
      <c r="AI91" s="14">
        <f>IF('Données projet'!$A$62&gt;35,AI90+AH91-AQ90,IF(A91&lt;'Données projet'!$A$62,$AF$205^A91,IF(A91='Données projet'!$A$62,'Données projet'!$B$62,AI90+AH91-AQ90)))</f>
        <v>230.4</v>
      </c>
      <c r="AJ91" s="14">
        <f>AI91*VLOOKUP('Données projet'!$B$10,Paramètres!$A$1:$I$89,3,0)*VLOOKUP('Données projet'!$B$10,Paramètres!$A$1:$I$89,5,0)</f>
        <v>201.27744000000004</v>
      </c>
      <c r="AK91" s="14">
        <f t="shared" si="89"/>
        <v>50.024806258462775</v>
      </c>
      <c r="AL91" s="22">
        <f t="shared" si="58"/>
        <v>437.68474556682276</v>
      </c>
      <c r="AM91" s="62">
        <f t="shared" si="59"/>
        <v>731.01807890015607</v>
      </c>
      <c r="AN91" s="62">
        <f ca="1">AVERAGE(OFFSET($AM$3,0,0,'Données projet'!$E$10+1,1))-AVERAGE(OFFSET($H$3,0,0,'Données projet'!$E$10+1,1))</f>
        <v>235.92135862353973</v>
      </c>
      <c r="AO91" s="62">
        <f t="shared" si="90"/>
        <v>270.64539221029258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0.2435848159022509</v>
      </c>
      <c r="AV91" s="23">
        <f>EXP(-LN(2)/25)*AV90+(1-EXP(-LN(2)/25))/(LN(2)/25)*Calculateur!AQ91*Calculateur!AS91*VLOOKUP('Données projet'!$B$10,Paramètres!$A$1:$I$89,3,0)*0.475*44/12</f>
        <v>1.0404620426940165</v>
      </c>
      <c r="AW91" s="23">
        <f>EXP(-LN(2)/2)*AW90+(1-EXP(-LN(2)/2))/(LN(2)/2)*AQ91*AT91*VLOOKUP('Données projet'!$B$10,Paramètres!$A$1:$I$89,3,0)*0.475*44/12</f>
        <v>2.8943143309614007E-8</v>
      </c>
      <c r="AX91" s="23">
        <f t="shared" si="60"/>
        <v>1.2840468875394107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1.9895196601282805E-13</v>
      </c>
      <c r="O92" s="14">
        <f>N92*VLOOKUP('Données projet'!$B$9,Paramètres!$A$1:$I$89,3,0)*VLOOKUP('Données projet'!$B$9,Paramètres!$A$1:$I$89,5,0)</f>
        <v>1.8001173884840681E-13</v>
      </c>
      <c r="P92" s="14">
        <f t="shared" si="87"/>
        <v>2.5254331426407198E-12</v>
      </c>
      <c r="Q92" s="22">
        <f t="shared" si="54"/>
        <v>4.7119831685935622E-12</v>
      </c>
      <c r="R92" s="62">
        <f t="shared" si="55"/>
        <v>293.33333333333803</v>
      </c>
      <c r="S92" s="62">
        <f ca="1">AVERAGE(OFFSET($R$3,0,0,'Données projet'!$E$9+1,1))-AVERAGE(OFFSET($H$3,0,0,'Données projet'!$E$9+1,1))</f>
        <v>247.05981224668733</v>
      </c>
      <c r="T92" s="62">
        <f t="shared" si="88"/>
        <v>345.23839191022898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4.1974246309956477E-2</v>
      </c>
      <c r="AA92" s="23">
        <f>EXP(-LN(2)/25)*AA91+(1-EXP(-LN(2)/25))/(LN(2)/25)*Calculateur!V92*Calculateur!X92*VLOOKUP('Données projet'!$B$9,Paramètres!$A$1:$I$89,3,0)*0.475*44/12</f>
        <v>0.1961223930409742</v>
      </c>
      <c r="AB92" s="23">
        <f>EXP(-LN(2)/2)*AB91+(1-EXP(-LN(2)/2))/(LN(2)/2)*V92*Y92*VLOOKUP('Données projet'!$B$9,Paramètres!$A$1:$I$89,3,0)*0.475*44/12</f>
        <v>5.5164706474135798E-9</v>
      </c>
      <c r="AC92" s="24">
        <f t="shared" si="57"/>
        <v>0.23809664486740131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2.8</v>
      </c>
      <c r="AI92" s="14">
        <f>IF('Données projet'!$A$62&gt;35,AI91+AH92-AQ91,IF(A92&lt;'Données projet'!$A$62,$AF$205^A92,IF(A92='Données projet'!$A$62,'Données projet'!$B$62,AI91+AH92-AQ91)))</f>
        <v>233.20000000000002</v>
      </c>
      <c r="AJ92" s="14">
        <f>AI92*VLOOKUP('Données projet'!$B$10,Paramètres!$A$1:$I$89,3,0)*VLOOKUP('Données projet'!$B$10,Paramètres!$A$1:$I$89,5,0)</f>
        <v>203.72352000000004</v>
      </c>
      <c r="AK92" s="14">
        <f t="shared" si="89"/>
        <v>50.561604122231515</v>
      </c>
      <c r="AL92" s="22">
        <f t="shared" si="58"/>
        <v>442.87992451288659</v>
      </c>
      <c r="AM92" s="62">
        <f t="shared" si="59"/>
        <v>736.2132578462199</v>
      </c>
      <c r="AN92" s="62">
        <f ca="1">AVERAGE(OFFSET($AM$3,0,0,'Données projet'!$E$10+1,1))-AVERAGE(OFFSET($H$3,0,0,'Données projet'!$E$10+1,1))</f>
        <v>235.92135862353973</v>
      </c>
      <c r="AO92" s="62">
        <f t="shared" si="90"/>
        <v>270.64539221029258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0.23880826623447518</v>
      </c>
      <c r="AV92" s="23">
        <f>EXP(-LN(2)/25)*AV91+(1-EXP(-LN(2)/25))/(LN(2)/25)*Calculateur!AQ92*Calculateur!AS92*VLOOKUP('Données projet'!$B$10,Paramètres!$A$1:$I$89,3,0)*0.475*44/12</f>
        <v>1.0120105534210277</v>
      </c>
      <c r="AW92" s="23">
        <f>EXP(-LN(2)/2)*AW91+(1-EXP(-LN(2)/2))/(LN(2)/2)*AQ92*AT92*VLOOKUP('Données projet'!$B$10,Paramètres!$A$1:$I$89,3,0)*0.475*44/12</f>
        <v>2.0465892903082121E-8</v>
      </c>
      <c r="AX92" s="23">
        <f t="shared" si="60"/>
        <v>1.250818840121396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1.9895196601282805E-13</v>
      </c>
      <c r="O93" s="14">
        <f>N93*VLOOKUP('Données projet'!$B$9,Paramètres!$A$1:$I$89,3,0)*VLOOKUP('Données projet'!$B$9,Paramètres!$A$1:$I$89,5,0)</f>
        <v>1.8001173884840681E-13</v>
      </c>
      <c r="P93" s="14">
        <f t="shared" si="87"/>
        <v>2.5254331426407198E-12</v>
      </c>
      <c r="Q93" s="22">
        <f t="shared" si="54"/>
        <v>4.7119831685935622E-12</v>
      </c>
      <c r="R93" s="62">
        <f t="shared" si="55"/>
        <v>293.33333333333803</v>
      </c>
      <c r="S93" s="62">
        <f ca="1">AVERAGE(OFFSET($R$3,0,0,'Données projet'!$E$9+1,1))-AVERAGE(OFFSET($H$3,0,0,'Données projet'!$E$9+1,1))</f>
        <v>247.05981224668733</v>
      </c>
      <c r="T93" s="62">
        <f t="shared" si="88"/>
        <v>345.23839191022898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4.1151156941580516E-2</v>
      </c>
      <c r="AA93" s="23">
        <f>EXP(-LN(2)/25)*AA92+(1-EXP(-LN(2)/25))/(LN(2)/25)*Calculateur!V93*Calculateur!X93*VLOOKUP('Données projet'!$B$9,Paramètres!$A$1:$I$89,3,0)*0.475*44/12</f>
        <v>0.19075941588964035</v>
      </c>
      <c r="AB93" s="23">
        <f>EXP(-LN(2)/2)*AB92+(1-EXP(-LN(2)/2))/(LN(2)/2)*V93*Y93*VLOOKUP('Données projet'!$B$9,Paramètres!$A$1:$I$89,3,0)*0.475*44/12</f>
        <v>3.9007338030026863E-9</v>
      </c>
      <c r="AC93" s="24">
        <f t="shared" si="57"/>
        <v>0.23191057673195464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236</v>
      </c>
      <c r="AG93" s="13">
        <f>VLOOKUP(A93,'Données projet'!$A$61:$I$81,9,0)</f>
        <v>2.8</v>
      </c>
      <c r="AH93" s="13">
        <f t="array" ref="AH93">INDEX(AG:AG,MIN(IF(ISNUMBER(AG93:AG289),ROW(AG93:AG289),"")))</f>
        <v>2.8</v>
      </c>
      <c r="AI93" s="14">
        <f>IF('Données projet'!$A$62&gt;35,AI92+AH93-AQ92,IF(A93&lt;'Données projet'!$A$62,$AF$205^A93,IF(A93='Données projet'!$A$62,'Données projet'!$B$62,AI92+AH93-AQ92)))</f>
        <v>236.00000000000003</v>
      </c>
      <c r="AJ93" s="14">
        <f>AI93*VLOOKUP('Données projet'!$B$10,Paramètres!$A$1:$I$89,3,0)*VLOOKUP('Données projet'!$B$10,Paramètres!$A$1:$I$89,5,0)</f>
        <v>206.16960000000006</v>
      </c>
      <c r="AK93" s="14">
        <f t="shared" si="89"/>
        <v>51.097652263007333</v>
      </c>
      <c r="AL93" s="22">
        <f t="shared" si="58"/>
        <v>448.07379769140448</v>
      </c>
      <c r="AM93" s="62">
        <f t="shared" si="59"/>
        <v>741.40713102473774</v>
      </c>
      <c r="AN93" s="62">
        <f ca="1">AVERAGE(OFFSET($AM$3,0,0,'Données projet'!$E$10+1,1))-AVERAGE(OFFSET($H$3,0,0,'Données projet'!$E$10+1,1))</f>
        <v>235.92135862353973</v>
      </c>
      <c r="AO93" s="62">
        <f t="shared" si="90"/>
        <v>270.64539221029258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236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0.23412538179227693</v>
      </c>
      <c r="AV93" s="23">
        <f>EXP(-LN(2)/25)*AV92+(1-EXP(-LN(2)/25))/(LN(2)/25)*Calculateur!AQ93*Calculateur!AS93*VLOOKUP('Données projet'!$B$10,Paramètres!$A$1:$I$89,3,0)*0.475*44/12</f>
        <v>0.98433707161840767</v>
      </c>
      <c r="AW93" s="23">
        <f>EXP(-LN(2)/2)*AW92+(1-EXP(-LN(2)/2))/(LN(2)/2)*AQ93*AT93*VLOOKUP('Données projet'!$B$10,Paramètres!$A$1:$I$89,3,0)*0.475*44/12</f>
        <v>1.4471571654807007E-8</v>
      </c>
      <c r="AX93" s="23">
        <f t="shared" si="60"/>
        <v>1.2184624678822564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1.9895196601282805E-13</v>
      </c>
      <c r="O94" s="14">
        <f>N94*VLOOKUP('Données projet'!$B$9,Paramètres!$A$1:$I$89,3,0)*VLOOKUP('Données projet'!$B$9,Paramètres!$A$1:$I$89,5,0)</f>
        <v>1.8001173884840681E-13</v>
      </c>
      <c r="P94" s="14">
        <f t="shared" si="87"/>
        <v>2.5254331426407198E-12</v>
      </c>
      <c r="Q94" s="22">
        <f t="shared" si="54"/>
        <v>4.7119831685935622E-12</v>
      </c>
      <c r="R94" s="62">
        <f t="shared" si="55"/>
        <v>293.33333333333803</v>
      </c>
      <c r="S94" s="62">
        <f ca="1">AVERAGE(OFFSET($R$3,0,0,'Données projet'!$E$9+1,1))-AVERAGE(OFFSET($H$3,0,0,'Données projet'!$E$9+1,1))</f>
        <v>247.05981224668733</v>
      </c>
      <c r="T94" s="62">
        <f t="shared" si="88"/>
        <v>345.23839191022898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4.0344207853683464E-2</v>
      </c>
      <c r="AA94" s="23">
        <f>EXP(-LN(2)/25)*AA93+(1-EXP(-LN(2)/25))/(LN(2)/25)*Calculateur!V94*Calculateur!X94*VLOOKUP('Données projet'!$B$9,Paramètres!$A$1:$I$89,3,0)*0.475*44/12</f>
        <v>0.18554308963053645</v>
      </c>
      <c r="AB94" s="23">
        <f>EXP(-LN(2)/2)*AB93+(1-EXP(-LN(2)/2))/(LN(2)/2)*V94*Y94*VLOOKUP('Données projet'!$B$9,Paramètres!$A$1:$I$89,3,0)*0.475*44/12</f>
        <v>2.7582353237067899E-9</v>
      </c>
      <c r="AC94" s="24">
        <f t="shared" si="57"/>
        <v>0.22588730024245526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2.8421709430404007E-14</v>
      </c>
      <c r="AJ94" s="14">
        <f>AI94*VLOOKUP('Données projet'!$B$10,Paramètres!$A$1:$I$89,3,0)*VLOOKUP('Données projet'!$B$10,Paramètres!$A$1:$I$89,5,0)</f>
        <v>2.4829205358400945E-14</v>
      </c>
      <c r="AK94" s="14">
        <f t="shared" si="89"/>
        <v>4.3867331143352915E-13</v>
      </c>
      <c r="AL94" s="22">
        <f t="shared" si="58"/>
        <v>8.0726688341261168E-13</v>
      </c>
      <c r="AM94" s="62">
        <f t="shared" si="59"/>
        <v>293.33333333333411</v>
      </c>
      <c r="AN94" s="62">
        <f ca="1">AVERAGE(OFFSET($AM$3,0,0,'Données projet'!$E$10+1,1))-AVERAGE(OFFSET($H$3,0,0,'Données projet'!$E$10+1,1))</f>
        <v>235.92135862353973</v>
      </c>
      <c r="AO94" s="62">
        <f t="shared" si="90"/>
        <v>270.64539221029258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0.22953432585771272</v>
      </c>
      <c r="AV94" s="23">
        <f>EXP(-LN(2)/25)*AV93+(1-EXP(-LN(2)/25))/(LN(2)/25)*Calculateur!AQ94*Calculateur!AS94*VLOOKUP('Données projet'!$B$10,Paramètres!$A$1:$I$89,3,0)*0.475*44/12</f>
        <v>0.95742032263096544</v>
      </c>
      <c r="AW94" s="23">
        <f>EXP(-LN(2)/2)*AW93+(1-EXP(-LN(2)/2))/(LN(2)/2)*AQ94*AT94*VLOOKUP('Données projet'!$B$10,Paramètres!$A$1:$I$89,3,0)*0.475*44/12</f>
        <v>1.0232946451541062E-8</v>
      </c>
      <c r="AX94" s="23">
        <f t="shared" si="60"/>
        <v>1.1869546587216246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1.9895196601282805E-13</v>
      </c>
      <c r="O95" s="14">
        <f>N95*VLOOKUP('Données projet'!$B$9,Paramètres!$A$1:$I$89,3,0)*VLOOKUP('Données projet'!$B$9,Paramètres!$A$1:$I$89,5,0)</f>
        <v>1.8001173884840681E-13</v>
      </c>
      <c r="P95" s="14">
        <f t="shared" si="87"/>
        <v>2.5254331426407198E-12</v>
      </c>
      <c r="Q95" s="22">
        <f t="shared" si="54"/>
        <v>4.7119831685935622E-12</v>
      </c>
      <c r="R95" s="62">
        <f t="shared" si="55"/>
        <v>293.33333333333803</v>
      </c>
      <c r="S95" s="62">
        <f ca="1">AVERAGE(OFFSET($R$3,0,0,'Données projet'!$E$9+1,1))-AVERAGE(OFFSET($H$3,0,0,'Données projet'!$E$9+1,1))</f>
        <v>247.05981224668733</v>
      </c>
      <c r="T95" s="62">
        <f t="shared" si="88"/>
        <v>345.23839191022898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3.9553082545209728E-2</v>
      </c>
      <c r="AA95" s="23">
        <f>EXP(-LN(2)/25)*AA94+(1-EXP(-LN(2)/25))/(LN(2)/25)*Calculateur!V95*Calculateur!X95*VLOOKUP('Données projet'!$B$9,Paramètres!$A$1:$I$89,3,0)*0.475*44/12</f>
        <v>0.18046940408730242</v>
      </c>
      <c r="AB95" s="23">
        <f>EXP(-LN(2)/2)*AB94+(1-EXP(-LN(2)/2))/(LN(2)/2)*V95*Y95*VLOOKUP('Données projet'!$B$9,Paramètres!$A$1:$I$89,3,0)*0.475*44/12</f>
        <v>1.9503669015013432E-9</v>
      </c>
      <c r="AC95" s="24">
        <f t="shared" si="57"/>
        <v>0.22002248858287904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2.8421709430404007E-14</v>
      </c>
      <c r="AJ95" s="14">
        <f>AI95*VLOOKUP('Données projet'!$B$10,Paramètres!$A$1:$I$89,3,0)*VLOOKUP('Données projet'!$B$10,Paramètres!$A$1:$I$89,5,0)</f>
        <v>2.4829205358400945E-14</v>
      </c>
      <c r="AK95" s="14">
        <f t="shared" si="89"/>
        <v>4.3867331143352915E-13</v>
      </c>
      <c r="AL95" s="22">
        <f t="shared" si="58"/>
        <v>8.0726688341261168E-13</v>
      </c>
      <c r="AM95" s="62">
        <f t="shared" si="59"/>
        <v>293.33333333333411</v>
      </c>
      <c r="AN95" s="62">
        <f ca="1">AVERAGE(OFFSET($AM$3,0,0,'Données projet'!$E$10+1,1))-AVERAGE(OFFSET($H$3,0,0,'Données projet'!$E$10+1,1))</f>
        <v>235.92135862353973</v>
      </c>
      <c r="AO95" s="62">
        <f t="shared" si="90"/>
        <v>270.64539221029258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0.22503329772975769</v>
      </c>
      <c r="AV95" s="23">
        <f>EXP(-LN(2)/25)*AV94+(1-EXP(-LN(2)/25))/(LN(2)/25)*Calculateur!AQ95*Calculateur!AS95*VLOOKUP('Données projet'!$B$10,Paramètres!$A$1:$I$89,3,0)*0.475*44/12</f>
        <v>0.93123961356007512</v>
      </c>
      <c r="AW95" s="23">
        <f>EXP(-LN(2)/2)*AW94+(1-EXP(-LN(2)/2))/(LN(2)/2)*AQ95*AT95*VLOOKUP('Données projet'!$B$10,Paramètres!$A$1:$I$89,3,0)*0.475*44/12</f>
        <v>7.2357858274035042E-9</v>
      </c>
      <c r="AX95" s="23">
        <f t="shared" si="60"/>
        <v>1.1562729185256186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1.9895196601282805E-13</v>
      </c>
      <c r="O96" s="14">
        <f>N96*VLOOKUP('Données projet'!$B$9,Paramètres!$A$1:$I$89,3,0)*VLOOKUP('Données projet'!$B$9,Paramètres!$A$1:$I$89,5,0)</f>
        <v>1.8001173884840681E-13</v>
      </c>
      <c r="P96" s="14">
        <f t="shared" si="87"/>
        <v>2.5254331426407198E-12</v>
      </c>
      <c r="Q96" s="22">
        <f t="shared" si="54"/>
        <v>4.7119831685935622E-12</v>
      </c>
      <c r="R96" s="62">
        <f t="shared" si="55"/>
        <v>293.33333333333803</v>
      </c>
      <c r="S96" s="62">
        <f ca="1">AVERAGE(OFFSET($R$3,0,0,'Données projet'!$E$9+1,1))-AVERAGE(OFFSET($H$3,0,0,'Données projet'!$E$9+1,1))</f>
        <v>247.05981224668733</v>
      </c>
      <c r="T96" s="62">
        <f t="shared" si="88"/>
        <v>345.23839191022898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3.8777470721496371E-2</v>
      </c>
      <c r="AA96" s="23">
        <f>EXP(-LN(2)/25)*AA95+(1-EXP(-LN(2)/25))/(LN(2)/25)*Calculateur!V96*Calculateur!X96*VLOOKUP('Données projet'!$B$9,Paramètres!$A$1:$I$89,3,0)*0.475*44/12</f>
        <v>0.17553445874206164</v>
      </c>
      <c r="AB96" s="23">
        <f>EXP(-LN(2)/2)*AB95+(1-EXP(-LN(2)/2))/(LN(2)/2)*V96*Y96*VLOOKUP('Données projet'!$B$9,Paramètres!$A$1:$I$89,3,0)*0.475*44/12</f>
        <v>1.379117661853395E-9</v>
      </c>
      <c r="AC96" s="24">
        <f t="shared" si="57"/>
        <v>0.21431193084267566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2.8421709430404007E-14</v>
      </c>
      <c r="AJ96" s="14">
        <f>AI96*VLOOKUP('Données projet'!$B$10,Paramètres!$A$1:$I$89,3,0)*VLOOKUP('Données projet'!$B$10,Paramètres!$A$1:$I$89,5,0)</f>
        <v>2.4829205358400945E-14</v>
      </c>
      <c r="AK96" s="14">
        <f t="shared" si="89"/>
        <v>4.3867331143352915E-13</v>
      </c>
      <c r="AL96" s="22">
        <f t="shared" si="58"/>
        <v>8.0726688341261168E-13</v>
      </c>
      <c r="AM96" s="62">
        <f t="shared" si="59"/>
        <v>293.33333333333411</v>
      </c>
      <c r="AN96" s="62">
        <f ca="1">AVERAGE(OFFSET($AM$3,0,0,'Données projet'!$E$10+1,1))-AVERAGE(OFFSET($H$3,0,0,'Données projet'!$E$10+1,1))</f>
        <v>235.92135862353973</v>
      </c>
      <c r="AO96" s="62">
        <f t="shared" si="90"/>
        <v>270.64539221029258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0.22062053201803578</v>
      </c>
      <c r="AV96" s="23">
        <f>EXP(-LN(2)/25)*AV95+(1-EXP(-LN(2)/25))/(LN(2)/25)*Calculateur!AQ96*Calculateur!AS96*VLOOKUP('Données projet'!$B$10,Paramètres!$A$1:$I$89,3,0)*0.475*44/12</f>
        <v>0.90577481735551202</v>
      </c>
      <c r="AW96" s="23">
        <f>EXP(-LN(2)/2)*AW95+(1-EXP(-LN(2)/2))/(LN(2)/2)*AQ96*AT96*VLOOKUP('Données projet'!$B$10,Paramètres!$A$1:$I$89,3,0)*0.475*44/12</f>
        <v>5.116473225770532E-9</v>
      </c>
      <c r="AX96" s="23">
        <f t="shared" si="60"/>
        <v>1.1263953544900212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1.9895196601282805E-13</v>
      </c>
      <c r="O97" s="14">
        <f>N97*VLOOKUP('Données projet'!$B$9,Paramètres!$A$1:$I$89,3,0)*VLOOKUP('Données projet'!$B$9,Paramètres!$A$1:$I$89,5,0)</f>
        <v>1.8001173884840681E-13</v>
      </c>
      <c r="P97" s="14">
        <f t="shared" si="87"/>
        <v>2.5254331426407198E-12</v>
      </c>
      <c r="Q97" s="22">
        <f t="shared" si="54"/>
        <v>4.7119831685935622E-12</v>
      </c>
      <c r="R97" s="62">
        <f t="shared" si="55"/>
        <v>293.33333333333803</v>
      </c>
      <c r="S97" s="62">
        <f ca="1">AVERAGE(OFFSET($R$3,0,0,'Données projet'!$E$9+1,1))-AVERAGE(OFFSET($H$3,0,0,'Données projet'!$E$9+1,1))</f>
        <v>247.05981224668733</v>
      </c>
      <c r="T97" s="62">
        <f t="shared" si="88"/>
        <v>345.23839191022898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3.8017068172569536E-2</v>
      </c>
      <c r="AA97" s="23">
        <f>EXP(-LN(2)/25)*AA96+(1-EXP(-LN(2)/25))/(LN(2)/25)*Calculateur!V97*Calculateur!X97*VLOOKUP('Données projet'!$B$9,Paramètres!$A$1:$I$89,3,0)*0.475*44/12</f>
        <v>0.17073445973680396</v>
      </c>
      <c r="AB97" s="23">
        <f>EXP(-LN(2)/2)*AB96+(1-EXP(-LN(2)/2))/(LN(2)/2)*V97*Y97*VLOOKUP('Données projet'!$B$9,Paramètres!$A$1:$I$89,3,0)*0.475*44/12</f>
        <v>9.7518345075067158E-10</v>
      </c>
      <c r="AC97" s="24">
        <f t="shared" si="57"/>
        <v>0.20875152888455695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2.8421709430404007E-14</v>
      </c>
      <c r="AJ97" s="14">
        <f>AI97*VLOOKUP('Données projet'!$B$10,Paramètres!$A$1:$I$89,3,0)*VLOOKUP('Données projet'!$B$10,Paramètres!$A$1:$I$89,5,0)</f>
        <v>2.4829205358400945E-14</v>
      </c>
      <c r="AK97" s="14">
        <f t="shared" si="89"/>
        <v>4.3867331143352915E-13</v>
      </c>
      <c r="AL97" s="22">
        <f t="shared" si="58"/>
        <v>8.0726688341261168E-13</v>
      </c>
      <c r="AM97" s="62">
        <f t="shared" si="59"/>
        <v>293.33333333333411</v>
      </c>
      <c r="AN97" s="62">
        <f ca="1">AVERAGE(OFFSET($AM$3,0,0,'Données projet'!$E$10+1,1))-AVERAGE(OFFSET($H$3,0,0,'Données projet'!$E$10+1,1))</f>
        <v>235.92135862353973</v>
      </c>
      <c r="AO97" s="62">
        <f t="shared" si="90"/>
        <v>270.64539221029258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0.21629429795039942</v>
      </c>
      <c r="AV97" s="23">
        <f>EXP(-LN(2)/25)*AV96+(1-EXP(-LN(2)/25))/(LN(2)/25)*Calculateur!AQ97*Calculateur!AS97*VLOOKUP('Données projet'!$B$10,Paramètres!$A$1:$I$89,3,0)*0.475*44/12</f>
        <v>0.88100635734229804</v>
      </c>
      <c r="AW97" s="23">
        <f>EXP(-LN(2)/2)*AW96+(1-EXP(-LN(2)/2))/(LN(2)/2)*AQ97*AT97*VLOOKUP('Données projet'!$B$10,Paramètres!$A$1:$I$89,3,0)*0.475*44/12</f>
        <v>3.6178929137017529E-9</v>
      </c>
      <c r="AX97" s="23">
        <f t="shared" si="60"/>
        <v>1.0973006589105903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1.9895196601282805E-13</v>
      </c>
      <c r="O98" s="14">
        <f>N98*VLOOKUP('Données projet'!$B$9,Paramètres!$A$1:$I$89,3,0)*VLOOKUP('Données projet'!$B$9,Paramètres!$A$1:$I$89,5,0)</f>
        <v>1.8001173884840681E-13</v>
      </c>
      <c r="P98" s="14">
        <f t="shared" si="87"/>
        <v>2.5254331426407198E-12</v>
      </c>
      <c r="Q98" s="22">
        <f t="shared" si="54"/>
        <v>4.7119831685935622E-12</v>
      </c>
      <c r="R98" s="62">
        <f t="shared" si="55"/>
        <v>293.33333333333803</v>
      </c>
      <c r="S98" s="62">
        <f ca="1">AVERAGE(OFFSET($R$3,0,0,'Données projet'!$E$9+1,1))-AVERAGE(OFFSET($H$3,0,0,'Données projet'!$E$9+1,1))</f>
        <v>247.05981224668733</v>
      </c>
      <c r="T98" s="62">
        <f t="shared" si="88"/>
        <v>345.23839191022898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3.7271576653827396E-2</v>
      </c>
      <c r="AA98" s="23">
        <f>EXP(-LN(2)/25)*AA97+(1-EXP(-LN(2)/25))/(LN(2)/25)*Calculateur!V98*Calculateur!X98*VLOOKUP('Données projet'!$B$9,Paramètres!$A$1:$I$89,3,0)*0.475*44/12</f>
        <v>0.16606571695676603</v>
      </c>
      <c r="AB98" s="23">
        <f>EXP(-LN(2)/2)*AB97+(1-EXP(-LN(2)/2))/(LN(2)/2)*V98*Y98*VLOOKUP('Données projet'!$B$9,Paramètres!$A$1:$I$89,3,0)*0.475*44/12</f>
        <v>6.8955883092669748E-10</v>
      </c>
      <c r="AC98" s="24">
        <f t="shared" si="57"/>
        <v>0.20333729430015227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2.8421709430404007E-14</v>
      </c>
      <c r="AJ98" s="14">
        <f>AI98*VLOOKUP('Données projet'!$B$10,Paramètres!$A$1:$I$89,3,0)*VLOOKUP('Données projet'!$B$10,Paramètres!$A$1:$I$89,5,0)</f>
        <v>2.4829205358400945E-14</v>
      </c>
      <c r="AK98" s="14">
        <f t="shared" si="89"/>
        <v>4.3867331143352915E-13</v>
      </c>
      <c r="AL98" s="22">
        <f t="shared" si="58"/>
        <v>8.0726688341261168E-13</v>
      </c>
      <c r="AM98" s="62">
        <f t="shared" si="59"/>
        <v>293.33333333333411</v>
      </c>
      <c r="AN98" s="62">
        <f ca="1">AVERAGE(OFFSET($AM$3,0,0,'Données projet'!$E$10+1,1))-AVERAGE(OFFSET($H$3,0,0,'Données projet'!$E$10+1,1))</f>
        <v>235.92135862353973</v>
      </c>
      <c r="AO98" s="62">
        <f t="shared" si="90"/>
        <v>270.64539221029258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0.21205289869408717</v>
      </c>
      <c r="AV98" s="23">
        <f>EXP(-LN(2)/25)*AV97+(1-EXP(-LN(2)/25))/(LN(2)/25)*Calculateur!AQ98*Calculateur!AS98*VLOOKUP('Données projet'!$B$10,Paramètres!$A$1:$I$89,3,0)*0.475*44/12</f>
        <v>0.85691519217066214</v>
      </c>
      <c r="AW98" s="23">
        <f>EXP(-LN(2)/2)*AW97+(1-EXP(-LN(2)/2))/(LN(2)/2)*AQ98*AT98*VLOOKUP('Données projet'!$B$10,Paramètres!$A$1:$I$89,3,0)*0.475*44/12</f>
        <v>2.5582366128852664E-9</v>
      </c>
      <c r="AX98" s="23">
        <f t="shared" si="60"/>
        <v>1.0689680934229859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1.9895196601282805E-13</v>
      </c>
      <c r="O99" s="14">
        <f>N99*VLOOKUP('Données projet'!$B$9,Paramètres!$A$1:$I$89,3,0)*VLOOKUP('Données projet'!$B$9,Paramètres!$A$1:$I$89,5,0)</f>
        <v>1.8001173884840681E-13</v>
      </c>
      <c r="P99" s="14">
        <f t="shared" si="87"/>
        <v>2.5254331426407198E-12</v>
      </c>
      <c r="Q99" s="22">
        <f t="shared" ref="Q99:Q130" si="107">(O99+P99)*0.475*44/12</f>
        <v>4.7119831685935622E-12</v>
      </c>
      <c r="R99" s="62">
        <f t="shared" si="55"/>
        <v>293.33333333333803</v>
      </c>
      <c r="S99" s="62">
        <f ca="1">AVERAGE(OFFSET($R$3,0,0,'Données projet'!$E$9+1,1))-AVERAGE(OFFSET($H$3,0,0,'Données projet'!$E$9+1,1))</f>
        <v>247.05981224668733</v>
      </c>
      <c r="T99" s="62">
        <f t="shared" si="88"/>
        <v>345.23839191022898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3.6540703769062863E-2</v>
      </c>
      <c r="AA99" s="23">
        <f>EXP(-LN(2)/25)*AA98+(1-EXP(-LN(2)/25))/(LN(2)/25)*Calculateur!V99*Calculateur!X99*VLOOKUP('Données projet'!$B$9,Paramètres!$A$1:$I$89,3,0)*0.475*44/12</f>
        <v>0.16152464119356674</v>
      </c>
      <c r="AB99" s="23">
        <f>EXP(-LN(2)/2)*AB98+(1-EXP(-LN(2)/2))/(LN(2)/2)*V99*Y99*VLOOKUP('Données projet'!$B$9,Paramètres!$A$1:$I$89,3,0)*0.475*44/12</f>
        <v>4.8759172537533579E-10</v>
      </c>
      <c r="AC99" s="24">
        <f t="shared" si="57"/>
        <v>0.19806534545022134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2.8421709430404007E-14</v>
      </c>
      <c r="AJ99" s="14">
        <f>AI99*VLOOKUP('Données projet'!$B$10,Paramètres!$A$1:$I$89,3,0)*VLOOKUP('Données projet'!$B$10,Paramètres!$A$1:$I$89,5,0)</f>
        <v>2.4829205358400945E-14</v>
      </c>
      <c r="AK99" s="14">
        <f t="shared" si="89"/>
        <v>4.3867331143352915E-13</v>
      </c>
      <c r="AL99" s="22">
        <f t="shared" si="58"/>
        <v>8.0726688341261168E-13</v>
      </c>
      <c r="AM99" s="62">
        <f t="shared" si="59"/>
        <v>293.33333333333411</v>
      </c>
      <c r="AN99" s="62">
        <f ca="1">AVERAGE(OFFSET($AM$3,0,0,'Données projet'!$E$10+1,1))-AVERAGE(OFFSET($H$3,0,0,'Données projet'!$E$10+1,1))</f>
        <v>235.92135862353973</v>
      </c>
      <c r="AO99" s="62">
        <f t="shared" si="90"/>
        <v>270.64539221029258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0.2078946706901931</v>
      </c>
      <c r="AV99" s="23">
        <f>EXP(-LN(2)/25)*AV98+(1-EXP(-LN(2)/25))/(LN(2)/25)*Calculateur!AQ99*Calculateur!AS99*VLOOKUP('Données projet'!$B$10,Paramètres!$A$1:$I$89,3,0)*0.475*44/12</f>
        <v>0.83348280117754392</v>
      </c>
      <c r="AW99" s="23">
        <f>EXP(-LN(2)/2)*AW98+(1-EXP(-LN(2)/2))/(LN(2)/2)*AQ99*AT99*VLOOKUP('Données projet'!$B$10,Paramètres!$A$1:$I$89,3,0)*0.475*44/12</f>
        <v>1.8089464568508767E-9</v>
      </c>
      <c r="AX99" s="23">
        <f t="shared" si="60"/>
        <v>1.0413774736766837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1.9895196601282805E-13</v>
      </c>
      <c r="O100" s="14">
        <f>N100*VLOOKUP('Données projet'!$B$9,Paramètres!$A$1:$I$89,3,0)*VLOOKUP('Données projet'!$B$9,Paramètres!$A$1:$I$89,5,0)</f>
        <v>1.8001173884840681E-13</v>
      </c>
      <c r="P100" s="14">
        <f t="shared" si="87"/>
        <v>2.5254331426407198E-12</v>
      </c>
      <c r="Q100" s="22">
        <f t="shared" si="107"/>
        <v>4.7119831685935622E-12</v>
      </c>
      <c r="R100" s="62">
        <f t="shared" si="55"/>
        <v>293.33333333333803</v>
      </c>
      <c r="S100" s="62">
        <f ca="1">AVERAGE(OFFSET($R$3,0,0,'Données projet'!$E$9+1,1))-AVERAGE(OFFSET($H$3,0,0,'Données projet'!$E$9+1,1))</f>
        <v>247.05981224668733</v>
      </c>
      <c r="T100" s="62">
        <f t="shared" si="88"/>
        <v>345.23839191022898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3.582416285578012E-2</v>
      </c>
      <c r="AA100" s="23">
        <f>EXP(-LN(2)/25)*AA99+(1-EXP(-LN(2)/25))/(LN(2)/25)*Calculateur!V100*Calculateur!X100*VLOOKUP('Données projet'!$B$9,Paramètres!$A$1:$I$89,3,0)*0.475*44/12</f>
        <v>0.15710774138591696</v>
      </c>
      <c r="AB100" s="23">
        <f>EXP(-LN(2)/2)*AB99+(1-EXP(-LN(2)/2))/(LN(2)/2)*V100*Y100*VLOOKUP('Données projet'!$B$9,Paramètres!$A$1:$I$89,3,0)*0.475*44/12</f>
        <v>3.4477941546334874E-10</v>
      </c>
      <c r="AC100" s="24">
        <f t="shared" si="57"/>
        <v>0.19293190458647652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2.8421709430404007E-14</v>
      </c>
      <c r="AJ100" s="14">
        <f>AI100*VLOOKUP('Données projet'!$B$10,Paramètres!$A$1:$I$89,3,0)*VLOOKUP('Données projet'!$B$10,Paramètres!$A$1:$I$89,5,0)</f>
        <v>2.4829205358400945E-14</v>
      </c>
      <c r="AK100" s="14">
        <f t="shared" si="89"/>
        <v>4.3867331143352915E-13</v>
      </c>
      <c r="AL100" s="22">
        <f t="shared" si="58"/>
        <v>8.0726688341261168E-13</v>
      </c>
      <c r="AM100" s="62">
        <f t="shared" si="59"/>
        <v>293.33333333333411</v>
      </c>
      <c r="AN100" s="62">
        <f ca="1">AVERAGE(OFFSET($AM$3,0,0,'Données projet'!$E$10+1,1))-AVERAGE(OFFSET($H$3,0,0,'Données projet'!$E$10+1,1))</f>
        <v>235.92135862353973</v>
      </c>
      <c r="AO100" s="62">
        <f t="shared" si="90"/>
        <v>270.64539221029258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0.20381798300118675</v>
      </c>
      <c r="AV100" s="23">
        <f>EXP(-LN(2)/25)*AV99+(1-EXP(-LN(2)/25))/(LN(2)/25)*Calculateur!AQ100*Calculateur!AS100*VLOOKUP('Données projet'!$B$10,Paramètres!$A$1:$I$89,3,0)*0.475*44/12</f>
        <v>0.81069117014838843</v>
      </c>
      <c r="AW100" s="23">
        <f>EXP(-LN(2)/2)*AW99+(1-EXP(-LN(2)/2))/(LN(2)/2)*AQ100*AT100*VLOOKUP('Données projet'!$B$10,Paramètres!$A$1:$I$89,3,0)*0.475*44/12</f>
        <v>1.2791183064426334E-9</v>
      </c>
      <c r="AX100" s="23">
        <f t="shared" si="60"/>
        <v>1.0145091544286935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1.9895196601282805E-13</v>
      </c>
      <c r="O101" s="14">
        <f>N101*VLOOKUP('Données projet'!$B$9,Paramètres!$A$1:$I$89,3,0)*VLOOKUP('Données projet'!$B$9,Paramètres!$A$1:$I$89,5,0)</f>
        <v>1.8001173884840681E-13</v>
      </c>
      <c r="P101" s="14">
        <f t="shared" si="87"/>
        <v>2.5254331426407198E-12</v>
      </c>
      <c r="Q101" s="22">
        <f t="shared" si="107"/>
        <v>4.7119831685935622E-12</v>
      </c>
      <c r="R101" s="62">
        <f t="shared" si="55"/>
        <v>293.33333333333803</v>
      </c>
      <c r="S101" s="62">
        <f ca="1">AVERAGE(OFFSET($R$3,0,0,'Données projet'!$E$9+1,1))-AVERAGE(OFFSET($H$3,0,0,'Données projet'!$E$9+1,1))</f>
        <v>247.05981224668733</v>
      </c>
      <c r="T101" s="62">
        <f t="shared" si="88"/>
        <v>345.23839191022898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3.5121672872760051E-2</v>
      </c>
      <c r="AA101" s="23">
        <f>EXP(-LN(2)/25)*AA100+(1-EXP(-LN(2)/25))/(LN(2)/25)*Calculateur!V101*Calculateur!X101*VLOOKUP('Données projet'!$B$9,Paramètres!$A$1:$I$89,3,0)*0.475*44/12</f>
        <v>0.15281162193578202</v>
      </c>
      <c r="AB101" s="23">
        <f>EXP(-LN(2)/2)*AB100+(1-EXP(-LN(2)/2))/(LN(2)/2)*V101*Y101*VLOOKUP('Données projet'!$B$9,Paramètres!$A$1:$I$89,3,0)*0.475*44/12</f>
        <v>2.4379586268766789E-10</v>
      </c>
      <c r="AC101" s="24">
        <f t="shared" si="57"/>
        <v>0.18793329505233794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2.8421709430404007E-14</v>
      </c>
      <c r="AJ101" s="14">
        <f>AI101*VLOOKUP('Données projet'!$B$10,Paramètres!$A$1:$I$89,3,0)*VLOOKUP('Données projet'!$B$10,Paramètres!$A$1:$I$89,5,0)</f>
        <v>2.4829205358400945E-14</v>
      </c>
      <c r="AK101" s="14">
        <f t="shared" si="89"/>
        <v>4.3867331143352915E-13</v>
      </c>
      <c r="AL101" s="22">
        <f t="shared" si="58"/>
        <v>8.0726688341261168E-13</v>
      </c>
      <c r="AM101" s="62">
        <f t="shared" si="59"/>
        <v>293.33333333333411</v>
      </c>
      <c r="AN101" s="62">
        <f ca="1">AVERAGE(OFFSET($AM$3,0,0,'Données projet'!$E$10+1,1))-AVERAGE(OFFSET($H$3,0,0,'Données projet'!$E$10+1,1))</f>
        <v>235.92135862353973</v>
      </c>
      <c r="AO101" s="62">
        <f t="shared" si="90"/>
        <v>270.64539221029258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0.19982123667122786</v>
      </c>
      <c r="AV101" s="23">
        <f>EXP(-LN(2)/25)*AV100+(1-EXP(-LN(2)/25))/(LN(2)/25)*Calculateur!AQ101*Calculateur!AS101*VLOOKUP('Données projet'!$B$10,Paramètres!$A$1:$I$89,3,0)*0.475*44/12</f>
        <v>0.78852277746828492</v>
      </c>
      <c r="AW101" s="23">
        <f>EXP(-LN(2)/2)*AW100+(1-EXP(-LN(2)/2))/(LN(2)/2)*AQ101*AT101*VLOOKUP('Données projet'!$B$10,Paramètres!$A$1:$I$89,3,0)*0.475*44/12</f>
        <v>9.0447322842543844E-10</v>
      </c>
      <c r="AX101" s="23">
        <f t="shared" si="60"/>
        <v>0.98834401504398606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1.9895196601282805E-13</v>
      </c>
      <c r="O102" s="14">
        <f>N102*VLOOKUP('Données projet'!$B$9,Paramètres!$A$1:$I$89,3,0)*VLOOKUP('Données projet'!$B$9,Paramètres!$A$1:$I$89,5,0)</f>
        <v>1.8001173884840681E-13</v>
      </c>
      <c r="P102" s="14">
        <f t="shared" si="87"/>
        <v>2.5254331426407198E-12</v>
      </c>
      <c r="Q102" s="22">
        <f t="shared" si="107"/>
        <v>4.7119831685935622E-12</v>
      </c>
      <c r="R102" s="62">
        <f t="shared" si="55"/>
        <v>293.33333333333803</v>
      </c>
      <c r="S102" s="62">
        <f ca="1">AVERAGE(OFFSET($R$3,0,0,'Données projet'!$E$9+1,1))-AVERAGE(OFFSET($H$3,0,0,'Données projet'!$E$9+1,1))</f>
        <v>247.05981224668733</v>
      </c>
      <c r="T102" s="62">
        <f t="shared" si="88"/>
        <v>345.23839191022898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3.4432958289830423E-2</v>
      </c>
      <c r="AA102" s="23">
        <f>EXP(-LN(2)/25)*AA101+(1-EXP(-LN(2)/25))/(LN(2)/25)*Calculateur!V102*Calculateur!X102*VLOOKUP('Données projet'!$B$9,Paramètres!$A$1:$I$89,3,0)*0.475*44/12</f>
        <v>0.1486329800979341</v>
      </c>
      <c r="AB102" s="23">
        <f>EXP(-LN(2)/2)*AB101+(1-EXP(-LN(2)/2))/(LN(2)/2)*V102*Y102*VLOOKUP('Données projet'!$B$9,Paramètres!$A$1:$I$89,3,0)*0.475*44/12</f>
        <v>1.7238970773167437E-10</v>
      </c>
      <c r="AC102" s="24">
        <f t="shared" si="57"/>
        <v>0.18306593856015424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2.8421709430404007E-14</v>
      </c>
      <c r="AJ102" s="14">
        <f>AI102*VLOOKUP('Données projet'!$B$10,Paramètres!$A$1:$I$89,3,0)*VLOOKUP('Données projet'!$B$10,Paramètres!$A$1:$I$89,5,0)</f>
        <v>2.4829205358400945E-14</v>
      </c>
      <c r="AK102" s="14">
        <f t="shared" si="89"/>
        <v>4.3867331143352915E-13</v>
      </c>
      <c r="AL102" s="22">
        <f t="shared" si="58"/>
        <v>8.0726688341261168E-13</v>
      </c>
      <c r="AM102" s="62">
        <f t="shared" si="59"/>
        <v>293.33333333333411</v>
      </c>
      <c r="AN102" s="62">
        <f ca="1">AVERAGE(OFFSET($AM$3,0,0,'Données projet'!$E$10+1,1))-AVERAGE(OFFSET($H$3,0,0,'Données projet'!$E$10+1,1))</f>
        <v>235.92135862353973</v>
      </c>
      <c r="AO102" s="62">
        <f t="shared" si="90"/>
        <v>270.64539221029258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0.19590286409902491</v>
      </c>
      <c r="AV102" s="23">
        <f>EXP(-LN(2)/25)*AV101+(1-EXP(-LN(2)/25))/(LN(2)/25)*Calculateur!AQ102*Calculateur!AS102*VLOOKUP('Données projet'!$B$10,Paramètres!$A$1:$I$89,3,0)*0.475*44/12</f>
        <v>0.76696058065180395</v>
      </c>
      <c r="AW102" s="23">
        <f>EXP(-LN(2)/2)*AW101+(1-EXP(-LN(2)/2))/(LN(2)/2)*AQ102*AT102*VLOOKUP('Données projet'!$B$10,Paramètres!$A$1:$I$89,3,0)*0.475*44/12</f>
        <v>6.395591532213167E-10</v>
      </c>
      <c r="AX102" s="23">
        <f t="shared" si="60"/>
        <v>0.96286344539038804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1.9895196601282805E-13</v>
      </c>
      <c r="O103" s="14">
        <f>N103*VLOOKUP('Données projet'!$B$9,Paramètres!$A$1:$I$89,3,0)*VLOOKUP('Données projet'!$B$9,Paramètres!$A$1:$I$89,5,0)</f>
        <v>1.8001173884840681E-13</v>
      </c>
      <c r="P103" s="14">
        <f t="shared" si="87"/>
        <v>2.5254331426407198E-12</v>
      </c>
      <c r="Q103" s="22">
        <f t="shared" si="107"/>
        <v>4.7119831685935622E-12</v>
      </c>
      <c r="R103" s="62">
        <f t="shared" si="55"/>
        <v>293.33333333333803</v>
      </c>
      <c r="S103" s="62">
        <f ca="1">AVERAGE(OFFSET($R$3,0,0,'Données projet'!$E$9+1,1))-AVERAGE(OFFSET($H$3,0,0,'Données projet'!$E$9+1,1))</f>
        <v>247.05981224668733</v>
      </c>
      <c r="T103" s="62">
        <f t="shared" si="88"/>
        <v>345.23839191022898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3.3757748979797629E-2</v>
      </c>
      <c r="AA103" s="23">
        <f>EXP(-LN(2)/25)*AA102+(1-EXP(-LN(2)/25))/(LN(2)/25)*Calculateur!V103*Calculateur!X103*VLOOKUP('Données projet'!$B$9,Paramètres!$A$1:$I$89,3,0)*0.475*44/12</f>
        <v>0.14456860344088737</v>
      </c>
      <c r="AB103" s="23">
        <f>EXP(-LN(2)/2)*AB102+(1-EXP(-LN(2)/2))/(LN(2)/2)*V103*Y103*VLOOKUP('Données projet'!$B$9,Paramètres!$A$1:$I$89,3,0)*0.475*44/12</f>
        <v>1.2189793134383395E-10</v>
      </c>
      <c r="AC103" s="24">
        <f t="shared" si="57"/>
        <v>0.17832635254258294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2.8421709430404007E-14</v>
      </c>
      <c r="AJ103" s="14">
        <f>AI103*VLOOKUP('Données projet'!$B$10,Paramètres!$A$1:$I$89,3,0)*VLOOKUP('Données projet'!$B$10,Paramètres!$A$1:$I$89,5,0)</f>
        <v>2.4829205358400945E-14</v>
      </c>
      <c r="AK103" s="14">
        <f t="shared" si="89"/>
        <v>4.3867331143352915E-13</v>
      </c>
      <c r="AL103" s="22">
        <f t="shared" si="58"/>
        <v>8.0726688341261168E-13</v>
      </c>
      <c r="AM103" s="62">
        <f t="shared" si="59"/>
        <v>293.33333333333411</v>
      </c>
      <c r="AN103" s="62">
        <f ca="1">AVERAGE(OFFSET($AM$3,0,0,'Données projet'!$E$10+1,1))-AVERAGE(OFFSET($H$3,0,0,'Données projet'!$E$10+1,1))</f>
        <v>235.92135862353973</v>
      </c>
      <c r="AO103" s="62">
        <f t="shared" si="90"/>
        <v>270.64539221029258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0.19206132842299159</v>
      </c>
      <c r="AV103" s="23">
        <f>EXP(-LN(2)/25)*AV102+(1-EXP(-LN(2)/25))/(LN(2)/25)*Calculateur!AQ103*Calculateur!AS103*VLOOKUP('Données projet'!$B$10,Paramètres!$A$1:$I$89,3,0)*0.475*44/12</f>
        <v>0.74598800324117631</v>
      </c>
      <c r="AW103" s="23">
        <f>EXP(-LN(2)/2)*AW102+(1-EXP(-LN(2)/2))/(LN(2)/2)*AQ103*AT103*VLOOKUP('Données projet'!$B$10,Paramètres!$A$1:$I$89,3,0)*0.475*44/12</f>
        <v>4.5223661421271922E-10</v>
      </c>
      <c r="AX103" s="23">
        <f t="shared" si="60"/>
        <v>0.93804933211640451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1.9895196601282805E-13</v>
      </c>
      <c r="O104" s="14">
        <f>N104*VLOOKUP('Données projet'!$B$9,Paramètres!$A$1:$I$89,3,0)*VLOOKUP('Données projet'!$B$9,Paramètres!$A$1:$I$89,5,0)</f>
        <v>1.8001173884840681E-13</v>
      </c>
      <c r="P104" s="14">
        <f t="shared" si="87"/>
        <v>2.5254331426407198E-12</v>
      </c>
      <c r="Q104" s="22">
        <f t="shared" si="107"/>
        <v>4.7119831685935622E-12</v>
      </c>
      <c r="R104" s="62">
        <f t="shared" si="55"/>
        <v>293.33333333333803</v>
      </c>
      <c r="S104" s="62">
        <f ca="1">AVERAGE(OFFSET($R$3,0,0,'Données projet'!$E$9+1,1))-AVERAGE(OFFSET($H$3,0,0,'Données projet'!$E$9+1,1))</f>
        <v>247.05981224668733</v>
      </c>
      <c r="T104" s="62">
        <f t="shared" si="88"/>
        <v>345.23839191022898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3.3095780112497565E-2</v>
      </c>
      <c r="AA104" s="23">
        <f>EXP(-LN(2)/25)*AA103+(1-EXP(-LN(2)/25))/(LN(2)/25)*Calculateur!V104*Calculateur!X104*VLOOKUP('Données projet'!$B$9,Paramètres!$A$1:$I$89,3,0)*0.475*44/12</f>
        <v>0.14061536737726388</v>
      </c>
      <c r="AB104" s="23">
        <f>EXP(-LN(2)/2)*AB103+(1-EXP(-LN(2)/2))/(LN(2)/2)*V104*Y104*VLOOKUP('Données projet'!$B$9,Paramètres!$A$1:$I$89,3,0)*0.475*44/12</f>
        <v>8.6194853865837184E-11</v>
      </c>
      <c r="AC104" s="24">
        <f t="shared" si="57"/>
        <v>0.17371114757595629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2.8421709430404007E-14</v>
      </c>
      <c r="AJ104" s="14">
        <f>AI104*VLOOKUP('Données projet'!$B$10,Paramètres!$A$1:$I$89,3,0)*VLOOKUP('Données projet'!$B$10,Paramètres!$A$1:$I$89,5,0)</f>
        <v>2.4829205358400945E-14</v>
      </c>
      <c r="AK104" s="14">
        <f t="shared" si="89"/>
        <v>4.3867331143352915E-13</v>
      </c>
      <c r="AL104" s="22">
        <f t="shared" si="58"/>
        <v>8.0726688341261168E-13</v>
      </c>
      <c r="AM104" s="62">
        <f t="shared" si="59"/>
        <v>293.33333333333411</v>
      </c>
      <c r="AN104" s="62">
        <f ca="1">AVERAGE(OFFSET($AM$3,0,0,'Données projet'!$E$10+1,1))-AVERAGE(OFFSET($H$3,0,0,'Données projet'!$E$10+1,1))</f>
        <v>235.92135862353973</v>
      </c>
      <c r="AO104" s="62">
        <f t="shared" si="90"/>
        <v>270.64539221029258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0.18829512291845987</v>
      </c>
      <c r="AV104" s="23">
        <f>EXP(-LN(2)/25)*AV103+(1-EXP(-LN(2)/25))/(LN(2)/25)*Calculateur!AQ104*Calculateur!AS104*VLOOKUP('Données projet'!$B$10,Paramètres!$A$1:$I$89,3,0)*0.475*44/12</f>
        <v>0.72558892206274228</v>
      </c>
      <c r="AW104" s="23">
        <f>EXP(-LN(2)/2)*AW103+(1-EXP(-LN(2)/2))/(LN(2)/2)*AQ104*AT104*VLOOKUP('Données projet'!$B$10,Paramètres!$A$1:$I$89,3,0)*0.475*44/12</f>
        <v>3.1977957661065835E-10</v>
      </c>
      <c r="AX104" s="23">
        <f t="shared" si="60"/>
        <v>0.91388404530098166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1.9895196601282805E-13</v>
      </c>
      <c r="O105" s="14">
        <f>N105*VLOOKUP('Données projet'!$B$9,Paramètres!$A$1:$I$89,3,0)*VLOOKUP('Données projet'!$B$9,Paramètres!$A$1:$I$89,5,0)</f>
        <v>1.8001173884840681E-13</v>
      </c>
      <c r="P105" s="14">
        <f t="shared" si="87"/>
        <v>2.5254331426407198E-12</v>
      </c>
      <c r="Q105" s="22">
        <f t="shared" si="107"/>
        <v>4.7119831685935622E-12</v>
      </c>
      <c r="R105" s="62">
        <f t="shared" si="55"/>
        <v>293.33333333333803</v>
      </c>
      <c r="S105" s="62">
        <f ca="1">AVERAGE(OFFSET($R$3,0,0,'Données projet'!$E$9+1,1))-AVERAGE(OFFSET($H$3,0,0,'Données projet'!$E$9+1,1))</f>
        <v>247.05981224668733</v>
      </c>
      <c r="T105" s="62">
        <f t="shared" si="88"/>
        <v>345.23839191022898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3.2446792050924114E-2</v>
      </c>
      <c r="AA105" s="23">
        <f>EXP(-LN(2)/25)*AA104+(1-EXP(-LN(2)/25))/(LN(2)/25)*Calculateur!V105*Calculateur!X105*VLOOKUP('Données projet'!$B$9,Paramètres!$A$1:$I$89,3,0)*0.475*44/12</f>
        <v>0.13677023276169181</v>
      </c>
      <c r="AB105" s="23">
        <f>EXP(-LN(2)/2)*AB104+(1-EXP(-LN(2)/2))/(LN(2)/2)*V105*Y105*VLOOKUP('Données projet'!$B$9,Paramètres!$A$1:$I$89,3,0)*0.475*44/12</f>
        <v>6.0948965671916974E-11</v>
      </c>
      <c r="AC105" s="24">
        <f t="shared" si="57"/>
        <v>0.16921702487356488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2.8421709430404007E-14</v>
      </c>
      <c r="AJ105" s="14">
        <f>AI105*VLOOKUP('Données projet'!$B$10,Paramètres!$A$1:$I$89,3,0)*VLOOKUP('Données projet'!$B$10,Paramètres!$A$1:$I$89,5,0)</f>
        <v>2.4829205358400945E-14</v>
      </c>
      <c r="AK105" s="14">
        <f t="shared" si="89"/>
        <v>4.3867331143352915E-13</v>
      </c>
      <c r="AL105" s="22">
        <f t="shared" si="58"/>
        <v>8.0726688341261168E-13</v>
      </c>
      <c r="AM105" s="62">
        <f t="shared" si="59"/>
        <v>293.33333333333411</v>
      </c>
      <c r="AN105" s="62">
        <f ca="1">AVERAGE(OFFSET($AM$3,0,0,'Données projet'!$E$10+1,1))-AVERAGE(OFFSET($H$3,0,0,'Données projet'!$E$10+1,1))</f>
        <v>235.92135862353973</v>
      </c>
      <c r="AO105" s="62">
        <f t="shared" si="90"/>
        <v>270.64539221029258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0.1846027704067135</v>
      </c>
      <c r="AV105" s="23">
        <f>EXP(-LN(2)/25)*AV104+(1-EXP(-LN(2)/25))/(LN(2)/25)*Calculateur!AQ105*Calculateur!AS105*VLOOKUP('Données projet'!$B$10,Paramètres!$A$1:$I$89,3,0)*0.475*44/12</f>
        <v>0.70574765483187352</v>
      </c>
      <c r="AW105" s="23">
        <f>EXP(-LN(2)/2)*AW104+(1-EXP(-LN(2)/2))/(LN(2)/2)*AQ105*AT105*VLOOKUP('Données projet'!$B$10,Paramètres!$A$1:$I$89,3,0)*0.475*44/12</f>
        <v>2.2611830710635961E-10</v>
      </c>
      <c r="AX105" s="23">
        <f t="shared" si="60"/>
        <v>0.89035042546470533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1.9895196601282805E-13</v>
      </c>
      <c r="O106" s="14">
        <f>N106*VLOOKUP('Données projet'!$B$9,Paramètres!$A$1:$I$89,3,0)*VLOOKUP('Données projet'!$B$9,Paramètres!$A$1:$I$89,5,0)</f>
        <v>1.8001173884840681E-13</v>
      </c>
      <c r="P106" s="14">
        <f t="shared" si="87"/>
        <v>2.5254331426407198E-12</v>
      </c>
      <c r="Q106" s="22">
        <f t="shared" si="107"/>
        <v>4.7119831685935622E-12</v>
      </c>
      <c r="R106" s="62">
        <f t="shared" si="55"/>
        <v>293.33333333333803</v>
      </c>
      <c r="S106" s="62">
        <f ca="1">AVERAGE(OFFSET($R$3,0,0,'Données projet'!$E$9+1,1))-AVERAGE(OFFSET($H$3,0,0,'Données projet'!$E$9+1,1))</f>
        <v>247.05981224668733</v>
      </c>
      <c r="T106" s="62">
        <f t="shared" si="88"/>
        <v>345.23839191022898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3.1810530249394488E-2</v>
      </c>
      <c r="AA106" s="23">
        <f>EXP(-LN(2)/25)*AA105+(1-EXP(-LN(2)/25))/(LN(2)/25)*Calculateur!V106*Calculateur!X106*VLOOKUP('Données projet'!$B$9,Paramètres!$A$1:$I$89,3,0)*0.475*44/12</f>
        <v>0.13303024355438939</v>
      </c>
      <c r="AB106" s="23">
        <f>EXP(-LN(2)/2)*AB105+(1-EXP(-LN(2)/2))/(LN(2)/2)*V106*Y106*VLOOKUP('Données projet'!$B$9,Paramètres!$A$1:$I$89,3,0)*0.475*44/12</f>
        <v>4.3097426932918592E-11</v>
      </c>
      <c r="AC106" s="24">
        <f t="shared" si="57"/>
        <v>0.16484077384688128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2.8421709430404007E-14</v>
      </c>
      <c r="AJ106" s="14">
        <f>AI106*VLOOKUP('Données projet'!$B$10,Paramètres!$A$1:$I$89,3,0)*VLOOKUP('Données projet'!$B$10,Paramètres!$A$1:$I$89,5,0)</f>
        <v>2.4829205358400945E-14</v>
      </c>
      <c r="AK106" s="14">
        <f t="shared" si="89"/>
        <v>4.3867331143352915E-13</v>
      </c>
      <c r="AL106" s="22">
        <f t="shared" si="58"/>
        <v>8.0726688341261168E-13</v>
      </c>
      <c r="AM106" s="62">
        <f t="shared" si="59"/>
        <v>293.33333333333411</v>
      </c>
      <c r="AN106" s="62">
        <f ca="1">AVERAGE(OFFSET($AM$3,0,0,'Données projet'!$E$10+1,1))-AVERAGE(OFFSET($H$3,0,0,'Données projet'!$E$10+1,1))</f>
        <v>235.92135862353973</v>
      </c>
      <c r="AO106" s="62">
        <f t="shared" si="90"/>
        <v>270.64539221029258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0.18098282267560981</v>
      </c>
      <c r="AV106" s="23">
        <f>EXP(-LN(2)/25)*AV105+(1-EXP(-LN(2)/25))/(LN(2)/25)*Calculateur!AQ106*Calculateur!AS106*VLOOKUP('Données projet'!$B$10,Paramètres!$A$1:$I$89,3,0)*0.475*44/12</f>
        <v>0.68644894809683976</v>
      </c>
      <c r="AW106" s="23">
        <f>EXP(-LN(2)/2)*AW105+(1-EXP(-LN(2)/2))/(LN(2)/2)*AQ106*AT106*VLOOKUP('Données projet'!$B$10,Paramètres!$A$1:$I$89,3,0)*0.475*44/12</f>
        <v>1.5988978830532918E-10</v>
      </c>
      <c r="AX106" s="23">
        <f t="shared" si="60"/>
        <v>0.86743177093233936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1.9895196601282805E-13</v>
      </c>
      <c r="O107" s="14">
        <f>N107*VLOOKUP('Données projet'!$B$9,Paramètres!$A$1:$I$89,3,0)*VLOOKUP('Données projet'!$B$9,Paramètres!$A$1:$I$89,5,0)</f>
        <v>1.8001173884840681E-13</v>
      </c>
      <c r="P107" s="14">
        <f t="shared" si="87"/>
        <v>2.5254331426407198E-12</v>
      </c>
      <c r="Q107" s="22">
        <f t="shared" si="107"/>
        <v>4.7119831685935622E-12</v>
      </c>
      <c r="R107" s="62">
        <f t="shared" si="55"/>
        <v>293.33333333333803</v>
      </c>
      <c r="S107" s="62">
        <f ca="1">AVERAGE(OFFSET($R$3,0,0,'Données projet'!$E$9+1,1))-AVERAGE(OFFSET($H$3,0,0,'Données projet'!$E$9+1,1))</f>
        <v>247.05981224668733</v>
      </c>
      <c r="T107" s="62">
        <f t="shared" si="88"/>
        <v>345.23839191022898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3.1186745153711476E-2</v>
      </c>
      <c r="AA107" s="23">
        <f>EXP(-LN(2)/25)*AA106+(1-EXP(-LN(2)/25))/(LN(2)/25)*Calculateur!V107*Calculateur!X107*VLOOKUP('Données projet'!$B$9,Paramètres!$A$1:$I$89,3,0)*0.475*44/12</f>
        <v>0.12939252454863814</v>
      </c>
      <c r="AB107" s="23">
        <f>EXP(-LN(2)/2)*AB106+(1-EXP(-LN(2)/2))/(LN(2)/2)*V107*Y107*VLOOKUP('Données projet'!$B$9,Paramètres!$A$1:$I$89,3,0)*0.475*44/12</f>
        <v>3.0474482835958487E-11</v>
      </c>
      <c r="AC107" s="24">
        <f t="shared" si="57"/>
        <v>0.1605792697328241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2.8421709430404007E-14</v>
      </c>
      <c r="AJ107" s="14">
        <f>AI107*VLOOKUP('Données projet'!$B$10,Paramètres!$A$1:$I$89,3,0)*VLOOKUP('Données projet'!$B$10,Paramètres!$A$1:$I$89,5,0)</f>
        <v>2.4829205358400945E-14</v>
      </c>
      <c r="AK107" s="14">
        <f t="shared" si="89"/>
        <v>4.3867331143352915E-13</v>
      </c>
      <c r="AL107" s="22">
        <f t="shared" si="58"/>
        <v>8.0726688341261168E-13</v>
      </c>
      <c r="AM107" s="62">
        <f t="shared" si="59"/>
        <v>293.33333333333411</v>
      </c>
      <c r="AN107" s="62">
        <f ca="1">AVERAGE(OFFSET($AM$3,0,0,'Données projet'!$E$10+1,1))-AVERAGE(OFFSET($H$3,0,0,'Données projet'!$E$10+1,1))</f>
        <v>235.92135862353973</v>
      </c>
      <c r="AO107" s="62">
        <f t="shared" si="90"/>
        <v>270.64539221029258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0.17743385991156296</v>
      </c>
      <c r="AV107" s="23">
        <f>EXP(-LN(2)/25)*AV106+(1-EXP(-LN(2)/25))/(LN(2)/25)*Calculateur!AQ107*Calculateur!AS107*VLOOKUP('Données projet'!$B$10,Paramètres!$A$1:$I$89,3,0)*0.475*44/12</f>
        <v>0.66767796551235037</v>
      </c>
      <c r="AW107" s="23">
        <f>EXP(-LN(2)/2)*AW106+(1-EXP(-LN(2)/2))/(LN(2)/2)*AQ107*AT107*VLOOKUP('Données projet'!$B$10,Paramètres!$A$1:$I$89,3,0)*0.475*44/12</f>
        <v>1.130591535531798E-10</v>
      </c>
      <c r="AX107" s="23">
        <f t="shared" si="60"/>
        <v>0.84511182553697251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1.9895196601282805E-13</v>
      </c>
      <c r="O108" s="14">
        <f>N108*VLOOKUP('Données projet'!$B$9,Paramètres!$A$1:$I$89,3,0)*VLOOKUP('Données projet'!$B$9,Paramètres!$A$1:$I$89,5,0)</f>
        <v>1.8001173884840681E-13</v>
      </c>
      <c r="P108" s="14">
        <f t="shared" si="87"/>
        <v>2.5254331426407198E-12</v>
      </c>
      <c r="Q108" s="22">
        <f t="shared" si="107"/>
        <v>4.7119831685935622E-12</v>
      </c>
      <c r="R108" s="62">
        <f t="shared" si="55"/>
        <v>293.33333333333803</v>
      </c>
      <c r="S108" s="62">
        <f ca="1">AVERAGE(OFFSET($R$3,0,0,'Données projet'!$E$9+1,1))-AVERAGE(OFFSET($H$3,0,0,'Données projet'!$E$9+1,1))</f>
        <v>247.05981224668733</v>
      </c>
      <c r="T108" s="62">
        <f t="shared" si="88"/>
        <v>345.23839191022898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3.0575192103283466E-2</v>
      </c>
      <c r="AA108" s="23">
        <f>EXP(-LN(2)/25)*AA107+(1-EXP(-LN(2)/25))/(LN(2)/25)*Calculateur!V108*Calculateur!X108*VLOOKUP('Données projet'!$B$9,Paramètres!$A$1:$I$89,3,0)*0.475*44/12</f>
        <v>0.12585427916039849</v>
      </c>
      <c r="AB108" s="23">
        <f>EXP(-LN(2)/2)*AB107+(1-EXP(-LN(2)/2))/(LN(2)/2)*V108*Y108*VLOOKUP('Données projet'!$B$9,Paramètres!$A$1:$I$89,3,0)*0.475*44/12</f>
        <v>2.1548713466459296E-11</v>
      </c>
      <c r="AC108" s="24">
        <f t="shared" si="57"/>
        <v>0.15642947128523066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2.8421709430404007E-14</v>
      </c>
      <c r="AJ108" s="14">
        <f>AI108*VLOOKUP('Données projet'!$B$10,Paramètres!$A$1:$I$89,3,0)*VLOOKUP('Données projet'!$B$10,Paramètres!$A$1:$I$89,5,0)</f>
        <v>2.4829205358400945E-14</v>
      </c>
      <c r="AK108" s="14">
        <f t="shared" si="89"/>
        <v>4.3867331143352915E-13</v>
      </c>
      <c r="AL108" s="22">
        <f t="shared" si="58"/>
        <v>8.0726688341261168E-13</v>
      </c>
      <c r="AM108" s="62">
        <f t="shared" si="59"/>
        <v>293.33333333333411</v>
      </c>
      <c r="AN108" s="62">
        <f ca="1">AVERAGE(OFFSET($AM$3,0,0,'Données projet'!$E$10+1,1))-AVERAGE(OFFSET($H$3,0,0,'Données projet'!$E$10+1,1))</f>
        <v>235.92135862353973</v>
      </c>
      <c r="AO108" s="62">
        <f t="shared" si="90"/>
        <v>270.64539221029258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0.17395449014266554</v>
      </c>
      <c r="AV108" s="23">
        <f>EXP(-LN(2)/25)*AV107+(1-EXP(-LN(2)/25))/(LN(2)/25)*Calculateur!AQ108*Calculateur!AS108*VLOOKUP('Données projet'!$B$10,Paramètres!$A$1:$I$89,3,0)*0.475*44/12</f>
        <v>0.64942027643375699</v>
      </c>
      <c r="AW108" s="23">
        <f>EXP(-LN(2)/2)*AW107+(1-EXP(-LN(2)/2))/(LN(2)/2)*AQ108*AT108*VLOOKUP('Données projet'!$B$10,Paramètres!$A$1:$I$89,3,0)*0.475*44/12</f>
        <v>7.9944894152664588E-11</v>
      </c>
      <c r="AX108" s="23">
        <f t="shared" si="60"/>
        <v>0.82337476665636744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1.9895196601282805E-13</v>
      </c>
      <c r="O109" s="14">
        <f>N109*VLOOKUP('Données projet'!$B$9,Paramètres!$A$1:$I$89,3,0)*VLOOKUP('Données projet'!$B$9,Paramètres!$A$1:$I$89,5,0)</f>
        <v>1.8001173884840681E-13</v>
      </c>
      <c r="P109" s="14">
        <f t="shared" si="87"/>
        <v>2.5254331426407198E-12</v>
      </c>
      <c r="Q109" s="22">
        <f t="shared" si="107"/>
        <v>4.7119831685935622E-12</v>
      </c>
      <c r="R109" s="62">
        <f t="shared" si="55"/>
        <v>293.33333333333803</v>
      </c>
      <c r="S109" s="62">
        <f ca="1">AVERAGE(OFFSET($R$3,0,0,'Données projet'!$E$9+1,1))-AVERAGE(OFFSET($H$3,0,0,'Données projet'!$E$9+1,1))</f>
        <v>247.05981224668733</v>
      </c>
      <c r="T109" s="62">
        <f t="shared" si="88"/>
        <v>345.23839191022898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2.9975631235163822E-2</v>
      </c>
      <c r="AA109" s="23">
        <f>EXP(-LN(2)/25)*AA108+(1-EXP(-LN(2)/25))/(LN(2)/25)*Calculateur!V109*Calculateur!X109*VLOOKUP('Données projet'!$B$9,Paramètres!$A$1:$I$89,3,0)*0.475*44/12</f>
        <v>0.12241278727836849</v>
      </c>
      <c r="AB109" s="23">
        <f>EXP(-LN(2)/2)*AB108+(1-EXP(-LN(2)/2))/(LN(2)/2)*V109*Y109*VLOOKUP('Données projet'!$B$9,Paramètres!$A$1:$I$89,3,0)*0.475*44/12</f>
        <v>1.5237241417979243E-11</v>
      </c>
      <c r="AC109" s="24">
        <f t="shared" si="57"/>
        <v>0.15238841852876953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2.8421709430404007E-14</v>
      </c>
      <c r="AJ109" s="14">
        <f>AI109*VLOOKUP('Données projet'!$B$10,Paramètres!$A$1:$I$89,3,0)*VLOOKUP('Données projet'!$B$10,Paramètres!$A$1:$I$89,5,0)</f>
        <v>2.4829205358400945E-14</v>
      </c>
      <c r="AK109" s="14">
        <f t="shared" si="89"/>
        <v>4.3867331143352915E-13</v>
      </c>
      <c r="AL109" s="22">
        <f t="shared" si="58"/>
        <v>8.0726688341261168E-13</v>
      </c>
      <c r="AM109" s="62">
        <f t="shared" si="59"/>
        <v>293.33333333333411</v>
      </c>
      <c r="AN109" s="62">
        <f ca="1">AVERAGE(OFFSET($AM$3,0,0,'Données projet'!$E$10+1,1))-AVERAGE(OFFSET($H$3,0,0,'Données projet'!$E$10+1,1))</f>
        <v>235.92135862353973</v>
      </c>
      <c r="AO109" s="62">
        <f t="shared" si="90"/>
        <v>270.64539221029258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0.17054334869273016</v>
      </c>
      <c r="AV109" s="23">
        <f>EXP(-LN(2)/25)*AV108+(1-EXP(-LN(2)/25))/(LN(2)/25)*Calculateur!AQ109*Calculateur!AS109*VLOOKUP('Données projet'!$B$10,Paramètres!$A$1:$I$89,3,0)*0.475*44/12</f>
        <v>0.6316618448231478</v>
      </c>
      <c r="AW109" s="23">
        <f>EXP(-LN(2)/2)*AW108+(1-EXP(-LN(2)/2))/(LN(2)/2)*AQ109*AT109*VLOOKUP('Données projet'!$B$10,Paramètres!$A$1:$I$89,3,0)*0.475*44/12</f>
        <v>5.6529576776589902E-11</v>
      </c>
      <c r="AX109" s="23">
        <f t="shared" si="60"/>
        <v>0.80220519357240749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1.9895196601282805E-13</v>
      </c>
      <c r="O110" s="14">
        <f>N110*VLOOKUP('Données projet'!$B$9,Paramètres!$A$1:$I$89,3,0)*VLOOKUP('Données projet'!$B$9,Paramètres!$A$1:$I$89,5,0)</f>
        <v>1.8001173884840681E-13</v>
      </c>
      <c r="P110" s="14">
        <f t="shared" si="87"/>
        <v>2.5254331426407198E-12</v>
      </c>
      <c r="Q110" s="22">
        <f t="shared" si="107"/>
        <v>4.7119831685935622E-12</v>
      </c>
      <c r="R110" s="62">
        <f t="shared" si="55"/>
        <v>293.33333333333803</v>
      </c>
      <c r="S110" s="62">
        <f ca="1">AVERAGE(OFFSET($R$3,0,0,'Données projet'!$E$9+1,1))-AVERAGE(OFFSET($H$3,0,0,'Données projet'!$E$9+1,1))</f>
        <v>247.05981224668733</v>
      </c>
      <c r="T110" s="62">
        <f t="shared" si="88"/>
        <v>345.23839191022898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2.9387827389971984E-2</v>
      </c>
      <c r="AA110" s="23">
        <f>EXP(-LN(2)/25)*AA109+(1-EXP(-LN(2)/25))/(LN(2)/25)*Calculateur!V110*Calculateur!X110*VLOOKUP('Données projet'!$B$9,Paramètres!$A$1:$I$89,3,0)*0.475*44/12</f>
        <v>0.1190654031728328</v>
      </c>
      <c r="AB110" s="23">
        <f>EXP(-LN(2)/2)*AB109+(1-EXP(-LN(2)/2))/(LN(2)/2)*V110*Y110*VLOOKUP('Données projet'!$B$9,Paramètres!$A$1:$I$89,3,0)*0.475*44/12</f>
        <v>1.0774356733229648E-11</v>
      </c>
      <c r="AC110" s="24">
        <f t="shared" si="57"/>
        <v>0.14845323057357915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2.8421709430404007E-14</v>
      </c>
      <c r="AJ110" s="14">
        <f>AI110*VLOOKUP('Données projet'!$B$10,Paramètres!$A$1:$I$89,3,0)*VLOOKUP('Données projet'!$B$10,Paramètres!$A$1:$I$89,5,0)</f>
        <v>2.4829205358400945E-14</v>
      </c>
      <c r="AK110" s="14">
        <f t="shared" si="89"/>
        <v>4.3867331143352915E-13</v>
      </c>
      <c r="AL110" s="22">
        <f t="shared" si="58"/>
        <v>8.0726688341261168E-13</v>
      </c>
      <c r="AM110" s="62">
        <f t="shared" si="59"/>
        <v>293.33333333333411</v>
      </c>
      <c r="AN110" s="62">
        <f ca="1">AVERAGE(OFFSET($AM$3,0,0,'Données projet'!$E$10+1,1))-AVERAGE(OFFSET($H$3,0,0,'Données projet'!$E$10+1,1))</f>
        <v>235.92135862353973</v>
      </c>
      <c r="AO110" s="62">
        <f t="shared" si="90"/>
        <v>270.64539221029258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0.16719909764603719</v>
      </c>
      <c r="AV110" s="23">
        <f>EXP(-LN(2)/25)*AV109+(1-EXP(-LN(2)/25))/(LN(2)/25)*Calculateur!AQ110*Calculateur!AS110*VLOOKUP('Données projet'!$B$10,Paramètres!$A$1:$I$89,3,0)*0.475*44/12</f>
        <v>0.61438901845880611</v>
      </c>
      <c r="AW110" s="23">
        <f>EXP(-LN(2)/2)*AW109+(1-EXP(-LN(2)/2))/(LN(2)/2)*AQ110*AT110*VLOOKUP('Données projet'!$B$10,Paramètres!$A$1:$I$89,3,0)*0.475*44/12</f>
        <v>3.9972447076332294E-11</v>
      </c>
      <c r="AX110" s="23">
        <f t="shared" si="60"/>
        <v>0.78158811614481571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1.9895196601282805E-13</v>
      </c>
      <c r="O111" s="14">
        <f>N111*VLOOKUP('Données projet'!$B$9,Paramètres!$A$1:$I$89,3,0)*VLOOKUP('Données projet'!$B$9,Paramètres!$A$1:$I$89,5,0)</f>
        <v>1.8001173884840681E-13</v>
      </c>
      <c r="P111" s="14">
        <f t="shared" si="87"/>
        <v>2.5254331426407198E-12</v>
      </c>
      <c r="Q111" s="22">
        <f t="shared" si="107"/>
        <v>4.7119831685935622E-12</v>
      </c>
      <c r="R111" s="62">
        <f t="shared" si="55"/>
        <v>293.33333333333803</v>
      </c>
      <c r="S111" s="62">
        <f ca="1">AVERAGE(OFFSET($R$3,0,0,'Données projet'!$E$9+1,1))-AVERAGE(OFFSET($H$3,0,0,'Données projet'!$E$9+1,1))</f>
        <v>247.05981224668733</v>
      </c>
      <c r="T111" s="62">
        <f t="shared" si="88"/>
        <v>345.23839191022898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2.8811550019659415E-2</v>
      </c>
      <c r="AA111" s="23">
        <f>EXP(-LN(2)/25)*AA110+(1-EXP(-LN(2)/25))/(LN(2)/25)*Calculateur!V111*Calculateur!X111*VLOOKUP('Données projet'!$B$9,Paramètres!$A$1:$I$89,3,0)*0.475*44/12</f>
        <v>0.11580955346169426</v>
      </c>
      <c r="AB111" s="23">
        <f>EXP(-LN(2)/2)*AB110+(1-EXP(-LN(2)/2))/(LN(2)/2)*V111*Y111*VLOOKUP('Données projet'!$B$9,Paramètres!$A$1:$I$89,3,0)*0.475*44/12</f>
        <v>7.6186207089896217E-12</v>
      </c>
      <c r="AC111" s="24">
        <f t="shared" si="57"/>
        <v>0.14462110348897231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2.8421709430404007E-14</v>
      </c>
      <c r="AJ111" s="14">
        <f>AI111*VLOOKUP('Données projet'!$B$10,Paramètres!$A$1:$I$89,3,0)*VLOOKUP('Données projet'!$B$10,Paramètres!$A$1:$I$89,5,0)</f>
        <v>2.4829205358400945E-14</v>
      </c>
      <c r="AK111" s="14">
        <f t="shared" si="89"/>
        <v>4.3867331143352915E-13</v>
      </c>
      <c r="AL111" s="22">
        <f t="shared" si="58"/>
        <v>8.0726688341261168E-13</v>
      </c>
      <c r="AM111" s="62">
        <f t="shared" si="59"/>
        <v>293.33333333333411</v>
      </c>
      <c r="AN111" s="62">
        <f ca="1">AVERAGE(OFFSET($AM$3,0,0,'Données projet'!$E$10+1,1))-AVERAGE(OFFSET($H$3,0,0,'Données projet'!$E$10+1,1))</f>
        <v>235.92135862353973</v>
      </c>
      <c r="AO111" s="62">
        <f t="shared" si="90"/>
        <v>270.64539221029258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0.16392042532257814</v>
      </c>
      <c r="AV111" s="23">
        <f>EXP(-LN(2)/25)*AV110+(1-EXP(-LN(2)/25))/(LN(2)/25)*Calculateur!AQ111*Calculateur!AS111*VLOOKUP('Données projet'!$B$10,Paramètres!$A$1:$I$89,3,0)*0.475*44/12</f>
        <v>0.59758851843973582</v>
      </c>
      <c r="AW111" s="23">
        <f>EXP(-LN(2)/2)*AW110+(1-EXP(-LN(2)/2))/(LN(2)/2)*AQ111*AT111*VLOOKUP('Données projet'!$B$10,Paramètres!$A$1:$I$89,3,0)*0.475*44/12</f>
        <v>2.8264788388294951E-11</v>
      </c>
      <c r="AX111" s="23">
        <f t="shared" si="60"/>
        <v>0.76150894379057876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1.9895196601282805E-13</v>
      </c>
      <c r="O112" s="14">
        <f>N112*VLOOKUP('Données projet'!$B$9,Paramètres!$A$1:$I$89,3,0)*VLOOKUP('Données projet'!$B$9,Paramètres!$A$1:$I$89,5,0)</f>
        <v>1.8001173884840681E-13</v>
      </c>
      <c r="P112" s="14">
        <f t="shared" si="87"/>
        <v>2.5254331426407198E-12</v>
      </c>
      <c r="Q112" s="22">
        <f t="shared" si="107"/>
        <v>4.7119831685935622E-12</v>
      </c>
      <c r="R112" s="62">
        <f t="shared" si="55"/>
        <v>293.33333333333803</v>
      </c>
      <c r="S112" s="62">
        <f ca="1">AVERAGE(OFFSET($R$3,0,0,'Données projet'!$E$9+1,1))-AVERAGE(OFFSET($H$3,0,0,'Données projet'!$E$9+1,1))</f>
        <v>247.05981224668733</v>
      </c>
      <c r="T112" s="62">
        <f t="shared" si="88"/>
        <v>345.23839191022898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2.8246573097084185E-2</v>
      </c>
      <c r="AA112" s="23">
        <f>EXP(-LN(2)/25)*AA111+(1-EXP(-LN(2)/25))/(LN(2)/25)*Calculateur!V112*Calculateur!X112*VLOOKUP('Données projet'!$B$9,Paramètres!$A$1:$I$89,3,0)*0.475*44/12</f>
        <v>0.1126427351321245</v>
      </c>
      <c r="AB112" s="23">
        <f>EXP(-LN(2)/2)*AB111+(1-EXP(-LN(2)/2))/(LN(2)/2)*V112*Y112*VLOOKUP('Données projet'!$B$9,Paramètres!$A$1:$I$89,3,0)*0.475*44/12</f>
        <v>5.387178366614824E-12</v>
      </c>
      <c r="AC112" s="24">
        <f t="shared" si="57"/>
        <v>0.14088930823459589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2.8421709430404007E-14</v>
      </c>
      <c r="AJ112" s="14">
        <f>AI112*VLOOKUP('Données projet'!$B$10,Paramètres!$A$1:$I$89,3,0)*VLOOKUP('Données projet'!$B$10,Paramètres!$A$1:$I$89,5,0)</f>
        <v>2.4829205358400945E-14</v>
      </c>
      <c r="AK112" s="14">
        <f t="shared" si="89"/>
        <v>4.3867331143352915E-13</v>
      </c>
      <c r="AL112" s="22">
        <f t="shared" si="58"/>
        <v>8.0726688341261168E-13</v>
      </c>
      <c r="AM112" s="62">
        <f t="shared" si="59"/>
        <v>293.33333333333411</v>
      </c>
      <c r="AN112" s="62">
        <f ca="1">AVERAGE(OFFSET($AM$3,0,0,'Données projet'!$E$10+1,1))-AVERAGE(OFFSET($H$3,0,0,'Données projet'!$E$10+1,1))</f>
        <v>235.92135862353973</v>
      </c>
      <c r="AO112" s="62">
        <f t="shared" si="90"/>
        <v>270.64539221029258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0.16070604576358946</v>
      </c>
      <c r="AV112" s="23">
        <f>EXP(-LN(2)/25)*AV111+(1-EXP(-LN(2)/25))/(LN(2)/25)*Calculateur!AQ112*Calculateur!AS112*VLOOKUP('Données projet'!$B$10,Paramètres!$A$1:$I$89,3,0)*0.475*44/12</f>
        <v>0.58124742897718684</v>
      </c>
      <c r="AW112" s="23">
        <f>EXP(-LN(2)/2)*AW111+(1-EXP(-LN(2)/2))/(LN(2)/2)*AQ112*AT112*VLOOKUP('Données projet'!$B$10,Paramètres!$A$1:$I$89,3,0)*0.475*44/12</f>
        <v>1.9986223538166147E-11</v>
      </c>
      <c r="AX112" s="23">
        <f t="shared" si="60"/>
        <v>0.74195347476076257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1.9895196601282805E-13</v>
      </c>
      <c r="O113" s="14">
        <f>N113*VLOOKUP('Données projet'!$B$9,Paramètres!$A$1:$I$89,3,0)*VLOOKUP('Données projet'!$B$9,Paramètres!$A$1:$I$89,5,0)</f>
        <v>1.8001173884840681E-13</v>
      </c>
      <c r="P113" s="14">
        <f t="shared" si="87"/>
        <v>2.5254331426407198E-12</v>
      </c>
      <c r="Q113" s="22">
        <f t="shared" si="107"/>
        <v>4.7119831685935622E-12</v>
      </c>
      <c r="R113" s="62">
        <f t="shared" si="55"/>
        <v>293.33333333333803</v>
      </c>
      <c r="S113" s="62">
        <f ca="1">AVERAGE(OFFSET($R$3,0,0,'Données projet'!$E$9+1,1))-AVERAGE(OFFSET($H$3,0,0,'Données projet'!$E$9+1,1))</f>
        <v>247.05981224668733</v>
      </c>
      <c r="T113" s="62">
        <f t="shared" si="88"/>
        <v>345.23839191022898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2.7692675027358761E-2</v>
      </c>
      <c r="AA113" s="23">
        <f>EXP(-LN(2)/25)*AA112+(1-EXP(-LN(2)/25))/(LN(2)/25)*Calculateur!V113*Calculateur!X113*VLOOKUP('Données projet'!$B$9,Paramètres!$A$1:$I$89,3,0)*0.475*44/12</f>
        <v>0.10956251361631256</v>
      </c>
      <c r="AB113" s="23">
        <f>EXP(-LN(2)/2)*AB112+(1-EXP(-LN(2)/2))/(LN(2)/2)*V113*Y113*VLOOKUP('Données projet'!$B$9,Paramètres!$A$1:$I$89,3,0)*0.475*44/12</f>
        <v>3.8093103544948108E-12</v>
      </c>
      <c r="AC113" s="24">
        <f t="shared" si="57"/>
        <v>0.13725518864748062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2.8421709430404007E-14</v>
      </c>
      <c r="AJ113" s="14">
        <f>AI113*VLOOKUP('Données projet'!$B$10,Paramètres!$A$1:$I$89,3,0)*VLOOKUP('Données projet'!$B$10,Paramètres!$A$1:$I$89,5,0)</f>
        <v>2.4829205358400945E-14</v>
      </c>
      <c r="AK113" s="14">
        <f t="shared" si="89"/>
        <v>4.3867331143352915E-13</v>
      </c>
      <c r="AL113" s="22">
        <f t="shared" si="58"/>
        <v>8.0726688341261168E-13</v>
      </c>
      <c r="AM113" s="62">
        <f t="shared" si="59"/>
        <v>293.33333333333411</v>
      </c>
      <c r="AN113" s="62">
        <f ca="1">AVERAGE(OFFSET($AM$3,0,0,'Données projet'!$E$10+1,1))-AVERAGE(OFFSET($H$3,0,0,'Données projet'!$E$10+1,1))</f>
        <v>235.92135862353973</v>
      </c>
      <c r="AO113" s="62">
        <f t="shared" si="90"/>
        <v>270.64539221029258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0.15755469822717461</v>
      </c>
      <c r="AV113" s="23">
        <f>EXP(-LN(2)/25)*AV112+(1-EXP(-LN(2)/25))/(LN(2)/25)*Calculateur!AQ113*Calculateur!AS113*VLOOKUP('Données projet'!$B$10,Paramètres!$A$1:$I$89,3,0)*0.475*44/12</f>
        <v>0.56535318746533181</v>
      </c>
      <c r="AW113" s="23">
        <f>EXP(-LN(2)/2)*AW112+(1-EXP(-LN(2)/2))/(LN(2)/2)*AQ113*AT113*VLOOKUP('Données projet'!$B$10,Paramètres!$A$1:$I$89,3,0)*0.475*44/12</f>
        <v>1.4132394194147476E-11</v>
      </c>
      <c r="AX113" s="23">
        <f t="shared" si="60"/>
        <v>0.72290788570663878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1.9895196601282805E-13</v>
      </c>
      <c r="O114" s="14">
        <f>N114*VLOOKUP('Données projet'!$B$9,Paramètres!$A$1:$I$89,3,0)*VLOOKUP('Données projet'!$B$9,Paramètres!$A$1:$I$89,5,0)</f>
        <v>1.8001173884840681E-13</v>
      </c>
      <c r="P114" s="14">
        <f t="shared" si="87"/>
        <v>2.5254331426407198E-12</v>
      </c>
      <c r="Q114" s="22">
        <f t="shared" si="107"/>
        <v>4.7119831685935622E-12</v>
      </c>
      <c r="R114" s="62">
        <f t="shared" si="55"/>
        <v>293.33333333333803</v>
      </c>
      <c r="S114" s="62">
        <f ca="1">AVERAGE(OFFSET($R$3,0,0,'Données projet'!$E$9+1,1))-AVERAGE(OFFSET($H$3,0,0,'Données projet'!$E$9+1,1))</f>
        <v>247.05981224668733</v>
      </c>
      <c r="T114" s="62">
        <f t="shared" si="88"/>
        <v>345.23839191022898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2.7149638560936187E-2</v>
      </c>
      <c r="AA114" s="23">
        <f>EXP(-LN(2)/25)*AA113+(1-EXP(-LN(2)/25))/(LN(2)/25)*Calculateur!V114*Calculateur!X114*VLOOKUP('Données projet'!$B$9,Paramètres!$A$1:$I$89,3,0)*0.475*44/12</f>
        <v>0.10656652091983231</v>
      </c>
      <c r="AB114" s="23">
        <f>EXP(-LN(2)/2)*AB113+(1-EXP(-LN(2)/2))/(LN(2)/2)*V114*Y114*VLOOKUP('Données projet'!$B$9,Paramètres!$A$1:$I$89,3,0)*0.475*44/12</f>
        <v>2.693589183307412E-12</v>
      </c>
      <c r="AC114" s="24">
        <f t="shared" si="57"/>
        <v>0.13371615948346208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2.8421709430404007E-14</v>
      </c>
      <c r="AJ114" s="14">
        <f>AI114*VLOOKUP('Données projet'!$B$10,Paramètres!$A$1:$I$89,3,0)*VLOOKUP('Données projet'!$B$10,Paramètres!$A$1:$I$89,5,0)</f>
        <v>2.4829205358400945E-14</v>
      </c>
      <c r="AK114" s="14">
        <f t="shared" si="89"/>
        <v>4.3867331143352915E-13</v>
      </c>
      <c r="AL114" s="22">
        <f t="shared" si="58"/>
        <v>8.0726688341261168E-13</v>
      </c>
      <c r="AM114" s="62">
        <f t="shared" si="59"/>
        <v>293.33333333333411</v>
      </c>
      <c r="AN114" s="62">
        <f ca="1">AVERAGE(OFFSET($AM$3,0,0,'Données projet'!$E$10+1,1))-AVERAGE(OFFSET($H$3,0,0,'Données projet'!$E$10+1,1))</f>
        <v>235.92135862353973</v>
      </c>
      <c r="AO114" s="62">
        <f t="shared" si="90"/>
        <v>270.64539221029258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0.15446514669381664</v>
      </c>
      <c r="AV114" s="23">
        <f>EXP(-LN(2)/25)*AV113+(1-EXP(-LN(2)/25))/(LN(2)/25)*Calculateur!AQ114*Calculateur!AS114*VLOOKUP('Données projet'!$B$10,Paramètres!$A$1:$I$89,3,0)*0.475*44/12</f>
        <v>0.54989357482346035</v>
      </c>
      <c r="AW114" s="23">
        <f>EXP(-LN(2)/2)*AW113+(1-EXP(-LN(2)/2))/(LN(2)/2)*AQ114*AT114*VLOOKUP('Données projet'!$B$10,Paramètres!$A$1:$I$89,3,0)*0.475*44/12</f>
        <v>9.9931117690830735E-12</v>
      </c>
      <c r="AX114" s="23">
        <f t="shared" si="60"/>
        <v>0.70435872152727008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1.9895196601282805E-13</v>
      </c>
      <c r="O115" s="14">
        <f>N115*VLOOKUP('Données projet'!$B$9,Paramètres!$A$1:$I$89,3,0)*VLOOKUP('Données projet'!$B$9,Paramètres!$A$1:$I$89,5,0)</f>
        <v>1.8001173884840681E-13</v>
      </c>
      <c r="P115" s="14">
        <f t="shared" si="87"/>
        <v>2.5254331426407198E-12</v>
      </c>
      <c r="Q115" s="22">
        <f t="shared" si="107"/>
        <v>4.7119831685935622E-12</v>
      </c>
      <c r="R115" s="62">
        <f t="shared" si="55"/>
        <v>293.33333333333803</v>
      </c>
      <c r="S115" s="62">
        <f ca="1">AVERAGE(OFFSET($R$3,0,0,'Données projet'!$E$9+1,1))-AVERAGE(OFFSET($H$3,0,0,'Données projet'!$E$9+1,1))</f>
        <v>247.05981224668733</v>
      </c>
      <c r="T115" s="62">
        <f t="shared" si="88"/>
        <v>345.23839191022898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2.6617250708400621E-2</v>
      </c>
      <c r="AA115" s="23">
        <f>EXP(-LN(2)/25)*AA114+(1-EXP(-LN(2)/25))/(LN(2)/25)*Calculateur!V115*Calculateur!X115*VLOOKUP('Données projet'!$B$9,Paramètres!$A$1:$I$89,3,0)*0.475*44/12</f>
        <v>0.10365245380118972</v>
      </c>
      <c r="AB115" s="23">
        <f>EXP(-LN(2)/2)*AB114+(1-EXP(-LN(2)/2))/(LN(2)/2)*V115*Y115*VLOOKUP('Données projet'!$B$9,Paramètres!$A$1:$I$89,3,0)*0.475*44/12</f>
        <v>1.9046551772474054E-12</v>
      </c>
      <c r="AC115" s="24">
        <f t="shared" si="57"/>
        <v>0.13026970451149497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2.8421709430404007E-14</v>
      </c>
      <c r="AJ115" s="14">
        <f>AI115*VLOOKUP('Données projet'!$B$10,Paramètres!$A$1:$I$89,3,0)*VLOOKUP('Données projet'!$B$10,Paramètres!$A$1:$I$89,5,0)</f>
        <v>2.4829205358400945E-14</v>
      </c>
      <c r="AK115" s="14">
        <f t="shared" si="89"/>
        <v>4.3867331143352915E-13</v>
      </c>
      <c r="AL115" s="22">
        <f t="shared" si="58"/>
        <v>8.0726688341261168E-13</v>
      </c>
      <c r="AM115" s="62">
        <f t="shared" si="59"/>
        <v>293.33333333333411</v>
      </c>
      <c r="AN115" s="62">
        <f ca="1">AVERAGE(OFFSET($AM$3,0,0,'Données projet'!$E$10+1,1))-AVERAGE(OFFSET($H$3,0,0,'Données projet'!$E$10+1,1))</f>
        <v>235.92135862353973</v>
      </c>
      <c r="AO115" s="62">
        <f t="shared" si="90"/>
        <v>270.64539221029258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0.15143617938158749</v>
      </c>
      <c r="AV115" s="23">
        <f>EXP(-LN(2)/25)*AV114+(1-EXP(-LN(2)/25))/(LN(2)/25)*Calculateur!AQ115*Calculateur!AS115*VLOOKUP('Données projet'!$B$10,Paramètres!$A$1:$I$89,3,0)*0.475*44/12</f>
        <v>0.53485670610226654</v>
      </c>
      <c r="AW115" s="23">
        <f>EXP(-LN(2)/2)*AW114+(1-EXP(-LN(2)/2))/(LN(2)/2)*AQ115*AT115*VLOOKUP('Données projet'!$B$10,Paramètres!$A$1:$I$89,3,0)*0.475*44/12</f>
        <v>7.0661970970737378E-12</v>
      </c>
      <c r="AX115" s="23">
        <f t="shared" si="60"/>
        <v>0.68629288549092027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1.9895196601282805E-13</v>
      </c>
      <c r="O116" s="14">
        <f>N116*VLOOKUP('Données projet'!$B$9,Paramètres!$A$1:$I$89,3,0)*VLOOKUP('Données projet'!$B$9,Paramètres!$A$1:$I$89,5,0)</f>
        <v>1.8001173884840681E-13</v>
      </c>
      <c r="P116" s="14">
        <f t="shared" si="87"/>
        <v>2.5254331426407198E-12</v>
      </c>
      <c r="Q116" s="22">
        <f t="shared" si="107"/>
        <v>4.7119831685935622E-12</v>
      </c>
      <c r="R116" s="62">
        <f t="shared" si="55"/>
        <v>293.33333333333803</v>
      </c>
      <c r="S116" s="62">
        <f ca="1">AVERAGE(OFFSET($R$3,0,0,'Données projet'!$E$9+1,1))-AVERAGE(OFFSET($H$3,0,0,'Données projet'!$E$9+1,1))</f>
        <v>247.05981224668733</v>
      </c>
      <c r="T116" s="62">
        <f t="shared" si="88"/>
        <v>345.23839191022898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2.6095302656928752E-2</v>
      </c>
      <c r="AA116" s="23">
        <f>EXP(-LN(2)/25)*AA115+(1-EXP(-LN(2)/25))/(LN(2)/25)*Calculateur!V116*Calculateur!X116*VLOOKUP('Données projet'!$B$9,Paramètres!$A$1:$I$89,3,0)*0.475*44/12</f>
        <v>0.10081807200115055</v>
      </c>
      <c r="AB116" s="23">
        <f>EXP(-LN(2)/2)*AB115+(1-EXP(-LN(2)/2))/(LN(2)/2)*V116*Y116*VLOOKUP('Données projet'!$B$9,Paramètres!$A$1:$I$89,3,0)*0.475*44/12</f>
        <v>1.346794591653706E-12</v>
      </c>
      <c r="AC116" s="24">
        <f t="shared" si="57"/>
        <v>0.12691337465942609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2.8421709430404007E-14</v>
      </c>
      <c r="AJ116" s="14">
        <f>AI116*VLOOKUP('Données projet'!$B$10,Paramètres!$A$1:$I$89,3,0)*VLOOKUP('Données projet'!$B$10,Paramètres!$A$1:$I$89,5,0)</f>
        <v>2.4829205358400945E-14</v>
      </c>
      <c r="AK116" s="14">
        <f t="shared" si="89"/>
        <v>4.3867331143352915E-13</v>
      </c>
      <c r="AL116" s="22">
        <f t="shared" si="58"/>
        <v>8.0726688341261168E-13</v>
      </c>
      <c r="AM116" s="62">
        <f t="shared" si="59"/>
        <v>293.33333333333411</v>
      </c>
      <c r="AN116" s="62">
        <f ca="1">AVERAGE(OFFSET($AM$3,0,0,'Données projet'!$E$10+1,1))-AVERAGE(OFFSET($H$3,0,0,'Données projet'!$E$10+1,1))</f>
        <v>235.92135862353973</v>
      </c>
      <c r="AO116" s="62">
        <f t="shared" si="90"/>
        <v>270.64539221029258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0.1484666082708635</v>
      </c>
      <c r="AV116" s="23">
        <f>EXP(-LN(2)/25)*AV115+(1-EXP(-LN(2)/25))/(LN(2)/25)*Calculateur!AQ116*Calculateur!AS116*VLOOKUP('Données projet'!$B$10,Paramètres!$A$1:$I$89,3,0)*0.475*44/12</f>
        <v>0.52023102134700827</v>
      </c>
      <c r="AW116" s="23">
        <f>EXP(-LN(2)/2)*AW115+(1-EXP(-LN(2)/2))/(LN(2)/2)*AQ116*AT116*VLOOKUP('Données projet'!$B$10,Paramètres!$A$1:$I$89,3,0)*0.475*44/12</f>
        <v>4.9965558845415368E-12</v>
      </c>
      <c r="AX116" s="23">
        <f t="shared" si="60"/>
        <v>0.66869762962286827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1.9895196601282805E-13</v>
      </c>
      <c r="O117" s="14">
        <f>N117*VLOOKUP('Données projet'!$B$9,Paramètres!$A$1:$I$89,3,0)*VLOOKUP('Données projet'!$B$9,Paramètres!$A$1:$I$89,5,0)</f>
        <v>1.8001173884840681E-13</v>
      </c>
      <c r="P117" s="14">
        <f t="shared" si="87"/>
        <v>2.5254331426407198E-12</v>
      </c>
      <c r="Q117" s="22">
        <f t="shared" si="107"/>
        <v>4.7119831685935622E-12</v>
      </c>
      <c r="R117" s="62">
        <f t="shared" si="55"/>
        <v>293.33333333333803</v>
      </c>
      <c r="S117" s="62">
        <f ca="1">AVERAGE(OFFSET($R$3,0,0,'Données projet'!$E$9+1,1))-AVERAGE(OFFSET($H$3,0,0,'Données projet'!$E$9+1,1))</f>
        <v>247.05981224668733</v>
      </c>
      <c r="T117" s="62">
        <f t="shared" si="88"/>
        <v>345.23839191022898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2.558358968838937E-2</v>
      </c>
      <c r="AA117" s="23">
        <f>EXP(-LN(2)/25)*AA116+(1-EXP(-LN(2)/25))/(LN(2)/25)*Calculateur!V117*Calculateur!X117*VLOOKUP('Données projet'!$B$9,Paramètres!$A$1:$I$89,3,0)*0.475*44/12</f>
        <v>9.8061196520487101E-2</v>
      </c>
      <c r="AB117" s="23">
        <f>EXP(-LN(2)/2)*AB116+(1-EXP(-LN(2)/2))/(LN(2)/2)*V117*Y117*VLOOKUP('Données projet'!$B$9,Paramètres!$A$1:$I$89,3,0)*0.475*44/12</f>
        <v>9.5232758862370271E-13</v>
      </c>
      <c r="AC117" s="24">
        <f t="shared" si="57"/>
        <v>0.1236447862098288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2.8421709430404007E-14</v>
      </c>
      <c r="AJ117" s="14">
        <f>AI117*VLOOKUP('Données projet'!$B$10,Paramètres!$A$1:$I$89,3,0)*VLOOKUP('Données projet'!$B$10,Paramètres!$A$1:$I$89,5,0)</f>
        <v>2.4829205358400945E-14</v>
      </c>
      <c r="AK117" s="14">
        <f t="shared" si="89"/>
        <v>4.3867331143352915E-13</v>
      </c>
      <c r="AL117" s="22">
        <f t="shared" si="58"/>
        <v>8.0726688341261168E-13</v>
      </c>
      <c r="AM117" s="62">
        <f t="shared" si="59"/>
        <v>293.33333333333411</v>
      </c>
      <c r="AN117" s="62">
        <f ca="1">AVERAGE(OFFSET($AM$3,0,0,'Données projet'!$E$10+1,1))-AVERAGE(OFFSET($H$3,0,0,'Données projet'!$E$10+1,1))</f>
        <v>235.92135862353973</v>
      </c>
      <c r="AO117" s="62">
        <f t="shared" si="90"/>
        <v>270.64539221029258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0.14555526863836127</v>
      </c>
      <c r="AV117" s="23">
        <f>EXP(-LN(2)/25)*AV116+(1-EXP(-LN(2)/25))/(LN(2)/25)*Calculateur!AQ117*Calculateur!AS117*VLOOKUP('Données projet'!$B$10,Paramètres!$A$1:$I$89,3,0)*0.475*44/12</f>
        <v>0.50600527671051387</v>
      </c>
      <c r="AW117" s="23">
        <f>EXP(-LN(2)/2)*AW116+(1-EXP(-LN(2)/2))/(LN(2)/2)*AQ117*AT117*VLOOKUP('Données projet'!$B$10,Paramètres!$A$1:$I$89,3,0)*0.475*44/12</f>
        <v>3.5330985485368689E-12</v>
      </c>
      <c r="AX117" s="23">
        <f t="shared" si="60"/>
        <v>0.65156054535240815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1.9895196601282805E-13</v>
      </c>
      <c r="O118" s="14">
        <f>N118*VLOOKUP('Données projet'!$B$9,Paramètres!$A$1:$I$89,3,0)*VLOOKUP('Données projet'!$B$9,Paramètres!$A$1:$I$89,5,0)</f>
        <v>1.8001173884840681E-13</v>
      </c>
      <c r="P118" s="14">
        <f t="shared" si="87"/>
        <v>2.5254331426407198E-12</v>
      </c>
      <c r="Q118" s="22">
        <f t="shared" si="107"/>
        <v>4.7119831685935622E-12</v>
      </c>
      <c r="R118" s="62">
        <f t="shared" si="55"/>
        <v>293.33333333333803</v>
      </c>
      <c r="S118" s="62">
        <f ca="1">AVERAGE(OFFSET($R$3,0,0,'Données projet'!$E$9+1,1))-AVERAGE(OFFSET($H$3,0,0,'Données projet'!$E$9+1,1))</f>
        <v>247.05981224668733</v>
      </c>
      <c r="T118" s="62">
        <f t="shared" si="88"/>
        <v>345.23839191022898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2.5081911099048951E-2</v>
      </c>
      <c r="AA118" s="23">
        <f>EXP(-LN(2)/25)*AA117+(1-EXP(-LN(2)/25))/(LN(2)/25)*Calculateur!V118*Calculateur!X118*VLOOKUP('Données projet'!$B$9,Paramètres!$A$1:$I$89,3,0)*0.475*44/12</f>
        <v>9.5379707944820175E-2</v>
      </c>
      <c r="AB118" s="23">
        <f>EXP(-LN(2)/2)*AB117+(1-EXP(-LN(2)/2))/(LN(2)/2)*V118*Y118*VLOOKUP('Données projet'!$B$9,Paramètres!$A$1:$I$89,3,0)*0.475*44/12</f>
        <v>6.73397295826853E-13</v>
      </c>
      <c r="AC118" s="24">
        <f t="shared" si="57"/>
        <v>0.12046161904454251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2.8421709430404007E-14</v>
      </c>
      <c r="AJ118" s="14">
        <f>AI118*VLOOKUP('Données projet'!$B$10,Paramètres!$A$1:$I$89,3,0)*VLOOKUP('Données projet'!$B$10,Paramètres!$A$1:$I$89,5,0)</f>
        <v>2.4829205358400945E-14</v>
      </c>
      <c r="AK118" s="14">
        <f t="shared" si="89"/>
        <v>4.3867331143352915E-13</v>
      </c>
      <c r="AL118" s="22">
        <f t="shared" si="58"/>
        <v>8.0726688341261168E-13</v>
      </c>
      <c r="AM118" s="62">
        <f t="shared" si="59"/>
        <v>293.33333333333411</v>
      </c>
      <c r="AN118" s="62">
        <f ca="1">AVERAGE(OFFSET($AM$3,0,0,'Données projet'!$E$10+1,1))-AVERAGE(OFFSET($H$3,0,0,'Données projet'!$E$10+1,1))</f>
        <v>235.92135862353973</v>
      </c>
      <c r="AO118" s="62">
        <f t="shared" si="90"/>
        <v>270.64539221029258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0.14270101860031059</v>
      </c>
      <c r="AV118" s="23">
        <f>EXP(-LN(2)/25)*AV117+(1-EXP(-LN(2)/25))/(LN(2)/25)*Calculateur!AQ118*Calculateur!AS118*VLOOKUP('Données projet'!$B$10,Paramètres!$A$1:$I$89,3,0)*0.475*44/12</f>
        <v>0.49216853580920383</v>
      </c>
      <c r="AW118" s="23">
        <f>EXP(-LN(2)/2)*AW117+(1-EXP(-LN(2)/2))/(LN(2)/2)*AQ118*AT118*VLOOKUP('Données projet'!$B$10,Paramètres!$A$1:$I$89,3,0)*0.475*44/12</f>
        <v>2.4982779422707684E-12</v>
      </c>
      <c r="AX118" s="23">
        <f t="shared" si="60"/>
        <v>0.63486955441201265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1.9895196601282805E-13</v>
      </c>
      <c r="O119" s="14">
        <f>N119*VLOOKUP('Données projet'!$B$9,Paramètres!$A$1:$I$89,3,0)*VLOOKUP('Données projet'!$B$9,Paramètres!$A$1:$I$89,5,0)</f>
        <v>1.8001173884840681E-13</v>
      </c>
      <c r="P119" s="14">
        <f t="shared" si="87"/>
        <v>2.5254331426407198E-12</v>
      </c>
      <c r="Q119" s="22">
        <f t="shared" si="107"/>
        <v>4.7119831685935622E-12</v>
      </c>
      <c r="R119" s="62">
        <f t="shared" si="55"/>
        <v>293.33333333333803</v>
      </c>
      <c r="S119" s="62">
        <f ca="1">AVERAGE(OFFSET($R$3,0,0,'Données projet'!$E$9+1,1))-AVERAGE(OFFSET($H$3,0,0,'Données projet'!$E$9+1,1))</f>
        <v>247.05981224668733</v>
      </c>
      <c r="T119" s="62">
        <f t="shared" si="88"/>
        <v>345.23839191022898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2.4590070120851775E-2</v>
      </c>
      <c r="AA119" s="23">
        <f>EXP(-LN(2)/25)*AA118+(1-EXP(-LN(2)/25))/(LN(2)/25)*Calculateur!V119*Calculateur!X119*VLOOKUP('Données projet'!$B$9,Paramètres!$A$1:$I$89,3,0)*0.475*44/12</f>
        <v>9.2771544815268225E-2</v>
      </c>
      <c r="AB119" s="23">
        <f>EXP(-LN(2)/2)*AB118+(1-EXP(-LN(2)/2))/(LN(2)/2)*V119*Y119*VLOOKUP('Données projet'!$B$9,Paramètres!$A$1:$I$89,3,0)*0.475*44/12</f>
        <v>4.7616379431185136E-13</v>
      </c>
      <c r="AC119" s="24">
        <f t="shared" si="57"/>
        <v>0.11736161493659616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2.8421709430404007E-14</v>
      </c>
      <c r="AJ119" s="14">
        <f>AI119*VLOOKUP('Données projet'!$B$10,Paramètres!$A$1:$I$89,3,0)*VLOOKUP('Données projet'!$B$10,Paramètres!$A$1:$I$89,5,0)</f>
        <v>2.4829205358400945E-14</v>
      </c>
      <c r="AK119" s="14">
        <f t="shared" si="89"/>
        <v>4.3867331143352915E-13</v>
      </c>
      <c r="AL119" s="22">
        <f t="shared" si="58"/>
        <v>8.0726688341261168E-13</v>
      </c>
      <c r="AM119" s="62">
        <f t="shared" si="59"/>
        <v>293.33333333333411</v>
      </c>
      <c r="AN119" s="62">
        <f ca="1">AVERAGE(OFFSET($AM$3,0,0,'Données projet'!$E$10+1,1))-AVERAGE(OFFSET($H$3,0,0,'Données projet'!$E$10+1,1))</f>
        <v>235.92135862353973</v>
      </c>
      <c r="AO119" s="62">
        <f t="shared" si="90"/>
        <v>270.64539221029258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0.13990273866458547</v>
      </c>
      <c r="AV119" s="23">
        <f>EXP(-LN(2)/25)*AV118+(1-EXP(-LN(2)/25))/(LN(2)/25)*Calculateur!AQ119*Calculateur!AS119*VLOOKUP('Données projet'!$B$10,Paramètres!$A$1:$I$89,3,0)*0.475*44/12</f>
        <v>0.47871016131548272</v>
      </c>
      <c r="AW119" s="23">
        <f>EXP(-LN(2)/2)*AW118+(1-EXP(-LN(2)/2))/(LN(2)/2)*AQ119*AT119*VLOOKUP('Données projet'!$B$10,Paramètres!$A$1:$I$89,3,0)*0.475*44/12</f>
        <v>1.7665492742684344E-12</v>
      </c>
      <c r="AX119" s="23">
        <f t="shared" si="60"/>
        <v>0.61861289998183477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1.9895196601282805E-13</v>
      </c>
      <c r="O120" s="14">
        <f>N120*VLOOKUP('Données projet'!$B$9,Paramètres!$A$1:$I$89,3,0)*VLOOKUP('Données projet'!$B$9,Paramètres!$A$1:$I$89,5,0)</f>
        <v>1.8001173884840681E-13</v>
      </c>
      <c r="P120" s="14">
        <f t="shared" si="87"/>
        <v>2.5254331426407198E-12</v>
      </c>
      <c r="Q120" s="22">
        <f t="shared" si="107"/>
        <v>4.7119831685935622E-12</v>
      </c>
      <c r="R120" s="62">
        <f t="shared" si="55"/>
        <v>293.33333333333803</v>
      </c>
      <c r="S120" s="62">
        <f ca="1">AVERAGE(OFFSET($R$3,0,0,'Données projet'!$E$9+1,1))-AVERAGE(OFFSET($H$3,0,0,'Données projet'!$E$9+1,1))</f>
        <v>247.05981224668733</v>
      </c>
      <c r="T120" s="62">
        <f t="shared" si="88"/>
        <v>345.23839191022898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2.410787384424367E-2</v>
      </c>
      <c r="AA120" s="23">
        <f>EXP(-LN(2)/25)*AA119+(1-EXP(-LN(2)/25))/(LN(2)/25)*Calculateur!V120*Calculateur!X120*VLOOKUP('Données projet'!$B$9,Paramètres!$A$1:$I$89,3,0)*0.475*44/12</f>
        <v>9.0234702043651208E-2</v>
      </c>
      <c r="AB120" s="23">
        <f>EXP(-LN(2)/2)*AB119+(1-EXP(-LN(2)/2))/(LN(2)/2)*V120*Y120*VLOOKUP('Données projet'!$B$9,Paramètres!$A$1:$I$89,3,0)*0.475*44/12</f>
        <v>3.366986479134265E-13</v>
      </c>
      <c r="AC120" s="24">
        <f t="shared" si="57"/>
        <v>0.11434257588823157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2.8421709430404007E-14</v>
      </c>
      <c r="AJ120" s="14">
        <f>AI120*VLOOKUP('Données projet'!$B$10,Paramètres!$A$1:$I$89,3,0)*VLOOKUP('Données projet'!$B$10,Paramètres!$A$1:$I$89,5,0)</f>
        <v>2.4829205358400945E-14</v>
      </c>
      <c r="AK120" s="14">
        <f t="shared" si="89"/>
        <v>4.3867331143352915E-13</v>
      </c>
      <c r="AL120" s="22">
        <f t="shared" si="58"/>
        <v>8.0726688341261168E-13</v>
      </c>
      <c r="AM120" s="62">
        <f t="shared" si="59"/>
        <v>293.33333333333411</v>
      </c>
      <c r="AN120" s="62">
        <f ca="1">AVERAGE(OFFSET($AM$3,0,0,'Données projet'!$E$10+1,1))-AVERAGE(OFFSET($H$3,0,0,'Données projet'!$E$10+1,1))</f>
        <v>235.92135862353973</v>
      </c>
      <c r="AO120" s="62">
        <f t="shared" si="90"/>
        <v>270.64539221029258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0.13715933129161767</v>
      </c>
      <c r="AV120" s="23">
        <f>EXP(-LN(2)/25)*AV119+(1-EXP(-LN(2)/25))/(LN(2)/25)*Calculateur!AQ120*Calculateur!AS120*VLOOKUP('Données projet'!$B$10,Paramètres!$A$1:$I$89,3,0)*0.475*44/12</f>
        <v>0.46561980678003756</v>
      </c>
      <c r="AW120" s="23">
        <f>EXP(-LN(2)/2)*AW119+(1-EXP(-LN(2)/2))/(LN(2)/2)*AQ120*AT120*VLOOKUP('Données projet'!$B$10,Paramètres!$A$1:$I$89,3,0)*0.475*44/12</f>
        <v>1.2491389711353842E-12</v>
      </c>
      <c r="AX120" s="23">
        <f t="shared" si="60"/>
        <v>0.60277913807290429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1.9895196601282805E-13</v>
      </c>
      <c r="O121" s="14">
        <f>N121*VLOOKUP('Données projet'!$B$9,Paramètres!$A$1:$I$89,3,0)*VLOOKUP('Données projet'!$B$9,Paramètres!$A$1:$I$89,5,0)</f>
        <v>1.8001173884840681E-13</v>
      </c>
      <c r="P121" s="14">
        <f t="shared" si="87"/>
        <v>2.5254331426407198E-12</v>
      </c>
      <c r="Q121" s="22">
        <f t="shared" si="107"/>
        <v>4.7119831685935622E-12</v>
      </c>
      <c r="R121" s="62">
        <f t="shared" si="55"/>
        <v>293.33333333333803</v>
      </c>
      <c r="S121" s="62">
        <f ca="1">AVERAGE(OFFSET($R$3,0,0,'Données projet'!$E$9+1,1))-AVERAGE(OFFSET($H$3,0,0,'Données projet'!$E$9+1,1))</f>
        <v>247.05981224668733</v>
      </c>
      <c r="T121" s="62">
        <f t="shared" si="88"/>
        <v>345.23839191022898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2.3635133142509163E-2</v>
      </c>
      <c r="AA121" s="23">
        <f>EXP(-LN(2)/25)*AA120+(1-EXP(-LN(2)/25))/(LN(2)/25)*Calculateur!V121*Calculateur!X121*VLOOKUP('Données projet'!$B$9,Paramètres!$A$1:$I$89,3,0)*0.475*44/12</f>
        <v>8.7767229371030819E-2</v>
      </c>
      <c r="AB121" s="23">
        <f>EXP(-LN(2)/2)*AB120+(1-EXP(-LN(2)/2))/(LN(2)/2)*V121*Y121*VLOOKUP('Données projet'!$B$9,Paramètres!$A$1:$I$89,3,0)*0.475*44/12</f>
        <v>2.3808189715592568E-13</v>
      </c>
      <c r="AC121" s="24">
        <f t="shared" si="57"/>
        <v>0.11140236251377807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2.8421709430404007E-14</v>
      </c>
      <c r="AJ121" s="14">
        <f>AI121*VLOOKUP('Données projet'!$B$10,Paramètres!$A$1:$I$89,3,0)*VLOOKUP('Données projet'!$B$10,Paramètres!$A$1:$I$89,5,0)</f>
        <v>2.4829205358400945E-14</v>
      </c>
      <c r="AK121" s="14">
        <f t="shared" si="89"/>
        <v>4.3867331143352915E-13</v>
      </c>
      <c r="AL121" s="22">
        <f t="shared" si="58"/>
        <v>8.0726688341261168E-13</v>
      </c>
      <c r="AM121" s="62">
        <f t="shared" si="59"/>
        <v>293.33333333333411</v>
      </c>
      <c r="AN121" s="62">
        <f ca="1">AVERAGE(OFFSET($AM$3,0,0,'Données projet'!$E$10+1,1))-AVERAGE(OFFSET($H$3,0,0,'Données projet'!$E$10+1,1))</f>
        <v>235.92135862353973</v>
      </c>
      <c r="AO121" s="62">
        <f t="shared" si="90"/>
        <v>270.64539221029258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0.1344697204639205</v>
      </c>
      <c r="AV121" s="23">
        <f>EXP(-LN(2)/25)*AV120+(1-EXP(-LN(2)/25))/(LN(2)/25)*Calculateur!AQ121*Calculateur!AS121*VLOOKUP('Données projet'!$B$10,Paramètres!$A$1:$I$89,3,0)*0.475*44/12</f>
        <v>0.45288740867775601</v>
      </c>
      <c r="AW121" s="23">
        <f>EXP(-LN(2)/2)*AW120+(1-EXP(-LN(2)/2))/(LN(2)/2)*AQ121*AT121*VLOOKUP('Données projet'!$B$10,Paramètres!$A$1:$I$89,3,0)*0.475*44/12</f>
        <v>8.8327463713421722E-13</v>
      </c>
      <c r="AX121" s="23">
        <f t="shared" si="60"/>
        <v>0.58735712914255978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1.9895196601282805E-13</v>
      </c>
      <c r="O122" s="14">
        <f>N122*VLOOKUP('Données projet'!$B$9,Paramètres!$A$1:$I$89,3,0)*VLOOKUP('Données projet'!$B$9,Paramètres!$A$1:$I$89,5,0)</f>
        <v>1.8001173884840681E-13</v>
      </c>
      <c r="P122" s="14">
        <f t="shared" si="87"/>
        <v>2.5254331426407198E-12</v>
      </c>
      <c r="Q122" s="22">
        <f t="shared" si="107"/>
        <v>4.7119831685935622E-12</v>
      </c>
      <c r="R122" s="62">
        <f t="shared" si="55"/>
        <v>293.33333333333803</v>
      </c>
      <c r="S122" s="62">
        <f ca="1">AVERAGE(OFFSET($R$3,0,0,'Données projet'!$E$9+1,1))-AVERAGE(OFFSET($H$3,0,0,'Données projet'!$E$9+1,1))</f>
        <v>247.05981224668733</v>
      </c>
      <c r="T122" s="62">
        <f t="shared" si="88"/>
        <v>345.23839191022898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2.3171662597592312E-2</v>
      </c>
      <c r="AA122" s="23">
        <f>EXP(-LN(2)/25)*AA121+(1-EXP(-LN(2)/25))/(LN(2)/25)*Calculateur!V122*Calculateur!X122*VLOOKUP('Données projet'!$B$9,Paramètres!$A$1:$I$89,3,0)*0.475*44/12</f>
        <v>8.5367229868401978E-2</v>
      </c>
      <c r="AB122" s="23">
        <f>EXP(-LN(2)/2)*AB121+(1-EXP(-LN(2)/2))/(LN(2)/2)*V122*Y122*VLOOKUP('Données projet'!$B$9,Paramètres!$A$1:$I$89,3,0)*0.475*44/12</f>
        <v>1.6834932395671325E-13</v>
      </c>
      <c r="AC122" s="24">
        <f t="shared" si="57"/>
        <v>0.10853889246616265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2.8421709430404007E-14</v>
      </c>
      <c r="AJ122" s="14">
        <f>AI122*VLOOKUP('Données projet'!$B$10,Paramètres!$A$1:$I$89,3,0)*VLOOKUP('Données projet'!$B$10,Paramètres!$A$1:$I$89,5,0)</f>
        <v>2.4829205358400945E-14</v>
      </c>
      <c r="AK122" s="14">
        <f t="shared" si="89"/>
        <v>4.3867331143352915E-13</v>
      </c>
      <c r="AL122" s="22">
        <f t="shared" si="58"/>
        <v>8.0726688341261168E-13</v>
      </c>
      <c r="AM122" s="62">
        <f t="shared" si="59"/>
        <v>293.33333333333411</v>
      </c>
      <c r="AN122" s="62">
        <f ca="1">AVERAGE(OFFSET($AM$3,0,0,'Données projet'!$E$10+1,1))-AVERAGE(OFFSET($H$3,0,0,'Données projet'!$E$10+1,1))</f>
        <v>235.92135862353973</v>
      </c>
      <c r="AO122" s="62">
        <f t="shared" si="90"/>
        <v>270.64539221029258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0.13183285126405386</v>
      </c>
      <c r="AV122" s="23">
        <f>EXP(-LN(2)/25)*AV121+(1-EXP(-LN(2)/25))/(LN(2)/25)*Calculateur!AQ122*Calculateur!AS122*VLOOKUP('Données projet'!$B$10,Paramètres!$A$1:$I$89,3,0)*0.475*44/12</f>
        <v>0.44050317867114902</v>
      </c>
      <c r="AW122" s="23">
        <f>EXP(-LN(2)/2)*AW121+(1-EXP(-LN(2)/2))/(LN(2)/2)*AQ122*AT122*VLOOKUP('Données projet'!$B$10,Paramètres!$A$1:$I$89,3,0)*0.475*44/12</f>
        <v>6.2456948556769209E-13</v>
      </c>
      <c r="AX122" s="23">
        <f t="shared" si="60"/>
        <v>0.57233602993582755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1.9895196601282805E-13</v>
      </c>
      <c r="O123" s="14">
        <f>N123*VLOOKUP('Données projet'!$B$9,Paramètres!$A$1:$I$89,3,0)*VLOOKUP('Données projet'!$B$9,Paramètres!$A$1:$I$89,5,0)</f>
        <v>1.8001173884840681E-13</v>
      </c>
      <c r="P123" s="14">
        <f t="shared" si="87"/>
        <v>2.5254331426407198E-12</v>
      </c>
      <c r="Q123" s="22">
        <f t="shared" si="107"/>
        <v>4.7119831685935622E-12</v>
      </c>
      <c r="R123" s="62">
        <f t="shared" si="55"/>
        <v>293.33333333333803</v>
      </c>
      <c r="S123" s="62">
        <f ca="1">AVERAGE(OFFSET($R$3,0,0,'Données projet'!$E$9+1,1))-AVERAGE(OFFSET($H$3,0,0,'Données projet'!$E$9+1,1))</f>
        <v>247.05981224668733</v>
      </c>
      <c r="T123" s="62">
        <f t="shared" si="88"/>
        <v>345.23839191022898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2.2717280427372161E-2</v>
      </c>
      <c r="AA123" s="23">
        <f>EXP(-LN(2)/25)*AA122+(1-EXP(-LN(2)/25))/(LN(2)/25)*Calculateur!V123*Calculateur!X123*VLOOKUP('Données projet'!$B$9,Paramètres!$A$1:$I$89,3,0)*0.475*44/12</f>
        <v>8.3032858478383015E-2</v>
      </c>
      <c r="AB123" s="23">
        <f>EXP(-LN(2)/2)*AB122+(1-EXP(-LN(2)/2))/(LN(2)/2)*V123*Y123*VLOOKUP('Données projet'!$B$9,Paramètres!$A$1:$I$89,3,0)*0.475*44/12</f>
        <v>1.1904094857796284E-13</v>
      </c>
      <c r="AC123" s="24">
        <f t="shared" si="57"/>
        <v>0.10575013890587422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2.8421709430404007E-14</v>
      </c>
      <c r="AJ123" s="14">
        <f>AI123*VLOOKUP('Données projet'!$B$10,Paramètres!$A$1:$I$89,3,0)*VLOOKUP('Données projet'!$B$10,Paramètres!$A$1:$I$89,5,0)</f>
        <v>2.4829205358400945E-14</v>
      </c>
      <c r="AK123" s="14">
        <f t="shared" si="89"/>
        <v>4.3867331143352915E-13</v>
      </c>
      <c r="AL123" s="22">
        <f t="shared" si="58"/>
        <v>8.0726688341261168E-13</v>
      </c>
      <c r="AM123" s="62">
        <f t="shared" si="59"/>
        <v>293.33333333333411</v>
      </c>
      <c r="AN123" s="62">
        <f ca="1">AVERAGE(OFFSET($AM$3,0,0,'Données projet'!$E$10+1,1))-AVERAGE(OFFSET($H$3,0,0,'Données projet'!$E$10+1,1))</f>
        <v>235.92135862353973</v>
      </c>
      <c r="AO123" s="62">
        <f t="shared" si="90"/>
        <v>270.64539221029258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0.12924768946086521</v>
      </c>
      <c r="AV123" s="23">
        <f>EXP(-LN(2)/25)*AV122+(1-EXP(-LN(2)/25))/(LN(2)/25)*Calculateur!AQ123*Calculateur!AS123*VLOOKUP('Données projet'!$B$10,Paramètres!$A$1:$I$89,3,0)*0.475*44/12</f>
        <v>0.42845759608533107</v>
      </c>
      <c r="AW123" s="23">
        <f>EXP(-LN(2)/2)*AW122+(1-EXP(-LN(2)/2))/(LN(2)/2)*AQ123*AT123*VLOOKUP('Données projet'!$B$10,Paramètres!$A$1:$I$89,3,0)*0.475*44/12</f>
        <v>4.4163731856710861E-13</v>
      </c>
      <c r="AX123" s="23">
        <f t="shared" si="60"/>
        <v>0.5577052855466379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1.9895196601282805E-13</v>
      </c>
      <c r="O124" s="14">
        <f>N124*VLOOKUP('Données projet'!$B$9,Paramètres!$A$1:$I$89,3,0)*VLOOKUP('Données projet'!$B$9,Paramètres!$A$1:$I$89,5,0)</f>
        <v>1.8001173884840681E-13</v>
      </c>
      <c r="P124" s="14">
        <f t="shared" si="87"/>
        <v>2.5254331426407198E-12</v>
      </c>
      <c r="Q124" s="22">
        <f t="shared" si="107"/>
        <v>4.7119831685935622E-12</v>
      </c>
      <c r="R124" s="62">
        <f t="shared" si="55"/>
        <v>293.33333333333803</v>
      </c>
      <c r="S124" s="62">
        <f ca="1">AVERAGE(OFFSET($R$3,0,0,'Données projet'!$E$9+1,1))-AVERAGE(OFFSET($H$3,0,0,'Données projet'!$E$9+1,1))</f>
        <v>247.05981224668733</v>
      </c>
      <c r="T124" s="62">
        <f t="shared" si="88"/>
        <v>345.23839191022898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2.2271808414364269E-2</v>
      </c>
      <c r="AA124" s="23">
        <f>EXP(-LN(2)/25)*AA123+(1-EXP(-LN(2)/25))/(LN(2)/25)*Calculateur!V124*Calculateur!X124*VLOOKUP('Données projet'!$B$9,Paramètres!$A$1:$I$89,3,0)*0.475*44/12</f>
        <v>8.0762320596783371E-2</v>
      </c>
      <c r="AB124" s="23">
        <f>EXP(-LN(2)/2)*AB123+(1-EXP(-LN(2)/2))/(LN(2)/2)*V124*Y124*VLOOKUP('Données projet'!$B$9,Paramètres!$A$1:$I$89,3,0)*0.475*44/12</f>
        <v>8.4174661978356625E-14</v>
      </c>
      <c r="AC124" s="24">
        <f t="shared" si="57"/>
        <v>0.10303412901123181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2.8421709430404007E-14</v>
      </c>
      <c r="AJ124" s="14">
        <f>AI124*VLOOKUP('Données projet'!$B$10,Paramètres!$A$1:$I$89,3,0)*VLOOKUP('Données projet'!$B$10,Paramètres!$A$1:$I$89,5,0)</f>
        <v>2.4829205358400945E-14</v>
      </c>
      <c r="AK124" s="14">
        <f t="shared" si="89"/>
        <v>4.3867331143352915E-13</v>
      </c>
      <c r="AL124" s="22">
        <f t="shared" si="58"/>
        <v>8.0726688341261168E-13</v>
      </c>
      <c r="AM124" s="62">
        <f t="shared" si="59"/>
        <v>293.33333333333411</v>
      </c>
      <c r="AN124" s="62">
        <f ca="1">AVERAGE(OFFSET($AM$3,0,0,'Données projet'!$E$10+1,1))-AVERAGE(OFFSET($H$3,0,0,'Données projet'!$E$10+1,1))</f>
        <v>235.92135862353973</v>
      </c>
      <c r="AO124" s="62">
        <f t="shared" si="90"/>
        <v>270.64539221029258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0.12671322110384406</v>
      </c>
      <c r="AV124" s="23">
        <f>EXP(-LN(2)/25)*AV123+(1-EXP(-LN(2)/25))/(LN(2)/25)*Calculateur!AQ124*Calculateur!AS124*VLOOKUP('Données projet'!$B$10,Paramètres!$A$1:$I$89,3,0)*0.475*44/12</f>
        <v>0.41674140058877196</v>
      </c>
      <c r="AW124" s="23">
        <f>EXP(-LN(2)/2)*AW123+(1-EXP(-LN(2)/2))/(LN(2)/2)*AQ124*AT124*VLOOKUP('Données projet'!$B$10,Paramètres!$A$1:$I$89,3,0)*0.475*44/12</f>
        <v>3.1228474278384605E-13</v>
      </c>
      <c r="AX124" s="23">
        <f t="shared" si="60"/>
        <v>0.54345462169292835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1.9895196601282805E-13</v>
      </c>
      <c r="O125" s="14">
        <f>N125*VLOOKUP('Données projet'!$B$9,Paramètres!$A$1:$I$89,3,0)*VLOOKUP('Données projet'!$B$9,Paramètres!$A$1:$I$89,5,0)</f>
        <v>1.8001173884840681E-13</v>
      </c>
      <c r="P125" s="14">
        <f t="shared" si="87"/>
        <v>2.5254331426407198E-12</v>
      </c>
      <c r="Q125" s="22">
        <f t="shared" si="107"/>
        <v>4.7119831685935622E-12</v>
      </c>
      <c r="R125" s="62">
        <f t="shared" si="55"/>
        <v>293.33333333333803</v>
      </c>
      <c r="S125" s="62">
        <f ca="1">AVERAGE(OFFSET($R$3,0,0,'Données projet'!$E$9+1,1))-AVERAGE(OFFSET($H$3,0,0,'Données projet'!$E$9+1,1))</f>
        <v>247.05981224668733</v>
      </c>
      <c r="T125" s="62">
        <f t="shared" si="88"/>
        <v>345.23839191022898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2.1835071835820365E-2</v>
      </c>
      <c r="AA125" s="23">
        <f>EXP(-LN(2)/25)*AA124+(1-EXP(-LN(2)/25))/(LN(2)/25)*Calculateur!V125*Calculateur!X125*VLOOKUP('Données projet'!$B$9,Paramètres!$A$1:$I$89,3,0)*0.475*44/12</f>
        <v>7.855387069295848E-2</v>
      </c>
      <c r="AB125" s="23">
        <f>EXP(-LN(2)/2)*AB124+(1-EXP(-LN(2)/2))/(LN(2)/2)*V125*Y125*VLOOKUP('Données projet'!$B$9,Paramètres!$A$1:$I$89,3,0)*0.475*44/12</f>
        <v>5.9520474288981419E-14</v>
      </c>
      <c r="AC125" s="24">
        <f t="shared" si="57"/>
        <v>0.10038894252883837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2.8421709430404007E-14</v>
      </c>
      <c r="AJ125" s="14">
        <f>AI125*VLOOKUP('Données projet'!$B$10,Paramètres!$A$1:$I$89,3,0)*VLOOKUP('Données projet'!$B$10,Paramètres!$A$1:$I$89,5,0)</f>
        <v>2.4829205358400945E-14</v>
      </c>
      <c r="AK125" s="14">
        <f t="shared" si="89"/>
        <v>4.3867331143352915E-13</v>
      </c>
      <c r="AL125" s="22">
        <f t="shared" si="58"/>
        <v>8.0726688341261168E-13</v>
      </c>
      <c r="AM125" s="62">
        <f t="shared" si="59"/>
        <v>293.33333333333411</v>
      </c>
      <c r="AN125" s="62">
        <f ca="1">AVERAGE(OFFSET($AM$3,0,0,'Données projet'!$E$10+1,1))-AVERAGE(OFFSET($H$3,0,0,'Données projet'!$E$10+1,1))</f>
        <v>235.92135862353973</v>
      </c>
      <c r="AO125" s="62">
        <f t="shared" si="90"/>
        <v>270.64539221029258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0.12422845212543104</v>
      </c>
      <c r="AV125" s="23">
        <f>EXP(-LN(2)/25)*AV124+(1-EXP(-LN(2)/25))/(LN(2)/25)*Calculateur!AQ125*Calculateur!AS125*VLOOKUP('Données projet'!$B$10,Paramètres!$A$1:$I$89,3,0)*0.475*44/12</f>
        <v>0.40534558507419421</v>
      </c>
      <c r="AW125" s="23">
        <f>EXP(-LN(2)/2)*AW124+(1-EXP(-LN(2)/2))/(LN(2)/2)*AQ125*AT125*VLOOKUP('Données projet'!$B$10,Paramètres!$A$1:$I$89,3,0)*0.475*44/12</f>
        <v>2.2081865928355431E-13</v>
      </c>
      <c r="AX125" s="23">
        <f t="shared" si="60"/>
        <v>0.52957403719984608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1.9895196601282805E-13</v>
      </c>
      <c r="O126" s="14">
        <f>N126*VLOOKUP('Données projet'!$B$9,Paramètres!$A$1:$I$89,3,0)*VLOOKUP('Données projet'!$B$9,Paramètres!$A$1:$I$89,5,0)</f>
        <v>1.8001173884840681E-13</v>
      </c>
      <c r="P126" s="14">
        <f t="shared" si="87"/>
        <v>2.5254331426407198E-12</v>
      </c>
      <c r="Q126" s="22">
        <f t="shared" si="107"/>
        <v>4.7119831685935622E-12</v>
      </c>
      <c r="R126" s="62">
        <f t="shared" si="55"/>
        <v>293.33333333333803</v>
      </c>
      <c r="S126" s="62">
        <f ca="1">AVERAGE(OFFSET($R$3,0,0,'Données projet'!$E$9+1,1))-AVERAGE(OFFSET($H$3,0,0,'Données projet'!$E$9+1,1))</f>
        <v>247.05981224668733</v>
      </c>
      <c r="T126" s="62">
        <f t="shared" si="88"/>
        <v>345.23839191022898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2.1406899395198697E-2</v>
      </c>
      <c r="AA126" s="23">
        <f>EXP(-LN(2)/25)*AA125+(1-EXP(-LN(2)/25))/(LN(2)/25)*Calculateur!V126*Calculateur!X126*VLOOKUP('Données projet'!$B$9,Paramètres!$A$1:$I$89,3,0)*0.475*44/12</f>
        <v>7.6405810967891008E-2</v>
      </c>
      <c r="AB126" s="23">
        <f>EXP(-LN(2)/2)*AB125+(1-EXP(-LN(2)/2))/(LN(2)/2)*V126*Y126*VLOOKUP('Données projet'!$B$9,Paramètres!$A$1:$I$89,3,0)*0.475*44/12</f>
        <v>4.2087330989178313E-14</v>
      </c>
      <c r="AC126" s="24">
        <f t="shared" si="57"/>
        <v>9.78127103631318E-2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2.8421709430404007E-14</v>
      </c>
      <c r="AJ126" s="14">
        <f>AI126*VLOOKUP('Données projet'!$B$10,Paramètres!$A$1:$I$89,3,0)*VLOOKUP('Données projet'!$B$10,Paramètres!$A$1:$I$89,5,0)</f>
        <v>2.4829205358400945E-14</v>
      </c>
      <c r="AK126" s="14">
        <f t="shared" si="89"/>
        <v>4.3867331143352915E-13</v>
      </c>
      <c r="AL126" s="22">
        <f t="shared" si="58"/>
        <v>8.0726688341261168E-13</v>
      </c>
      <c r="AM126" s="62">
        <f t="shared" si="59"/>
        <v>293.33333333333411</v>
      </c>
      <c r="AN126" s="62">
        <f ca="1">AVERAGE(OFFSET($AM$3,0,0,'Données projet'!$E$10+1,1))-AVERAGE(OFFSET($H$3,0,0,'Données projet'!$E$10+1,1))</f>
        <v>235.92135862353973</v>
      </c>
      <c r="AO126" s="62">
        <f t="shared" si="90"/>
        <v>270.64539221029258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0.12179240795112528</v>
      </c>
      <c r="AV126" s="23">
        <f>EXP(-LN(2)/25)*AV125+(1-EXP(-LN(2)/25))/(LN(2)/25)*Calculateur!AQ126*Calculateur!AS126*VLOOKUP('Données projet'!$B$10,Paramètres!$A$1:$I$89,3,0)*0.475*44/12</f>
        <v>0.39426138873414246</v>
      </c>
      <c r="AW126" s="23">
        <f>EXP(-LN(2)/2)*AW125+(1-EXP(-LN(2)/2))/(LN(2)/2)*AQ126*AT126*VLOOKUP('Données projet'!$B$10,Paramètres!$A$1:$I$89,3,0)*0.475*44/12</f>
        <v>1.5614237139192302E-13</v>
      </c>
      <c r="AX126" s="23">
        <f t="shared" si="60"/>
        <v>0.51605379668542384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1.9895196601282805E-13</v>
      </c>
      <c r="O127" s="14">
        <f>N127*VLOOKUP('Données projet'!$B$9,Paramètres!$A$1:$I$89,3,0)*VLOOKUP('Données projet'!$B$9,Paramètres!$A$1:$I$89,5,0)</f>
        <v>1.8001173884840681E-13</v>
      </c>
      <c r="P127" s="14">
        <f t="shared" si="87"/>
        <v>2.5254331426407198E-12</v>
      </c>
      <c r="Q127" s="22">
        <f t="shared" si="107"/>
        <v>4.7119831685935622E-12</v>
      </c>
      <c r="R127" s="62">
        <f t="shared" si="55"/>
        <v>293.33333333333803</v>
      </c>
      <c r="S127" s="62">
        <f ca="1">AVERAGE(OFFSET($R$3,0,0,'Données projet'!$E$9+1,1))-AVERAGE(OFFSET($H$3,0,0,'Données projet'!$E$9+1,1))</f>
        <v>247.05981224668733</v>
      </c>
      <c r="T127" s="62">
        <f t="shared" si="88"/>
        <v>345.23839191022898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2.0987123154978218E-2</v>
      </c>
      <c r="AA127" s="23">
        <f>EXP(-LN(2)/25)*AA126+(1-EXP(-LN(2)/25))/(LN(2)/25)*Calculateur!V127*Calculateur!X127*VLOOKUP('Données projet'!$B$9,Paramètres!$A$1:$I$89,3,0)*0.475*44/12</f>
        <v>7.4316490048967052E-2</v>
      </c>
      <c r="AB127" s="23">
        <f>EXP(-LN(2)/2)*AB126+(1-EXP(-LN(2)/2))/(LN(2)/2)*V127*Y127*VLOOKUP('Données projet'!$B$9,Paramètres!$A$1:$I$89,3,0)*0.475*44/12</f>
        <v>2.976023714449071E-14</v>
      </c>
      <c r="AC127" s="24">
        <f t="shared" si="57"/>
        <v>9.5303613203975027E-2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2.8421709430404007E-14</v>
      </c>
      <c r="AJ127" s="14">
        <f>AI127*VLOOKUP('Données projet'!$B$10,Paramètres!$A$1:$I$89,3,0)*VLOOKUP('Données projet'!$B$10,Paramètres!$A$1:$I$89,5,0)</f>
        <v>2.4829205358400945E-14</v>
      </c>
      <c r="AK127" s="14">
        <f t="shared" si="89"/>
        <v>4.3867331143352915E-13</v>
      </c>
      <c r="AL127" s="22">
        <f t="shared" si="58"/>
        <v>8.0726688341261168E-13</v>
      </c>
      <c r="AM127" s="62">
        <f t="shared" si="59"/>
        <v>293.33333333333411</v>
      </c>
      <c r="AN127" s="62">
        <f ca="1">AVERAGE(OFFSET($AM$3,0,0,'Données projet'!$E$10+1,1))-AVERAGE(OFFSET($H$3,0,0,'Données projet'!$E$10+1,1))</f>
        <v>235.92135862353973</v>
      </c>
      <c r="AO127" s="62">
        <f t="shared" si="90"/>
        <v>270.64539221029258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0.11940413311723742</v>
      </c>
      <c r="AV127" s="23">
        <f>EXP(-LN(2)/25)*AV126+(1-EXP(-LN(2)/25))/(LN(2)/25)*Calculateur!AQ127*Calculateur!AS127*VLOOKUP('Données projet'!$B$10,Paramètres!$A$1:$I$89,3,0)*0.475*44/12</f>
        <v>0.38348029032590197</v>
      </c>
      <c r="AW127" s="23">
        <f>EXP(-LN(2)/2)*AW126+(1-EXP(-LN(2)/2))/(LN(2)/2)*AQ127*AT127*VLOOKUP('Données projet'!$B$10,Paramètres!$A$1:$I$89,3,0)*0.475*44/12</f>
        <v>1.1040932964177715E-13</v>
      </c>
      <c r="AX127" s="23">
        <f t="shared" si="60"/>
        <v>0.5028844234432498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1.9895196601282805E-13</v>
      </c>
      <c r="O128" s="14">
        <f>N128*VLOOKUP('Données projet'!$B$9,Paramètres!$A$1:$I$89,3,0)*VLOOKUP('Données projet'!$B$9,Paramètres!$A$1:$I$89,5,0)</f>
        <v>1.8001173884840681E-13</v>
      </c>
      <c r="P128" s="14">
        <f t="shared" si="87"/>
        <v>2.5254331426407198E-12</v>
      </c>
      <c r="Q128" s="22">
        <f t="shared" si="107"/>
        <v>4.7119831685935622E-12</v>
      </c>
      <c r="R128" s="62">
        <f t="shared" si="55"/>
        <v>293.33333333333803</v>
      </c>
      <c r="S128" s="62">
        <f ca="1">AVERAGE(OFFSET($R$3,0,0,'Données projet'!$E$9+1,1))-AVERAGE(OFFSET($H$3,0,0,'Données projet'!$E$9+1,1))</f>
        <v>247.05981224668733</v>
      </c>
      <c r="T128" s="62">
        <f t="shared" si="88"/>
        <v>345.23839191022898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2.0575578470790237E-2</v>
      </c>
      <c r="AA128" s="23">
        <f>EXP(-LN(2)/25)*AA127+(1-EXP(-LN(2)/25))/(LN(2)/25)*Calculateur!V128*Calculateur!X128*VLOOKUP('Données projet'!$B$9,Paramètres!$A$1:$I$89,3,0)*0.475*44/12</f>
        <v>7.2284301720443686E-2</v>
      </c>
      <c r="AB128" s="23">
        <f>EXP(-LN(2)/2)*AB127+(1-EXP(-LN(2)/2))/(LN(2)/2)*V128*Y128*VLOOKUP('Données projet'!$B$9,Paramètres!$A$1:$I$89,3,0)*0.475*44/12</f>
        <v>2.1043665494589156E-14</v>
      </c>
      <c r="AC128" s="24">
        <f t="shared" si="57"/>
        <v>9.2859880191254962E-2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2.8421709430404007E-14</v>
      </c>
      <c r="AJ128" s="14">
        <f>AI128*VLOOKUP('Données projet'!$B$10,Paramètres!$A$1:$I$89,3,0)*VLOOKUP('Données projet'!$B$10,Paramètres!$A$1:$I$89,5,0)</f>
        <v>2.4829205358400945E-14</v>
      </c>
      <c r="AK128" s="14">
        <f t="shared" si="89"/>
        <v>4.3867331143352915E-13</v>
      </c>
      <c r="AL128" s="22">
        <f t="shared" si="58"/>
        <v>8.0726688341261168E-13</v>
      </c>
      <c r="AM128" s="62">
        <f t="shared" si="59"/>
        <v>293.33333333333411</v>
      </c>
      <c r="AN128" s="62">
        <f ca="1">AVERAGE(OFFSET($AM$3,0,0,'Données projet'!$E$10+1,1))-AVERAGE(OFFSET($H$3,0,0,'Données projet'!$E$10+1,1))</f>
        <v>235.92135862353973</v>
      </c>
      <c r="AO128" s="62">
        <f t="shared" si="90"/>
        <v>270.64539221029258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0.1170626908961383</v>
      </c>
      <c r="AV128" s="23">
        <f>EXP(-LN(2)/25)*AV127+(1-EXP(-LN(2)/25))/(LN(2)/25)*Calculateur!AQ128*Calculateur!AS128*VLOOKUP('Données projet'!$B$10,Paramètres!$A$1:$I$89,3,0)*0.475*44/12</f>
        <v>0.37299400162058816</v>
      </c>
      <c r="AW128" s="23">
        <f>EXP(-LN(2)/2)*AW127+(1-EXP(-LN(2)/2))/(LN(2)/2)*AQ128*AT128*VLOOKUP('Données projet'!$B$10,Paramètres!$A$1:$I$89,3,0)*0.475*44/12</f>
        <v>7.8071185695961512E-14</v>
      </c>
      <c r="AX128" s="23">
        <f t="shared" si="60"/>
        <v>0.4900566925168045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1.9895196601282805E-13</v>
      </c>
      <c r="O129" s="14">
        <f>N129*VLOOKUP('Données projet'!$B$9,Paramètres!$A$1:$I$89,3,0)*VLOOKUP('Données projet'!$B$9,Paramètres!$A$1:$I$89,5,0)</f>
        <v>1.8001173884840681E-13</v>
      </c>
      <c r="P129" s="14">
        <f t="shared" si="87"/>
        <v>2.5254331426407198E-12</v>
      </c>
      <c r="Q129" s="22">
        <f t="shared" si="107"/>
        <v>4.7119831685935622E-12</v>
      </c>
      <c r="R129" s="62">
        <f t="shared" si="55"/>
        <v>293.33333333333803</v>
      </c>
      <c r="S129" s="62">
        <f ca="1">AVERAGE(OFFSET($R$3,0,0,'Données projet'!$E$9+1,1))-AVERAGE(OFFSET($H$3,0,0,'Données projet'!$E$9+1,1))</f>
        <v>247.05981224668733</v>
      </c>
      <c r="T129" s="62">
        <f t="shared" si="88"/>
        <v>345.23839191022898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2.0172103926841711E-2</v>
      </c>
      <c r="AA129" s="23">
        <f>EXP(-LN(2)/25)*AA128+(1-EXP(-LN(2)/25))/(LN(2)/25)*Calculateur!V129*Calculateur!X129*VLOOKUP('Données projet'!$B$9,Paramètres!$A$1:$I$89,3,0)*0.475*44/12</f>
        <v>7.0307683688631939E-2</v>
      </c>
      <c r="AB129" s="23">
        <f>EXP(-LN(2)/2)*AB128+(1-EXP(-LN(2)/2))/(LN(2)/2)*V129*Y129*VLOOKUP('Données projet'!$B$9,Paramètres!$A$1:$I$89,3,0)*0.475*44/12</f>
        <v>1.4880118572245355E-14</v>
      </c>
      <c r="AC129" s="24">
        <f t="shared" si="57"/>
        <v>9.0479787615488527E-2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2.8421709430404007E-14</v>
      </c>
      <c r="AJ129" s="14">
        <f>AI129*VLOOKUP('Données projet'!$B$10,Paramètres!$A$1:$I$89,3,0)*VLOOKUP('Données projet'!$B$10,Paramètres!$A$1:$I$89,5,0)</f>
        <v>2.4829205358400945E-14</v>
      </c>
      <c r="AK129" s="14">
        <f t="shared" si="89"/>
        <v>4.3867331143352915E-13</v>
      </c>
      <c r="AL129" s="22">
        <f t="shared" si="58"/>
        <v>8.0726688341261168E-13</v>
      </c>
      <c r="AM129" s="62">
        <f t="shared" si="59"/>
        <v>293.33333333333411</v>
      </c>
      <c r="AN129" s="62">
        <f ca="1">AVERAGE(OFFSET($AM$3,0,0,'Données projet'!$E$10+1,1))-AVERAGE(OFFSET($H$3,0,0,'Données projet'!$E$10+1,1))</f>
        <v>235.92135862353973</v>
      </c>
      <c r="AO129" s="62">
        <f t="shared" si="90"/>
        <v>270.64539221029258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0.11476716292885619</v>
      </c>
      <c r="AV129" s="23">
        <f>EXP(-LN(2)/25)*AV128+(1-EXP(-LN(2)/25))/(LN(2)/25)*Calculateur!AQ129*Calculateur!AS129*VLOOKUP('Données projet'!$B$10,Paramètres!$A$1:$I$89,3,0)*0.475*44/12</f>
        <v>0.36279446103137114</v>
      </c>
      <c r="AW129" s="23">
        <f>EXP(-LN(2)/2)*AW128+(1-EXP(-LN(2)/2))/(LN(2)/2)*AQ129*AT129*VLOOKUP('Données projet'!$B$10,Paramètres!$A$1:$I$89,3,0)*0.475*44/12</f>
        <v>5.5204664820888576E-14</v>
      </c>
      <c r="AX129" s="23">
        <f t="shared" si="60"/>
        <v>0.47756162396028251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1.9895196601282805E-13</v>
      </c>
      <c r="O130" s="14">
        <f>N130*VLOOKUP('Données projet'!$B$9,Paramètres!$A$1:$I$89,3,0)*VLOOKUP('Données projet'!$B$9,Paramètres!$A$1:$I$89,5,0)</f>
        <v>1.8001173884840681E-13</v>
      </c>
      <c r="P130" s="14">
        <f t="shared" si="87"/>
        <v>2.5254331426407198E-12</v>
      </c>
      <c r="Q130" s="22">
        <f t="shared" si="107"/>
        <v>4.7119831685935622E-12</v>
      </c>
      <c r="R130" s="62">
        <f t="shared" si="55"/>
        <v>293.33333333333803</v>
      </c>
      <c r="S130" s="62">
        <f ca="1">AVERAGE(OFFSET($R$3,0,0,'Données projet'!$E$9+1,1))-AVERAGE(OFFSET($H$3,0,0,'Données projet'!$E$9+1,1))</f>
        <v>247.05981224668733</v>
      </c>
      <c r="T130" s="62">
        <f t="shared" si="88"/>
        <v>345.23839191022898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1.9776541272604843E-2</v>
      </c>
      <c r="AA130" s="23">
        <f>EXP(-LN(2)/25)*AA129+(1-EXP(-LN(2)/25))/(LN(2)/25)*Calculateur!V130*Calculateur!X130*VLOOKUP('Données projet'!$B$9,Paramètres!$A$1:$I$89,3,0)*0.475*44/12</f>
        <v>6.8385116380845906E-2</v>
      </c>
      <c r="AB130" s="23">
        <f>EXP(-LN(2)/2)*AB129+(1-EXP(-LN(2)/2))/(LN(2)/2)*V130*Y130*VLOOKUP('Données projet'!$B$9,Paramètres!$A$1:$I$89,3,0)*0.475*44/12</f>
        <v>1.0521832747294578E-14</v>
      </c>
      <c r="AC130" s="24">
        <f t="shared" si="57"/>
        <v>8.8161657653461262E-2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2.8421709430404007E-14</v>
      </c>
      <c r="AJ130" s="14">
        <f>AI130*VLOOKUP('Données projet'!$B$10,Paramètres!$A$1:$I$89,3,0)*VLOOKUP('Données projet'!$B$10,Paramètres!$A$1:$I$89,5,0)</f>
        <v>2.4829205358400945E-14</v>
      </c>
      <c r="AK130" s="14">
        <f t="shared" si="89"/>
        <v>4.3867331143352915E-13</v>
      </c>
      <c r="AL130" s="22">
        <f t="shared" si="58"/>
        <v>8.0726688341261168E-13</v>
      </c>
      <c r="AM130" s="62">
        <f t="shared" si="59"/>
        <v>293.33333333333411</v>
      </c>
      <c r="AN130" s="62">
        <f ca="1">AVERAGE(OFFSET($AM$3,0,0,'Données projet'!$E$10+1,1))-AVERAGE(OFFSET($H$3,0,0,'Données projet'!$E$10+1,1))</f>
        <v>235.92135862353973</v>
      </c>
      <c r="AO130" s="62">
        <f t="shared" si="90"/>
        <v>270.64539221029258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0.11251664886487868</v>
      </c>
      <c r="AV130" s="23">
        <f>EXP(-LN(2)/25)*AV129+(1-EXP(-LN(2)/25))/(LN(2)/25)*Calculateur!AQ130*Calculateur!AS130*VLOOKUP('Données projet'!$B$10,Paramètres!$A$1:$I$89,3,0)*0.475*44/12</f>
        <v>0.35287382741593676</v>
      </c>
      <c r="AW130" s="23">
        <f>EXP(-LN(2)/2)*AW129+(1-EXP(-LN(2)/2))/(LN(2)/2)*AQ130*AT130*VLOOKUP('Données projet'!$B$10,Paramètres!$A$1:$I$89,3,0)*0.475*44/12</f>
        <v>3.9035592847980756E-14</v>
      </c>
      <c r="AX130" s="23">
        <f t="shared" si="60"/>
        <v>0.46539047628085445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1.9895196601282805E-13</v>
      </c>
      <c r="O131" s="14">
        <f>N131*VLOOKUP('Données projet'!$B$9,Paramètres!$A$1:$I$89,3,0)*VLOOKUP('Données projet'!$B$9,Paramètres!$A$1:$I$89,5,0)</f>
        <v>1.8001173884840681E-13</v>
      </c>
      <c r="P131" s="14">
        <f t="shared" si="87"/>
        <v>2.5254331426407198E-12</v>
      </c>
      <c r="Q131" s="22">
        <f t="shared" ref="Q131:Q153" si="108">(O131+P131)*0.475*44/12</f>
        <v>4.7119831685935622E-12</v>
      </c>
      <c r="R131" s="62">
        <f t="shared" ref="R131:R194" si="109">Q131+(I131+J131)*44/12</f>
        <v>293.33333333333803</v>
      </c>
      <c r="S131" s="62">
        <f ca="1">AVERAGE(OFFSET($R$3,0,0,'Données projet'!$E$9+1,1))-AVERAGE(OFFSET($H$3,0,0,'Données projet'!$E$9+1,1))</f>
        <v>247.05981224668733</v>
      </c>
      <c r="T131" s="62">
        <f t="shared" si="88"/>
        <v>345.23839191022898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1.9388735360748165E-2</v>
      </c>
      <c r="AA131" s="23">
        <f>EXP(-LN(2)/25)*AA130+(1-EXP(-LN(2)/25))/(LN(2)/25)*Calculateur!V131*Calculateur!X131*VLOOKUP('Données projet'!$B$9,Paramètres!$A$1:$I$89,3,0)*0.475*44/12</f>
        <v>6.6515121777194694E-2</v>
      </c>
      <c r="AB131" s="23">
        <f>EXP(-LN(2)/2)*AB130+(1-EXP(-LN(2)/2))/(LN(2)/2)*V131*Y131*VLOOKUP('Données projet'!$B$9,Paramètres!$A$1:$I$89,3,0)*0.475*44/12</f>
        <v>7.4400592861226774E-15</v>
      </c>
      <c r="AC131" s="24">
        <f t="shared" si="57"/>
        <v>8.590385713795029E-2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2.8421709430404007E-14</v>
      </c>
      <c r="AJ131" s="14">
        <f>AI131*VLOOKUP('Données projet'!$B$10,Paramètres!$A$1:$I$89,3,0)*VLOOKUP('Données projet'!$B$10,Paramètres!$A$1:$I$89,5,0)</f>
        <v>2.4829205358400945E-14</v>
      </c>
      <c r="AK131" s="14">
        <f t="shared" si="89"/>
        <v>4.3867331143352915E-13</v>
      </c>
      <c r="AL131" s="22">
        <f t="shared" si="58"/>
        <v>8.0726688341261168E-13</v>
      </c>
      <c r="AM131" s="62">
        <f t="shared" si="59"/>
        <v>293.33333333333411</v>
      </c>
      <c r="AN131" s="62">
        <f ca="1">AVERAGE(OFFSET($AM$3,0,0,'Données projet'!$E$10+1,1))-AVERAGE(OFFSET($H$3,0,0,'Données projet'!$E$10+1,1))</f>
        <v>235.92135862353973</v>
      </c>
      <c r="AO131" s="62">
        <f t="shared" si="90"/>
        <v>270.64539221029258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0.11031026600901772</v>
      </c>
      <c r="AV131" s="23">
        <f>EXP(-LN(2)/25)*AV130+(1-EXP(-LN(2)/25))/(LN(2)/25)*Calculateur!AQ131*Calculateur!AS131*VLOOKUP('Données projet'!$B$10,Paramètres!$A$1:$I$89,3,0)*0.475*44/12</f>
        <v>0.34322447404841988</v>
      </c>
      <c r="AW131" s="23">
        <f>EXP(-LN(2)/2)*AW130+(1-EXP(-LN(2)/2))/(LN(2)/2)*AQ131*AT131*VLOOKUP('Données projet'!$B$10,Paramètres!$A$1:$I$89,3,0)*0.475*44/12</f>
        <v>2.7602332410444288E-14</v>
      </c>
      <c r="AX131" s="23">
        <f t="shared" si="60"/>
        <v>0.45353474005746519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1.9895196601282805E-13</v>
      </c>
      <c r="O132" s="14">
        <f>N132*VLOOKUP('Données projet'!$B$9,Paramètres!$A$1:$I$89,3,0)*VLOOKUP('Données projet'!$B$9,Paramètres!$A$1:$I$89,5,0)</f>
        <v>1.8001173884840681E-13</v>
      </c>
      <c r="P132" s="14">
        <f t="shared" si="87"/>
        <v>2.5254331426407198E-12</v>
      </c>
      <c r="Q132" s="22">
        <f t="shared" si="108"/>
        <v>4.7119831685935622E-12</v>
      </c>
      <c r="R132" s="62">
        <f t="shared" si="109"/>
        <v>293.33333333333803</v>
      </c>
      <c r="S132" s="62">
        <f ca="1">AVERAGE(OFFSET($R$3,0,0,'Données projet'!$E$9+1,1))-AVERAGE(OFFSET($H$3,0,0,'Données projet'!$E$9+1,1))</f>
        <v>247.05981224668733</v>
      </c>
      <c r="T132" s="62">
        <f t="shared" si="88"/>
        <v>345.23839191022898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1.9008534086284747E-2</v>
      </c>
      <c r="AA132" s="23">
        <f>EXP(-LN(2)/25)*AA131+(1-EXP(-LN(2)/25))/(LN(2)/25)*Calculateur!V132*Calculateur!X132*VLOOKUP('Données projet'!$B$9,Paramètres!$A$1:$I$89,3,0)*0.475*44/12</f>
        <v>6.4696262274319072E-2</v>
      </c>
      <c r="AB132" s="23">
        <f>EXP(-LN(2)/2)*AB131+(1-EXP(-LN(2)/2))/(LN(2)/2)*V132*Y132*VLOOKUP('Données projet'!$B$9,Paramètres!$A$1:$I$89,3,0)*0.475*44/12</f>
        <v>5.2609163736472891E-15</v>
      </c>
      <c r="AC132" s="24">
        <f t="shared" ref="AC132:AC153" si="111">SUM(Z132:AB132)</f>
        <v>8.3704796360609082E-2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2.8421709430404007E-14</v>
      </c>
      <c r="AJ132" s="14">
        <f>AI132*VLOOKUP('Données projet'!$B$10,Paramètres!$A$1:$I$89,3,0)*VLOOKUP('Données projet'!$B$10,Paramètres!$A$1:$I$89,5,0)</f>
        <v>2.4829205358400945E-14</v>
      </c>
      <c r="AK132" s="14">
        <f t="shared" si="89"/>
        <v>4.3867331143352915E-13</v>
      </c>
      <c r="AL132" s="22">
        <f t="shared" ref="AL132:AL153" si="112">(AJ132+AK132)*0.475*44/12</f>
        <v>8.0726688341261168E-13</v>
      </c>
      <c r="AM132" s="62">
        <f t="shared" ref="AM132:AM195" si="113">AL132+(AD132+AE132)*44/12</f>
        <v>293.33333333333411</v>
      </c>
      <c r="AN132" s="62">
        <f ca="1">AVERAGE(OFFSET($AM$3,0,0,'Données projet'!$E$10+1,1))-AVERAGE(OFFSET($H$3,0,0,'Données projet'!$E$10+1,1))</f>
        <v>235.92135862353973</v>
      </c>
      <c r="AO132" s="62">
        <f t="shared" si="90"/>
        <v>270.64539221029258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0.10814714897519954</v>
      </c>
      <c r="AV132" s="23">
        <f>EXP(-LN(2)/25)*AV131+(1-EXP(-LN(2)/25))/(LN(2)/25)*Calculateur!AQ132*Calculateur!AS132*VLOOKUP('Données projet'!$B$10,Paramètres!$A$1:$I$89,3,0)*0.475*44/12</f>
        <v>0.33383898275617518</v>
      </c>
      <c r="AW132" s="23">
        <f>EXP(-LN(2)/2)*AW131+(1-EXP(-LN(2)/2))/(LN(2)/2)*AQ132*AT132*VLOOKUP('Données projet'!$B$10,Paramètres!$A$1:$I$89,3,0)*0.475*44/12</f>
        <v>1.9517796423990378E-14</v>
      </c>
      <c r="AX132" s="23">
        <f t="shared" ref="AX132:AX153" si="114">SUM(AU132:AW132)</f>
        <v>0.44198613173139428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1.9895196601282805E-13</v>
      </c>
      <c r="O133" s="14">
        <f>N133*VLOOKUP('Données projet'!$B$9,Paramètres!$A$1:$I$89,3,0)*VLOOKUP('Données projet'!$B$9,Paramètres!$A$1:$I$89,5,0)</f>
        <v>1.8001173884840681E-13</v>
      </c>
      <c r="P133" s="14">
        <f t="shared" ref="P133:P196" si="141">EXP(-1.0587+0.8836*LN(O133)+0.284)</f>
        <v>2.5254331426407198E-12</v>
      </c>
      <c r="Q133" s="22">
        <f t="shared" si="108"/>
        <v>4.7119831685935622E-12</v>
      </c>
      <c r="R133" s="62">
        <f t="shared" si="109"/>
        <v>293.33333333333803</v>
      </c>
      <c r="S133" s="62">
        <f ca="1">AVERAGE(OFFSET($R$3,0,0,'Données projet'!$E$9+1,1))-AVERAGE(OFFSET($H$3,0,0,'Données projet'!$E$9+1,1))</f>
        <v>247.05981224668733</v>
      </c>
      <c r="T133" s="62">
        <f t="shared" ref="T133:T196" si="142">$T$3</f>
        <v>345.23839191022898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1.8635788326913677E-2</v>
      </c>
      <c r="AA133" s="23">
        <f>EXP(-LN(2)/25)*AA132+(1-EXP(-LN(2)/25))/(LN(2)/25)*Calculateur!V133*Calculateur!X133*VLOOKUP('Données projet'!$B$9,Paramètres!$A$1:$I$89,3,0)*0.475*44/12</f>
        <v>6.2927139580199243E-2</v>
      </c>
      <c r="AB133" s="23">
        <f>EXP(-LN(2)/2)*AB132+(1-EXP(-LN(2)/2))/(LN(2)/2)*V133*Y133*VLOOKUP('Données projet'!$B$9,Paramètres!$A$1:$I$89,3,0)*0.475*44/12</f>
        <v>3.7200296430613387E-15</v>
      </c>
      <c r="AC133" s="24">
        <f t="shared" si="111"/>
        <v>8.1562927907116639E-2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2.8421709430404007E-14</v>
      </c>
      <c r="AJ133" s="14">
        <f>AI133*VLOOKUP('Données projet'!$B$10,Paramètres!$A$1:$I$89,3,0)*VLOOKUP('Données projet'!$B$10,Paramètres!$A$1:$I$89,5,0)</f>
        <v>2.4829205358400945E-14</v>
      </c>
      <c r="AK133" s="14">
        <f t="shared" ref="AK133:AK153" si="143">EXP(-1.0587+0.8836*LN(AJ133)+0.284)</f>
        <v>4.3867331143352915E-13</v>
      </c>
      <c r="AL133" s="22">
        <f t="shared" si="112"/>
        <v>8.0726688341261168E-13</v>
      </c>
      <c r="AM133" s="62">
        <f t="shared" si="113"/>
        <v>293.33333333333411</v>
      </c>
      <c r="AN133" s="62">
        <f ca="1">AVERAGE(OFFSET($AM$3,0,0,'Données projet'!$E$10+1,1))-AVERAGE(OFFSET($H$3,0,0,'Données projet'!$E$10+1,1))</f>
        <v>235.92135862353973</v>
      </c>
      <c r="AO133" s="62">
        <f t="shared" ref="AO133:AO196" si="144">$AO$3</f>
        <v>270.64539221029258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0.10602644934704343</v>
      </c>
      <c r="AV133" s="23">
        <f>EXP(-LN(2)/25)*AV132+(1-EXP(-LN(2)/25))/(LN(2)/25)*Calculateur!AQ133*Calculateur!AS133*VLOOKUP('Données projet'!$B$10,Paramètres!$A$1:$I$89,3,0)*0.475*44/12</f>
        <v>0.3247101382168785</v>
      </c>
      <c r="AW133" s="23">
        <f>EXP(-LN(2)/2)*AW132+(1-EXP(-LN(2)/2))/(LN(2)/2)*AQ133*AT133*VLOOKUP('Données projet'!$B$10,Paramètres!$A$1:$I$89,3,0)*0.475*44/12</f>
        <v>1.3801166205222144E-14</v>
      </c>
      <c r="AX133" s="23">
        <f t="shared" si="114"/>
        <v>0.43073658756393574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1.9895196601282805E-13</v>
      </c>
      <c r="O134" s="14">
        <f>N134*VLOOKUP('Données projet'!$B$9,Paramètres!$A$1:$I$89,3,0)*VLOOKUP('Données projet'!$B$9,Paramètres!$A$1:$I$89,5,0)</f>
        <v>1.8001173884840681E-13</v>
      </c>
      <c r="P134" s="14">
        <f t="shared" si="141"/>
        <v>2.5254331426407198E-12</v>
      </c>
      <c r="Q134" s="22">
        <f t="shared" si="108"/>
        <v>4.7119831685935622E-12</v>
      </c>
      <c r="R134" s="62">
        <f t="shared" si="109"/>
        <v>293.33333333333803</v>
      </c>
      <c r="S134" s="62">
        <f ca="1">AVERAGE(OFFSET($R$3,0,0,'Données projet'!$E$9+1,1))-AVERAGE(OFFSET($H$3,0,0,'Données projet'!$E$9+1,1))</f>
        <v>247.05981224668733</v>
      </c>
      <c r="T134" s="62">
        <f t="shared" si="142"/>
        <v>345.23839191022898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1.8270351884531411E-2</v>
      </c>
      <c r="AA134" s="23">
        <f>EXP(-LN(2)/25)*AA133+(1-EXP(-LN(2)/25))/(LN(2)/25)*Calculateur!V134*Calculateur!X134*VLOOKUP('Données projet'!$B$9,Paramètres!$A$1:$I$89,3,0)*0.475*44/12</f>
        <v>6.1206393639184245E-2</v>
      </c>
      <c r="AB134" s="23">
        <f>EXP(-LN(2)/2)*AB133+(1-EXP(-LN(2)/2))/(LN(2)/2)*V134*Y134*VLOOKUP('Données projet'!$B$9,Paramètres!$A$1:$I$89,3,0)*0.475*44/12</f>
        <v>2.6304581868236445E-15</v>
      </c>
      <c r="AC134" s="24">
        <f t="shared" si="111"/>
        <v>7.9476745523718292E-2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2.8421709430404007E-14</v>
      </c>
      <c r="AJ134" s="14">
        <f>AI134*VLOOKUP('Données projet'!$B$10,Paramètres!$A$1:$I$89,3,0)*VLOOKUP('Données projet'!$B$10,Paramètres!$A$1:$I$89,5,0)</f>
        <v>2.4829205358400945E-14</v>
      </c>
      <c r="AK134" s="14">
        <f t="shared" si="143"/>
        <v>4.3867331143352915E-13</v>
      </c>
      <c r="AL134" s="22">
        <f t="shared" si="112"/>
        <v>8.0726688341261168E-13</v>
      </c>
      <c r="AM134" s="62">
        <f t="shared" si="113"/>
        <v>293.33333333333411</v>
      </c>
      <c r="AN134" s="62">
        <f ca="1">AVERAGE(OFFSET($AM$3,0,0,'Données projet'!$E$10+1,1))-AVERAGE(OFFSET($H$3,0,0,'Données projet'!$E$10+1,1))</f>
        <v>235.92135862353973</v>
      </c>
      <c r="AO134" s="62">
        <f t="shared" si="144"/>
        <v>270.64539221029258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0.1039473353450964</v>
      </c>
      <c r="AV134" s="23">
        <f>EXP(-LN(2)/25)*AV133+(1-EXP(-LN(2)/25))/(LN(2)/25)*Calculateur!AQ134*Calculateur!AS134*VLOOKUP('Données projet'!$B$10,Paramètres!$A$1:$I$89,3,0)*0.475*44/12</f>
        <v>0.3158309224115739</v>
      </c>
      <c r="AW134" s="23">
        <f>EXP(-LN(2)/2)*AW133+(1-EXP(-LN(2)/2))/(LN(2)/2)*AQ134*AT134*VLOOKUP('Données projet'!$B$10,Paramètres!$A$1:$I$89,3,0)*0.475*44/12</f>
        <v>9.758898211995189E-15</v>
      </c>
      <c r="AX134" s="23">
        <f t="shared" si="114"/>
        <v>0.4197782577566801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1.9895196601282805E-13</v>
      </c>
      <c r="O135" s="14">
        <f>N135*VLOOKUP('Données projet'!$B$9,Paramètres!$A$1:$I$89,3,0)*VLOOKUP('Données projet'!$B$9,Paramètres!$A$1:$I$89,5,0)</f>
        <v>1.8001173884840681E-13</v>
      </c>
      <c r="P135" s="14">
        <f t="shared" si="141"/>
        <v>2.5254331426407198E-12</v>
      </c>
      <c r="Q135" s="22">
        <f t="shared" si="108"/>
        <v>4.7119831685935622E-12</v>
      </c>
      <c r="R135" s="62">
        <f t="shared" si="109"/>
        <v>293.33333333333803</v>
      </c>
      <c r="S135" s="62">
        <f ca="1">AVERAGE(OFFSET($R$3,0,0,'Données projet'!$E$9+1,1))-AVERAGE(OFFSET($H$3,0,0,'Données projet'!$E$9+1,1))</f>
        <v>247.05981224668733</v>
      </c>
      <c r="T135" s="62">
        <f t="shared" si="142"/>
        <v>345.23839191022898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1.7912081427890039E-2</v>
      </c>
      <c r="AA135" s="23">
        <f>EXP(-LN(2)/25)*AA134+(1-EXP(-LN(2)/25))/(LN(2)/25)*Calculateur!V135*Calculateur!X135*VLOOKUP('Données projet'!$B$9,Paramètres!$A$1:$I$89,3,0)*0.475*44/12</f>
        <v>5.9532701586416402E-2</v>
      </c>
      <c r="AB135" s="23">
        <f>EXP(-LN(2)/2)*AB134+(1-EXP(-LN(2)/2))/(LN(2)/2)*V135*Y135*VLOOKUP('Données projet'!$B$9,Paramètres!$A$1:$I$89,3,0)*0.475*44/12</f>
        <v>1.8600148215306694E-15</v>
      </c>
      <c r="AC135" s="24">
        <f t="shared" si="111"/>
        <v>7.7444783014308294E-2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2.8421709430404007E-14</v>
      </c>
      <c r="AJ135" s="14">
        <f>AI135*VLOOKUP('Données projet'!$B$10,Paramètres!$A$1:$I$89,3,0)*VLOOKUP('Données projet'!$B$10,Paramètres!$A$1:$I$89,5,0)</f>
        <v>2.4829205358400945E-14</v>
      </c>
      <c r="AK135" s="14">
        <f t="shared" si="143"/>
        <v>4.3867331143352915E-13</v>
      </c>
      <c r="AL135" s="22">
        <f t="shared" si="112"/>
        <v>8.0726688341261168E-13</v>
      </c>
      <c r="AM135" s="62">
        <f t="shared" si="113"/>
        <v>293.33333333333411</v>
      </c>
      <c r="AN135" s="62">
        <f ca="1">AVERAGE(OFFSET($AM$3,0,0,'Données projet'!$E$10+1,1))-AVERAGE(OFFSET($H$3,0,0,'Données projet'!$E$10+1,1))</f>
        <v>235.92135862353973</v>
      </c>
      <c r="AO135" s="62">
        <f t="shared" si="144"/>
        <v>270.64539221029258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0.10190899150059322</v>
      </c>
      <c r="AV135" s="23">
        <f>EXP(-LN(2)/25)*AV134+(1-EXP(-LN(2)/25))/(LN(2)/25)*Calculateur!AQ135*Calculateur!AS135*VLOOKUP('Données projet'!$B$10,Paramètres!$A$1:$I$89,3,0)*0.475*44/12</f>
        <v>0.30719450922940306</v>
      </c>
      <c r="AW135" s="23">
        <f>EXP(-LN(2)/2)*AW134+(1-EXP(-LN(2)/2))/(LN(2)/2)*AQ135*AT135*VLOOKUP('Données projet'!$B$10,Paramètres!$A$1:$I$89,3,0)*0.475*44/12</f>
        <v>6.900583102611072E-15</v>
      </c>
      <c r="AX135" s="23">
        <f t="shared" si="114"/>
        <v>0.40910350073000318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1.9895196601282805E-13</v>
      </c>
      <c r="O136" s="14">
        <f>N136*VLOOKUP('Données projet'!$B$9,Paramètres!$A$1:$I$89,3,0)*VLOOKUP('Données projet'!$B$9,Paramètres!$A$1:$I$89,5,0)</f>
        <v>1.8001173884840681E-13</v>
      </c>
      <c r="P136" s="14">
        <f t="shared" si="141"/>
        <v>2.5254331426407198E-12</v>
      </c>
      <c r="Q136" s="22">
        <f t="shared" si="108"/>
        <v>4.7119831685935622E-12</v>
      </c>
      <c r="R136" s="62">
        <f t="shared" si="109"/>
        <v>293.33333333333803</v>
      </c>
      <c r="S136" s="62">
        <f ca="1">AVERAGE(OFFSET($R$3,0,0,'Données projet'!$E$9+1,1))-AVERAGE(OFFSET($H$3,0,0,'Données projet'!$E$9+1,1))</f>
        <v>247.05981224668733</v>
      </c>
      <c r="T136" s="62">
        <f t="shared" si="142"/>
        <v>345.23839191022898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1.7560836436380005E-2</v>
      </c>
      <c r="AA136" s="23">
        <f>EXP(-LN(2)/25)*AA135+(1-EXP(-LN(2)/25))/(LN(2)/25)*Calculateur!V136*Calculateur!X136*VLOOKUP('Données projet'!$B$9,Paramètres!$A$1:$I$89,3,0)*0.475*44/12</f>
        <v>5.7904776730847131E-2</v>
      </c>
      <c r="AB136" s="23">
        <f>EXP(-LN(2)/2)*AB135+(1-EXP(-LN(2)/2))/(LN(2)/2)*V136*Y136*VLOOKUP('Données projet'!$B$9,Paramètres!$A$1:$I$89,3,0)*0.475*44/12</f>
        <v>1.3152290934118223E-15</v>
      </c>
      <c r="AC136" s="24">
        <f t="shared" si="111"/>
        <v>7.5465613167228454E-2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2.8421709430404007E-14</v>
      </c>
      <c r="AJ136" s="14">
        <f>AI136*VLOOKUP('Données projet'!$B$10,Paramètres!$A$1:$I$89,3,0)*VLOOKUP('Données projet'!$B$10,Paramètres!$A$1:$I$89,5,0)</f>
        <v>2.4829205358400945E-14</v>
      </c>
      <c r="AK136" s="14">
        <f t="shared" si="143"/>
        <v>4.3867331143352915E-13</v>
      </c>
      <c r="AL136" s="22">
        <f t="shared" si="112"/>
        <v>8.0726688341261168E-13</v>
      </c>
      <c r="AM136" s="62">
        <f t="shared" si="113"/>
        <v>293.33333333333411</v>
      </c>
      <c r="AN136" s="62">
        <f ca="1">AVERAGE(OFFSET($AM$3,0,0,'Données projet'!$E$10+1,1))-AVERAGE(OFFSET($H$3,0,0,'Données projet'!$E$10+1,1))</f>
        <v>235.92135862353973</v>
      </c>
      <c r="AO136" s="62">
        <f t="shared" si="144"/>
        <v>270.64539221029258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9.9910618335613779E-2</v>
      </c>
      <c r="AV136" s="23">
        <f>EXP(-LN(2)/25)*AV135+(1-EXP(-LN(2)/25))/(LN(2)/25)*Calculateur!AQ136*Calculateur!AS136*VLOOKUP('Données projet'!$B$10,Paramètres!$A$1:$I$89,3,0)*0.475*44/12</f>
        <v>0.29879425921986791</v>
      </c>
      <c r="AW136" s="23">
        <f>EXP(-LN(2)/2)*AW135+(1-EXP(-LN(2)/2))/(LN(2)/2)*AQ136*AT136*VLOOKUP('Données projet'!$B$10,Paramètres!$A$1:$I$89,3,0)*0.475*44/12</f>
        <v>4.8794491059975945E-15</v>
      </c>
      <c r="AX136" s="23">
        <f t="shared" si="114"/>
        <v>0.39870487755548656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1.9895196601282805E-13</v>
      </c>
      <c r="O137" s="14">
        <f>N137*VLOOKUP('Données projet'!$B$9,Paramètres!$A$1:$I$89,3,0)*VLOOKUP('Données projet'!$B$9,Paramètres!$A$1:$I$89,5,0)</f>
        <v>1.8001173884840681E-13</v>
      </c>
      <c r="P137" s="14">
        <f t="shared" si="141"/>
        <v>2.5254331426407198E-12</v>
      </c>
      <c r="Q137" s="22">
        <f t="shared" si="108"/>
        <v>4.7119831685935622E-12</v>
      </c>
      <c r="R137" s="62">
        <f t="shared" si="109"/>
        <v>293.33333333333803</v>
      </c>
      <c r="S137" s="62">
        <f ca="1">AVERAGE(OFFSET($R$3,0,0,'Données projet'!$E$9+1,1))-AVERAGE(OFFSET($H$3,0,0,'Données projet'!$E$9+1,1))</f>
        <v>247.05981224668733</v>
      </c>
      <c r="T137" s="62">
        <f t="shared" si="142"/>
        <v>345.23839191022898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1.7216479144915191E-2</v>
      </c>
      <c r="AA137" s="23">
        <f>EXP(-LN(2)/25)*AA136+(1-EXP(-LN(2)/25))/(LN(2)/25)*Calculateur!V137*Calculateur!X137*VLOOKUP('Données projet'!$B$9,Paramètres!$A$1:$I$89,3,0)*0.475*44/12</f>
        <v>5.632136756606225E-2</v>
      </c>
      <c r="AB137" s="23">
        <f>EXP(-LN(2)/2)*AB136+(1-EXP(-LN(2)/2))/(LN(2)/2)*V137*Y137*VLOOKUP('Données projet'!$B$9,Paramètres!$A$1:$I$89,3,0)*0.475*44/12</f>
        <v>9.3000741076533468E-16</v>
      </c>
      <c r="AC137" s="24">
        <f t="shared" si="111"/>
        <v>7.3537846710978363E-2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2.8421709430404007E-14</v>
      </c>
      <c r="AJ137" s="14">
        <f>AI137*VLOOKUP('Données projet'!$B$10,Paramètres!$A$1:$I$89,3,0)*VLOOKUP('Données projet'!$B$10,Paramètres!$A$1:$I$89,5,0)</f>
        <v>2.4829205358400945E-14</v>
      </c>
      <c r="AK137" s="14">
        <f t="shared" si="143"/>
        <v>4.3867331143352915E-13</v>
      </c>
      <c r="AL137" s="22">
        <f t="shared" si="112"/>
        <v>8.0726688341261168E-13</v>
      </c>
      <c r="AM137" s="62">
        <f t="shared" si="113"/>
        <v>293.33333333333411</v>
      </c>
      <c r="AN137" s="62">
        <f ca="1">AVERAGE(OFFSET($AM$3,0,0,'Données projet'!$E$10+1,1))-AVERAGE(OFFSET($H$3,0,0,'Données projet'!$E$10+1,1))</f>
        <v>235.92135862353973</v>
      </c>
      <c r="AO137" s="62">
        <f t="shared" si="144"/>
        <v>270.64539221029258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9.7951432049512302E-2</v>
      </c>
      <c r="AV137" s="23">
        <f>EXP(-LN(2)/25)*AV136+(1-EXP(-LN(2)/25))/(LN(2)/25)*Calculateur!AQ137*Calculateur!AS137*VLOOKUP('Données projet'!$B$10,Paramètres!$A$1:$I$89,3,0)*0.475*44/12</f>
        <v>0.29062371448859342</v>
      </c>
      <c r="AW137" s="23">
        <f>EXP(-LN(2)/2)*AW136+(1-EXP(-LN(2)/2))/(LN(2)/2)*AQ137*AT137*VLOOKUP('Données projet'!$B$10,Paramètres!$A$1:$I$89,3,0)*0.475*44/12</f>
        <v>3.450291551305536E-15</v>
      </c>
      <c r="AX137" s="23">
        <f t="shared" si="114"/>
        <v>0.38857514653810915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1.9895196601282805E-13</v>
      </c>
      <c r="O138" s="14">
        <f>N138*VLOOKUP('Données projet'!$B$9,Paramètres!$A$1:$I$89,3,0)*VLOOKUP('Données projet'!$B$9,Paramètres!$A$1:$I$89,5,0)</f>
        <v>1.8001173884840681E-13</v>
      </c>
      <c r="P138" s="14">
        <f t="shared" si="141"/>
        <v>2.5254331426407198E-12</v>
      </c>
      <c r="Q138" s="22">
        <f t="shared" si="108"/>
        <v>4.7119831685935622E-12</v>
      </c>
      <c r="R138" s="62">
        <f t="shared" si="109"/>
        <v>293.33333333333803</v>
      </c>
      <c r="S138" s="62">
        <f ca="1">AVERAGE(OFFSET($R$3,0,0,'Données projet'!$E$9+1,1))-AVERAGE(OFFSET($H$3,0,0,'Données projet'!$E$9+1,1))</f>
        <v>247.05981224668733</v>
      </c>
      <c r="T138" s="62">
        <f t="shared" si="142"/>
        <v>345.23839191022898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1.6878874489898794E-2</v>
      </c>
      <c r="AA138" s="23">
        <f>EXP(-LN(2)/25)*AA137+(1-EXP(-LN(2)/25))/(LN(2)/25)*Calculateur!V138*Calculateur!X138*VLOOKUP('Données projet'!$B$9,Paramètres!$A$1:$I$89,3,0)*0.475*44/12</f>
        <v>5.4781256808156278E-2</v>
      </c>
      <c r="AB138" s="23">
        <f>EXP(-LN(2)/2)*AB137+(1-EXP(-LN(2)/2))/(LN(2)/2)*V138*Y138*VLOOKUP('Données projet'!$B$9,Paramètres!$A$1:$I$89,3,0)*0.475*44/12</f>
        <v>6.5761454670591114E-16</v>
      </c>
      <c r="AC138" s="24">
        <f t="shared" si="111"/>
        <v>7.1660131298055721E-2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2.8421709430404007E-14</v>
      </c>
      <c r="AJ138" s="14">
        <f>AI138*VLOOKUP('Données projet'!$B$10,Paramètres!$A$1:$I$89,3,0)*VLOOKUP('Données projet'!$B$10,Paramètres!$A$1:$I$89,5,0)</f>
        <v>2.4829205358400945E-14</v>
      </c>
      <c r="AK138" s="14">
        <f t="shared" si="143"/>
        <v>4.3867331143352915E-13</v>
      </c>
      <c r="AL138" s="22">
        <f t="shared" si="112"/>
        <v>8.0726688341261168E-13</v>
      </c>
      <c r="AM138" s="62">
        <f t="shared" si="113"/>
        <v>293.33333333333411</v>
      </c>
      <c r="AN138" s="62">
        <f ca="1">AVERAGE(OFFSET($AM$3,0,0,'Données projet'!$E$10+1,1))-AVERAGE(OFFSET($H$3,0,0,'Données projet'!$E$10+1,1))</f>
        <v>235.92135862353973</v>
      </c>
      <c r="AO138" s="62">
        <f t="shared" si="144"/>
        <v>270.64539221029258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9.6030664211495642E-2</v>
      </c>
      <c r="AV138" s="23">
        <f>EXP(-LN(2)/25)*AV137+(1-EXP(-LN(2)/25))/(LN(2)/25)*Calculateur!AQ138*Calculateur!AS138*VLOOKUP('Données projet'!$B$10,Paramètres!$A$1:$I$89,3,0)*0.475*44/12</f>
        <v>0.2826765937326659</v>
      </c>
      <c r="AW138" s="23">
        <f>EXP(-LN(2)/2)*AW137+(1-EXP(-LN(2)/2))/(LN(2)/2)*AQ138*AT138*VLOOKUP('Données projet'!$B$10,Paramètres!$A$1:$I$89,3,0)*0.475*44/12</f>
        <v>2.4397245529987972E-15</v>
      </c>
      <c r="AX138" s="23">
        <f t="shared" si="114"/>
        <v>0.37870725794416399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1.9895196601282805E-13</v>
      </c>
      <c r="O139" s="14">
        <f>N139*VLOOKUP('Données projet'!$B$9,Paramètres!$A$1:$I$89,3,0)*VLOOKUP('Données projet'!$B$9,Paramètres!$A$1:$I$89,5,0)</f>
        <v>1.8001173884840681E-13</v>
      </c>
      <c r="P139" s="14">
        <f t="shared" si="141"/>
        <v>2.5254331426407198E-12</v>
      </c>
      <c r="Q139" s="22">
        <f t="shared" si="108"/>
        <v>4.7119831685935622E-12</v>
      </c>
      <c r="R139" s="62">
        <f t="shared" si="109"/>
        <v>293.33333333333803</v>
      </c>
      <c r="S139" s="62">
        <f ca="1">AVERAGE(OFFSET($R$3,0,0,'Données projet'!$E$9+1,1))-AVERAGE(OFFSET($H$3,0,0,'Données projet'!$E$9+1,1))</f>
        <v>247.05981224668733</v>
      </c>
      <c r="T139" s="62">
        <f t="shared" si="142"/>
        <v>345.23839191022898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1.6547890056248762E-2</v>
      </c>
      <c r="AA139" s="23">
        <f>EXP(-LN(2)/25)*AA138+(1-EXP(-LN(2)/25))/(LN(2)/25)*Calculateur!V139*Calculateur!X139*VLOOKUP('Données projet'!$B$9,Paramètres!$A$1:$I$89,3,0)*0.475*44/12</f>
        <v>5.3283260459916153E-2</v>
      </c>
      <c r="AB139" s="23">
        <f>EXP(-LN(2)/2)*AB138+(1-EXP(-LN(2)/2))/(LN(2)/2)*V139*Y139*VLOOKUP('Données projet'!$B$9,Paramètres!$A$1:$I$89,3,0)*0.475*44/12</f>
        <v>4.6500370538266734E-16</v>
      </c>
      <c r="AC139" s="24">
        <f t="shared" si="111"/>
        <v>6.9831150516165383E-2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2.8421709430404007E-14</v>
      </c>
      <c r="AJ139" s="14">
        <f>AI139*VLOOKUP('Données projet'!$B$10,Paramètres!$A$1:$I$89,3,0)*VLOOKUP('Données projet'!$B$10,Paramètres!$A$1:$I$89,5,0)</f>
        <v>2.4829205358400945E-14</v>
      </c>
      <c r="AK139" s="14">
        <f t="shared" si="143"/>
        <v>4.3867331143352915E-13</v>
      </c>
      <c r="AL139" s="22">
        <f t="shared" si="112"/>
        <v>8.0726688341261168E-13</v>
      </c>
      <c r="AM139" s="62">
        <f t="shared" si="113"/>
        <v>293.33333333333411</v>
      </c>
      <c r="AN139" s="62">
        <f ca="1">AVERAGE(OFFSET($AM$3,0,0,'Données projet'!$E$10+1,1))-AVERAGE(OFFSET($H$3,0,0,'Données projet'!$E$10+1,1))</f>
        <v>235.92135862353973</v>
      </c>
      <c r="AO139" s="62">
        <f t="shared" si="144"/>
        <v>270.64539221029258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9.4147561459229784E-2</v>
      </c>
      <c r="AV139" s="23">
        <f>EXP(-LN(2)/25)*AV138+(1-EXP(-LN(2)/25))/(LN(2)/25)*Calculateur!AQ139*Calculateur!AS139*VLOOKUP('Données projet'!$B$10,Paramètres!$A$1:$I$89,3,0)*0.475*44/12</f>
        <v>0.27494678741173018</v>
      </c>
      <c r="AW139" s="23">
        <f>EXP(-LN(2)/2)*AW138+(1-EXP(-LN(2)/2))/(LN(2)/2)*AQ139*AT139*VLOOKUP('Données projet'!$B$10,Paramètres!$A$1:$I$89,3,0)*0.475*44/12</f>
        <v>1.725145775652768E-15</v>
      </c>
      <c r="AX139" s="23">
        <f t="shared" si="114"/>
        <v>0.36909434887096165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1.9895196601282805E-13</v>
      </c>
      <c r="O140" s="14">
        <f>N140*VLOOKUP('Données projet'!$B$9,Paramètres!$A$1:$I$89,3,0)*VLOOKUP('Données projet'!$B$9,Paramètres!$A$1:$I$89,5,0)</f>
        <v>1.8001173884840681E-13</v>
      </c>
      <c r="P140" s="14">
        <f t="shared" si="141"/>
        <v>2.5254331426407198E-12</v>
      </c>
      <c r="Q140" s="22">
        <f t="shared" si="108"/>
        <v>4.7119831685935622E-12</v>
      </c>
      <c r="R140" s="62">
        <f t="shared" si="109"/>
        <v>293.33333333333803</v>
      </c>
      <c r="S140" s="62">
        <f ca="1">AVERAGE(OFFSET($R$3,0,0,'Données projet'!$E$9+1,1))-AVERAGE(OFFSET($H$3,0,0,'Données projet'!$E$9+1,1))</f>
        <v>247.05981224668733</v>
      </c>
      <c r="T140" s="62">
        <f t="shared" si="142"/>
        <v>345.23839191022898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1.6223396025462036E-2</v>
      </c>
      <c r="AA140" s="23">
        <f>EXP(-LN(2)/25)*AA139+(1-EXP(-LN(2)/25))/(LN(2)/25)*Calculateur!V140*Calculateur!X140*VLOOKUP('Données projet'!$B$9,Paramètres!$A$1:$I$89,3,0)*0.475*44/12</f>
        <v>5.1826226900594859E-2</v>
      </c>
      <c r="AB140" s="23">
        <f>EXP(-LN(2)/2)*AB139+(1-EXP(-LN(2)/2))/(LN(2)/2)*V140*Y140*VLOOKUP('Données projet'!$B$9,Paramètres!$A$1:$I$89,3,0)*0.475*44/12</f>
        <v>3.2880727335295557E-16</v>
      </c>
      <c r="AC140" s="24">
        <f t="shared" si="111"/>
        <v>6.8049622926057235E-2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2.8421709430404007E-14</v>
      </c>
      <c r="AJ140" s="14">
        <f>AI140*VLOOKUP('Données projet'!$B$10,Paramètres!$A$1:$I$89,3,0)*VLOOKUP('Données projet'!$B$10,Paramètres!$A$1:$I$89,5,0)</f>
        <v>2.4829205358400945E-14</v>
      </c>
      <c r="AK140" s="14">
        <f t="shared" si="143"/>
        <v>4.3867331143352915E-13</v>
      </c>
      <c r="AL140" s="22">
        <f t="shared" si="112"/>
        <v>8.0726688341261168E-13</v>
      </c>
      <c r="AM140" s="62">
        <f t="shared" si="113"/>
        <v>293.33333333333411</v>
      </c>
      <c r="AN140" s="62">
        <f ca="1">AVERAGE(OFFSET($AM$3,0,0,'Données projet'!$E$10+1,1))-AVERAGE(OFFSET($H$3,0,0,'Données projet'!$E$10+1,1))</f>
        <v>235.92135862353973</v>
      </c>
      <c r="AO140" s="62">
        <f t="shared" si="144"/>
        <v>270.64539221029258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9.2301385203356595E-2</v>
      </c>
      <c r="AV140" s="23">
        <f>EXP(-LN(2)/25)*AV139+(1-EXP(-LN(2)/25))/(LN(2)/25)*Calculateur!AQ140*Calculateur!AS140*VLOOKUP('Données projet'!$B$10,Paramètres!$A$1:$I$89,3,0)*0.475*44/12</f>
        <v>0.26742835305113327</v>
      </c>
      <c r="AW140" s="23">
        <f>EXP(-LN(2)/2)*AW139+(1-EXP(-LN(2)/2))/(LN(2)/2)*AQ140*AT140*VLOOKUP('Données projet'!$B$10,Paramètres!$A$1:$I$89,3,0)*0.475*44/12</f>
        <v>1.2198622764993986E-15</v>
      </c>
      <c r="AX140" s="23">
        <f t="shared" si="114"/>
        <v>0.35972973825449106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1.9895196601282805E-13</v>
      </c>
      <c r="O141" s="14">
        <f>N141*VLOOKUP('Données projet'!$B$9,Paramètres!$A$1:$I$89,3,0)*VLOOKUP('Données projet'!$B$9,Paramètres!$A$1:$I$89,5,0)</f>
        <v>1.8001173884840681E-13</v>
      </c>
      <c r="P141" s="14">
        <f t="shared" si="141"/>
        <v>2.5254331426407198E-12</v>
      </c>
      <c r="Q141" s="22">
        <f t="shared" si="108"/>
        <v>4.7119831685935622E-12</v>
      </c>
      <c r="R141" s="62">
        <f t="shared" si="109"/>
        <v>293.33333333333803</v>
      </c>
      <c r="S141" s="62">
        <f ca="1">AVERAGE(OFFSET($R$3,0,0,'Données projet'!$E$9+1,1))-AVERAGE(OFFSET($H$3,0,0,'Données projet'!$E$9+1,1))</f>
        <v>247.05981224668733</v>
      </c>
      <c r="T141" s="62">
        <f t="shared" si="142"/>
        <v>345.23839191022898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1.5905265124697223E-2</v>
      </c>
      <c r="AA141" s="23">
        <f>EXP(-LN(2)/25)*AA140+(1-EXP(-LN(2)/25))/(LN(2)/25)*Calculateur!V141*Calculateur!X141*VLOOKUP('Données projet'!$B$9,Paramètres!$A$1:$I$89,3,0)*0.475*44/12</f>
        <v>5.0409036000575273E-2</v>
      </c>
      <c r="AB141" s="23">
        <f>EXP(-LN(2)/2)*AB140+(1-EXP(-LN(2)/2))/(LN(2)/2)*V141*Y141*VLOOKUP('Données projet'!$B$9,Paramètres!$A$1:$I$89,3,0)*0.475*44/12</f>
        <v>2.3250185269133367E-16</v>
      </c>
      <c r="AC141" s="24">
        <f t="shared" si="111"/>
        <v>6.6314301125272729E-2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2.8421709430404007E-14</v>
      </c>
      <c r="AJ141" s="14">
        <f>AI141*VLOOKUP('Données projet'!$B$10,Paramètres!$A$1:$I$89,3,0)*VLOOKUP('Données projet'!$B$10,Paramètres!$A$1:$I$89,5,0)</f>
        <v>2.4829205358400945E-14</v>
      </c>
      <c r="AK141" s="14">
        <f t="shared" si="143"/>
        <v>4.3867331143352915E-13</v>
      </c>
      <c r="AL141" s="22">
        <f t="shared" si="112"/>
        <v>8.0726688341261168E-13</v>
      </c>
      <c r="AM141" s="62">
        <f t="shared" si="113"/>
        <v>293.33333333333411</v>
      </c>
      <c r="AN141" s="62">
        <f ca="1">AVERAGE(OFFSET($AM$3,0,0,'Données projet'!$E$10+1,1))-AVERAGE(OFFSET($H$3,0,0,'Données projet'!$E$10+1,1))</f>
        <v>235.92135862353973</v>
      </c>
      <c r="AO141" s="62">
        <f t="shared" si="144"/>
        <v>270.64539221029258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9.049141133780475E-2</v>
      </c>
      <c r="AV141" s="23">
        <f>EXP(-LN(2)/25)*AV140+(1-EXP(-LN(2)/25))/(LN(2)/25)*Calculateur!AQ141*Calculateur!AS141*VLOOKUP('Données projet'!$B$10,Paramètres!$A$1:$I$89,3,0)*0.475*44/12</f>
        <v>0.26011551067350414</v>
      </c>
      <c r="AW141" s="23">
        <f>EXP(-LN(2)/2)*AW140+(1-EXP(-LN(2)/2))/(LN(2)/2)*AQ141*AT141*VLOOKUP('Données projet'!$B$10,Paramètres!$A$1:$I$89,3,0)*0.475*44/12</f>
        <v>8.6257288782638401E-16</v>
      </c>
      <c r="AX141" s="23">
        <f t="shared" si="114"/>
        <v>0.35060692201130977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1.9895196601282805E-13</v>
      </c>
      <c r="O142" s="14">
        <f>N142*VLOOKUP('Données projet'!$B$9,Paramètres!$A$1:$I$89,3,0)*VLOOKUP('Données projet'!$B$9,Paramètres!$A$1:$I$89,5,0)</f>
        <v>1.8001173884840681E-13</v>
      </c>
      <c r="P142" s="14">
        <f t="shared" si="141"/>
        <v>2.5254331426407198E-12</v>
      </c>
      <c r="Q142" s="22">
        <f t="shared" si="108"/>
        <v>4.7119831685935622E-12</v>
      </c>
      <c r="R142" s="62">
        <f t="shared" si="109"/>
        <v>293.33333333333803</v>
      </c>
      <c r="S142" s="62">
        <f ca="1">AVERAGE(OFFSET($R$3,0,0,'Données projet'!$E$9+1,1))-AVERAGE(OFFSET($H$3,0,0,'Données projet'!$E$9+1,1))</f>
        <v>247.05981224668733</v>
      </c>
      <c r="T142" s="62">
        <f t="shared" si="142"/>
        <v>345.23839191022898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1.5593372576855717E-2</v>
      </c>
      <c r="AA142" s="23">
        <f>EXP(-LN(2)/25)*AA141+(1-EXP(-LN(2)/25))/(LN(2)/25)*Calculateur!V142*Calculateur!X142*VLOOKUP('Données projet'!$B$9,Paramètres!$A$1:$I$89,3,0)*0.475*44/12</f>
        <v>4.9030598260243551E-2</v>
      </c>
      <c r="AB142" s="23">
        <f>EXP(-LN(2)/2)*AB141+(1-EXP(-LN(2)/2))/(LN(2)/2)*V142*Y142*VLOOKUP('Données projet'!$B$9,Paramètres!$A$1:$I$89,3,0)*0.475*44/12</f>
        <v>1.6440363667647778E-16</v>
      </c>
      <c r="AC142" s="24">
        <f t="shared" si="111"/>
        <v>6.4623970837099434E-2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2.8421709430404007E-14</v>
      </c>
      <c r="AJ142" s="14">
        <f>AI142*VLOOKUP('Données projet'!$B$10,Paramètres!$A$1:$I$89,3,0)*VLOOKUP('Données projet'!$B$10,Paramètres!$A$1:$I$89,5,0)</f>
        <v>2.4829205358400945E-14</v>
      </c>
      <c r="AK142" s="14">
        <f t="shared" si="143"/>
        <v>4.3867331143352915E-13</v>
      </c>
      <c r="AL142" s="22">
        <f t="shared" si="112"/>
        <v>8.0726688341261168E-13</v>
      </c>
      <c r="AM142" s="62">
        <f t="shared" si="113"/>
        <v>293.33333333333411</v>
      </c>
      <c r="AN142" s="62">
        <f ca="1">AVERAGE(OFFSET($AM$3,0,0,'Données projet'!$E$10+1,1))-AVERAGE(OFFSET($H$3,0,0,'Données projet'!$E$10+1,1))</f>
        <v>235.92135862353973</v>
      </c>
      <c r="AO142" s="62">
        <f t="shared" si="144"/>
        <v>270.64539221029258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8.8716929955781329E-2</v>
      </c>
      <c r="AV142" s="23">
        <f>EXP(-LN(2)/25)*AV141+(1-EXP(-LN(2)/25))/(LN(2)/25)*Calculateur!AQ142*Calculateur!AS142*VLOOKUP('Données projet'!$B$10,Paramètres!$A$1:$I$89,3,0)*0.475*44/12</f>
        <v>0.25300263835525694</v>
      </c>
      <c r="AW142" s="23">
        <f>EXP(-LN(2)/2)*AW141+(1-EXP(-LN(2)/2))/(LN(2)/2)*AQ142*AT142*VLOOKUP('Données projet'!$B$10,Paramètres!$A$1:$I$89,3,0)*0.475*44/12</f>
        <v>6.0993113824969931E-16</v>
      </c>
      <c r="AX142" s="23">
        <f t="shared" si="114"/>
        <v>0.34171956831103889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1.9895196601282805E-13</v>
      </c>
      <c r="O143" s="14">
        <f>N143*VLOOKUP('Données projet'!$B$9,Paramètres!$A$1:$I$89,3,0)*VLOOKUP('Données projet'!$B$9,Paramètres!$A$1:$I$89,5,0)</f>
        <v>1.8001173884840681E-13</v>
      </c>
      <c r="P143" s="14">
        <f t="shared" si="141"/>
        <v>2.5254331426407198E-12</v>
      </c>
      <c r="Q143" s="22">
        <f t="shared" si="108"/>
        <v>4.7119831685935622E-12</v>
      </c>
      <c r="R143" s="62">
        <f t="shared" si="109"/>
        <v>293.33333333333803</v>
      </c>
      <c r="S143" s="62">
        <f ca="1">AVERAGE(OFFSET($R$3,0,0,'Données projet'!$E$9+1,1))-AVERAGE(OFFSET($H$3,0,0,'Données projet'!$E$9+1,1))</f>
        <v>247.05981224668733</v>
      </c>
      <c r="T143" s="62">
        <f t="shared" si="142"/>
        <v>345.23839191022898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1.5287596051641714E-2</v>
      </c>
      <c r="AA143" s="23">
        <f>EXP(-LN(2)/25)*AA142+(1-EXP(-LN(2)/25))/(LN(2)/25)*Calculateur!V143*Calculateur!X143*VLOOKUP('Données projet'!$B$9,Paramètres!$A$1:$I$89,3,0)*0.475*44/12</f>
        <v>4.7689853972410087E-2</v>
      </c>
      <c r="AB143" s="23">
        <f>EXP(-LN(2)/2)*AB142+(1-EXP(-LN(2)/2))/(LN(2)/2)*V143*Y143*VLOOKUP('Données projet'!$B$9,Paramètres!$A$1:$I$89,3,0)*0.475*44/12</f>
        <v>1.1625092634566683E-16</v>
      </c>
      <c r="AC143" s="24">
        <f t="shared" si="111"/>
        <v>6.2977450024051917E-2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2.8421709430404007E-14</v>
      </c>
      <c r="AJ143" s="14">
        <f>AI143*VLOOKUP('Données projet'!$B$10,Paramètres!$A$1:$I$89,3,0)*VLOOKUP('Données projet'!$B$10,Paramètres!$A$1:$I$89,5,0)</f>
        <v>2.4829205358400945E-14</v>
      </c>
      <c r="AK143" s="14">
        <f t="shared" si="143"/>
        <v>4.3867331143352915E-13</v>
      </c>
      <c r="AL143" s="22">
        <f t="shared" si="112"/>
        <v>8.0726688341261168E-13</v>
      </c>
      <c r="AM143" s="62">
        <f t="shared" si="113"/>
        <v>293.33333333333411</v>
      </c>
      <c r="AN143" s="62">
        <f ca="1">AVERAGE(OFFSET($AM$3,0,0,'Données projet'!$E$10+1,1))-AVERAGE(OFFSET($H$3,0,0,'Données projet'!$E$10+1,1))</f>
        <v>235.92135862353973</v>
      </c>
      <c r="AO143" s="62">
        <f t="shared" si="144"/>
        <v>270.64539221029258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8.6977245071332615E-2</v>
      </c>
      <c r="AV143" s="23">
        <f>EXP(-LN(2)/25)*AV142+(1-EXP(-LN(2)/25))/(LN(2)/25)*Calculateur!AQ143*Calculateur!AS143*VLOOKUP('Données projet'!$B$10,Paramètres!$A$1:$I$89,3,0)*0.475*44/12</f>
        <v>0.24608426790460192</v>
      </c>
      <c r="AW143" s="23">
        <f>EXP(-LN(2)/2)*AW142+(1-EXP(-LN(2)/2))/(LN(2)/2)*AQ143*AT143*VLOOKUP('Données projet'!$B$10,Paramètres!$A$1:$I$89,3,0)*0.475*44/12</f>
        <v>4.31286443913192E-16</v>
      </c>
      <c r="AX143" s="23">
        <f t="shared" si="114"/>
        <v>0.333061512975935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1.9895196601282805E-13</v>
      </c>
      <c r="O144" s="14">
        <f>N144*VLOOKUP('Données projet'!$B$9,Paramètres!$A$1:$I$89,3,0)*VLOOKUP('Données projet'!$B$9,Paramètres!$A$1:$I$89,5,0)</f>
        <v>1.8001173884840681E-13</v>
      </c>
      <c r="P144" s="14">
        <f t="shared" si="141"/>
        <v>2.5254331426407198E-12</v>
      </c>
      <c r="Q144" s="22">
        <f t="shared" si="108"/>
        <v>4.7119831685935622E-12</v>
      </c>
      <c r="R144" s="62">
        <f t="shared" si="109"/>
        <v>293.33333333333803</v>
      </c>
      <c r="S144" s="62">
        <f ca="1">AVERAGE(OFFSET($R$3,0,0,'Données projet'!$E$9+1,1))-AVERAGE(OFFSET($H$3,0,0,'Données projet'!$E$9+1,1))</f>
        <v>247.05981224668733</v>
      </c>
      <c r="T144" s="62">
        <f t="shared" si="142"/>
        <v>345.23839191022898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1.4987815617581892E-2</v>
      </c>
      <c r="AA144" s="23">
        <f>EXP(-LN(2)/25)*AA143+(1-EXP(-LN(2)/25))/(LN(2)/25)*Calculateur!V144*Calculateur!X144*VLOOKUP('Données projet'!$B$9,Paramètres!$A$1:$I$89,3,0)*0.475*44/12</f>
        <v>4.6385772407634113E-2</v>
      </c>
      <c r="AB144" s="23">
        <f>EXP(-LN(2)/2)*AB143+(1-EXP(-LN(2)/2))/(LN(2)/2)*V144*Y144*VLOOKUP('Données projet'!$B$9,Paramètres!$A$1:$I$89,3,0)*0.475*44/12</f>
        <v>8.2201818338238892E-17</v>
      </c>
      <c r="AC144" s="24">
        <f t="shared" si="111"/>
        <v>6.1373588025216086E-2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2.8421709430404007E-14</v>
      </c>
      <c r="AJ144" s="14">
        <f>AI144*VLOOKUP('Données projet'!$B$10,Paramètres!$A$1:$I$89,3,0)*VLOOKUP('Données projet'!$B$10,Paramètres!$A$1:$I$89,5,0)</f>
        <v>2.4829205358400945E-14</v>
      </c>
      <c r="AK144" s="14">
        <f t="shared" si="143"/>
        <v>4.3867331143352915E-13</v>
      </c>
      <c r="AL144" s="22">
        <f t="shared" si="112"/>
        <v>8.0726688341261168E-13</v>
      </c>
      <c r="AM144" s="62">
        <f t="shared" si="113"/>
        <v>293.33333333333411</v>
      </c>
      <c r="AN144" s="62">
        <f ca="1">AVERAGE(OFFSET($AM$3,0,0,'Données projet'!$E$10+1,1))-AVERAGE(OFFSET($H$3,0,0,'Données projet'!$E$10+1,1))</f>
        <v>235.92135862353973</v>
      </c>
      <c r="AO144" s="62">
        <f t="shared" si="144"/>
        <v>270.64539221029258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8.5271674346364942E-2</v>
      </c>
      <c r="AV144" s="23">
        <f>EXP(-LN(2)/25)*AV143+(1-EXP(-LN(2)/25))/(LN(2)/25)*Calculateur!AQ144*Calculateur!AS144*VLOOKUP('Données projet'!$B$10,Paramètres!$A$1:$I$89,3,0)*0.475*44/12</f>
        <v>0.23935508065774136</v>
      </c>
      <c r="AW144" s="23">
        <f>EXP(-LN(2)/2)*AW143+(1-EXP(-LN(2)/2))/(LN(2)/2)*AQ144*AT144*VLOOKUP('Données projet'!$B$10,Paramètres!$A$1:$I$89,3,0)*0.475*44/12</f>
        <v>3.0496556912484966E-16</v>
      </c>
      <c r="AX144" s="23">
        <f t="shared" si="114"/>
        <v>0.32462675500410659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1.9895196601282805E-13</v>
      </c>
      <c r="O145" s="14">
        <f>N145*VLOOKUP('Données projet'!$B$9,Paramètres!$A$1:$I$89,3,0)*VLOOKUP('Données projet'!$B$9,Paramètres!$A$1:$I$89,5,0)</f>
        <v>1.8001173884840681E-13</v>
      </c>
      <c r="P145" s="14">
        <f t="shared" si="141"/>
        <v>2.5254331426407198E-12</v>
      </c>
      <c r="Q145" s="22">
        <f t="shared" si="108"/>
        <v>4.7119831685935622E-12</v>
      </c>
      <c r="R145" s="62">
        <f t="shared" si="109"/>
        <v>293.33333333333803</v>
      </c>
      <c r="S145" s="62">
        <f ca="1">AVERAGE(OFFSET($R$3,0,0,'Données projet'!$E$9+1,1))-AVERAGE(OFFSET($H$3,0,0,'Données projet'!$E$9+1,1))</f>
        <v>247.05981224668733</v>
      </c>
      <c r="T145" s="62">
        <f t="shared" si="142"/>
        <v>345.23839191022898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1.4693913694985973E-2</v>
      </c>
      <c r="AA145" s="23">
        <f>EXP(-LN(2)/25)*AA144+(1-EXP(-LN(2)/25))/(LN(2)/25)*Calculateur!V145*Calculateur!X145*VLOOKUP('Données projet'!$B$9,Paramètres!$A$1:$I$89,3,0)*0.475*44/12</f>
        <v>4.5117351021825604E-2</v>
      </c>
      <c r="AB145" s="23">
        <f>EXP(-LN(2)/2)*AB144+(1-EXP(-LN(2)/2))/(LN(2)/2)*V145*Y145*VLOOKUP('Données projet'!$B$9,Paramètres!$A$1:$I$89,3,0)*0.475*44/12</f>
        <v>5.8125463172833417E-17</v>
      </c>
      <c r="AC145" s="24">
        <f t="shared" si="111"/>
        <v>5.9811264716811634E-2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2.8421709430404007E-14</v>
      </c>
      <c r="AJ145" s="14">
        <f>AI145*VLOOKUP('Données projet'!$B$10,Paramètres!$A$1:$I$89,3,0)*VLOOKUP('Données projet'!$B$10,Paramètres!$A$1:$I$89,5,0)</f>
        <v>2.4829205358400945E-14</v>
      </c>
      <c r="AK145" s="14">
        <f t="shared" si="143"/>
        <v>4.3867331143352915E-13</v>
      </c>
      <c r="AL145" s="22">
        <f t="shared" si="112"/>
        <v>8.0726688341261168E-13</v>
      </c>
      <c r="AM145" s="62">
        <f t="shared" si="113"/>
        <v>293.33333333333411</v>
      </c>
      <c r="AN145" s="62">
        <f ca="1">AVERAGE(OFFSET($AM$3,0,0,'Données projet'!$E$10+1,1))-AVERAGE(OFFSET($H$3,0,0,'Données projet'!$E$10+1,1))</f>
        <v>235.92135862353973</v>
      </c>
      <c r="AO145" s="62">
        <f t="shared" si="144"/>
        <v>270.64539221029258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8.3599548823018455E-2</v>
      </c>
      <c r="AV145" s="23">
        <f>EXP(-LN(2)/25)*AV144+(1-EXP(-LN(2)/25))/(LN(2)/25)*Calculateur!AQ145*Calculateur!AS145*VLOOKUP('Données projet'!$B$10,Paramètres!$A$1:$I$89,3,0)*0.475*44/12</f>
        <v>0.23280990339001878</v>
      </c>
      <c r="AW145" s="23">
        <f>EXP(-LN(2)/2)*AW144+(1-EXP(-LN(2)/2))/(LN(2)/2)*AQ145*AT145*VLOOKUP('Données projet'!$B$10,Paramètres!$A$1:$I$89,3,0)*0.475*44/12</f>
        <v>2.15643221956596E-16</v>
      </c>
      <c r="AX145" s="23">
        <f t="shared" si="114"/>
        <v>0.31640945221303746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1.9895196601282805E-13</v>
      </c>
      <c r="O146" s="14">
        <f>N146*VLOOKUP('Données projet'!$B$9,Paramètres!$A$1:$I$89,3,0)*VLOOKUP('Données projet'!$B$9,Paramètres!$A$1:$I$89,5,0)</f>
        <v>1.8001173884840681E-13</v>
      </c>
      <c r="P146" s="14">
        <f t="shared" si="141"/>
        <v>2.5254331426407198E-12</v>
      </c>
      <c r="Q146" s="22">
        <f t="shared" si="108"/>
        <v>4.7119831685935622E-12</v>
      </c>
      <c r="R146" s="62">
        <f t="shared" si="109"/>
        <v>293.33333333333803</v>
      </c>
      <c r="S146" s="62">
        <f ca="1">AVERAGE(OFFSET($R$3,0,0,'Données projet'!$E$9+1,1))-AVERAGE(OFFSET($H$3,0,0,'Données projet'!$E$9+1,1))</f>
        <v>247.05981224668733</v>
      </c>
      <c r="T146" s="62">
        <f t="shared" si="142"/>
        <v>345.23839191022898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1.4405775009829688E-2</v>
      </c>
      <c r="AA146" s="23">
        <f>EXP(-LN(2)/25)*AA145+(1-EXP(-LN(2)/25))/(LN(2)/25)*Calculateur!V146*Calculateur!X146*VLOOKUP('Données projet'!$B$9,Paramètres!$A$1:$I$89,3,0)*0.475*44/12</f>
        <v>4.388361468551541E-2</v>
      </c>
      <c r="AB146" s="23">
        <f>EXP(-LN(2)/2)*AB145+(1-EXP(-LN(2)/2))/(LN(2)/2)*V146*Y146*VLOOKUP('Données projet'!$B$9,Paramètres!$A$1:$I$89,3,0)*0.475*44/12</f>
        <v>4.1100909169119446E-17</v>
      </c>
      <c r="AC146" s="24">
        <f t="shared" si="111"/>
        <v>5.828938969534514E-2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2.8421709430404007E-14</v>
      </c>
      <c r="AJ146" s="14">
        <f>AI146*VLOOKUP('Données projet'!$B$10,Paramètres!$A$1:$I$89,3,0)*VLOOKUP('Données projet'!$B$10,Paramètres!$A$1:$I$89,5,0)</f>
        <v>2.4829205358400945E-14</v>
      </c>
      <c r="AK146" s="14">
        <f t="shared" si="143"/>
        <v>4.3867331143352915E-13</v>
      </c>
      <c r="AL146" s="22">
        <f t="shared" si="112"/>
        <v>8.0726688341261168E-13</v>
      </c>
      <c r="AM146" s="62">
        <f t="shared" si="113"/>
        <v>293.33333333333411</v>
      </c>
      <c r="AN146" s="62">
        <f ca="1">AVERAGE(OFFSET($AM$3,0,0,'Données projet'!$E$10+1,1))-AVERAGE(OFFSET($H$3,0,0,'Données projet'!$E$10+1,1))</f>
        <v>235.92135862353973</v>
      </c>
      <c r="AO146" s="62">
        <f t="shared" si="144"/>
        <v>270.64539221029258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8.1960212661288931E-2</v>
      </c>
      <c r="AV146" s="23">
        <f>EXP(-LN(2)/25)*AV145+(1-EXP(-LN(2)/25))/(LN(2)/25)*Calculateur!AQ146*Calculateur!AS146*VLOOKUP('Données projet'!$B$10,Paramètres!$A$1:$I$89,3,0)*0.475*44/12</f>
        <v>0.226443704338878</v>
      </c>
      <c r="AW146" s="23">
        <f>EXP(-LN(2)/2)*AW145+(1-EXP(-LN(2)/2))/(LN(2)/2)*AQ146*AT146*VLOOKUP('Données projet'!$B$10,Paramètres!$A$1:$I$89,3,0)*0.475*44/12</f>
        <v>1.5248278456242483E-16</v>
      </c>
      <c r="AX146" s="23">
        <f t="shared" si="114"/>
        <v>0.30840391700016712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1.9895196601282805E-13</v>
      </c>
      <c r="O147" s="14">
        <f>N147*VLOOKUP('Données projet'!$B$9,Paramètres!$A$1:$I$89,3,0)*VLOOKUP('Données projet'!$B$9,Paramètres!$A$1:$I$89,5,0)</f>
        <v>1.8001173884840681E-13</v>
      </c>
      <c r="P147" s="14">
        <f t="shared" si="141"/>
        <v>2.5254331426407198E-12</v>
      </c>
      <c r="Q147" s="22">
        <f t="shared" si="108"/>
        <v>4.7119831685935622E-12</v>
      </c>
      <c r="R147" s="62">
        <f t="shared" si="109"/>
        <v>293.33333333333803</v>
      </c>
      <c r="S147" s="62">
        <f ca="1">AVERAGE(OFFSET($R$3,0,0,'Données projet'!$E$9+1,1))-AVERAGE(OFFSET($H$3,0,0,'Données projet'!$E$9+1,1))</f>
        <v>247.05981224668733</v>
      </c>
      <c r="T147" s="62">
        <f t="shared" si="142"/>
        <v>345.23839191022898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1.4123286548542073E-2</v>
      </c>
      <c r="AA147" s="23">
        <f>EXP(-LN(2)/25)*AA146+(1-EXP(-LN(2)/25))/(LN(2)/25)*Calculateur!V147*Calculateur!X147*VLOOKUP('Données projet'!$B$9,Paramètres!$A$1:$I$89,3,0)*0.475*44/12</f>
        <v>4.2683614934200989E-2</v>
      </c>
      <c r="AB147" s="23">
        <f>EXP(-LN(2)/2)*AB146+(1-EXP(-LN(2)/2))/(LN(2)/2)*V147*Y147*VLOOKUP('Données projet'!$B$9,Paramètres!$A$1:$I$89,3,0)*0.475*44/12</f>
        <v>2.9062731586416709E-17</v>
      </c>
      <c r="AC147" s="24">
        <f t="shared" si="111"/>
        <v>5.6806901482743088E-2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2.8421709430404007E-14</v>
      </c>
      <c r="AJ147" s="14">
        <f>AI147*VLOOKUP('Données projet'!$B$10,Paramètres!$A$1:$I$89,3,0)*VLOOKUP('Données projet'!$B$10,Paramètres!$A$1:$I$89,5,0)</f>
        <v>2.4829205358400945E-14</v>
      </c>
      <c r="AK147" s="14">
        <f t="shared" si="143"/>
        <v>4.3867331143352915E-13</v>
      </c>
      <c r="AL147" s="22">
        <f t="shared" si="112"/>
        <v>8.0726688341261168E-13</v>
      </c>
      <c r="AM147" s="62">
        <f t="shared" si="113"/>
        <v>293.33333333333411</v>
      </c>
      <c r="AN147" s="62">
        <f ca="1">AVERAGE(OFFSET($AM$3,0,0,'Données projet'!$E$10+1,1))-AVERAGE(OFFSET($H$3,0,0,'Données projet'!$E$10+1,1))</f>
        <v>235.92135862353973</v>
      </c>
      <c r="AO147" s="62">
        <f t="shared" si="144"/>
        <v>270.64539221029258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8.0353022881794592E-2</v>
      </c>
      <c r="AV147" s="23">
        <f>EXP(-LN(2)/25)*AV146+(1-EXP(-LN(2)/25))/(LN(2)/25)*Calculateur!AQ147*Calculateur!AS147*VLOOKUP('Données projet'!$B$10,Paramètres!$A$1:$I$89,3,0)*0.475*44/12</f>
        <v>0.22025158933557451</v>
      </c>
      <c r="AW147" s="23">
        <f>EXP(-LN(2)/2)*AW146+(1-EXP(-LN(2)/2))/(LN(2)/2)*AQ147*AT147*VLOOKUP('Données projet'!$B$10,Paramètres!$A$1:$I$89,3,0)*0.475*44/12</f>
        <v>1.07821610978298E-16</v>
      </c>
      <c r="AX147" s="23">
        <f t="shared" si="114"/>
        <v>0.30060461221736923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1.9895196601282805E-13</v>
      </c>
      <c r="O148" s="14">
        <f>N148*VLOOKUP('Données projet'!$B$9,Paramètres!$A$1:$I$89,3,0)*VLOOKUP('Données projet'!$B$9,Paramètres!$A$1:$I$89,5,0)</f>
        <v>1.8001173884840681E-13</v>
      </c>
      <c r="P148" s="14">
        <f t="shared" si="141"/>
        <v>2.5254331426407198E-12</v>
      </c>
      <c r="Q148" s="22">
        <f t="shared" si="108"/>
        <v>4.7119831685935622E-12</v>
      </c>
      <c r="R148" s="62">
        <f t="shared" si="109"/>
        <v>293.33333333333803</v>
      </c>
      <c r="S148" s="62">
        <f ca="1">AVERAGE(OFFSET($R$3,0,0,'Données projet'!$E$9+1,1))-AVERAGE(OFFSET($H$3,0,0,'Données projet'!$E$9+1,1))</f>
        <v>247.05981224668733</v>
      </c>
      <c r="T148" s="62">
        <f t="shared" si="142"/>
        <v>345.23839191022898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1.3846337513679361E-2</v>
      </c>
      <c r="AA148" s="23">
        <f>EXP(-LN(2)/25)*AA147+(1-EXP(-LN(2)/25))/(LN(2)/25)*Calculateur!V148*Calculateur!X148*VLOOKUP('Données projet'!$B$9,Paramètres!$A$1:$I$89,3,0)*0.475*44/12</f>
        <v>4.1516429239191507E-2</v>
      </c>
      <c r="AB148" s="23">
        <f>EXP(-LN(2)/2)*AB147+(1-EXP(-LN(2)/2))/(LN(2)/2)*V148*Y148*VLOOKUP('Données projet'!$B$9,Paramètres!$A$1:$I$89,3,0)*0.475*44/12</f>
        <v>2.0550454584559723E-17</v>
      </c>
      <c r="AC148" s="24">
        <f t="shared" si="111"/>
        <v>5.5362766752870891E-2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2.8421709430404007E-14</v>
      </c>
      <c r="AJ148" s="14">
        <f>AI148*VLOOKUP('Données projet'!$B$10,Paramètres!$A$1:$I$89,3,0)*VLOOKUP('Données projet'!$B$10,Paramètres!$A$1:$I$89,5,0)</f>
        <v>2.4829205358400945E-14</v>
      </c>
      <c r="AK148" s="14">
        <f t="shared" si="143"/>
        <v>4.3867331143352915E-13</v>
      </c>
      <c r="AL148" s="22">
        <f t="shared" si="112"/>
        <v>8.0726688341261168E-13</v>
      </c>
      <c r="AM148" s="62">
        <f t="shared" si="113"/>
        <v>293.33333333333411</v>
      </c>
      <c r="AN148" s="62">
        <f ca="1">AVERAGE(OFFSET($AM$3,0,0,'Données projet'!$E$10+1,1))-AVERAGE(OFFSET($H$3,0,0,'Données projet'!$E$10+1,1))</f>
        <v>235.92135862353973</v>
      </c>
      <c r="AO148" s="62">
        <f t="shared" si="144"/>
        <v>270.64539221029258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7.8777349113587178E-2</v>
      </c>
      <c r="AV148" s="23">
        <f>EXP(-LN(2)/25)*AV147+(1-EXP(-LN(2)/25))/(LN(2)/25)*Calculateur!AQ148*Calculateur!AS148*VLOOKUP('Données projet'!$B$10,Paramètres!$A$1:$I$89,3,0)*0.475*44/12</f>
        <v>0.21422879804266554</v>
      </c>
      <c r="AW148" s="23">
        <f>EXP(-LN(2)/2)*AW147+(1-EXP(-LN(2)/2))/(LN(2)/2)*AQ148*AT148*VLOOKUP('Données projet'!$B$10,Paramètres!$A$1:$I$89,3,0)*0.475*44/12</f>
        <v>7.6241392281212414E-17</v>
      </c>
      <c r="AX148" s="23">
        <f t="shared" si="114"/>
        <v>0.29300614715625278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1.9895196601282805E-13</v>
      </c>
      <c r="O149" s="14">
        <f>N149*VLOOKUP('Données projet'!$B$9,Paramètres!$A$1:$I$89,3,0)*VLOOKUP('Données projet'!$B$9,Paramètres!$A$1:$I$89,5,0)</f>
        <v>1.8001173884840681E-13</v>
      </c>
      <c r="P149" s="14">
        <f t="shared" si="141"/>
        <v>2.5254331426407198E-12</v>
      </c>
      <c r="Q149" s="22">
        <f t="shared" si="108"/>
        <v>4.7119831685935622E-12</v>
      </c>
      <c r="R149" s="62">
        <f t="shared" si="109"/>
        <v>293.33333333333803</v>
      </c>
      <c r="S149" s="62">
        <f ca="1">AVERAGE(OFFSET($R$3,0,0,'Données projet'!$E$9+1,1))-AVERAGE(OFFSET($H$3,0,0,'Données projet'!$E$9+1,1))</f>
        <v>247.05981224668733</v>
      </c>
      <c r="T149" s="62">
        <f t="shared" si="142"/>
        <v>345.23839191022898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1.3574819280468076E-2</v>
      </c>
      <c r="AA149" s="23">
        <f>EXP(-LN(2)/25)*AA148+(1-EXP(-LN(2)/25))/(LN(2)/25)*Calculateur!V149*Calculateur!X149*VLOOKUP('Données projet'!$B$9,Paramètres!$A$1:$I$89,3,0)*0.475*44/12</f>
        <v>4.0381160298391686E-2</v>
      </c>
      <c r="AB149" s="23">
        <f>EXP(-LN(2)/2)*AB148+(1-EXP(-LN(2)/2))/(LN(2)/2)*V149*Y149*VLOOKUP('Données projet'!$B$9,Paramètres!$A$1:$I$89,3,0)*0.475*44/12</f>
        <v>1.4531365793208354E-17</v>
      </c>
      <c r="AC149" s="24">
        <f t="shared" si="111"/>
        <v>5.3955979578859774E-2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2.8421709430404007E-14</v>
      </c>
      <c r="AJ149" s="14">
        <f>AI149*VLOOKUP('Données projet'!$B$10,Paramètres!$A$1:$I$89,3,0)*VLOOKUP('Données projet'!$B$10,Paramètres!$A$1:$I$89,5,0)</f>
        <v>2.4829205358400945E-14</v>
      </c>
      <c r="AK149" s="14">
        <f t="shared" si="143"/>
        <v>4.3867331143352915E-13</v>
      </c>
      <c r="AL149" s="22">
        <f t="shared" si="112"/>
        <v>8.0726688341261168E-13</v>
      </c>
      <c r="AM149" s="62">
        <f t="shared" si="113"/>
        <v>293.33333333333411</v>
      </c>
      <c r="AN149" s="62">
        <f ca="1">AVERAGE(OFFSET($AM$3,0,0,'Données projet'!$E$10+1,1))-AVERAGE(OFFSET($H$3,0,0,'Données projet'!$E$10+1,1))</f>
        <v>235.92135862353973</v>
      </c>
      <c r="AO149" s="62">
        <f t="shared" si="144"/>
        <v>270.64539221029258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7.7232573346908209E-2</v>
      </c>
      <c r="AV149" s="23">
        <f>EXP(-LN(2)/25)*AV148+(1-EXP(-LN(2)/25))/(LN(2)/25)*Calculateur!AQ149*Calculateur!AS149*VLOOKUP('Données projet'!$B$10,Paramètres!$A$1:$I$89,3,0)*0.475*44/12</f>
        <v>0.20837070029438598</v>
      </c>
      <c r="AW149" s="23">
        <f>EXP(-LN(2)/2)*AW148+(1-EXP(-LN(2)/2))/(LN(2)/2)*AQ149*AT149*VLOOKUP('Données projet'!$B$10,Paramètres!$A$1:$I$89,3,0)*0.475*44/12</f>
        <v>5.3910805489149E-17</v>
      </c>
      <c r="AX149" s="23">
        <f t="shared" si="114"/>
        <v>0.28560327364129423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1.9895196601282805E-13</v>
      </c>
      <c r="O150" s="14">
        <f>N150*VLOOKUP('Données projet'!$B$9,Paramètres!$A$1:$I$89,3,0)*VLOOKUP('Données projet'!$B$9,Paramètres!$A$1:$I$89,5,0)</f>
        <v>1.8001173884840681E-13</v>
      </c>
      <c r="P150" s="14">
        <f t="shared" si="141"/>
        <v>2.5254331426407198E-12</v>
      </c>
      <c r="Q150" s="22">
        <f t="shared" si="108"/>
        <v>4.7119831685935622E-12</v>
      </c>
      <c r="R150" s="62">
        <f t="shared" si="109"/>
        <v>293.33333333333803</v>
      </c>
      <c r="S150" s="62">
        <f ca="1">AVERAGE(OFFSET($R$3,0,0,'Données projet'!$E$9+1,1))-AVERAGE(OFFSET($H$3,0,0,'Données projet'!$E$9+1,1))</f>
        <v>247.05981224668733</v>
      </c>
      <c r="T150" s="62">
        <f t="shared" si="142"/>
        <v>345.23839191022898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1.3308625354200293E-2</v>
      </c>
      <c r="AA150" s="23">
        <f>EXP(-LN(2)/25)*AA149+(1-EXP(-LN(2)/25))/(LN(2)/25)*Calculateur!V150*Calculateur!X150*VLOOKUP('Données projet'!$B$9,Paramètres!$A$1:$I$89,3,0)*0.475*44/12</f>
        <v>3.927693534647924E-2</v>
      </c>
      <c r="AB150" s="23">
        <f>EXP(-LN(2)/2)*AB149+(1-EXP(-LN(2)/2))/(LN(2)/2)*V150*Y150*VLOOKUP('Données projet'!$B$9,Paramètres!$A$1:$I$89,3,0)*0.475*44/12</f>
        <v>1.0275227292279862E-17</v>
      </c>
      <c r="AC150" s="24">
        <f t="shared" si="111"/>
        <v>5.2585560700679539E-2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2.8421709430404007E-14</v>
      </c>
      <c r="AJ150" s="14">
        <f>AI150*VLOOKUP('Données projet'!$B$10,Paramètres!$A$1:$I$89,3,0)*VLOOKUP('Données projet'!$B$10,Paramètres!$A$1:$I$89,5,0)</f>
        <v>2.4829205358400945E-14</v>
      </c>
      <c r="AK150" s="14">
        <f t="shared" si="143"/>
        <v>4.3867331143352915E-13</v>
      </c>
      <c r="AL150" s="22">
        <f t="shared" si="112"/>
        <v>8.0726688341261168E-13</v>
      </c>
      <c r="AM150" s="62">
        <f t="shared" si="113"/>
        <v>293.33333333333411</v>
      </c>
      <c r="AN150" s="62">
        <f ca="1">AVERAGE(OFFSET($AM$3,0,0,'Données projet'!$E$10+1,1))-AVERAGE(OFFSET($H$3,0,0,'Données projet'!$E$10+1,1))</f>
        <v>235.92135862353973</v>
      </c>
      <c r="AO150" s="62">
        <f t="shared" si="144"/>
        <v>270.64539221029258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7.5718089690793633E-2</v>
      </c>
      <c r="AV150" s="23">
        <f>EXP(-LN(2)/25)*AV149+(1-EXP(-LN(2)/25))/(LN(2)/25)*Calculateur!AQ150*Calculateur!AS150*VLOOKUP('Données projet'!$B$10,Paramètres!$A$1:$I$89,3,0)*0.475*44/12</f>
        <v>0.20267279253709711</v>
      </c>
      <c r="AW150" s="23">
        <f>EXP(-LN(2)/2)*AW149+(1-EXP(-LN(2)/2))/(LN(2)/2)*AQ150*AT150*VLOOKUP('Données projet'!$B$10,Paramètres!$A$1:$I$89,3,0)*0.475*44/12</f>
        <v>3.8120696140606207E-17</v>
      </c>
      <c r="AX150" s="23">
        <f t="shared" si="114"/>
        <v>0.27839088222789082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1.9895196601282805E-13</v>
      </c>
      <c r="O151" s="14">
        <f>N151*VLOOKUP('Données projet'!$B$9,Paramètres!$A$1:$I$89,3,0)*VLOOKUP('Données projet'!$B$9,Paramètres!$A$1:$I$89,5,0)</f>
        <v>1.8001173884840681E-13</v>
      </c>
      <c r="P151" s="14">
        <f t="shared" si="141"/>
        <v>2.5254331426407198E-12</v>
      </c>
      <c r="Q151" s="22">
        <f t="shared" si="108"/>
        <v>4.7119831685935622E-12</v>
      </c>
      <c r="R151" s="62">
        <f t="shared" si="109"/>
        <v>293.33333333333803</v>
      </c>
      <c r="S151" s="62">
        <f ca="1">AVERAGE(OFFSET($R$3,0,0,'Données projet'!$E$9+1,1))-AVERAGE(OFFSET($H$3,0,0,'Données projet'!$E$9+1,1))</f>
        <v>247.05981224668733</v>
      </c>
      <c r="T151" s="62">
        <f t="shared" si="142"/>
        <v>345.23839191022898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1.3047651328464359E-2</v>
      </c>
      <c r="AA151" s="23">
        <f>EXP(-LN(2)/25)*AA150+(1-EXP(-LN(2)/25))/(LN(2)/25)*Calculateur!V151*Calculateur!X151*VLOOKUP('Données projet'!$B$9,Paramètres!$A$1:$I$89,3,0)*0.475*44/12</f>
        <v>3.8202905483945504E-2</v>
      </c>
      <c r="AB151" s="23">
        <f>EXP(-LN(2)/2)*AB150+(1-EXP(-LN(2)/2))/(LN(2)/2)*V151*Y151*VLOOKUP('Données projet'!$B$9,Paramètres!$A$1:$I$89,3,0)*0.475*44/12</f>
        <v>7.2656828966041772E-18</v>
      </c>
      <c r="AC151" s="24">
        <f t="shared" si="111"/>
        <v>5.1250556812409871E-2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2.8421709430404007E-14</v>
      </c>
      <c r="AJ151" s="14">
        <f>AI151*VLOOKUP('Données projet'!$B$10,Paramètres!$A$1:$I$89,3,0)*VLOOKUP('Données projet'!$B$10,Paramètres!$A$1:$I$89,5,0)</f>
        <v>2.4829205358400945E-14</v>
      </c>
      <c r="AK151" s="14">
        <f t="shared" si="143"/>
        <v>4.3867331143352915E-13</v>
      </c>
      <c r="AL151" s="22">
        <f t="shared" si="112"/>
        <v>8.0726688341261168E-13</v>
      </c>
      <c r="AM151" s="62">
        <f t="shared" si="113"/>
        <v>293.33333333333411</v>
      </c>
      <c r="AN151" s="62">
        <f ca="1">AVERAGE(OFFSET($AM$3,0,0,'Données projet'!$E$10+1,1))-AVERAGE(OFFSET($H$3,0,0,'Données projet'!$E$10+1,1))</f>
        <v>235.92135862353973</v>
      </c>
      <c r="AO151" s="62">
        <f t="shared" si="144"/>
        <v>270.64539221029258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7.4233304135431638E-2</v>
      </c>
      <c r="AV151" s="23">
        <f>EXP(-LN(2)/25)*AV150+(1-EXP(-LN(2)/25))/(LN(2)/25)*Calculateur!AQ151*Calculateur!AS151*VLOOKUP('Données projet'!$B$10,Paramètres!$A$1:$I$89,3,0)*0.475*44/12</f>
        <v>0.19713069436707123</v>
      </c>
      <c r="AW151" s="23">
        <f>EXP(-LN(2)/2)*AW150+(1-EXP(-LN(2)/2))/(LN(2)/2)*AQ151*AT151*VLOOKUP('Données projet'!$B$10,Paramètres!$A$1:$I$89,3,0)*0.475*44/12</f>
        <v>2.69554027445745E-17</v>
      </c>
      <c r="AX151" s="23">
        <f t="shared" si="114"/>
        <v>0.27136399850250287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1.9895196601282805E-13</v>
      </c>
      <c r="O152" s="14">
        <f>N152*VLOOKUP('Données projet'!$B$9,Paramètres!$A$1:$I$89,3,0)*VLOOKUP('Données projet'!$B$9,Paramètres!$A$1:$I$89,5,0)</f>
        <v>1.8001173884840681E-13</v>
      </c>
      <c r="P152" s="14">
        <f t="shared" si="141"/>
        <v>2.5254331426407198E-12</v>
      </c>
      <c r="Q152" s="22">
        <f t="shared" si="108"/>
        <v>4.7119831685935622E-12</v>
      </c>
      <c r="R152" s="62">
        <f t="shared" si="109"/>
        <v>293.33333333333803</v>
      </c>
      <c r="S152" s="62">
        <f ca="1">AVERAGE(OFFSET($R$3,0,0,'Données projet'!$E$9+1,1))-AVERAGE(OFFSET($H$3,0,0,'Données projet'!$E$9+1,1))</f>
        <v>247.05981224668733</v>
      </c>
      <c r="T152" s="62">
        <f t="shared" si="142"/>
        <v>345.23839191022898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1.2791794844194668E-2</v>
      </c>
      <c r="AA152" s="23">
        <f>EXP(-LN(2)/25)*AA151+(1-EXP(-LN(2)/25))/(LN(2)/25)*Calculateur!V152*Calculateur!X152*VLOOKUP('Données projet'!$B$9,Paramètres!$A$1:$I$89,3,0)*0.475*44/12</f>
        <v>3.7158245024483526E-2</v>
      </c>
      <c r="AB152" s="23">
        <f>EXP(-LN(2)/2)*AB151+(1-EXP(-LN(2)/2))/(LN(2)/2)*V152*Y152*VLOOKUP('Données projet'!$B$9,Paramètres!$A$1:$I$89,3,0)*0.475*44/12</f>
        <v>5.1376136461399308E-18</v>
      </c>
      <c r="AC152" s="24">
        <f t="shared" si="111"/>
        <v>4.99500398686782E-2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2.8421709430404007E-14</v>
      </c>
      <c r="AJ152" s="14">
        <f>AI152*VLOOKUP('Données projet'!$B$10,Paramètres!$A$1:$I$89,3,0)*VLOOKUP('Données projet'!$B$10,Paramètres!$A$1:$I$89,5,0)</f>
        <v>2.4829205358400945E-14</v>
      </c>
      <c r="AK152" s="14">
        <f t="shared" si="143"/>
        <v>4.3867331143352915E-13</v>
      </c>
      <c r="AL152" s="22">
        <f t="shared" si="112"/>
        <v>8.0726688341261168E-13</v>
      </c>
      <c r="AM152" s="62">
        <f t="shared" si="113"/>
        <v>293.33333333333411</v>
      </c>
      <c r="AN152" s="62">
        <f ca="1">AVERAGE(OFFSET($AM$3,0,0,'Données projet'!$E$10+1,1))-AVERAGE(OFFSET($H$3,0,0,'Données projet'!$E$10+1,1))</f>
        <v>235.92135862353973</v>
      </c>
      <c r="AO152" s="62">
        <f t="shared" si="144"/>
        <v>270.64539221029258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7.2777634319180537E-2</v>
      </c>
      <c r="AV152" s="23">
        <f>EXP(-LN(2)/25)*AV151+(1-EXP(-LN(2)/25))/(LN(2)/25)*Calculateur!AQ152*Calculateur!AS152*VLOOKUP('Données projet'!$B$10,Paramètres!$A$1:$I$89,3,0)*0.475*44/12</f>
        <v>0.19174014516295099</v>
      </c>
      <c r="AW152" s="23">
        <f>EXP(-LN(2)/2)*AW151+(1-EXP(-LN(2)/2))/(LN(2)/2)*AQ152*AT152*VLOOKUP('Données projet'!$B$10,Paramètres!$A$1:$I$89,3,0)*0.475*44/12</f>
        <v>1.9060348070303103E-17</v>
      </c>
      <c r="AX152" s="23">
        <f t="shared" si="114"/>
        <v>0.26451777948213151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1.9895196601282805E-13</v>
      </c>
      <c r="O153" s="14">
        <f>N153*VLOOKUP('Données projet'!$B$9,Paramètres!$A$1:$I$89,3,0)*VLOOKUP('Données projet'!$B$9,Paramètres!$A$1:$I$89,5,0)</f>
        <v>1.8001173884840681E-13</v>
      </c>
      <c r="P153" s="14">
        <f t="shared" si="141"/>
        <v>2.5254331426407198E-12</v>
      </c>
      <c r="Q153" s="22">
        <f t="shared" si="108"/>
        <v>4.7119831685935622E-12</v>
      </c>
      <c r="R153" s="62">
        <f t="shared" si="109"/>
        <v>293.33333333333803</v>
      </c>
      <c r="S153" s="62">
        <f ca="1">AVERAGE(OFFSET($R$3,0,0,'Données projet'!$E$9+1,1))-AVERAGE(OFFSET($H$3,0,0,'Données projet'!$E$9+1,1))</f>
        <v>247.05981224668733</v>
      </c>
      <c r="T153" s="62">
        <f t="shared" si="142"/>
        <v>345.23839191022898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1.254095554952446E-2</v>
      </c>
      <c r="AA153" s="23">
        <f>EXP(-LN(2)/25)*AA152+(1-EXP(-LN(2)/25))/(LN(2)/25)*Calculateur!V153*Calculateur!X153*VLOOKUP('Données projet'!$B$9,Paramètres!$A$1:$I$89,3,0)*0.475*44/12</f>
        <v>3.6142150860221843E-2</v>
      </c>
      <c r="AB153" s="23">
        <f>EXP(-LN(2)/2)*AB152+(1-EXP(-LN(2)/2))/(LN(2)/2)*V153*Y153*VLOOKUP('Données projet'!$B$9,Paramètres!$A$1:$I$89,3,0)*0.475*44/12</f>
        <v>3.6328414483020886E-18</v>
      </c>
      <c r="AC153" s="24">
        <f t="shared" si="111"/>
        <v>4.868310640974631E-2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2.8421709430404007E-14</v>
      </c>
      <c r="AJ153" s="14">
        <f>AI153*VLOOKUP('Données projet'!$B$10,Paramètres!$A$1:$I$89,3,0)*VLOOKUP('Données projet'!$B$10,Paramètres!$A$1:$I$89,5,0)</f>
        <v>2.4829205358400945E-14</v>
      </c>
      <c r="AK153" s="14">
        <f t="shared" si="143"/>
        <v>4.3867331143352915E-13</v>
      </c>
      <c r="AL153" s="22">
        <f t="shared" si="112"/>
        <v>8.0726688341261168E-13</v>
      </c>
      <c r="AM153" s="62">
        <f t="shared" si="113"/>
        <v>293.33333333333411</v>
      </c>
      <c r="AN153" s="62">
        <f ca="1">AVERAGE(OFFSET($AM$3,0,0,'Données projet'!$E$10+1,1))-AVERAGE(OFFSET($H$3,0,0,'Données projet'!$E$10+1,1))</f>
        <v>235.92135862353973</v>
      </c>
      <c r="AO153" s="62">
        <f t="shared" si="144"/>
        <v>270.64539221029258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7.1350509300155199E-2</v>
      </c>
      <c r="AV153" s="23">
        <f>EXP(-LN(2)/25)*AV152+(1-EXP(-LN(2)/25))/(LN(2)/25)*Calculateur!AQ153*Calculateur!AS153*VLOOKUP('Données projet'!$B$10,Paramètres!$A$1:$I$89,3,0)*0.475*44/12</f>
        <v>0.18649700081029408</v>
      </c>
      <c r="AW153" s="23">
        <f>EXP(-LN(2)/2)*AW152+(1-EXP(-LN(2)/2))/(LN(2)/2)*AQ153*AT153*VLOOKUP('Données projet'!$B$10,Paramètres!$A$1:$I$89,3,0)*0.475*44/12</f>
        <v>1.347770137228725E-17</v>
      </c>
      <c r="AX153" s="23">
        <f t="shared" si="114"/>
        <v>0.25784751011044926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1.9895196601282805E-13</v>
      </c>
      <c r="O154" s="14">
        <f>N154*VLOOKUP('Données projet'!$B$9,Paramètres!$A$1:$I$89,3,0)*VLOOKUP('Données projet'!$B$9,Paramètres!$A$1:$I$89,5,0)</f>
        <v>1.8001173884840681E-13</v>
      </c>
      <c r="P154" s="14">
        <f t="shared" si="141"/>
        <v>2.5254331426407198E-12</v>
      </c>
      <c r="Q154" s="22">
        <f t="shared" ref="Q154:Q203" si="162">(O154+P154)*0.475*44/12</f>
        <v>4.7119831685935622E-12</v>
      </c>
      <c r="R154" s="62">
        <f t="shared" si="109"/>
        <v>293.33333333333803</v>
      </c>
      <c r="S154" s="62">
        <f ca="1">AVERAGE(OFFSET($R$3,0,0,'Données projet'!$E$9+1,1))-AVERAGE(OFFSET($H$3,0,0,'Données projet'!$E$9+1,1))</f>
        <v>247.05981224668733</v>
      </c>
      <c r="T154" s="62">
        <f t="shared" si="142"/>
        <v>345.23839191022898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1.2295035060425872E-2</v>
      </c>
      <c r="AA154" s="23">
        <f>EXP(-LN(2)/25)*AA153+(1-EXP(-LN(2)/25))/(LN(2)/25)*Calculateur!V154*Calculateur!X154*VLOOKUP('Données projet'!$B$9,Paramètres!$A$1:$I$89,3,0)*0.475*44/12</f>
        <v>3.5153841844315969E-2</v>
      </c>
      <c r="AB154" s="23">
        <f>EXP(-LN(2)/2)*AB153+(1-EXP(-LN(2)/2))/(LN(2)/2)*V154*Y154*VLOOKUP('Données projet'!$B$9,Paramètres!$A$1:$I$89,3,0)*0.475*44/12</f>
        <v>2.5688068230699654E-18</v>
      </c>
      <c r="AC154" s="24">
        <f t="shared" ref="AC154:AC203" si="163">SUM(Z154:AB154)</f>
        <v>4.7448876904741838E-2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2.8421709430404007E-14</v>
      </c>
      <c r="AJ154" s="14">
        <f>AI154*VLOOKUP('Données projet'!$B$10,Paramètres!$A$1:$I$89,3,0)*VLOOKUP('Données projet'!$B$10,Paramètres!$A$1:$I$89,5,0)</f>
        <v>2.4829205358400945E-14</v>
      </c>
      <c r="AK154" s="14">
        <f t="shared" ref="AK154:AK203" si="164">EXP(-1.0587+0.8836*LN(AJ154)+0.284)</f>
        <v>4.3867331143352915E-13</v>
      </c>
      <c r="AL154" s="22">
        <f t="shared" ref="AL154:AL203" si="165">(AJ154+AK154)*0.475*44/12</f>
        <v>8.0726688341261168E-13</v>
      </c>
      <c r="AM154" s="62">
        <f t="shared" si="113"/>
        <v>293.33333333333411</v>
      </c>
      <c r="AN154" s="62">
        <f ca="1">AVERAGE(OFFSET($AM$3,0,0,'Données projet'!$E$10+1,1))-AVERAGE(OFFSET($H$3,0,0,'Données projet'!$E$10+1,1))</f>
        <v>235.92135862353973</v>
      </c>
      <c r="AO154" s="62">
        <f t="shared" si="144"/>
        <v>270.64539221029258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6.9951369332292637E-2</v>
      </c>
      <c r="AV154" s="23">
        <f>EXP(-LN(2)/25)*AV153+(1-EXP(-LN(2)/25))/(LN(2)/25)*Calculateur!AQ154*Calculateur!AS154*VLOOKUP('Données projet'!$B$10,Paramètres!$A$1:$I$89,3,0)*0.475*44/12</f>
        <v>0.18139723051568557</v>
      </c>
      <c r="AW154" s="23">
        <f>EXP(-LN(2)/2)*AW153+(1-EXP(-LN(2)/2))/(LN(2)/2)*AQ154*AT154*VLOOKUP('Données projet'!$B$10,Paramètres!$A$1:$I$89,3,0)*0.475*44/12</f>
        <v>9.5301740351515517E-18</v>
      </c>
      <c r="AX154" s="23">
        <f t="shared" ref="AX154:AX203" si="166">SUM(AU154:AW154)</f>
        <v>0.25134859984797819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1.9895196601282805E-13</v>
      </c>
      <c r="O155" s="14">
        <f>N155*VLOOKUP('Données projet'!$B$9,Paramètres!$A$1:$I$89,3,0)*VLOOKUP('Données projet'!$B$9,Paramètres!$A$1:$I$89,5,0)</f>
        <v>1.8001173884840681E-13</v>
      </c>
      <c r="P155" s="14">
        <f t="shared" si="141"/>
        <v>2.5254331426407198E-12</v>
      </c>
      <c r="Q155" s="22">
        <f t="shared" si="162"/>
        <v>4.7119831685935622E-12</v>
      </c>
      <c r="R155" s="62">
        <f t="shared" si="109"/>
        <v>293.33333333333803</v>
      </c>
      <c r="S155" s="62">
        <f ca="1">AVERAGE(OFFSET($R$3,0,0,'Données projet'!$E$9+1,1))-AVERAGE(OFFSET($H$3,0,0,'Données projet'!$E$9+1,1))</f>
        <v>247.05981224668733</v>
      </c>
      <c r="T155" s="62">
        <f t="shared" si="142"/>
        <v>345.23839191022898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1.2053936922121819E-2</v>
      </c>
      <c r="AA155" s="23">
        <f>EXP(-LN(2)/25)*AA154+(1-EXP(-LN(2)/25))/(LN(2)/25)*Calculateur!V155*Calculateur!X155*VLOOKUP('Données projet'!$B$9,Paramètres!$A$1:$I$89,3,0)*0.475*44/12</f>
        <v>3.4192558190422953E-2</v>
      </c>
      <c r="AB155" s="23">
        <f>EXP(-LN(2)/2)*AB154+(1-EXP(-LN(2)/2))/(LN(2)/2)*V155*Y155*VLOOKUP('Données projet'!$B$9,Paramètres!$A$1:$I$89,3,0)*0.475*44/12</f>
        <v>1.8164207241510443E-18</v>
      </c>
      <c r="AC155" s="24">
        <f t="shared" si="163"/>
        <v>4.6246495112544771E-2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2.8421709430404007E-14</v>
      </c>
      <c r="AJ155" s="14">
        <f>AI155*VLOOKUP('Données projet'!$B$10,Paramètres!$A$1:$I$89,3,0)*VLOOKUP('Données projet'!$B$10,Paramètres!$A$1:$I$89,5,0)</f>
        <v>2.4829205358400945E-14</v>
      </c>
      <c r="AK155" s="14">
        <f t="shared" si="164"/>
        <v>4.3867331143352915E-13</v>
      </c>
      <c r="AL155" s="22">
        <f t="shared" si="165"/>
        <v>8.0726688341261168E-13</v>
      </c>
      <c r="AM155" s="62">
        <f t="shared" si="113"/>
        <v>293.33333333333411</v>
      </c>
      <c r="AN155" s="62">
        <f ca="1">AVERAGE(OFFSET($AM$3,0,0,'Données projet'!$E$10+1,1))-AVERAGE(OFFSET($H$3,0,0,'Données projet'!$E$10+1,1))</f>
        <v>235.92135862353973</v>
      </c>
      <c r="AO155" s="62">
        <f t="shared" si="144"/>
        <v>270.64539221029258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6.8579665645808738E-2</v>
      </c>
      <c r="AV155" s="23">
        <f>EXP(-LN(2)/25)*AV154+(1-EXP(-LN(2)/25))/(LN(2)/25)*Calculateur!AQ155*Calculateur!AS155*VLOOKUP('Données projet'!$B$10,Paramètres!$A$1:$I$89,3,0)*0.475*44/12</f>
        <v>0.17643691370796838</v>
      </c>
      <c r="AW155" s="23">
        <f>EXP(-LN(2)/2)*AW154+(1-EXP(-LN(2)/2))/(LN(2)/2)*AQ155*AT155*VLOOKUP('Données projet'!$B$10,Paramètres!$A$1:$I$89,3,0)*0.475*44/12</f>
        <v>6.738850686143625E-18</v>
      </c>
      <c r="AX155" s="23">
        <f t="shared" si="166"/>
        <v>0.24501657935377713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1.9895196601282805E-13</v>
      </c>
      <c r="O156" s="14">
        <f>N156*VLOOKUP('Données projet'!$B$9,Paramètres!$A$1:$I$89,3,0)*VLOOKUP('Données projet'!$B$9,Paramètres!$A$1:$I$89,5,0)</f>
        <v>1.8001173884840681E-13</v>
      </c>
      <c r="P156" s="14">
        <f t="shared" si="141"/>
        <v>2.5254331426407198E-12</v>
      </c>
      <c r="Q156" s="22">
        <f t="shared" si="162"/>
        <v>4.7119831685935622E-12</v>
      </c>
      <c r="R156" s="62">
        <f t="shared" si="109"/>
        <v>293.33333333333803</v>
      </c>
      <c r="S156" s="62">
        <f ca="1">AVERAGE(OFFSET($R$3,0,0,'Données projet'!$E$9+1,1))-AVERAGE(OFFSET($H$3,0,0,'Données projet'!$E$9+1,1))</f>
        <v>247.05981224668733</v>
      </c>
      <c r="T156" s="62">
        <f t="shared" si="142"/>
        <v>345.23839191022898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1.1817566571254566E-2</v>
      </c>
      <c r="AA156" s="23">
        <f>EXP(-LN(2)/25)*AA155+(1-EXP(-LN(2)/25))/(LN(2)/25)*Calculateur!V156*Calculateur!X156*VLOOKUP('Données projet'!$B$9,Paramètres!$A$1:$I$89,3,0)*0.475*44/12</f>
        <v>3.3257560888597347E-2</v>
      </c>
      <c r="AB156" s="23">
        <f>EXP(-LN(2)/2)*AB155+(1-EXP(-LN(2)/2))/(LN(2)/2)*V156*Y156*VLOOKUP('Données projet'!$B$9,Paramètres!$A$1:$I$89,3,0)*0.475*44/12</f>
        <v>1.2844034115349827E-18</v>
      </c>
      <c r="AC156" s="24">
        <f t="shared" si="163"/>
        <v>4.5075127459851913E-2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2.8421709430404007E-14</v>
      </c>
      <c r="AJ156" s="14">
        <f>AI156*VLOOKUP('Données projet'!$B$10,Paramètres!$A$1:$I$89,3,0)*VLOOKUP('Données projet'!$B$10,Paramètres!$A$1:$I$89,5,0)</f>
        <v>2.4829205358400945E-14</v>
      </c>
      <c r="AK156" s="14">
        <f t="shared" si="164"/>
        <v>4.3867331143352915E-13</v>
      </c>
      <c r="AL156" s="22">
        <f t="shared" si="165"/>
        <v>8.0726688341261168E-13</v>
      </c>
      <c r="AM156" s="62">
        <f t="shared" si="113"/>
        <v>293.33333333333411</v>
      </c>
      <c r="AN156" s="62">
        <f ca="1">AVERAGE(OFFSET($AM$3,0,0,'Données projet'!$E$10+1,1))-AVERAGE(OFFSET($H$3,0,0,'Données projet'!$E$10+1,1))</f>
        <v>235.92135862353973</v>
      </c>
      <c r="AO156" s="62">
        <f t="shared" si="144"/>
        <v>270.64539221029258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6.7234860231960153E-2</v>
      </c>
      <c r="AV156" s="23">
        <f>EXP(-LN(2)/25)*AV155+(1-EXP(-LN(2)/25))/(LN(2)/25)*Calculateur!AQ156*Calculateur!AS156*VLOOKUP('Données projet'!$B$10,Paramètres!$A$1:$I$89,3,0)*0.475*44/12</f>
        <v>0.17161223702420994</v>
      </c>
      <c r="AW156" s="23">
        <f>EXP(-LN(2)/2)*AW155+(1-EXP(-LN(2)/2))/(LN(2)/2)*AQ156*AT156*VLOOKUP('Données projet'!$B$10,Paramètres!$A$1:$I$89,3,0)*0.475*44/12</f>
        <v>4.7650870175757759E-18</v>
      </c>
      <c r="AX156" s="23">
        <f t="shared" si="166"/>
        <v>0.23884709725617009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1.9895196601282805E-13</v>
      </c>
      <c r="O157" s="14">
        <f>N157*VLOOKUP('Données projet'!$B$9,Paramètres!$A$1:$I$89,3,0)*VLOOKUP('Données projet'!$B$9,Paramètres!$A$1:$I$89,5,0)</f>
        <v>1.8001173884840681E-13</v>
      </c>
      <c r="P157" s="14">
        <f t="shared" si="141"/>
        <v>2.5254331426407198E-12</v>
      </c>
      <c r="Q157" s="22">
        <f t="shared" si="162"/>
        <v>4.7119831685935622E-12</v>
      </c>
      <c r="R157" s="62">
        <f t="shared" si="109"/>
        <v>293.33333333333803</v>
      </c>
      <c r="S157" s="62">
        <f ca="1">AVERAGE(OFFSET($R$3,0,0,'Données projet'!$E$9+1,1))-AVERAGE(OFFSET($H$3,0,0,'Données projet'!$E$9+1,1))</f>
        <v>247.05981224668733</v>
      </c>
      <c r="T157" s="62">
        <f t="shared" si="142"/>
        <v>345.23839191022898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1.1585831298796142E-2</v>
      </c>
      <c r="AA157" s="23">
        <f>EXP(-LN(2)/25)*AA156+(1-EXP(-LN(2)/25))/(LN(2)/25)*Calculateur!V157*Calculateur!X157*VLOOKUP('Données projet'!$B$9,Paramètres!$A$1:$I$89,3,0)*0.475*44/12</f>
        <v>3.2348131137159536E-2</v>
      </c>
      <c r="AB157" s="23">
        <f>EXP(-LN(2)/2)*AB156+(1-EXP(-LN(2)/2))/(LN(2)/2)*V157*Y157*VLOOKUP('Données projet'!$B$9,Paramètres!$A$1:$I$89,3,0)*0.475*44/12</f>
        <v>9.0821036207552215E-19</v>
      </c>
      <c r="AC157" s="24">
        <f t="shared" si="163"/>
        <v>4.3933962435955681E-2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2.8421709430404007E-14</v>
      </c>
      <c r="AJ157" s="14">
        <f>AI157*VLOOKUP('Données projet'!$B$10,Paramètres!$A$1:$I$89,3,0)*VLOOKUP('Données projet'!$B$10,Paramètres!$A$1:$I$89,5,0)</f>
        <v>2.4829205358400945E-14</v>
      </c>
      <c r="AK157" s="14">
        <f t="shared" si="164"/>
        <v>4.3867331143352915E-13</v>
      </c>
      <c r="AL157" s="22">
        <f t="shared" si="165"/>
        <v>8.0726688341261168E-13</v>
      </c>
      <c r="AM157" s="62">
        <f t="shared" si="113"/>
        <v>293.33333333333411</v>
      </c>
      <c r="AN157" s="62">
        <f ca="1">AVERAGE(OFFSET($AM$3,0,0,'Données projet'!$E$10+1,1))-AVERAGE(OFFSET($H$3,0,0,'Données projet'!$E$10+1,1))</f>
        <v>235.92135862353973</v>
      </c>
      <c r="AO157" s="62">
        <f t="shared" si="144"/>
        <v>270.64539221029258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6.5916425632026834E-2</v>
      </c>
      <c r="AV157" s="23">
        <f>EXP(-LN(2)/25)*AV156+(1-EXP(-LN(2)/25))/(LN(2)/25)*Calculateur!AQ157*Calculateur!AS157*VLOOKUP('Données projet'!$B$10,Paramètres!$A$1:$I$89,3,0)*0.475*44/12</f>
        <v>0.16691949137808759</v>
      </c>
      <c r="AW157" s="23">
        <f>EXP(-LN(2)/2)*AW156+(1-EXP(-LN(2)/2))/(LN(2)/2)*AQ157*AT157*VLOOKUP('Données projet'!$B$10,Paramètres!$A$1:$I$89,3,0)*0.475*44/12</f>
        <v>3.3694253430718125E-18</v>
      </c>
      <c r="AX157" s="23">
        <f t="shared" si="166"/>
        <v>0.23283591701011441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1.9895196601282805E-13</v>
      </c>
      <c r="O158" s="14">
        <f>N158*VLOOKUP('Données projet'!$B$9,Paramètres!$A$1:$I$89,3,0)*VLOOKUP('Données projet'!$B$9,Paramètres!$A$1:$I$89,5,0)</f>
        <v>1.8001173884840681E-13</v>
      </c>
      <c r="P158" s="14">
        <f t="shared" si="141"/>
        <v>2.5254331426407198E-12</v>
      </c>
      <c r="Q158" s="22">
        <f t="shared" si="162"/>
        <v>4.7119831685935622E-12</v>
      </c>
      <c r="R158" s="62">
        <f t="shared" si="109"/>
        <v>293.33333333333803</v>
      </c>
      <c r="S158" s="62">
        <f ca="1">AVERAGE(OFFSET($R$3,0,0,'Données projet'!$E$9+1,1))-AVERAGE(OFFSET($H$3,0,0,'Données projet'!$E$9+1,1))</f>
        <v>247.05981224668733</v>
      </c>
      <c r="T158" s="62">
        <f t="shared" si="142"/>
        <v>345.23839191022898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1.1358640213686067E-2</v>
      </c>
      <c r="AA158" s="23">
        <f>EXP(-LN(2)/25)*AA157+(1-EXP(-LN(2)/25))/(LN(2)/25)*Calculateur!V158*Calculateur!X158*VLOOKUP('Données projet'!$B$9,Paramètres!$A$1:$I$89,3,0)*0.475*44/12</f>
        <v>3.1463569790099621E-2</v>
      </c>
      <c r="AB158" s="23">
        <f>EXP(-LN(2)/2)*AB157+(1-EXP(-LN(2)/2))/(LN(2)/2)*V158*Y158*VLOOKUP('Données projet'!$B$9,Paramètres!$A$1:$I$89,3,0)*0.475*44/12</f>
        <v>6.4220170576749134E-19</v>
      </c>
      <c r="AC158" s="24">
        <f t="shared" si="163"/>
        <v>4.2822210003785686E-2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2.8421709430404007E-14</v>
      </c>
      <c r="AJ158" s="14">
        <f>AI158*VLOOKUP('Données projet'!$B$10,Paramètres!$A$1:$I$89,3,0)*VLOOKUP('Données projet'!$B$10,Paramètres!$A$1:$I$89,5,0)</f>
        <v>2.4829205358400945E-14</v>
      </c>
      <c r="AK158" s="14">
        <f t="shared" si="164"/>
        <v>4.3867331143352915E-13</v>
      </c>
      <c r="AL158" s="22">
        <f t="shared" si="165"/>
        <v>8.0726688341261168E-13</v>
      </c>
      <c r="AM158" s="62">
        <f t="shared" si="113"/>
        <v>293.33333333333411</v>
      </c>
      <c r="AN158" s="62">
        <f ca="1">AVERAGE(OFFSET($AM$3,0,0,'Données projet'!$E$10+1,1))-AVERAGE(OFFSET($H$3,0,0,'Données projet'!$E$10+1,1))</f>
        <v>235.92135862353973</v>
      </c>
      <c r="AO158" s="62">
        <f t="shared" si="144"/>
        <v>270.64539221029258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6.4623844730432506E-2</v>
      </c>
      <c r="AV158" s="23">
        <f>EXP(-LN(2)/25)*AV157+(1-EXP(-LN(2)/25))/(LN(2)/25)*Calculateur!AQ158*Calculateur!AS158*VLOOKUP('Données projet'!$B$10,Paramètres!$A$1:$I$89,3,0)*0.475*44/12</f>
        <v>0.16235506910843925</v>
      </c>
      <c r="AW158" s="23">
        <f>EXP(-LN(2)/2)*AW157+(1-EXP(-LN(2)/2))/(LN(2)/2)*AQ158*AT158*VLOOKUP('Données projet'!$B$10,Paramètres!$A$1:$I$89,3,0)*0.475*44/12</f>
        <v>2.3825435087878879E-18</v>
      </c>
      <c r="AX158" s="23">
        <f t="shared" si="166"/>
        <v>0.22697891383887175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1.9895196601282805E-13</v>
      </c>
      <c r="O159" s="14">
        <f>N159*VLOOKUP('Données projet'!$B$9,Paramètres!$A$1:$I$89,3,0)*VLOOKUP('Données projet'!$B$9,Paramètres!$A$1:$I$89,5,0)</f>
        <v>1.8001173884840681E-13</v>
      </c>
      <c r="P159" s="14">
        <f t="shared" si="141"/>
        <v>2.5254331426407198E-12</v>
      </c>
      <c r="Q159" s="22">
        <f t="shared" si="162"/>
        <v>4.7119831685935622E-12</v>
      </c>
      <c r="R159" s="62">
        <f t="shared" si="109"/>
        <v>293.33333333333803</v>
      </c>
      <c r="S159" s="62">
        <f ca="1">AVERAGE(OFFSET($R$3,0,0,'Données projet'!$E$9+1,1))-AVERAGE(OFFSET($H$3,0,0,'Données projet'!$E$9+1,1))</f>
        <v>247.05981224668733</v>
      </c>
      <c r="T159" s="62">
        <f t="shared" si="142"/>
        <v>345.23839191022898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1.1135904207182122E-2</v>
      </c>
      <c r="AA159" s="23">
        <f>EXP(-LN(2)/25)*AA158+(1-EXP(-LN(2)/25))/(LN(2)/25)*Calculateur!V159*Calculateur!X159*VLOOKUP('Données projet'!$B$9,Paramètres!$A$1:$I$89,3,0)*0.475*44/12</f>
        <v>3.0603196819592123E-2</v>
      </c>
      <c r="AB159" s="23">
        <f>EXP(-LN(2)/2)*AB158+(1-EXP(-LN(2)/2))/(LN(2)/2)*V159*Y159*VLOOKUP('Données projet'!$B$9,Paramètres!$A$1:$I$89,3,0)*0.475*44/12</f>
        <v>4.5410518103776107E-19</v>
      </c>
      <c r="AC159" s="24">
        <f t="shared" si="163"/>
        <v>4.1739101026774243E-2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2.8421709430404007E-14</v>
      </c>
      <c r="AJ159" s="14">
        <f>AI159*VLOOKUP('Données projet'!$B$10,Paramètres!$A$1:$I$89,3,0)*VLOOKUP('Données projet'!$B$10,Paramètres!$A$1:$I$89,5,0)</f>
        <v>2.4829205358400945E-14</v>
      </c>
      <c r="AK159" s="14">
        <f t="shared" si="164"/>
        <v>4.3867331143352915E-13</v>
      </c>
      <c r="AL159" s="22">
        <f t="shared" si="165"/>
        <v>8.0726688341261168E-13</v>
      </c>
      <c r="AM159" s="62">
        <f t="shared" si="113"/>
        <v>293.33333333333411</v>
      </c>
      <c r="AN159" s="62">
        <f ca="1">AVERAGE(OFFSET($AM$3,0,0,'Données projet'!$E$10+1,1))-AVERAGE(OFFSET($H$3,0,0,'Données projet'!$E$10+1,1))</f>
        <v>235.92135862353973</v>
      </c>
      <c r="AO159" s="62">
        <f t="shared" si="144"/>
        <v>270.64539221029258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6.3356610551921932E-2</v>
      </c>
      <c r="AV159" s="23">
        <f>EXP(-LN(2)/25)*AV158+(1-EXP(-LN(2)/25))/(LN(2)/25)*Calculateur!AQ159*Calculateur!AS159*VLOOKUP('Données projet'!$B$10,Paramètres!$A$1:$I$89,3,0)*0.475*44/12</f>
        <v>0.15791546120578695</v>
      </c>
      <c r="AW159" s="23">
        <f>EXP(-LN(2)/2)*AW158+(1-EXP(-LN(2)/2))/(LN(2)/2)*AQ159*AT159*VLOOKUP('Données projet'!$B$10,Paramètres!$A$1:$I$89,3,0)*0.475*44/12</f>
        <v>1.6847126715359063E-18</v>
      </c>
      <c r="AX159" s="23">
        <f t="shared" si="166"/>
        <v>0.22127207175770888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1.9895196601282805E-13</v>
      </c>
      <c r="O160" s="14">
        <f>N160*VLOOKUP('Données projet'!$B$9,Paramètres!$A$1:$I$89,3,0)*VLOOKUP('Données projet'!$B$9,Paramètres!$A$1:$I$89,5,0)</f>
        <v>1.8001173884840681E-13</v>
      </c>
      <c r="P160" s="14">
        <f t="shared" si="141"/>
        <v>2.5254331426407198E-12</v>
      </c>
      <c r="Q160" s="22">
        <f t="shared" si="162"/>
        <v>4.7119831685935622E-12</v>
      </c>
      <c r="R160" s="62">
        <f t="shared" si="109"/>
        <v>293.33333333333803</v>
      </c>
      <c r="S160" s="62">
        <f ca="1">AVERAGE(OFFSET($R$3,0,0,'Données projet'!$E$9+1,1))-AVERAGE(OFFSET($H$3,0,0,'Données projet'!$E$9+1,1))</f>
        <v>247.05981224668733</v>
      </c>
      <c r="T160" s="62">
        <f t="shared" si="142"/>
        <v>345.23839191022898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1.0917535917910171E-2</v>
      </c>
      <c r="AA160" s="23">
        <f>EXP(-LN(2)/25)*AA159+(1-EXP(-LN(2)/25))/(LN(2)/25)*Calculateur!V160*Calculateur!X160*VLOOKUP('Données projet'!$B$9,Paramètres!$A$1:$I$89,3,0)*0.475*44/12</f>
        <v>2.9766350793208201E-2</v>
      </c>
      <c r="AB160" s="23">
        <f>EXP(-LN(2)/2)*AB159+(1-EXP(-LN(2)/2))/(LN(2)/2)*V160*Y160*VLOOKUP('Données projet'!$B$9,Paramètres!$A$1:$I$89,3,0)*0.475*44/12</f>
        <v>3.2110085288374567E-19</v>
      </c>
      <c r="AC160" s="24">
        <f t="shared" si="163"/>
        <v>4.0683886711118375E-2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2.8421709430404007E-14</v>
      </c>
      <c r="AJ160" s="14">
        <f>AI160*VLOOKUP('Données projet'!$B$10,Paramètres!$A$1:$I$89,3,0)*VLOOKUP('Données projet'!$B$10,Paramètres!$A$1:$I$89,5,0)</f>
        <v>2.4829205358400945E-14</v>
      </c>
      <c r="AK160" s="14">
        <f t="shared" si="164"/>
        <v>4.3867331143352915E-13</v>
      </c>
      <c r="AL160" s="22">
        <f t="shared" si="165"/>
        <v>8.0726688341261168E-13</v>
      </c>
      <c r="AM160" s="62">
        <f t="shared" si="113"/>
        <v>293.33333333333411</v>
      </c>
      <c r="AN160" s="62">
        <f ca="1">AVERAGE(OFFSET($AM$3,0,0,'Données projet'!$E$10+1,1))-AVERAGE(OFFSET($H$3,0,0,'Données projet'!$E$10+1,1))</f>
        <v>235.92135862353973</v>
      </c>
      <c r="AO160" s="62">
        <f t="shared" si="144"/>
        <v>270.64539221029258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6.2114226062715432E-2</v>
      </c>
      <c r="AV160" s="23">
        <f>EXP(-LN(2)/25)*AV159+(1-EXP(-LN(2)/25))/(LN(2)/25)*Calculateur!AQ160*Calculateur!AS160*VLOOKUP('Données projet'!$B$10,Paramètres!$A$1:$I$89,3,0)*0.475*44/12</f>
        <v>0.15359725461470153</v>
      </c>
      <c r="AW160" s="23">
        <f>EXP(-LN(2)/2)*AW159+(1-EXP(-LN(2)/2))/(LN(2)/2)*AQ160*AT160*VLOOKUP('Données projet'!$B$10,Paramètres!$A$1:$I$89,3,0)*0.475*44/12</f>
        <v>1.191271754393944E-18</v>
      </c>
      <c r="AX160" s="23">
        <f t="shared" si="166"/>
        <v>0.21571148067741697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1.9895196601282805E-13</v>
      </c>
      <c r="O161" s="14">
        <f>N161*VLOOKUP('Données projet'!$B$9,Paramètres!$A$1:$I$89,3,0)*VLOOKUP('Données projet'!$B$9,Paramètres!$A$1:$I$89,5,0)</f>
        <v>1.8001173884840681E-13</v>
      </c>
      <c r="P161" s="14">
        <f t="shared" si="141"/>
        <v>2.5254331426407198E-12</v>
      </c>
      <c r="Q161" s="22">
        <f t="shared" si="162"/>
        <v>4.7119831685935622E-12</v>
      </c>
      <c r="R161" s="62">
        <f t="shared" si="109"/>
        <v>293.33333333333803</v>
      </c>
      <c r="S161" s="62">
        <f ca="1">AVERAGE(OFFSET($R$3,0,0,'Données projet'!$E$9+1,1))-AVERAGE(OFFSET($H$3,0,0,'Données projet'!$E$9+1,1))</f>
        <v>247.05981224668733</v>
      </c>
      <c r="T161" s="62">
        <f t="shared" si="142"/>
        <v>345.23839191022898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1.0703449697599336E-2</v>
      </c>
      <c r="AA161" s="23">
        <f>EXP(-LN(2)/25)*AA160+(1-EXP(-LN(2)/25))/(LN(2)/25)*Calculateur!V161*Calculateur!X161*VLOOKUP('Données projet'!$B$9,Paramètres!$A$1:$I$89,3,0)*0.475*44/12</f>
        <v>2.8952388365423565E-2</v>
      </c>
      <c r="AB161" s="23">
        <f>EXP(-LN(2)/2)*AB160+(1-EXP(-LN(2)/2))/(LN(2)/2)*V161*Y161*VLOOKUP('Données projet'!$B$9,Paramètres!$A$1:$I$89,3,0)*0.475*44/12</f>
        <v>2.2705259051888054E-19</v>
      </c>
      <c r="AC161" s="24">
        <f t="shared" si="163"/>
        <v>3.9655838063022905E-2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2.8421709430404007E-14</v>
      </c>
      <c r="AJ161" s="14">
        <f>AI161*VLOOKUP('Données projet'!$B$10,Paramètres!$A$1:$I$89,3,0)*VLOOKUP('Données projet'!$B$10,Paramètres!$A$1:$I$89,5,0)</f>
        <v>2.4829205358400945E-14</v>
      </c>
      <c r="AK161" s="14">
        <f t="shared" si="164"/>
        <v>4.3867331143352915E-13</v>
      </c>
      <c r="AL161" s="22">
        <f t="shared" si="165"/>
        <v>8.0726688341261168E-13</v>
      </c>
      <c r="AM161" s="62">
        <f t="shared" si="113"/>
        <v>293.33333333333411</v>
      </c>
      <c r="AN161" s="62">
        <f ca="1">AVERAGE(OFFSET($AM$3,0,0,'Données projet'!$E$10+1,1))-AVERAGE(OFFSET($H$3,0,0,'Données projet'!$E$10+1,1))</f>
        <v>235.92135862353973</v>
      </c>
      <c r="AO161" s="62">
        <f t="shared" si="144"/>
        <v>270.64539221029258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6.0896203975562557E-2</v>
      </c>
      <c r="AV161" s="23">
        <f>EXP(-LN(2)/25)*AV160+(1-EXP(-LN(2)/25))/(LN(2)/25)*Calculateur!AQ161*Calculateur!AS161*VLOOKUP('Données projet'!$B$10,Paramètres!$A$1:$I$89,3,0)*0.475*44/12</f>
        <v>0.14939712960993395</v>
      </c>
      <c r="AW161" s="23">
        <f>EXP(-LN(2)/2)*AW160+(1-EXP(-LN(2)/2))/(LN(2)/2)*AQ161*AT161*VLOOKUP('Données projet'!$B$10,Paramètres!$A$1:$I$89,3,0)*0.475*44/12</f>
        <v>8.4235633576795313E-19</v>
      </c>
      <c r="AX161" s="23">
        <f t="shared" si="166"/>
        <v>0.21029333358549651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1.9895196601282805E-13</v>
      </c>
      <c r="O162" s="14">
        <f>N162*VLOOKUP('Données projet'!$B$9,Paramètres!$A$1:$I$89,3,0)*VLOOKUP('Données projet'!$B$9,Paramètres!$A$1:$I$89,5,0)</f>
        <v>1.8001173884840681E-13</v>
      </c>
      <c r="P162" s="14">
        <f t="shared" si="141"/>
        <v>2.5254331426407198E-12</v>
      </c>
      <c r="Q162" s="22">
        <f t="shared" si="162"/>
        <v>4.7119831685935622E-12</v>
      </c>
      <c r="R162" s="62">
        <f t="shared" si="109"/>
        <v>293.33333333333803</v>
      </c>
      <c r="S162" s="62">
        <f ca="1">AVERAGE(OFFSET($R$3,0,0,'Données projet'!$E$9+1,1))-AVERAGE(OFFSET($H$3,0,0,'Données projet'!$E$9+1,1))</f>
        <v>247.05981224668733</v>
      </c>
      <c r="T162" s="62">
        <f t="shared" si="142"/>
        <v>345.23839191022898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1.0493561577489097E-2</v>
      </c>
      <c r="AA162" s="23">
        <f>EXP(-LN(2)/25)*AA161+(1-EXP(-LN(2)/25))/(LN(2)/25)*Calculateur!V162*Calculateur!X162*VLOOKUP('Données projet'!$B$9,Paramètres!$A$1:$I$89,3,0)*0.475*44/12</f>
        <v>2.8160683783031125E-2</v>
      </c>
      <c r="AB162" s="23">
        <f>EXP(-LN(2)/2)*AB161+(1-EXP(-LN(2)/2))/(LN(2)/2)*V162*Y162*VLOOKUP('Données projet'!$B$9,Paramètres!$A$1:$I$89,3,0)*0.475*44/12</f>
        <v>1.6055042644187284E-19</v>
      </c>
      <c r="AC162" s="24">
        <f t="shared" si="163"/>
        <v>3.8654245360520222E-2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2.8421709430404007E-14</v>
      </c>
      <c r="AJ162" s="14">
        <f>AI162*VLOOKUP('Données projet'!$B$10,Paramètres!$A$1:$I$89,3,0)*VLOOKUP('Données projet'!$B$10,Paramètres!$A$1:$I$89,5,0)</f>
        <v>2.4829205358400945E-14</v>
      </c>
      <c r="AK162" s="14">
        <f t="shared" si="164"/>
        <v>4.3867331143352915E-13</v>
      </c>
      <c r="AL162" s="22">
        <f t="shared" si="165"/>
        <v>8.0726688341261168E-13</v>
      </c>
      <c r="AM162" s="62">
        <f t="shared" si="113"/>
        <v>293.33333333333411</v>
      </c>
      <c r="AN162" s="62">
        <f ca="1">AVERAGE(OFFSET($AM$3,0,0,'Données projet'!$E$10+1,1))-AVERAGE(OFFSET($H$3,0,0,'Données projet'!$E$10+1,1))</f>
        <v>235.92135862353973</v>
      </c>
      <c r="AO162" s="62">
        <f t="shared" si="144"/>
        <v>270.64539221029258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5.9702066558618636E-2</v>
      </c>
      <c r="AV162" s="23">
        <f>EXP(-LN(2)/25)*AV161+(1-EXP(-LN(2)/25))/(LN(2)/25)*Calculateur!AQ162*Calculateur!AS162*VLOOKUP('Données projet'!$B$10,Paramètres!$A$1:$I$89,3,0)*0.475*44/12</f>
        <v>0.14531185724429671</v>
      </c>
      <c r="AW162" s="23">
        <f>EXP(-LN(2)/2)*AW161+(1-EXP(-LN(2)/2))/(LN(2)/2)*AQ162*AT162*VLOOKUP('Données projet'!$B$10,Paramètres!$A$1:$I$89,3,0)*0.475*44/12</f>
        <v>5.9563587719697198E-19</v>
      </c>
      <c r="AX162" s="23">
        <f t="shared" si="166"/>
        <v>0.20501392380291533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1.9895196601282805E-13</v>
      </c>
      <c r="O163" s="14">
        <f>N163*VLOOKUP('Données projet'!$B$9,Paramètres!$A$1:$I$89,3,0)*VLOOKUP('Données projet'!$B$9,Paramètres!$A$1:$I$89,5,0)</f>
        <v>1.8001173884840681E-13</v>
      </c>
      <c r="P163" s="14">
        <f t="shared" si="141"/>
        <v>2.5254331426407198E-12</v>
      </c>
      <c r="Q163" s="22">
        <f t="shared" si="162"/>
        <v>4.7119831685935622E-12</v>
      </c>
      <c r="R163" s="62">
        <f t="shared" si="109"/>
        <v>293.33333333333803</v>
      </c>
      <c r="S163" s="62">
        <f ca="1">AVERAGE(OFFSET($R$3,0,0,'Données projet'!$E$9+1,1))-AVERAGE(OFFSET($H$3,0,0,'Données projet'!$E$9+1,1))</f>
        <v>247.05981224668733</v>
      </c>
      <c r="T163" s="62">
        <f t="shared" si="142"/>
        <v>345.23839191022898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1.0287789235395106E-2</v>
      </c>
      <c r="AA163" s="23">
        <f>EXP(-LN(2)/25)*AA162+(1-EXP(-LN(2)/25))/(LN(2)/25)*Calculateur!V163*Calculateur!X163*VLOOKUP('Données projet'!$B$9,Paramètres!$A$1:$I$89,3,0)*0.475*44/12</f>
        <v>2.7390628404078139E-2</v>
      </c>
      <c r="AB163" s="23">
        <f>EXP(-LN(2)/2)*AB162+(1-EXP(-LN(2)/2))/(LN(2)/2)*V163*Y163*VLOOKUP('Données projet'!$B$9,Paramètres!$A$1:$I$89,3,0)*0.475*44/12</f>
        <v>1.1352629525944027E-19</v>
      </c>
      <c r="AC163" s="24">
        <f t="shared" si="163"/>
        <v>3.7678417639473244E-2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2.8421709430404007E-14</v>
      </c>
      <c r="AJ163" s="14">
        <f>AI163*VLOOKUP('Données projet'!$B$10,Paramètres!$A$1:$I$89,3,0)*VLOOKUP('Données projet'!$B$10,Paramètres!$A$1:$I$89,5,0)</f>
        <v>2.4829205358400945E-14</v>
      </c>
      <c r="AK163" s="14">
        <f t="shared" si="164"/>
        <v>4.3867331143352915E-13</v>
      </c>
      <c r="AL163" s="22">
        <f t="shared" si="165"/>
        <v>8.0726688341261168E-13</v>
      </c>
      <c r="AM163" s="62">
        <f t="shared" si="113"/>
        <v>293.33333333333411</v>
      </c>
      <c r="AN163" s="62">
        <f ca="1">AVERAGE(OFFSET($AM$3,0,0,'Données projet'!$E$10+1,1))-AVERAGE(OFFSET($H$3,0,0,'Données projet'!$E$10+1,1))</f>
        <v>235.92135862353973</v>
      </c>
      <c r="AO163" s="62">
        <f t="shared" si="144"/>
        <v>270.64539221029258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5.8531345448069073E-2</v>
      </c>
      <c r="AV163" s="23">
        <f>EXP(-LN(2)/25)*AV162+(1-EXP(-LN(2)/25))/(LN(2)/25)*Calculateur!AQ163*Calculateur!AS163*VLOOKUP('Données projet'!$B$10,Paramètres!$A$1:$I$89,3,0)*0.475*44/12</f>
        <v>0.14133829686633295</v>
      </c>
      <c r="AW163" s="23">
        <f>EXP(-LN(2)/2)*AW162+(1-EXP(-LN(2)/2))/(LN(2)/2)*AQ163*AT163*VLOOKUP('Données projet'!$B$10,Paramètres!$A$1:$I$89,3,0)*0.475*44/12</f>
        <v>4.2117816788397657E-19</v>
      </c>
      <c r="AX163" s="23">
        <f t="shared" si="166"/>
        <v>0.19986964231440202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1.9895196601282805E-13</v>
      </c>
      <c r="O164" s="14">
        <f>N164*VLOOKUP('Données projet'!$B$9,Paramètres!$A$1:$I$89,3,0)*VLOOKUP('Données projet'!$B$9,Paramètres!$A$1:$I$89,5,0)</f>
        <v>1.8001173884840681E-13</v>
      </c>
      <c r="P164" s="14">
        <f t="shared" si="141"/>
        <v>2.5254331426407198E-12</v>
      </c>
      <c r="Q164" s="22">
        <f t="shared" si="162"/>
        <v>4.7119831685935622E-12</v>
      </c>
      <c r="R164" s="62">
        <f t="shared" si="109"/>
        <v>293.33333333333803</v>
      </c>
      <c r="S164" s="62">
        <f ca="1">AVERAGE(OFFSET($R$3,0,0,'Données projet'!$E$9+1,1))-AVERAGE(OFFSET($H$3,0,0,'Données projet'!$E$9+1,1))</f>
        <v>247.05981224668733</v>
      </c>
      <c r="T164" s="62">
        <f t="shared" si="142"/>
        <v>345.23839191022898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1.0086051963420843E-2</v>
      </c>
      <c r="AA164" s="23">
        <f>EXP(-LN(2)/25)*AA163+(1-EXP(-LN(2)/25))/(LN(2)/25)*Calculateur!V164*Calculateur!X164*VLOOKUP('Données projet'!$B$9,Paramètres!$A$1:$I$89,3,0)*0.475*44/12</f>
        <v>2.6641630229958076E-2</v>
      </c>
      <c r="AB164" s="23">
        <f>EXP(-LN(2)/2)*AB163+(1-EXP(-LN(2)/2))/(LN(2)/2)*V164*Y164*VLOOKUP('Données projet'!$B$9,Paramètres!$A$1:$I$89,3,0)*0.475*44/12</f>
        <v>8.0275213220936418E-20</v>
      </c>
      <c r="AC164" s="24">
        <f t="shared" si="163"/>
        <v>3.6727682193378922E-2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2.8421709430404007E-14</v>
      </c>
      <c r="AJ164" s="14">
        <f>AI164*VLOOKUP('Données projet'!$B$10,Paramètres!$A$1:$I$89,3,0)*VLOOKUP('Données projet'!$B$10,Paramètres!$A$1:$I$89,5,0)</f>
        <v>2.4829205358400945E-14</v>
      </c>
      <c r="AK164" s="14">
        <f t="shared" si="164"/>
        <v>4.3867331143352915E-13</v>
      </c>
      <c r="AL164" s="22">
        <f t="shared" si="165"/>
        <v>8.0726688341261168E-13</v>
      </c>
      <c r="AM164" s="62">
        <f t="shared" si="113"/>
        <v>293.33333333333411</v>
      </c>
      <c r="AN164" s="62">
        <f ca="1">AVERAGE(OFFSET($AM$3,0,0,'Données projet'!$E$10+1,1))-AVERAGE(OFFSET($H$3,0,0,'Données projet'!$E$10+1,1))</f>
        <v>235.92135862353973</v>
      </c>
      <c r="AO164" s="62">
        <f t="shared" si="144"/>
        <v>270.64539221029258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5.738358146442802E-2</v>
      </c>
      <c r="AV164" s="23">
        <f>EXP(-LN(2)/25)*AV163+(1-EXP(-LN(2)/25))/(LN(2)/25)*Calculateur!AQ164*Calculateur!AS164*VLOOKUP('Données projet'!$B$10,Paramètres!$A$1:$I$89,3,0)*0.475*44/12</f>
        <v>0.13747339370586509</v>
      </c>
      <c r="AW164" s="23">
        <f>EXP(-LN(2)/2)*AW163+(1-EXP(-LN(2)/2))/(LN(2)/2)*AQ164*AT164*VLOOKUP('Données projet'!$B$10,Paramètres!$A$1:$I$89,3,0)*0.475*44/12</f>
        <v>2.9781793859848599E-19</v>
      </c>
      <c r="AX164" s="23">
        <f t="shared" si="166"/>
        <v>0.1948569751702931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1.9895196601282805E-13</v>
      </c>
      <c r="O165" s="14">
        <f>N165*VLOOKUP('Données projet'!$B$9,Paramètres!$A$1:$I$89,3,0)*VLOOKUP('Données projet'!$B$9,Paramètres!$A$1:$I$89,5,0)</f>
        <v>1.8001173884840681E-13</v>
      </c>
      <c r="P165" s="14">
        <f t="shared" si="141"/>
        <v>2.5254331426407198E-12</v>
      </c>
      <c r="Q165" s="22">
        <f t="shared" si="162"/>
        <v>4.7119831685935622E-12</v>
      </c>
      <c r="R165" s="62">
        <f t="shared" si="109"/>
        <v>293.33333333333803</v>
      </c>
      <c r="S165" s="62">
        <f ca="1">AVERAGE(OFFSET($R$3,0,0,'Données projet'!$E$9+1,1))-AVERAGE(OFFSET($H$3,0,0,'Données projet'!$E$9+1,1))</f>
        <v>247.05981224668733</v>
      </c>
      <c r="T165" s="62">
        <f t="shared" si="142"/>
        <v>345.23839191022898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9.8882706363024112E-3</v>
      </c>
      <c r="AA165" s="23">
        <f>EXP(-LN(2)/25)*AA164+(1-EXP(-LN(2)/25))/(LN(2)/25)*Calculateur!V165*Calculateur!X165*VLOOKUP('Données projet'!$B$9,Paramètres!$A$1:$I$89,3,0)*0.475*44/12</f>
        <v>2.5913113450297429E-2</v>
      </c>
      <c r="AB165" s="23">
        <f>EXP(-LN(2)/2)*AB164+(1-EXP(-LN(2)/2))/(LN(2)/2)*V165*Y165*VLOOKUP('Données projet'!$B$9,Paramètres!$A$1:$I$89,3,0)*0.475*44/12</f>
        <v>5.6763147629720134E-20</v>
      </c>
      <c r="AC165" s="24">
        <f t="shared" si="163"/>
        <v>3.5801384086599844E-2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2.8421709430404007E-14</v>
      </c>
      <c r="AJ165" s="14">
        <f>AI165*VLOOKUP('Données projet'!$B$10,Paramètres!$A$1:$I$89,3,0)*VLOOKUP('Données projet'!$B$10,Paramètres!$A$1:$I$89,5,0)</f>
        <v>2.4829205358400945E-14</v>
      </c>
      <c r="AK165" s="14">
        <f t="shared" si="164"/>
        <v>4.3867331143352915E-13</v>
      </c>
      <c r="AL165" s="22">
        <f t="shared" si="165"/>
        <v>8.0726688341261168E-13</v>
      </c>
      <c r="AM165" s="62">
        <f t="shared" si="113"/>
        <v>293.33333333333411</v>
      </c>
      <c r="AN165" s="62">
        <f ca="1">AVERAGE(OFFSET($AM$3,0,0,'Données projet'!$E$10+1,1))-AVERAGE(OFFSET($H$3,0,0,'Données projet'!$E$10+1,1))</f>
        <v>235.92135862353973</v>
      </c>
      <c r="AO165" s="62">
        <f t="shared" si="144"/>
        <v>270.64539221029258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5.6258324432439263E-2</v>
      </c>
      <c r="AV165" s="23">
        <f>EXP(-LN(2)/25)*AV164+(1-EXP(-LN(2)/25))/(LN(2)/25)*Calculateur!AQ165*Calculateur!AS165*VLOOKUP('Données projet'!$B$10,Paramètres!$A$1:$I$89,3,0)*0.475*44/12</f>
        <v>0.13371417652556664</v>
      </c>
      <c r="AW165" s="23">
        <f>EXP(-LN(2)/2)*AW164+(1-EXP(-LN(2)/2))/(LN(2)/2)*AQ165*AT165*VLOOKUP('Données projet'!$B$10,Paramètres!$A$1:$I$89,3,0)*0.475*44/12</f>
        <v>2.1058908394198828E-19</v>
      </c>
      <c r="AX165" s="23">
        <f t="shared" si="166"/>
        <v>0.18997250095800589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1.9895196601282805E-13</v>
      </c>
      <c r="O166" s="14">
        <f>N166*VLOOKUP('Données projet'!$B$9,Paramètres!$A$1:$I$89,3,0)*VLOOKUP('Données projet'!$B$9,Paramètres!$A$1:$I$89,5,0)</f>
        <v>1.8001173884840681E-13</v>
      </c>
      <c r="P166" s="14">
        <f t="shared" si="141"/>
        <v>2.5254331426407198E-12</v>
      </c>
      <c r="Q166" s="22">
        <f t="shared" si="162"/>
        <v>4.7119831685935622E-12</v>
      </c>
      <c r="R166" s="62">
        <f t="shared" si="109"/>
        <v>293.33333333333803</v>
      </c>
      <c r="S166" s="62">
        <f ca="1">AVERAGE(OFFSET($R$3,0,0,'Données projet'!$E$9+1,1))-AVERAGE(OFFSET($H$3,0,0,'Données projet'!$E$9+1,1))</f>
        <v>247.05981224668733</v>
      </c>
      <c r="T166" s="62">
        <f t="shared" si="142"/>
        <v>345.23839191022898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9.6943676803740719E-3</v>
      </c>
      <c r="AA166" s="23">
        <f>EXP(-LN(2)/25)*AA165+(1-EXP(-LN(2)/25))/(LN(2)/25)*Calculateur!V166*Calculateur!X166*VLOOKUP('Données projet'!$B$9,Paramètres!$A$1:$I$89,3,0)*0.475*44/12</f>
        <v>2.5204518000287637E-2</v>
      </c>
      <c r="AB166" s="23">
        <f>EXP(-LN(2)/2)*AB165+(1-EXP(-LN(2)/2))/(LN(2)/2)*V166*Y166*VLOOKUP('Données projet'!$B$9,Paramètres!$A$1:$I$89,3,0)*0.475*44/12</f>
        <v>4.0137606610468209E-20</v>
      </c>
      <c r="AC166" s="24">
        <f t="shared" si="163"/>
        <v>3.4898885680661712E-2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2.8421709430404007E-14</v>
      </c>
      <c r="AJ166" s="14">
        <f>AI166*VLOOKUP('Données projet'!$B$10,Paramètres!$A$1:$I$89,3,0)*VLOOKUP('Données projet'!$B$10,Paramètres!$A$1:$I$89,5,0)</f>
        <v>2.4829205358400945E-14</v>
      </c>
      <c r="AK166" s="14">
        <f t="shared" si="164"/>
        <v>4.3867331143352915E-13</v>
      </c>
      <c r="AL166" s="22">
        <f t="shared" si="165"/>
        <v>8.0726688341261168E-13</v>
      </c>
      <c r="AM166" s="62">
        <f t="shared" si="113"/>
        <v>293.33333333333411</v>
      </c>
      <c r="AN166" s="62">
        <f ca="1">AVERAGE(OFFSET($AM$3,0,0,'Données projet'!$E$10+1,1))-AVERAGE(OFFSET($H$3,0,0,'Données projet'!$E$10+1,1))</f>
        <v>235.92135862353973</v>
      </c>
      <c r="AO166" s="62">
        <f t="shared" si="144"/>
        <v>270.64539221029258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5.5155133004508791E-2</v>
      </c>
      <c r="AV166" s="23">
        <f>EXP(-LN(2)/25)*AV165+(1-EXP(-LN(2)/25))/(LN(2)/25)*Calculateur!AQ166*Calculateur!AS166*VLOOKUP('Données projet'!$B$10,Paramètres!$A$1:$I$89,3,0)*0.475*44/12</f>
        <v>0.13005775533675207</v>
      </c>
      <c r="AW166" s="23">
        <f>EXP(-LN(2)/2)*AW165+(1-EXP(-LN(2)/2))/(LN(2)/2)*AQ166*AT166*VLOOKUP('Données projet'!$B$10,Paramètres!$A$1:$I$89,3,0)*0.475*44/12</f>
        <v>1.48908969299243E-19</v>
      </c>
      <c r="AX166" s="23">
        <f t="shared" si="166"/>
        <v>0.18521288834126087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1.9895196601282805E-13</v>
      </c>
      <c r="O167" s="14">
        <f>N167*VLOOKUP('Données projet'!$B$9,Paramètres!$A$1:$I$89,3,0)*VLOOKUP('Données projet'!$B$9,Paramètres!$A$1:$I$89,5,0)</f>
        <v>1.8001173884840681E-13</v>
      </c>
      <c r="P167" s="14">
        <f t="shared" si="141"/>
        <v>2.5254331426407198E-12</v>
      </c>
      <c r="Q167" s="22">
        <f t="shared" si="162"/>
        <v>4.7119831685935622E-12</v>
      </c>
      <c r="R167" s="62">
        <f t="shared" si="109"/>
        <v>293.33333333333803</v>
      </c>
      <c r="S167" s="62">
        <f ca="1">AVERAGE(OFFSET($R$3,0,0,'Données projet'!$E$9+1,1))-AVERAGE(OFFSET($H$3,0,0,'Données projet'!$E$9+1,1))</f>
        <v>247.05981224668733</v>
      </c>
      <c r="T167" s="62">
        <f t="shared" si="142"/>
        <v>345.23839191022898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9.5042670431423632E-3</v>
      </c>
      <c r="AA167" s="23">
        <f>EXP(-LN(2)/25)*AA166+(1-EXP(-LN(2)/25))/(LN(2)/25)*Calculateur!V167*Calculateur!X167*VLOOKUP('Données projet'!$B$9,Paramètres!$A$1:$I$89,3,0)*0.475*44/12</f>
        <v>2.4515299130121775E-2</v>
      </c>
      <c r="AB167" s="23">
        <f>EXP(-LN(2)/2)*AB166+(1-EXP(-LN(2)/2))/(LN(2)/2)*V167*Y167*VLOOKUP('Données projet'!$B$9,Paramètres!$A$1:$I$89,3,0)*0.475*44/12</f>
        <v>2.8381573814860067E-20</v>
      </c>
      <c r="AC167" s="24">
        <f t="shared" si="163"/>
        <v>3.401956617326414E-2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2.8421709430404007E-14</v>
      </c>
      <c r="AJ167" s="14">
        <f>AI167*VLOOKUP('Données projet'!$B$10,Paramètres!$A$1:$I$89,3,0)*VLOOKUP('Données projet'!$B$10,Paramètres!$A$1:$I$89,5,0)</f>
        <v>2.4829205358400945E-14</v>
      </c>
      <c r="AK167" s="14">
        <f t="shared" si="164"/>
        <v>4.3867331143352915E-13</v>
      </c>
      <c r="AL167" s="22">
        <f t="shared" si="165"/>
        <v>8.0726688341261168E-13</v>
      </c>
      <c r="AM167" s="62">
        <f t="shared" si="113"/>
        <v>293.33333333333411</v>
      </c>
      <c r="AN167" s="62">
        <f ca="1">AVERAGE(OFFSET($AM$3,0,0,'Données projet'!$E$10+1,1))-AVERAGE(OFFSET($H$3,0,0,'Données projet'!$E$10+1,1))</f>
        <v>235.92135862353973</v>
      </c>
      <c r="AO167" s="62">
        <f t="shared" si="144"/>
        <v>270.64539221029258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5.4073574487599703E-2</v>
      </c>
      <c r="AV167" s="23">
        <f>EXP(-LN(2)/25)*AV166+(1-EXP(-LN(2)/25))/(LN(2)/25)*Calculateur!AQ167*Calculateur!AS167*VLOOKUP('Données projet'!$B$10,Paramètres!$A$1:$I$89,3,0)*0.475*44/12</f>
        <v>0.12650131917762847</v>
      </c>
      <c r="AW167" s="23">
        <f>EXP(-LN(2)/2)*AW166+(1-EXP(-LN(2)/2))/(LN(2)/2)*AQ167*AT167*VLOOKUP('Données projet'!$B$10,Paramètres!$A$1:$I$89,3,0)*0.475*44/12</f>
        <v>1.0529454197099414E-19</v>
      </c>
      <c r="AX167" s="23">
        <f t="shared" si="166"/>
        <v>0.18057489366522816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1.9895196601282805E-13</v>
      </c>
      <c r="O168" s="14">
        <f>N168*VLOOKUP('Données projet'!$B$9,Paramètres!$A$1:$I$89,3,0)*VLOOKUP('Données projet'!$B$9,Paramètres!$A$1:$I$89,5,0)</f>
        <v>1.8001173884840681E-13</v>
      </c>
      <c r="P168" s="14">
        <f t="shared" si="141"/>
        <v>2.5254331426407198E-12</v>
      </c>
      <c r="Q168" s="22">
        <f t="shared" si="162"/>
        <v>4.7119831685935622E-12</v>
      </c>
      <c r="R168" s="62">
        <f t="shared" si="109"/>
        <v>293.33333333333803</v>
      </c>
      <c r="S168" s="62">
        <f ca="1">AVERAGE(OFFSET($R$3,0,0,'Données projet'!$E$9+1,1))-AVERAGE(OFFSET($H$3,0,0,'Données projet'!$E$9+1,1))</f>
        <v>247.05981224668733</v>
      </c>
      <c r="T168" s="62">
        <f t="shared" si="142"/>
        <v>345.23839191022898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9.3178941634568281E-3</v>
      </c>
      <c r="AA168" s="23">
        <f>EXP(-LN(2)/25)*AA167+(1-EXP(-LN(2)/25))/(LN(2)/25)*Calculateur!V168*Calculateur!X168*VLOOKUP('Données projet'!$B$9,Paramètres!$A$1:$I$89,3,0)*0.475*44/12</f>
        <v>2.3844926986205044E-2</v>
      </c>
      <c r="AB168" s="23">
        <f>EXP(-LN(2)/2)*AB167+(1-EXP(-LN(2)/2))/(LN(2)/2)*V168*Y168*VLOOKUP('Données projet'!$B$9,Paramètres!$A$1:$I$89,3,0)*0.475*44/12</f>
        <v>2.0068803305234105E-20</v>
      </c>
      <c r="AC168" s="24">
        <f t="shared" si="163"/>
        <v>3.3162821149661875E-2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2.8421709430404007E-14</v>
      </c>
      <c r="AJ168" s="14">
        <f>AI168*VLOOKUP('Données projet'!$B$10,Paramètres!$A$1:$I$89,3,0)*VLOOKUP('Données projet'!$B$10,Paramètres!$A$1:$I$89,5,0)</f>
        <v>2.4829205358400945E-14</v>
      </c>
      <c r="AK168" s="14">
        <f t="shared" si="164"/>
        <v>4.3867331143352915E-13</v>
      </c>
      <c r="AL168" s="22">
        <f t="shared" si="165"/>
        <v>8.0726688341261168E-13</v>
      </c>
      <c r="AM168" s="62">
        <f t="shared" si="113"/>
        <v>293.33333333333411</v>
      </c>
      <c r="AN168" s="62">
        <f ca="1">AVERAGE(OFFSET($AM$3,0,0,'Données projet'!$E$10+1,1))-AVERAGE(OFFSET($H$3,0,0,'Données projet'!$E$10+1,1))</f>
        <v>235.92135862353973</v>
      </c>
      <c r="AO168" s="62">
        <f t="shared" si="144"/>
        <v>270.64539221029258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5.3013224673521646E-2</v>
      </c>
      <c r="AV168" s="23">
        <f>EXP(-LN(2)/25)*AV167+(1-EXP(-LN(2)/25))/(LN(2)/25)*Calculateur!AQ168*Calculateur!AS168*VLOOKUP('Données projet'!$B$10,Paramètres!$A$1:$I$89,3,0)*0.475*44/12</f>
        <v>0.12304213395230096</v>
      </c>
      <c r="AW168" s="23">
        <f>EXP(-LN(2)/2)*AW167+(1-EXP(-LN(2)/2))/(LN(2)/2)*AQ168*AT168*VLOOKUP('Données projet'!$B$10,Paramètres!$A$1:$I$89,3,0)*0.475*44/12</f>
        <v>7.4454484649621498E-20</v>
      </c>
      <c r="AX168" s="23">
        <f t="shared" si="166"/>
        <v>0.17605535862582261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1.9895196601282805E-13</v>
      </c>
      <c r="O169" s="14">
        <f>N169*VLOOKUP('Données projet'!$B$9,Paramètres!$A$1:$I$89,3,0)*VLOOKUP('Données projet'!$B$9,Paramètres!$A$1:$I$89,5,0)</f>
        <v>1.8001173884840681E-13</v>
      </c>
      <c r="P169" s="14">
        <f t="shared" si="141"/>
        <v>2.5254331426407198E-12</v>
      </c>
      <c r="Q169" s="22">
        <f t="shared" si="162"/>
        <v>4.7119831685935622E-12</v>
      </c>
      <c r="R169" s="62">
        <f t="shared" si="109"/>
        <v>293.33333333333803</v>
      </c>
      <c r="S169" s="62">
        <f ca="1">AVERAGE(OFFSET($R$3,0,0,'Données projet'!$E$9+1,1))-AVERAGE(OFFSET($H$3,0,0,'Données projet'!$E$9+1,1))</f>
        <v>247.05981224668733</v>
      </c>
      <c r="T169" s="62">
        <f t="shared" si="142"/>
        <v>345.23839191022898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9.1351759422656949E-3</v>
      </c>
      <c r="AA169" s="23">
        <f>EXP(-LN(2)/25)*AA168+(1-EXP(-LN(2)/25))/(LN(2)/25)*Calculateur!V169*Calculateur!X169*VLOOKUP('Données projet'!$B$9,Paramètres!$A$1:$I$89,3,0)*0.475*44/12</f>
        <v>2.3192886203817056E-2</v>
      </c>
      <c r="AB169" s="23">
        <f>EXP(-LN(2)/2)*AB168+(1-EXP(-LN(2)/2))/(LN(2)/2)*V169*Y169*VLOOKUP('Données projet'!$B$9,Paramètres!$A$1:$I$89,3,0)*0.475*44/12</f>
        <v>1.4190786907430034E-20</v>
      </c>
      <c r="AC169" s="24">
        <f t="shared" si="163"/>
        <v>3.2328062146082748E-2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2.8421709430404007E-14</v>
      </c>
      <c r="AJ169" s="14">
        <f>AI169*VLOOKUP('Données projet'!$B$10,Paramètres!$A$1:$I$89,3,0)*VLOOKUP('Données projet'!$B$10,Paramètres!$A$1:$I$89,5,0)</f>
        <v>2.4829205358400945E-14</v>
      </c>
      <c r="AK169" s="14">
        <f t="shared" si="164"/>
        <v>4.3867331143352915E-13</v>
      </c>
      <c r="AL169" s="22">
        <f t="shared" si="165"/>
        <v>8.0726688341261168E-13</v>
      </c>
      <c r="AM169" s="62">
        <f t="shared" si="113"/>
        <v>293.33333333333411</v>
      </c>
      <c r="AN169" s="62">
        <f ca="1">AVERAGE(OFFSET($AM$3,0,0,'Données projet'!$E$10+1,1))-AVERAGE(OFFSET($H$3,0,0,'Données projet'!$E$10+1,1))</f>
        <v>235.92135862353973</v>
      </c>
      <c r="AO169" s="62">
        <f t="shared" si="144"/>
        <v>270.64539221029258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5.1973667672548136E-2</v>
      </c>
      <c r="AV169" s="23">
        <f>EXP(-LN(2)/25)*AV168+(1-EXP(-LN(2)/25))/(LN(2)/25)*Calculateur!AQ169*Calculateur!AS169*VLOOKUP('Données projet'!$B$10,Paramètres!$A$1:$I$89,3,0)*0.475*44/12</f>
        <v>0.11967754032887068</v>
      </c>
      <c r="AW169" s="23">
        <f>EXP(-LN(2)/2)*AW168+(1-EXP(-LN(2)/2))/(LN(2)/2)*AQ169*AT169*VLOOKUP('Données projet'!$B$10,Paramètres!$A$1:$I$89,3,0)*0.475*44/12</f>
        <v>5.2647270985497071E-20</v>
      </c>
      <c r="AX169" s="23">
        <f t="shared" si="166"/>
        <v>0.17165120800141881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1.9895196601282805E-13</v>
      </c>
      <c r="O170" s="14">
        <f>N170*VLOOKUP('Données projet'!$B$9,Paramètres!$A$1:$I$89,3,0)*VLOOKUP('Données projet'!$B$9,Paramètres!$A$1:$I$89,5,0)</f>
        <v>1.8001173884840681E-13</v>
      </c>
      <c r="P170" s="14">
        <f t="shared" si="141"/>
        <v>2.5254331426407198E-12</v>
      </c>
      <c r="Q170" s="22">
        <f t="shared" si="162"/>
        <v>4.7119831685935622E-12</v>
      </c>
      <c r="R170" s="62">
        <f t="shared" si="109"/>
        <v>293.33333333333803</v>
      </c>
      <c r="S170" s="62">
        <f ca="1">AVERAGE(OFFSET($R$3,0,0,'Données projet'!$E$9+1,1))-AVERAGE(OFFSET($H$3,0,0,'Données projet'!$E$9+1,1))</f>
        <v>247.05981224668733</v>
      </c>
      <c r="T170" s="62">
        <f t="shared" si="142"/>
        <v>345.23839191022898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8.9560407139450092E-3</v>
      </c>
      <c r="AA170" s="23">
        <f>EXP(-LN(2)/25)*AA169+(1-EXP(-LN(2)/25))/(LN(2)/25)*Calculateur!V170*Calculateur!X170*VLOOKUP('Données projet'!$B$9,Paramètres!$A$1:$I$89,3,0)*0.475*44/12</f>
        <v>2.2558675510912802E-2</v>
      </c>
      <c r="AB170" s="23">
        <f>EXP(-LN(2)/2)*AB169+(1-EXP(-LN(2)/2))/(LN(2)/2)*V170*Y170*VLOOKUP('Données projet'!$B$9,Paramètres!$A$1:$I$89,3,0)*0.475*44/12</f>
        <v>1.0034401652617052E-20</v>
      </c>
      <c r="AC170" s="24">
        <f t="shared" si="163"/>
        <v>3.1514716224857811E-2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2.8421709430404007E-14</v>
      </c>
      <c r="AJ170" s="14">
        <f>AI170*VLOOKUP('Données projet'!$B$10,Paramètres!$A$1:$I$89,3,0)*VLOOKUP('Données projet'!$B$10,Paramètres!$A$1:$I$89,5,0)</f>
        <v>2.4829205358400945E-14</v>
      </c>
      <c r="AK170" s="14">
        <f t="shared" si="164"/>
        <v>4.3867331143352915E-13</v>
      </c>
      <c r="AL170" s="22">
        <f t="shared" si="165"/>
        <v>8.0726688341261168E-13</v>
      </c>
      <c r="AM170" s="62">
        <f t="shared" si="113"/>
        <v>293.33333333333411</v>
      </c>
      <c r="AN170" s="62">
        <f ca="1">AVERAGE(OFFSET($AM$3,0,0,'Données projet'!$E$10+1,1))-AVERAGE(OFFSET($H$3,0,0,'Données projet'!$E$10+1,1))</f>
        <v>235.92135862353973</v>
      </c>
      <c r="AO170" s="62">
        <f t="shared" si="144"/>
        <v>270.64539221029258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5.095449575029655E-2</v>
      </c>
      <c r="AV170" s="23">
        <f>EXP(-LN(2)/25)*AV169+(1-EXP(-LN(2)/25))/(LN(2)/25)*Calculateur!AQ170*Calculateur!AS170*VLOOKUP('Données projet'!$B$10,Paramètres!$A$1:$I$89,3,0)*0.475*44/12</f>
        <v>0.11640495169500939</v>
      </c>
      <c r="AW170" s="23">
        <f>EXP(-LN(2)/2)*AW169+(1-EXP(-LN(2)/2))/(LN(2)/2)*AQ170*AT170*VLOOKUP('Données projet'!$B$10,Paramètres!$A$1:$I$89,3,0)*0.475*44/12</f>
        <v>3.7227242324810749E-20</v>
      </c>
      <c r="AX170" s="23">
        <f t="shared" si="166"/>
        <v>0.16735944744530595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1.9895196601282805E-13</v>
      </c>
      <c r="O171" s="14">
        <f>N171*VLOOKUP('Données projet'!$B$9,Paramètres!$A$1:$I$89,3,0)*VLOOKUP('Données projet'!$B$9,Paramètres!$A$1:$I$89,5,0)</f>
        <v>1.8001173884840681E-13</v>
      </c>
      <c r="P171" s="14">
        <f t="shared" si="141"/>
        <v>2.5254331426407198E-12</v>
      </c>
      <c r="Q171" s="22">
        <f t="shared" si="162"/>
        <v>4.7119831685935622E-12</v>
      </c>
      <c r="R171" s="62">
        <f t="shared" si="109"/>
        <v>293.33333333333803</v>
      </c>
      <c r="S171" s="62">
        <f ca="1">AVERAGE(OFFSET($R$3,0,0,'Données projet'!$E$9+1,1))-AVERAGE(OFFSET($H$3,0,0,'Données projet'!$E$9+1,1))</f>
        <v>247.05981224668733</v>
      </c>
      <c r="T171" s="62">
        <f t="shared" si="142"/>
        <v>345.23839191022898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8.780418218189992E-3</v>
      </c>
      <c r="AA171" s="23">
        <f>EXP(-LN(2)/25)*AA170+(1-EXP(-LN(2)/25))/(LN(2)/25)*Calculateur!V171*Calculateur!X171*VLOOKUP('Données projet'!$B$9,Paramètres!$A$1:$I$89,3,0)*0.475*44/12</f>
        <v>2.1941807342757705E-2</v>
      </c>
      <c r="AB171" s="23">
        <f>EXP(-LN(2)/2)*AB170+(1-EXP(-LN(2)/2))/(LN(2)/2)*V171*Y171*VLOOKUP('Données projet'!$B$9,Paramètres!$A$1:$I$89,3,0)*0.475*44/12</f>
        <v>7.0953934537150168E-21</v>
      </c>
      <c r="AC171" s="24">
        <f t="shared" si="163"/>
        <v>3.0722225560947697E-2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2.8421709430404007E-14</v>
      </c>
      <c r="AJ171" s="14">
        <f>AI171*VLOOKUP('Données projet'!$B$10,Paramètres!$A$1:$I$89,3,0)*VLOOKUP('Données projet'!$B$10,Paramètres!$A$1:$I$89,5,0)</f>
        <v>2.4829205358400945E-14</v>
      </c>
      <c r="AK171" s="14">
        <f t="shared" si="164"/>
        <v>4.3867331143352915E-13</v>
      </c>
      <c r="AL171" s="22">
        <f t="shared" si="165"/>
        <v>8.0726688341261168E-13</v>
      </c>
      <c r="AM171" s="62">
        <f t="shared" si="113"/>
        <v>293.33333333333411</v>
      </c>
      <c r="AN171" s="62">
        <f ca="1">AVERAGE(OFFSET($AM$3,0,0,'Données projet'!$E$10+1,1))-AVERAGE(OFFSET($H$3,0,0,'Données projet'!$E$10+1,1))</f>
        <v>235.92135862353973</v>
      </c>
      <c r="AO171" s="62">
        <f t="shared" si="144"/>
        <v>270.64539221029258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4.9955309167806827E-2</v>
      </c>
      <c r="AV171" s="23">
        <f>EXP(-LN(2)/25)*AV170+(1-EXP(-LN(2)/25))/(LN(2)/25)*Calculateur!AQ171*Calculateur!AS171*VLOOKUP('Données projet'!$B$10,Paramètres!$A$1:$I$89,3,0)*0.475*44/12</f>
        <v>0.113221852169439</v>
      </c>
      <c r="AW171" s="23">
        <f>EXP(-LN(2)/2)*AW170+(1-EXP(-LN(2)/2))/(LN(2)/2)*AQ171*AT171*VLOOKUP('Données projet'!$B$10,Paramètres!$A$1:$I$89,3,0)*0.475*44/12</f>
        <v>2.6323635492748535E-20</v>
      </c>
      <c r="AX171" s="23">
        <f t="shared" si="166"/>
        <v>0.16317716133724583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1.9895196601282805E-13</v>
      </c>
      <c r="O172" s="14">
        <f>N172*VLOOKUP('Données projet'!$B$9,Paramètres!$A$1:$I$89,3,0)*VLOOKUP('Données projet'!$B$9,Paramètres!$A$1:$I$89,5,0)</f>
        <v>1.8001173884840681E-13</v>
      </c>
      <c r="P172" s="14">
        <f t="shared" si="141"/>
        <v>2.5254331426407198E-12</v>
      </c>
      <c r="Q172" s="22">
        <f t="shared" si="162"/>
        <v>4.7119831685935622E-12</v>
      </c>
      <c r="R172" s="62">
        <f t="shared" si="109"/>
        <v>293.33333333333803</v>
      </c>
      <c r="S172" s="62">
        <f ca="1">AVERAGE(OFFSET($R$3,0,0,'Données projet'!$E$9+1,1))-AVERAGE(OFFSET($H$3,0,0,'Données projet'!$E$9+1,1))</f>
        <v>247.05981224668733</v>
      </c>
      <c r="T172" s="62">
        <f t="shared" si="142"/>
        <v>345.23839191022898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8.608239572457585E-3</v>
      </c>
      <c r="AA172" s="23">
        <f>EXP(-LN(2)/25)*AA171+(1-EXP(-LN(2)/25))/(LN(2)/25)*Calculateur!V172*Calculateur!X172*VLOOKUP('Données projet'!$B$9,Paramètres!$A$1:$I$89,3,0)*0.475*44/12</f>
        <v>2.1341807467100495E-2</v>
      </c>
      <c r="AB172" s="23">
        <f>EXP(-LN(2)/2)*AB171+(1-EXP(-LN(2)/2))/(LN(2)/2)*V172*Y172*VLOOKUP('Données projet'!$B$9,Paramètres!$A$1:$I$89,3,0)*0.475*44/12</f>
        <v>5.0172008263085261E-21</v>
      </c>
      <c r="AC172" s="24">
        <f t="shared" si="163"/>
        <v>2.995004703955808E-2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2.8421709430404007E-14</v>
      </c>
      <c r="AJ172" s="14">
        <f>AI172*VLOOKUP('Données projet'!$B$10,Paramètres!$A$1:$I$89,3,0)*VLOOKUP('Données projet'!$B$10,Paramètres!$A$1:$I$89,5,0)</f>
        <v>2.4829205358400945E-14</v>
      </c>
      <c r="AK172" s="14">
        <f t="shared" si="164"/>
        <v>4.3867331143352915E-13</v>
      </c>
      <c r="AL172" s="22">
        <f t="shared" si="165"/>
        <v>8.0726688341261168E-13</v>
      </c>
      <c r="AM172" s="62">
        <f t="shared" si="113"/>
        <v>293.33333333333411</v>
      </c>
      <c r="AN172" s="62">
        <f ca="1">AVERAGE(OFFSET($AM$3,0,0,'Données projet'!$E$10+1,1))-AVERAGE(OFFSET($H$3,0,0,'Données projet'!$E$10+1,1))</f>
        <v>235.92135862353973</v>
      </c>
      <c r="AO172" s="62">
        <f t="shared" si="144"/>
        <v>270.64539221029258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4.8975716024756089E-2</v>
      </c>
      <c r="AV172" s="23">
        <f>EXP(-LN(2)/25)*AV171+(1-EXP(-LN(2)/25))/(LN(2)/25)*Calculateur!AQ172*Calculateur!AS172*VLOOKUP('Données projet'!$B$10,Paramètres!$A$1:$I$89,3,0)*0.475*44/12</f>
        <v>0.11012579466778726</v>
      </c>
      <c r="AW172" s="23">
        <f>EXP(-LN(2)/2)*AW171+(1-EXP(-LN(2)/2))/(LN(2)/2)*AQ172*AT172*VLOOKUP('Données projet'!$B$10,Paramètres!$A$1:$I$89,3,0)*0.475*44/12</f>
        <v>1.8613621162405374E-20</v>
      </c>
      <c r="AX172" s="23">
        <f t="shared" si="166"/>
        <v>0.15910151069254336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1.9895196601282805E-13</v>
      </c>
      <c r="O173" s="14">
        <f>N173*VLOOKUP('Données projet'!$B$9,Paramètres!$A$1:$I$89,3,0)*VLOOKUP('Données projet'!$B$9,Paramètres!$A$1:$I$89,5,0)</f>
        <v>1.8001173884840681E-13</v>
      </c>
      <c r="P173" s="14">
        <f t="shared" si="141"/>
        <v>2.5254331426407198E-12</v>
      </c>
      <c r="Q173" s="22">
        <f t="shared" si="162"/>
        <v>4.7119831685935622E-12</v>
      </c>
      <c r="R173" s="62">
        <f t="shared" si="109"/>
        <v>293.33333333333803</v>
      </c>
      <c r="S173" s="62">
        <f ca="1">AVERAGE(OFFSET($R$3,0,0,'Données projet'!$E$9+1,1))-AVERAGE(OFFSET($H$3,0,0,'Données projet'!$E$9+1,1))</f>
        <v>247.05981224668733</v>
      </c>
      <c r="T173" s="62">
        <f t="shared" si="142"/>
        <v>345.23839191022898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8.4394372449493864E-3</v>
      </c>
      <c r="AA173" s="23">
        <f>EXP(-LN(2)/25)*AA172+(1-EXP(-LN(2)/25))/(LN(2)/25)*Calculateur!V173*Calculateur!X173*VLOOKUP('Données projet'!$B$9,Paramètres!$A$1:$I$89,3,0)*0.475*44/12</f>
        <v>2.0758214619595754E-2</v>
      </c>
      <c r="AB173" s="23">
        <f>EXP(-LN(2)/2)*AB172+(1-EXP(-LN(2)/2))/(LN(2)/2)*V173*Y173*VLOOKUP('Données projet'!$B$9,Paramètres!$A$1:$I$89,3,0)*0.475*44/12</f>
        <v>3.5476967268575084E-21</v>
      </c>
      <c r="AC173" s="24">
        <f t="shared" si="163"/>
        <v>2.9197651864545142E-2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2.8421709430404007E-14</v>
      </c>
      <c r="AJ173" s="14">
        <f>AI173*VLOOKUP('Données projet'!$B$10,Paramètres!$A$1:$I$89,3,0)*VLOOKUP('Données projet'!$B$10,Paramètres!$A$1:$I$89,5,0)</f>
        <v>2.4829205358400945E-14</v>
      </c>
      <c r="AK173" s="14">
        <f t="shared" si="164"/>
        <v>4.3867331143352915E-13</v>
      </c>
      <c r="AL173" s="22">
        <f t="shared" si="165"/>
        <v>8.0726688341261168E-13</v>
      </c>
      <c r="AM173" s="62">
        <f t="shared" si="113"/>
        <v>293.33333333333411</v>
      </c>
      <c r="AN173" s="62">
        <f ca="1">AVERAGE(OFFSET($AM$3,0,0,'Données projet'!$E$10+1,1))-AVERAGE(OFFSET($H$3,0,0,'Données projet'!$E$10+1,1))</f>
        <v>235.92135862353973</v>
      </c>
      <c r="AO173" s="62">
        <f t="shared" si="144"/>
        <v>270.64539221029258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4.8015332105747759E-2</v>
      </c>
      <c r="AV173" s="23">
        <f>EXP(-LN(2)/25)*AV172+(1-EXP(-LN(2)/25))/(LN(2)/25)*Calculateur!AQ173*Calculateur!AS173*VLOOKUP('Données projet'!$B$10,Paramètres!$A$1:$I$89,3,0)*0.475*44/12</f>
        <v>0.10711439902133277</v>
      </c>
      <c r="AW173" s="23">
        <f>EXP(-LN(2)/2)*AW172+(1-EXP(-LN(2)/2))/(LN(2)/2)*AQ173*AT173*VLOOKUP('Données projet'!$B$10,Paramètres!$A$1:$I$89,3,0)*0.475*44/12</f>
        <v>1.3161817746374268E-20</v>
      </c>
      <c r="AX173" s="23">
        <f t="shared" si="166"/>
        <v>0.15512973112708053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1.9895196601282805E-13</v>
      </c>
      <c r="O174" s="14">
        <f>N174*VLOOKUP('Données projet'!$B$9,Paramètres!$A$1:$I$89,3,0)*VLOOKUP('Données projet'!$B$9,Paramètres!$A$1:$I$89,5,0)</f>
        <v>1.8001173884840681E-13</v>
      </c>
      <c r="P174" s="14">
        <f t="shared" si="141"/>
        <v>2.5254331426407198E-12</v>
      </c>
      <c r="Q174" s="22">
        <f t="shared" si="162"/>
        <v>4.7119831685935622E-12</v>
      </c>
      <c r="R174" s="62">
        <f t="shared" si="109"/>
        <v>293.33333333333803</v>
      </c>
      <c r="S174" s="62">
        <f ca="1">AVERAGE(OFFSET($R$3,0,0,'Données projet'!$E$9+1,1))-AVERAGE(OFFSET($H$3,0,0,'Données projet'!$E$9+1,1))</f>
        <v>247.05981224668733</v>
      </c>
      <c r="T174" s="62">
        <f t="shared" si="142"/>
        <v>345.23839191022898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8.2739450281243705E-3</v>
      </c>
      <c r="AA174" s="23">
        <f>EXP(-LN(2)/25)*AA173+(1-EXP(-LN(2)/25))/(LN(2)/25)*Calculateur!V174*Calculateur!X174*VLOOKUP('Données projet'!$B$9,Paramètres!$A$1:$I$89,3,0)*0.475*44/12</f>
        <v>2.0190580149195843E-2</v>
      </c>
      <c r="AB174" s="23">
        <f>EXP(-LN(2)/2)*AB173+(1-EXP(-LN(2)/2))/(LN(2)/2)*V174*Y174*VLOOKUP('Données projet'!$B$9,Paramètres!$A$1:$I$89,3,0)*0.475*44/12</f>
        <v>2.5086004131542631E-21</v>
      </c>
      <c r="AC174" s="24">
        <f t="shared" si="163"/>
        <v>2.8464525177320212E-2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2.8421709430404007E-14</v>
      </c>
      <c r="AJ174" s="14">
        <f>AI174*VLOOKUP('Données projet'!$B$10,Paramètres!$A$1:$I$89,3,0)*VLOOKUP('Données projet'!$B$10,Paramètres!$A$1:$I$89,5,0)</f>
        <v>2.4829205358400945E-14</v>
      </c>
      <c r="AK174" s="14">
        <f t="shared" si="164"/>
        <v>4.3867331143352915E-13</v>
      </c>
      <c r="AL174" s="22">
        <f t="shared" si="165"/>
        <v>8.0726688341261168E-13</v>
      </c>
      <c r="AM174" s="62">
        <f t="shared" si="113"/>
        <v>293.33333333333411</v>
      </c>
      <c r="AN174" s="62">
        <f ca="1">AVERAGE(OFFSET($AM$3,0,0,'Données projet'!$E$10+1,1))-AVERAGE(OFFSET($H$3,0,0,'Données projet'!$E$10+1,1))</f>
        <v>235.92135862353973</v>
      </c>
      <c r="AO174" s="62">
        <f t="shared" si="144"/>
        <v>270.64539221029258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4.7073780729614829E-2</v>
      </c>
      <c r="AV174" s="23">
        <f>EXP(-LN(2)/25)*AV173+(1-EXP(-LN(2)/25))/(LN(2)/25)*Calculateur!AQ174*Calculateur!AS174*VLOOKUP('Données projet'!$B$10,Paramètres!$A$1:$I$89,3,0)*0.475*44/12</f>
        <v>0.10418535014719299</v>
      </c>
      <c r="AW174" s="23">
        <f>EXP(-LN(2)/2)*AW173+(1-EXP(-LN(2)/2))/(LN(2)/2)*AQ174*AT174*VLOOKUP('Données projet'!$B$10,Paramètres!$A$1:$I$89,3,0)*0.475*44/12</f>
        <v>9.3068105812026872E-21</v>
      </c>
      <c r="AX174" s="23">
        <f t="shared" si="166"/>
        <v>0.15125913087680781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1.9895196601282805E-13</v>
      </c>
      <c r="O175" s="14">
        <f>N175*VLOOKUP('Données projet'!$B$9,Paramètres!$A$1:$I$89,3,0)*VLOOKUP('Données projet'!$B$9,Paramètres!$A$1:$I$89,5,0)</f>
        <v>1.8001173884840681E-13</v>
      </c>
      <c r="P175" s="14">
        <f t="shared" si="141"/>
        <v>2.5254331426407198E-12</v>
      </c>
      <c r="Q175" s="22">
        <f t="shared" si="162"/>
        <v>4.7119831685935622E-12</v>
      </c>
      <c r="R175" s="62">
        <f t="shared" si="109"/>
        <v>293.33333333333803</v>
      </c>
      <c r="S175" s="62">
        <f ca="1">AVERAGE(OFFSET($R$3,0,0,'Données projet'!$E$9+1,1))-AVERAGE(OFFSET($H$3,0,0,'Données projet'!$E$9+1,1))</f>
        <v>247.05981224668733</v>
      </c>
      <c r="T175" s="62">
        <f t="shared" si="142"/>
        <v>345.23839191022898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8.1116980127310077E-3</v>
      </c>
      <c r="AA175" s="23">
        <f>EXP(-LN(2)/25)*AA174+(1-EXP(-LN(2)/25))/(LN(2)/25)*Calculateur!V175*Calculateur!X175*VLOOKUP('Données projet'!$B$9,Paramètres!$A$1:$I$89,3,0)*0.475*44/12</f>
        <v>1.963846767323962E-2</v>
      </c>
      <c r="AB175" s="23">
        <f>EXP(-LN(2)/2)*AB174+(1-EXP(-LN(2)/2))/(LN(2)/2)*V175*Y175*VLOOKUP('Données projet'!$B$9,Paramètres!$A$1:$I$89,3,0)*0.475*44/12</f>
        <v>1.7738483634287542E-21</v>
      </c>
      <c r="AC175" s="24">
        <f t="shared" si="163"/>
        <v>2.7750165685970628E-2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2.8421709430404007E-14</v>
      </c>
      <c r="AJ175" s="14">
        <f>AI175*VLOOKUP('Données projet'!$B$10,Paramètres!$A$1:$I$89,3,0)*VLOOKUP('Données projet'!$B$10,Paramètres!$A$1:$I$89,5,0)</f>
        <v>2.4829205358400945E-14</v>
      </c>
      <c r="AK175" s="14">
        <f t="shared" si="164"/>
        <v>4.3867331143352915E-13</v>
      </c>
      <c r="AL175" s="22">
        <f t="shared" si="165"/>
        <v>8.0726688341261168E-13</v>
      </c>
      <c r="AM175" s="62">
        <f t="shared" si="113"/>
        <v>293.33333333333411</v>
      </c>
      <c r="AN175" s="62">
        <f ca="1">AVERAGE(OFFSET($AM$3,0,0,'Données projet'!$E$10+1,1))-AVERAGE(OFFSET($H$3,0,0,'Données projet'!$E$10+1,1))</f>
        <v>235.92135862353973</v>
      </c>
      <c r="AO175" s="62">
        <f t="shared" si="144"/>
        <v>270.64539221029258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4.6150692601678235E-2</v>
      </c>
      <c r="AV175" s="23">
        <f>EXP(-LN(2)/25)*AV174+(1-EXP(-LN(2)/25))/(LN(2)/25)*Calculateur!AQ175*Calculateur!AS175*VLOOKUP('Données projet'!$B$10,Paramètres!$A$1:$I$89,3,0)*0.475*44/12</f>
        <v>0.10133639626854855</v>
      </c>
      <c r="AW175" s="23">
        <f>EXP(-LN(2)/2)*AW174+(1-EXP(-LN(2)/2))/(LN(2)/2)*AQ175*AT175*VLOOKUP('Données projet'!$B$10,Paramètres!$A$1:$I$89,3,0)*0.475*44/12</f>
        <v>6.5809088731871338E-21</v>
      </c>
      <c r="AX175" s="23">
        <f t="shared" si="166"/>
        <v>0.1474870888702268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1.9895196601282805E-13</v>
      </c>
      <c r="O176" s="14">
        <f>N176*VLOOKUP('Données projet'!$B$9,Paramètres!$A$1:$I$89,3,0)*VLOOKUP('Données projet'!$B$9,Paramètres!$A$1:$I$89,5,0)</f>
        <v>1.8001173884840681E-13</v>
      </c>
      <c r="P176" s="14">
        <f t="shared" si="141"/>
        <v>2.5254331426407198E-12</v>
      </c>
      <c r="Q176" s="22">
        <f t="shared" si="162"/>
        <v>4.7119831685935622E-12</v>
      </c>
      <c r="R176" s="62">
        <f t="shared" si="109"/>
        <v>293.33333333333803</v>
      </c>
      <c r="S176" s="62">
        <f ca="1">AVERAGE(OFFSET($R$3,0,0,'Données projet'!$E$9+1,1))-AVERAGE(OFFSET($H$3,0,0,'Données projet'!$E$9+1,1))</f>
        <v>247.05981224668733</v>
      </c>
      <c r="T176" s="62">
        <f t="shared" si="142"/>
        <v>345.23839191022898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7.9526325623486011E-3</v>
      </c>
      <c r="AA176" s="23">
        <f>EXP(-LN(2)/25)*AA175+(1-EXP(-LN(2)/25))/(LN(2)/25)*Calculateur!V176*Calculateur!X176*VLOOKUP('Données projet'!$B$9,Paramètres!$A$1:$I$89,3,0)*0.475*44/12</f>
        <v>1.9101452741972752E-2</v>
      </c>
      <c r="AB176" s="23">
        <f>EXP(-LN(2)/2)*AB175+(1-EXP(-LN(2)/2))/(LN(2)/2)*V176*Y176*VLOOKUP('Données projet'!$B$9,Paramètres!$A$1:$I$89,3,0)*0.475*44/12</f>
        <v>1.2543002065771315E-21</v>
      </c>
      <c r="AC176" s="24">
        <f t="shared" si="163"/>
        <v>2.7054085304321351E-2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2.8421709430404007E-14</v>
      </c>
      <c r="AJ176" s="14">
        <f>AI176*VLOOKUP('Données projet'!$B$10,Paramètres!$A$1:$I$89,3,0)*VLOOKUP('Données projet'!$B$10,Paramètres!$A$1:$I$89,5,0)</f>
        <v>2.4829205358400945E-14</v>
      </c>
      <c r="AK176" s="14">
        <f t="shared" si="164"/>
        <v>4.3867331143352915E-13</v>
      </c>
      <c r="AL176" s="22">
        <f t="shared" si="165"/>
        <v>8.0726688341261168E-13</v>
      </c>
      <c r="AM176" s="62">
        <f t="shared" si="113"/>
        <v>293.33333333333411</v>
      </c>
      <c r="AN176" s="62">
        <f ca="1">AVERAGE(OFFSET($AM$3,0,0,'Données projet'!$E$10+1,1))-AVERAGE(OFFSET($H$3,0,0,'Données projet'!$E$10+1,1))</f>
        <v>235.92135862353973</v>
      </c>
      <c r="AO176" s="62">
        <f t="shared" si="144"/>
        <v>270.64539221029258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4.5245705668902313E-2</v>
      </c>
      <c r="AV176" s="23">
        <f>EXP(-LN(2)/25)*AV175+(1-EXP(-LN(2)/25))/(LN(2)/25)*Calculateur!AQ176*Calculateur!AS176*VLOOKUP('Données projet'!$B$10,Paramètres!$A$1:$I$89,3,0)*0.475*44/12</f>
        <v>9.8565347183535615E-2</v>
      </c>
      <c r="AW176" s="23">
        <f>EXP(-LN(2)/2)*AW175+(1-EXP(-LN(2)/2))/(LN(2)/2)*AQ176*AT176*VLOOKUP('Données projet'!$B$10,Paramètres!$A$1:$I$89,3,0)*0.475*44/12</f>
        <v>4.6534052906013436E-21</v>
      </c>
      <c r="AX176" s="23">
        <f t="shared" si="166"/>
        <v>0.14381105285243792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1.9895196601282805E-13</v>
      </c>
      <c r="O177" s="14">
        <f>N177*VLOOKUP('Données projet'!$B$9,Paramètres!$A$1:$I$89,3,0)*VLOOKUP('Données projet'!$B$9,Paramètres!$A$1:$I$89,5,0)</f>
        <v>1.8001173884840681E-13</v>
      </c>
      <c r="P177" s="14">
        <f t="shared" si="141"/>
        <v>2.5254331426407198E-12</v>
      </c>
      <c r="Q177" s="22">
        <f t="shared" si="162"/>
        <v>4.7119831685935622E-12</v>
      </c>
      <c r="R177" s="62">
        <f t="shared" si="109"/>
        <v>293.33333333333803</v>
      </c>
      <c r="S177" s="62">
        <f ca="1">AVERAGE(OFFSET($R$3,0,0,'Données projet'!$E$9+1,1))-AVERAGE(OFFSET($H$3,0,0,'Données projet'!$E$9+1,1))</f>
        <v>247.05981224668733</v>
      </c>
      <c r="T177" s="62">
        <f t="shared" si="142"/>
        <v>345.23839191022898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7.7966862884278482E-3</v>
      </c>
      <c r="AA177" s="23">
        <f>EXP(-LN(2)/25)*AA176+(1-EXP(-LN(2)/25))/(LN(2)/25)*Calculateur!V177*Calculateur!X177*VLOOKUP('Données projet'!$B$9,Paramètres!$A$1:$I$89,3,0)*0.475*44/12</f>
        <v>1.8579122512241763E-2</v>
      </c>
      <c r="AB177" s="23">
        <f>EXP(-LN(2)/2)*AB176+(1-EXP(-LN(2)/2))/(LN(2)/2)*V177*Y177*VLOOKUP('Données projet'!$B$9,Paramètres!$A$1:$I$89,3,0)*0.475*44/12</f>
        <v>8.869241817143771E-22</v>
      </c>
      <c r="AC177" s="24">
        <f t="shared" si="163"/>
        <v>2.6375808800669611E-2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2.8421709430404007E-14</v>
      </c>
      <c r="AJ177" s="14">
        <f>AI177*VLOOKUP('Données projet'!$B$10,Paramètres!$A$1:$I$89,3,0)*VLOOKUP('Données projet'!$B$10,Paramètres!$A$1:$I$89,5,0)</f>
        <v>2.4829205358400945E-14</v>
      </c>
      <c r="AK177" s="14">
        <f t="shared" si="164"/>
        <v>4.3867331143352915E-13</v>
      </c>
      <c r="AL177" s="22">
        <f t="shared" si="165"/>
        <v>8.0726688341261168E-13</v>
      </c>
      <c r="AM177" s="62">
        <f t="shared" si="113"/>
        <v>293.33333333333411</v>
      </c>
      <c r="AN177" s="62">
        <f ca="1">AVERAGE(OFFSET($AM$3,0,0,'Données projet'!$E$10+1,1))-AVERAGE(OFFSET($H$3,0,0,'Données projet'!$E$10+1,1))</f>
        <v>235.92135862353973</v>
      </c>
      <c r="AO177" s="62">
        <f t="shared" si="144"/>
        <v>270.64539221029258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4.4358464977890602E-2</v>
      </c>
      <c r="AV177" s="23">
        <f>EXP(-LN(2)/25)*AV176+(1-EXP(-LN(2)/25))/(LN(2)/25)*Calculateur!AQ177*Calculateur!AS177*VLOOKUP('Données projet'!$B$10,Paramètres!$A$1:$I$89,3,0)*0.475*44/12</f>
        <v>9.5870072581475493E-2</v>
      </c>
      <c r="AW177" s="23">
        <f>EXP(-LN(2)/2)*AW176+(1-EXP(-LN(2)/2))/(LN(2)/2)*AQ177*AT177*VLOOKUP('Données projet'!$B$10,Paramètres!$A$1:$I$89,3,0)*0.475*44/12</f>
        <v>3.2904544365935669E-21</v>
      </c>
      <c r="AX177" s="23">
        <f t="shared" si="166"/>
        <v>0.1402285375593661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1.9895196601282805E-13</v>
      </c>
      <c r="O178" s="14">
        <f>N178*VLOOKUP('Données projet'!$B$9,Paramètres!$A$1:$I$89,3,0)*VLOOKUP('Données projet'!$B$9,Paramètres!$A$1:$I$89,5,0)</f>
        <v>1.8001173884840681E-13</v>
      </c>
      <c r="P178" s="14">
        <f t="shared" si="141"/>
        <v>2.5254331426407198E-12</v>
      </c>
      <c r="Q178" s="22">
        <f t="shared" si="162"/>
        <v>4.7119831685935622E-12</v>
      </c>
      <c r="R178" s="62">
        <f t="shared" si="109"/>
        <v>293.33333333333803</v>
      </c>
      <c r="S178" s="62">
        <f ca="1">AVERAGE(OFFSET($R$3,0,0,'Données projet'!$E$9+1,1))-AVERAGE(OFFSET($H$3,0,0,'Données projet'!$E$9+1,1))</f>
        <v>247.05981224668733</v>
      </c>
      <c r="T178" s="62">
        <f t="shared" si="142"/>
        <v>345.23839191022898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7.6437980258208466E-3</v>
      </c>
      <c r="AA178" s="23">
        <f>EXP(-LN(2)/25)*AA177+(1-EXP(-LN(2)/25))/(LN(2)/25)*Calculateur!V178*Calculateur!X178*VLOOKUP('Données projet'!$B$9,Paramètres!$A$1:$I$89,3,0)*0.475*44/12</f>
        <v>1.8071075430110922E-2</v>
      </c>
      <c r="AB178" s="23">
        <f>EXP(-LN(2)/2)*AB177+(1-EXP(-LN(2)/2))/(LN(2)/2)*V178*Y178*VLOOKUP('Données projet'!$B$9,Paramètres!$A$1:$I$89,3,0)*0.475*44/12</f>
        <v>6.2715010328856577E-22</v>
      </c>
      <c r="AC178" s="24">
        <f t="shared" si="163"/>
        <v>2.5714873455931767E-2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2.8421709430404007E-14</v>
      </c>
      <c r="AJ178" s="14">
        <f>AI178*VLOOKUP('Données projet'!$B$10,Paramètres!$A$1:$I$89,3,0)*VLOOKUP('Données projet'!$B$10,Paramètres!$A$1:$I$89,5,0)</f>
        <v>2.4829205358400945E-14</v>
      </c>
      <c r="AK178" s="14">
        <f t="shared" si="164"/>
        <v>4.3867331143352915E-13</v>
      </c>
      <c r="AL178" s="22">
        <f t="shared" si="165"/>
        <v>8.0726688341261168E-13</v>
      </c>
      <c r="AM178" s="62">
        <f t="shared" si="113"/>
        <v>293.33333333333411</v>
      </c>
      <c r="AN178" s="62">
        <f ca="1">AVERAGE(OFFSET($AM$3,0,0,'Données projet'!$E$10+1,1))-AVERAGE(OFFSET($H$3,0,0,'Données projet'!$E$10+1,1))</f>
        <v>235.92135862353973</v>
      </c>
      <c r="AO178" s="62">
        <f t="shared" si="144"/>
        <v>270.64539221029258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4.3488622535666245E-2</v>
      </c>
      <c r="AV178" s="23">
        <f>EXP(-LN(2)/25)*AV177+(1-EXP(-LN(2)/25))/(LN(2)/25)*Calculateur!AQ178*Calculateur!AS178*VLOOKUP('Données projet'!$B$10,Paramètres!$A$1:$I$89,3,0)*0.475*44/12</f>
        <v>9.3248500405147039E-2</v>
      </c>
      <c r="AW178" s="23">
        <f>EXP(-LN(2)/2)*AW177+(1-EXP(-LN(2)/2))/(LN(2)/2)*AQ178*AT178*VLOOKUP('Données projet'!$B$10,Paramètres!$A$1:$I$89,3,0)*0.475*44/12</f>
        <v>2.3267026453006718E-21</v>
      </c>
      <c r="AX178" s="23">
        <f t="shared" si="166"/>
        <v>0.13673712294081328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1.9895196601282805E-13</v>
      </c>
      <c r="O179" s="14">
        <f>N179*VLOOKUP('Données projet'!$B$9,Paramètres!$A$1:$I$89,3,0)*VLOOKUP('Données projet'!$B$9,Paramètres!$A$1:$I$89,5,0)</f>
        <v>1.8001173884840681E-13</v>
      </c>
      <c r="P179" s="14">
        <f t="shared" si="141"/>
        <v>2.5254331426407198E-12</v>
      </c>
      <c r="Q179" s="22">
        <f t="shared" si="162"/>
        <v>4.7119831685935622E-12</v>
      </c>
      <c r="R179" s="62">
        <f t="shared" si="109"/>
        <v>293.33333333333803</v>
      </c>
      <c r="S179" s="62">
        <f ca="1">AVERAGE(OFFSET($R$3,0,0,'Données projet'!$E$9+1,1))-AVERAGE(OFFSET($H$3,0,0,'Données projet'!$E$9+1,1))</f>
        <v>247.05981224668733</v>
      </c>
      <c r="T179" s="62">
        <f t="shared" si="142"/>
        <v>345.23839191022898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7.4939078087909363E-3</v>
      </c>
      <c r="AA179" s="23">
        <f>EXP(-LN(2)/25)*AA178+(1-EXP(-LN(2)/25))/(LN(2)/25)*Calculateur!V179*Calculateur!X179*VLOOKUP('Données projet'!$B$9,Paramètres!$A$1:$I$89,3,0)*0.475*44/12</f>
        <v>1.7576920922157985E-2</v>
      </c>
      <c r="AB179" s="23">
        <f>EXP(-LN(2)/2)*AB178+(1-EXP(-LN(2)/2))/(LN(2)/2)*V179*Y179*VLOOKUP('Données projet'!$B$9,Paramètres!$A$1:$I$89,3,0)*0.475*44/12</f>
        <v>4.4346209085718855E-22</v>
      </c>
      <c r="AC179" s="24">
        <f t="shared" si="163"/>
        <v>2.5070828730948923E-2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2.8421709430404007E-14</v>
      </c>
      <c r="AJ179" s="14">
        <f>AI179*VLOOKUP('Données projet'!$B$10,Paramètres!$A$1:$I$89,3,0)*VLOOKUP('Données projet'!$B$10,Paramètres!$A$1:$I$89,5,0)</f>
        <v>2.4829205358400945E-14</v>
      </c>
      <c r="AK179" s="14">
        <f t="shared" si="164"/>
        <v>4.3867331143352915E-13</v>
      </c>
      <c r="AL179" s="22">
        <f t="shared" si="165"/>
        <v>8.0726688341261168E-13</v>
      </c>
      <c r="AM179" s="62">
        <f t="shared" si="113"/>
        <v>293.33333333333411</v>
      </c>
      <c r="AN179" s="62">
        <f ca="1">AVERAGE(OFFSET($AM$3,0,0,'Données projet'!$E$10+1,1))-AVERAGE(OFFSET($H$3,0,0,'Données projet'!$E$10+1,1))</f>
        <v>235.92135862353973</v>
      </c>
      <c r="AO179" s="62">
        <f t="shared" si="144"/>
        <v>270.64539221029258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4.2635837173182409E-2</v>
      </c>
      <c r="AV179" s="23">
        <f>EXP(-LN(2)/25)*AV178+(1-EXP(-LN(2)/25))/(LN(2)/25)*Calculateur!AQ179*Calculateur!AS179*VLOOKUP('Données projet'!$B$10,Paramètres!$A$1:$I$89,3,0)*0.475*44/12</f>
        <v>9.0698615257842785E-2</v>
      </c>
      <c r="AW179" s="23">
        <f>EXP(-LN(2)/2)*AW178+(1-EXP(-LN(2)/2))/(LN(2)/2)*AQ179*AT179*VLOOKUP('Données projet'!$B$10,Paramètres!$A$1:$I$89,3,0)*0.475*44/12</f>
        <v>1.6452272182967835E-21</v>
      </c>
      <c r="AX179" s="23">
        <f t="shared" si="166"/>
        <v>0.13333445243102521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1.9895196601282805E-13</v>
      </c>
      <c r="O180" s="14">
        <f>N180*VLOOKUP('Données projet'!$B$9,Paramètres!$A$1:$I$89,3,0)*VLOOKUP('Données projet'!$B$9,Paramètres!$A$1:$I$89,5,0)</f>
        <v>1.8001173884840681E-13</v>
      </c>
      <c r="P180" s="14">
        <f t="shared" si="141"/>
        <v>2.5254331426407198E-12</v>
      </c>
      <c r="Q180" s="22">
        <f t="shared" si="162"/>
        <v>4.7119831685935622E-12</v>
      </c>
      <c r="R180" s="62">
        <f t="shared" si="109"/>
        <v>293.33333333333803</v>
      </c>
      <c r="S180" s="62">
        <f ca="1">AVERAGE(OFFSET($R$3,0,0,'Données projet'!$E$9+1,1))-AVERAGE(OFFSET($H$3,0,0,'Données projet'!$E$9+1,1))</f>
        <v>247.05981224668733</v>
      </c>
      <c r="T180" s="62">
        <f t="shared" si="142"/>
        <v>345.23839191022898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7.3469568474929768E-3</v>
      </c>
      <c r="AA180" s="23">
        <f>EXP(-LN(2)/25)*AA179+(1-EXP(-LN(2)/25))/(LN(2)/25)*Calculateur!V180*Calculateur!X180*VLOOKUP('Données projet'!$B$9,Paramètres!$A$1:$I$89,3,0)*0.475*44/12</f>
        <v>1.7096279095211477E-2</v>
      </c>
      <c r="AB180" s="23">
        <f>EXP(-LN(2)/2)*AB179+(1-EXP(-LN(2)/2))/(LN(2)/2)*V180*Y180*VLOOKUP('Données projet'!$B$9,Paramètres!$A$1:$I$89,3,0)*0.475*44/12</f>
        <v>3.1357505164428288E-22</v>
      </c>
      <c r="AC180" s="24">
        <f t="shared" si="163"/>
        <v>2.4443235942704453E-2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2.8421709430404007E-14</v>
      </c>
      <c r="AJ180" s="14">
        <f>AI180*VLOOKUP('Données projet'!$B$10,Paramètres!$A$1:$I$89,3,0)*VLOOKUP('Données projet'!$B$10,Paramètres!$A$1:$I$89,5,0)</f>
        <v>2.4829205358400945E-14</v>
      </c>
      <c r="AK180" s="14">
        <f t="shared" si="164"/>
        <v>4.3867331143352915E-13</v>
      </c>
      <c r="AL180" s="22">
        <f t="shared" si="165"/>
        <v>8.0726688341261168E-13</v>
      </c>
      <c r="AM180" s="62">
        <f t="shared" si="113"/>
        <v>293.33333333333411</v>
      </c>
      <c r="AN180" s="62">
        <f ca="1">AVERAGE(OFFSET($AM$3,0,0,'Données projet'!$E$10+1,1))-AVERAGE(OFFSET($H$3,0,0,'Données projet'!$E$10+1,1))</f>
        <v>235.92135862353973</v>
      </c>
      <c r="AO180" s="62">
        <f t="shared" si="144"/>
        <v>270.64539221029258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4.1799774411509165E-2</v>
      </c>
      <c r="AV180" s="23">
        <f>EXP(-LN(2)/25)*AV179+(1-EXP(-LN(2)/25))/(LN(2)/25)*Calculateur!AQ180*Calculateur!AS180*VLOOKUP('Données projet'!$B$10,Paramètres!$A$1:$I$89,3,0)*0.475*44/12</f>
        <v>8.821845685398419E-2</v>
      </c>
      <c r="AW180" s="23">
        <f>EXP(-LN(2)/2)*AW179+(1-EXP(-LN(2)/2))/(LN(2)/2)*AQ180*AT180*VLOOKUP('Données projet'!$B$10,Paramètres!$A$1:$I$89,3,0)*0.475*44/12</f>
        <v>1.1633513226503359E-21</v>
      </c>
      <c r="AX180" s="23">
        <f t="shared" si="166"/>
        <v>0.13001823126549336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1.9895196601282805E-13</v>
      </c>
      <c r="O181" s="14">
        <f>N181*VLOOKUP('Données projet'!$B$9,Paramètres!$A$1:$I$89,3,0)*VLOOKUP('Données projet'!$B$9,Paramètres!$A$1:$I$89,5,0)</f>
        <v>1.8001173884840681E-13</v>
      </c>
      <c r="P181" s="14">
        <f t="shared" si="141"/>
        <v>2.5254331426407198E-12</v>
      </c>
      <c r="Q181" s="22">
        <f t="shared" si="162"/>
        <v>4.7119831685935622E-12</v>
      </c>
      <c r="R181" s="62">
        <f t="shared" si="109"/>
        <v>293.33333333333803</v>
      </c>
      <c r="S181" s="62">
        <f ca="1">AVERAGE(OFFSET($R$3,0,0,'Données projet'!$E$9+1,1))-AVERAGE(OFFSET($H$3,0,0,'Données projet'!$E$9+1,1))</f>
        <v>247.05981224668733</v>
      </c>
      <c r="T181" s="62">
        <f t="shared" si="142"/>
        <v>345.23839191022898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7.2028875049148346E-3</v>
      </c>
      <c r="AA181" s="23">
        <f>EXP(-LN(2)/25)*AA180+(1-EXP(-LN(2)/25))/(LN(2)/25)*Calculateur!V181*Calculateur!X181*VLOOKUP('Données projet'!$B$9,Paramètres!$A$1:$I$89,3,0)*0.475*44/12</f>
        <v>1.6628780444298673E-2</v>
      </c>
      <c r="AB181" s="23">
        <f>EXP(-LN(2)/2)*AB180+(1-EXP(-LN(2)/2))/(LN(2)/2)*V181*Y181*VLOOKUP('Données projet'!$B$9,Paramètres!$A$1:$I$89,3,0)*0.475*44/12</f>
        <v>2.2173104542859427E-22</v>
      </c>
      <c r="AC181" s="24">
        <f t="shared" si="163"/>
        <v>2.3831667949213507E-2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2.8421709430404007E-14</v>
      </c>
      <c r="AJ181" s="14">
        <f>AI181*VLOOKUP('Données projet'!$B$10,Paramètres!$A$1:$I$89,3,0)*VLOOKUP('Données projet'!$B$10,Paramètres!$A$1:$I$89,5,0)</f>
        <v>2.4829205358400945E-14</v>
      </c>
      <c r="AK181" s="14">
        <f t="shared" si="164"/>
        <v>4.3867331143352915E-13</v>
      </c>
      <c r="AL181" s="22">
        <f t="shared" si="165"/>
        <v>8.0726688341261168E-13</v>
      </c>
      <c r="AM181" s="62">
        <f t="shared" si="113"/>
        <v>293.33333333333411</v>
      </c>
      <c r="AN181" s="62">
        <f ca="1">AVERAGE(OFFSET($AM$3,0,0,'Données projet'!$E$10+1,1))-AVERAGE(OFFSET($H$3,0,0,'Données projet'!$E$10+1,1))</f>
        <v>235.92135862353973</v>
      </c>
      <c r="AO181" s="62">
        <f t="shared" si="144"/>
        <v>270.64539221029258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4.0980106330644403E-2</v>
      </c>
      <c r="AV181" s="23">
        <f>EXP(-LN(2)/25)*AV180+(1-EXP(-LN(2)/25))/(LN(2)/25)*Calculateur!AQ181*Calculateur!AS181*VLOOKUP('Données projet'!$B$10,Paramètres!$A$1:$I$89,3,0)*0.475*44/12</f>
        <v>8.580611851210497E-2</v>
      </c>
      <c r="AW181" s="23">
        <f>EXP(-LN(2)/2)*AW180+(1-EXP(-LN(2)/2))/(LN(2)/2)*AQ181*AT181*VLOOKUP('Données projet'!$B$10,Paramètres!$A$1:$I$89,3,0)*0.475*44/12</f>
        <v>8.2261360914839173E-22</v>
      </c>
      <c r="AX181" s="23">
        <f t="shared" si="166"/>
        <v>0.12678622484274937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1.9895196601282805E-13</v>
      </c>
      <c r="O182" s="14">
        <f>N182*VLOOKUP('Données projet'!$B$9,Paramètres!$A$1:$I$89,3,0)*VLOOKUP('Données projet'!$B$9,Paramètres!$A$1:$I$89,5,0)</f>
        <v>1.8001173884840681E-13</v>
      </c>
      <c r="P182" s="14">
        <f t="shared" si="141"/>
        <v>2.5254331426407198E-12</v>
      </c>
      <c r="Q182" s="22">
        <f t="shared" si="162"/>
        <v>4.7119831685935622E-12</v>
      </c>
      <c r="R182" s="62">
        <f t="shared" si="109"/>
        <v>293.33333333333803</v>
      </c>
      <c r="S182" s="62">
        <f ca="1">AVERAGE(OFFSET($R$3,0,0,'Données projet'!$E$9+1,1))-AVERAGE(OFFSET($H$3,0,0,'Données projet'!$E$9+1,1))</f>
        <v>247.05981224668733</v>
      </c>
      <c r="T182" s="62">
        <f t="shared" si="142"/>
        <v>345.23839191022898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7.061643274271028E-3</v>
      </c>
      <c r="AA182" s="23">
        <f>EXP(-LN(2)/25)*AA181+(1-EXP(-LN(2)/25))/(LN(2)/25)*Calculateur!V182*Calculateur!X182*VLOOKUP('Données projet'!$B$9,Paramètres!$A$1:$I$89,3,0)*0.475*44/12</f>
        <v>1.6174065568579768E-2</v>
      </c>
      <c r="AB182" s="23">
        <f>EXP(-LN(2)/2)*AB181+(1-EXP(-LN(2)/2))/(LN(2)/2)*V182*Y182*VLOOKUP('Données projet'!$B$9,Paramètres!$A$1:$I$89,3,0)*0.475*44/12</f>
        <v>1.5678752582214144E-22</v>
      </c>
      <c r="AC182" s="24">
        <f t="shared" si="163"/>
        <v>2.3235708842850797E-2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2.8421709430404007E-14</v>
      </c>
      <c r="AJ182" s="14">
        <f>AI182*VLOOKUP('Données projet'!$B$10,Paramètres!$A$1:$I$89,3,0)*VLOOKUP('Données projet'!$B$10,Paramètres!$A$1:$I$89,5,0)</f>
        <v>2.4829205358400945E-14</v>
      </c>
      <c r="AK182" s="14">
        <f t="shared" si="164"/>
        <v>4.3867331143352915E-13</v>
      </c>
      <c r="AL182" s="22">
        <f t="shared" si="165"/>
        <v>8.0726688341261168E-13</v>
      </c>
      <c r="AM182" s="62">
        <f t="shared" si="113"/>
        <v>293.33333333333411</v>
      </c>
      <c r="AN182" s="62">
        <f ca="1">AVERAGE(OFFSET($AM$3,0,0,'Données projet'!$E$10+1,1))-AVERAGE(OFFSET($H$3,0,0,'Données projet'!$E$10+1,1))</f>
        <v>235.92135862353973</v>
      </c>
      <c r="AO182" s="62">
        <f t="shared" si="144"/>
        <v>270.64539221029258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4.017651144089724E-2</v>
      </c>
      <c r="AV182" s="23">
        <f>EXP(-LN(2)/25)*AV181+(1-EXP(-LN(2)/25))/(LN(2)/25)*Calculateur!AQ182*Calculateur!AS182*VLOOKUP('Données projet'!$B$10,Paramètres!$A$1:$I$89,3,0)*0.475*44/12</f>
        <v>8.3459745689043796E-2</v>
      </c>
      <c r="AW182" s="23">
        <f>EXP(-LN(2)/2)*AW181+(1-EXP(-LN(2)/2))/(LN(2)/2)*AQ182*AT182*VLOOKUP('Données projet'!$B$10,Paramètres!$A$1:$I$89,3,0)*0.475*44/12</f>
        <v>5.8167566132516795E-22</v>
      </c>
      <c r="AX182" s="23">
        <f t="shared" si="166"/>
        <v>0.12363625712994103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1.9895196601282805E-13</v>
      </c>
      <c r="O183" s="14">
        <f>N183*VLOOKUP('Données projet'!$B$9,Paramètres!$A$1:$I$89,3,0)*VLOOKUP('Données projet'!$B$9,Paramètres!$A$1:$I$89,5,0)</f>
        <v>1.8001173884840681E-13</v>
      </c>
      <c r="P183" s="14">
        <f t="shared" si="141"/>
        <v>2.5254331426407198E-12</v>
      </c>
      <c r="Q183" s="22">
        <f t="shared" si="162"/>
        <v>4.7119831685935622E-12</v>
      </c>
      <c r="R183" s="62">
        <f t="shared" si="109"/>
        <v>293.33333333333803</v>
      </c>
      <c r="S183" s="62">
        <f ca="1">AVERAGE(OFFSET($R$3,0,0,'Données projet'!$E$9+1,1))-AVERAGE(OFFSET($H$3,0,0,'Données projet'!$E$9+1,1))</f>
        <v>247.05981224668733</v>
      </c>
      <c r="T183" s="62">
        <f t="shared" si="142"/>
        <v>345.23839191022898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6.923168756839672E-3</v>
      </c>
      <c r="AA183" s="23">
        <f>EXP(-LN(2)/25)*AA182+(1-EXP(-LN(2)/25))/(LN(2)/25)*Calculateur!V183*Calculateur!X183*VLOOKUP('Données projet'!$B$9,Paramètres!$A$1:$I$89,3,0)*0.475*44/12</f>
        <v>1.5731784895049811E-2</v>
      </c>
      <c r="AB183" s="23">
        <f>EXP(-LN(2)/2)*AB182+(1-EXP(-LN(2)/2))/(LN(2)/2)*V183*Y183*VLOOKUP('Données projet'!$B$9,Paramètres!$A$1:$I$89,3,0)*0.475*44/12</f>
        <v>1.1086552271429714E-22</v>
      </c>
      <c r="AC183" s="24">
        <f t="shared" si="163"/>
        <v>2.2654953651889482E-2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2.8421709430404007E-14</v>
      </c>
      <c r="AJ183" s="14">
        <f>AI183*VLOOKUP('Données projet'!$B$10,Paramètres!$A$1:$I$89,3,0)*VLOOKUP('Données projet'!$B$10,Paramètres!$A$1:$I$89,5,0)</f>
        <v>2.4829205358400945E-14</v>
      </c>
      <c r="AK183" s="14">
        <f t="shared" si="164"/>
        <v>4.3867331143352915E-13</v>
      </c>
      <c r="AL183" s="22">
        <f t="shared" si="165"/>
        <v>8.0726688341261168E-13</v>
      </c>
      <c r="AM183" s="62">
        <f t="shared" si="113"/>
        <v>293.33333333333411</v>
      </c>
      <c r="AN183" s="62">
        <f ca="1">AVERAGE(OFFSET($AM$3,0,0,'Données projet'!$E$10+1,1))-AVERAGE(OFFSET($H$3,0,0,'Données projet'!$E$10+1,1))</f>
        <v>235.92135862353973</v>
      </c>
      <c r="AO183" s="62">
        <f t="shared" si="144"/>
        <v>270.64539221029258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3.9388674556793533E-2</v>
      </c>
      <c r="AV183" s="23">
        <f>EXP(-LN(2)/25)*AV182+(1-EXP(-LN(2)/25))/(LN(2)/25)*Calculateur!AQ183*Calculateur!AS183*VLOOKUP('Données projet'!$B$10,Paramètres!$A$1:$I$89,3,0)*0.475*44/12</f>
        <v>8.1177534554219624E-2</v>
      </c>
      <c r="AW183" s="23">
        <f>EXP(-LN(2)/2)*AW182+(1-EXP(-LN(2)/2))/(LN(2)/2)*AQ183*AT183*VLOOKUP('Données projet'!$B$10,Paramètres!$A$1:$I$89,3,0)*0.475*44/12</f>
        <v>4.1130680457419586E-22</v>
      </c>
      <c r="AX183" s="23">
        <f t="shared" si="166"/>
        <v>0.12056620911101315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1.9895196601282805E-13</v>
      </c>
      <c r="O184" s="14">
        <f>N184*VLOOKUP('Données projet'!$B$9,Paramètres!$A$1:$I$89,3,0)*VLOOKUP('Données projet'!$B$9,Paramètres!$A$1:$I$89,5,0)</f>
        <v>1.8001173884840681E-13</v>
      </c>
      <c r="P184" s="14">
        <f t="shared" si="141"/>
        <v>2.5254331426407198E-12</v>
      </c>
      <c r="Q184" s="22">
        <f t="shared" si="162"/>
        <v>4.7119831685935622E-12</v>
      </c>
      <c r="R184" s="62">
        <f t="shared" si="109"/>
        <v>293.33333333333803</v>
      </c>
      <c r="S184" s="62">
        <f ca="1">AVERAGE(OFFSET($R$3,0,0,'Données projet'!$E$9+1,1))-AVERAGE(OFFSET($H$3,0,0,'Données projet'!$E$9+1,1))</f>
        <v>247.05981224668733</v>
      </c>
      <c r="T184" s="62">
        <f t="shared" si="142"/>
        <v>345.23839191022898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6.7874096402340293E-3</v>
      </c>
      <c r="AA184" s="23">
        <f>EXP(-LN(2)/25)*AA183+(1-EXP(-LN(2)/25))/(LN(2)/25)*Calculateur!V184*Calculateur!X184*VLOOKUP('Données projet'!$B$9,Paramètres!$A$1:$I$89,3,0)*0.475*44/12</f>
        <v>1.5301598409796061E-2</v>
      </c>
      <c r="AB184" s="23">
        <f>EXP(-LN(2)/2)*AB183+(1-EXP(-LN(2)/2))/(LN(2)/2)*V184*Y184*VLOOKUP('Données projet'!$B$9,Paramètres!$A$1:$I$89,3,0)*0.475*44/12</f>
        <v>7.8393762911070721E-23</v>
      </c>
      <c r="AC184" s="24">
        <f t="shared" si="163"/>
        <v>2.2089008050030091E-2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2.8421709430404007E-14</v>
      </c>
      <c r="AJ184" s="14">
        <f>AI184*VLOOKUP('Données projet'!$B$10,Paramètres!$A$1:$I$89,3,0)*VLOOKUP('Données projet'!$B$10,Paramètres!$A$1:$I$89,5,0)</f>
        <v>2.4829205358400945E-14</v>
      </c>
      <c r="AK184" s="14">
        <f t="shared" si="164"/>
        <v>4.3867331143352915E-13</v>
      </c>
      <c r="AL184" s="22">
        <f t="shared" si="165"/>
        <v>8.0726688341261168E-13</v>
      </c>
      <c r="AM184" s="62">
        <f t="shared" si="113"/>
        <v>293.33333333333411</v>
      </c>
      <c r="AN184" s="62">
        <f ca="1">AVERAGE(OFFSET($AM$3,0,0,'Données projet'!$E$10+1,1))-AVERAGE(OFFSET($H$3,0,0,'Données projet'!$E$10+1,1))</f>
        <v>235.92135862353973</v>
      </c>
      <c r="AO184" s="62">
        <f t="shared" si="144"/>
        <v>270.64539221029258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3.8616286673454049E-2</v>
      </c>
      <c r="AV184" s="23">
        <f>EXP(-LN(2)/25)*AV183+(1-EXP(-LN(2)/25))/(LN(2)/25)*Calculateur!AQ184*Calculateur!AS184*VLOOKUP('Données projet'!$B$10,Paramètres!$A$1:$I$89,3,0)*0.475*44/12</f>
        <v>7.8957730602893475E-2</v>
      </c>
      <c r="AW184" s="23">
        <f>EXP(-LN(2)/2)*AW183+(1-EXP(-LN(2)/2))/(LN(2)/2)*AQ184*AT184*VLOOKUP('Données projet'!$B$10,Paramètres!$A$1:$I$89,3,0)*0.475*44/12</f>
        <v>2.9083783066258398E-22</v>
      </c>
      <c r="AX184" s="23">
        <f t="shared" si="166"/>
        <v>0.11757401727634753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1.9895196601282805E-13</v>
      </c>
      <c r="O185" s="14">
        <f>N185*VLOOKUP('Données projet'!$B$9,Paramètres!$A$1:$I$89,3,0)*VLOOKUP('Données projet'!$B$9,Paramètres!$A$1:$I$89,5,0)</f>
        <v>1.8001173884840681E-13</v>
      </c>
      <c r="P185" s="14">
        <f t="shared" si="141"/>
        <v>2.5254331426407198E-12</v>
      </c>
      <c r="Q185" s="22">
        <f t="shared" si="162"/>
        <v>4.7119831685935622E-12</v>
      </c>
      <c r="R185" s="62">
        <f t="shared" si="109"/>
        <v>293.33333333333803</v>
      </c>
      <c r="S185" s="62">
        <f ca="1">AVERAGE(OFFSET($R$3,0,0,'Données projet'!$E$9+1,1))-AVERAGE(OFFSET($H$3,0,0,'Données projet'!$E$9+1,1))</f>
        <v>247.05981224668733</v>
      </c>
      <c r="T185" s="62">
        <f t="shared" si="142"/>
        <v>345.23839191022898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6.654312677100138E-3</v>
      </c>
      <c r="AA185" s="23">
        <f>EXP(-LN(2)/25)*AA184+(1-EXP(-LN(2)/25))/(LN(2)/25)*Calculateur!V185*Calculateur!X185*VLOOKUP('Données projet'!$B$9,Paramètres!$A$1:$I$89,3,0)*0.475*44/12</f>
        <v>1.48831753966041E-2</v>
      </c>
      <c r="AB185" s="23">
        <f>EXP(-LN(2)/2)*AB184+(1-EXP(-LN(2)/2))/(LN(2)/2)*V185*Y185*VLOOKUP('Données projet'!$B$9,Paramètres!$A$1:$I$89,3,0)*0.475*44/12</f>
        <v>5.5432761357148569E-23</v>
      </c>
      <c r="AC185" s="24">
        <f t="shared" si="163"/>
        <v>2.1537488073704238E-2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2.8421709430404007E-14</v>
      </c>
      <c r="AJ185" s="14">
        <f>AI185*VLOOKUP('Données projet'!$B$10,Paramètres!$A$1:$I$89,3,0)*VLOOKUP('Données projet'!$B$10,Paramètres!$A$1:$I$89,5,0)</f>
        <v>2.4829205358400945E-14</v>
      </c>
      <c r="AK185" s="14">
        <f t="shared" si="164"/>
        <v>4.3867331143352915E-13</v>
      </c>
      <c r="AL185" s="22">
        <f t="shared" si="165"/>
        <v>8.0726688341261168E-13</v>
      </c>
      <c r="AM185" s="62">
        <f t="shared" si="113"/>
        <v>293.33333333333411</v>
      </c>
      <c r="AN185" s="62">
        <f ca="1">AVERAGE(OFFSET($AM$3,0,0,'Données projet'!$E$10+1,1))-AVERAGE(OFFSET($H$3,0,0,'Données projet'!$E$10+1,1))</f>
        <v>235.92135862353973</v>
      </c>
      <c r="AO185" s="62">
        <f t="shared" si="144"/>
        <v>270.64539221029258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3.7859044845396761E-2</v>
      </c>
      <c r="AV185" s="23">
        <f>EXP(-LN(2)/25)*AV184+(1-EXP(-LN(2)/25))/(LN(2)/25)*Calculateur!AQ185*Calculateur!AS185*VLOOKUP('Données projet'!$B$10,Paramètres!$A$1:$I$89,3,0)*0.475*44/12</f>
        <v>7.6798627307350764E-2</v>
      </c>
      <c r="AW185" s="23">
        <f>EXP(-LN(2)/2)*AW184+(1-EXP(-LN(2)/2))/(LN(2)/2)*AQ185*AT185*VLOOKUP('Données projet'!$B$10,Paramètres!$A$1:$I$89,3,0)*0.475*44/12</f>
        <v>2.0565340228709793E-22</v>
      </c>
      <c r="AX185" s="23">
        <f t="shared" si="166"/>
        <v>0.11465767215274753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1.9895196601282805E-13</v>
      </c>
      <c r="O186" s="14">
        <f>N186*VLOOKUP('Données projet'!$B$9,Paramètres!$A$1:$I$89,3,0)*VLOOKUP('Données projet'!$B$9,Paramètres!$A$1:$I$89,5,0)</f>
        <v>1.8001173884840681E-13</v>
      </c>
      <c r="P186" s="14">
        <f t="shared" si="141"/>
        <v>2.5254331426407198E-12</v>
      </c>
      <c r="Q186" s="22">
        <f t="shared" si="162"/>
        <v>4.7119831685935622E-12</v>
      </c>
      <c r="R186" s="62">
        <f t="shared" si="109"/>
        <v>293.33333333333803</v>
      </c>
      <c r="S186" s="62">
        <f ca="1">AVERAGE(OFFSET($R$3,0,0,'Données projet'!$E$9+1,1))-AVERAGE(OFFSET($H$3,0,0,'Données projet'!$E$9+1,1))</f>
        <v>247.05981224668733</v>
      </c>
      <c r="T186" s="62">
        <f t="shared" si="142"/>
        <v>345.23839191022898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6.5238256642321715E-3</v>
      </c>
      <c r="AA186" s="23">
        <f>EXP(-LN(2)/25)*AA185+(1-EXP(-LN(2)/25))/(LN(2)/25)*Calculateur!V186*Calculateur!X186*VLOOKUP('Données projet'!$B$9,Paramètres!$A$1:$I$89,3,0)*0.475*44/12</f>
        <v>1.4476194182711783E-2</v>
      </c>
      <c r="AB186" s="23">
        <f>EXP(-LN(2)/2)*AB185+(1-EXP(-LN(2)/2))/(LN(2)/2)*V186*Y186*VLOOKUP('Données projet'!$B$9,Paramètres!$A$1:$I$89,3,0)*0.475*44/12</f>
        <v>3.919688145553536E-23</v>
      </c>
      <c r="AC186" s="24">
        <f t="shared" si="163"/>
        <v>2.1000019846943954E-2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2.8421709430404007E-14</v>
      </c>
      <c r="AJ186" s="14">
        <f>AI186*VLOOKUP('Données projet'!$B$10,Paramètres!$A$1:$I$89,3,0)*VLOOKUP('Données projet'!$B$10,Paramètres!$A$1:$I$89,5,0)</f>
        <v>2.4829205358400945E-14</v>
      </c>
      <c r="AK186" s="14">
        <f t="shared" si="164"/>
        <v>4.3867331143352915E-13</v>
      </c>
      <c r="AL186" s="22">
        <f t="shared" si="165"/>
        <v>8.0726688341261168E-13</v>
      </c>
      <c r="AM186" s="62">
        <f t="shared" si="113"/>
        <v>293.33333333333411</v>
      </c>
      <c r="AN186" s="62">
        <f ca="1">AVERAGE(OFFSET($AM$3,0,0,'Données projet'!$E$10+1,1))-AVERAGE(OFFSET($H$3,0,0,'Données projet'!$E$10+1,1))</f>
        <v>235.92135862353973</v>
      </c>
      <c r="AO186" s="62">
        <f t="shared" si="144"/>
        <v>270.64539221029258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3.7116652067715764E-2</v>
      </c>
      <c r="AV186" s="23">
        <f>EXP(-LN(2)/25)*AV185+(1-EXP(-LN(2)/25))/(LN(2)/25)*Calculateur!AQ186*Calculateur!AS186*VLOOKUP('Données projet'!$B$10,Paramètres!$A$1:$I$89,3,0)*0.475*44/12</f>
        <v>7.4698564804966977E-2</v>
      </c>
      <c r="AW186" s="23">
        <f>EXP(-LN(2)/2)*AW185+(1-EXP(-LN(2)/2))/(LN(2)/2)*AQ186*AT186*VLOOKUP('Données projet'!$B$10,Paramètres!$A$1:$I$89,3,0)*0.475*44/12</f>
        <v>1.4541891533129199E-22</v>
      </c>
      <c r="AX186" s="23">
        <f t="shared" si="166"/>
        <v>0.11181521687268274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1.9895196601282805E-13</v>
      </c>
      <c r="O187" s="14">
        <f>N187*VLOOKUP('Données projet'!$B$9,Paramètres!$A$1:$I$89,3,0)*VLOOKUP('Données projet'!$B$9,Paramètres!$A$1:$I$89,5,0)</f>
        <v>1.8001173884840681E-13</v>
      </c>
      <c r="P187" s="14">
        <f t="shared" si="141"/>
        <v>2.5254331426407198E-12</v>
      </c>
      <c r="Q187" s="22">
        <f t="shared" si="162"/>
        <v>4.7119831685935622E-12</v>
      </c>
      <c r="R187" s="62">
        <f t="shared" si="109"/>
        <v>293.33333333333803</v>
      </c>
      <c r="S187" s="62">
        <f ca="1">AVERAGE(OFFSET($R$3,0,0,'Données projet'!$E$9+1,1))-AVERAGE(OFFSET($H$3,0,0,'Données projet'!$E$9+1,1))</f>
        <v>247.05981224668733</v>
      </c>
      <c r="T187" s="62">
        <f t="shared" si="142"/>
        <v>345.23839191022898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6.3958974220973261E-3</v>
      </c>
      <c r="AA187" s="23">
        <f>EXP(-LN(2)/25)*AA186+(1-EXP(-LN(2)/25))/(LN(2)/25)*Calculateur!V187*Calculateur!X187*VLOOKUP('Données projet'!$B$9,Paramètres!$A$1:$I$89,3,0)*0.475*44/12</f>
        <v>1.4080341891515562E-2</v>
      </c>
      <c r="AB187" s="23">
        <f>EXP(-LN(2)/2)*AB186+(1-EXP(-LN(2)/2))/(LN(2)/2)*V187*Y187*VLOOKUP('Données projet'!$B$9,Paramètres!$A$1:$I$89,3,0)*0.475*44/12</f>
        <v>2.7716380678574284E-23</v>
      </c>
      <c r="AC187" s="24">
        <f t="shared" si="163"/>
        <v>2.0476239313612889E-2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2.8421709430404007E-14</v>
      </c>
      <c r="AJ187" s="14">
        <f>AI187*VLOOKUP('Données projet'!$B$10,Paramètres!$A$1:$I$89,3,0)*VLOOKUP('Données projet'!$B$10,Paramètres!$A$1:$I$89,5,0)</f>
        <v>2.4829205358400945E-14</v>
      </c>
      <c r="AK187" s="14">
        <f t="shared" si="164"/>
        <v>4.3867331143352915E-13</v>
      </c>
      <c r="AL187" s="22">
        <f t="shared" si="165"/>
        <v>8.0726688341261168E-13</v>
      </c>
      <c r="AM187" s="62">
        <f t="shared" si="113"/>
        <v>293.33333333333411</v>
      </c>
      <c r="AN187" s="62">
        <f ca="1">AVERAGE(OFFSET($AM$3,0,0,'Données projet'!$E$10+1,1))-AVERAGE(OFFSET($H$3,0,0,'Données projet'!$E$10+1,1))</f>
        <v>235.92135862353973</v>
      </c>
      <c r="AO187" s="62">
        <f t="shared" si="144"/>
        <v>270.64539221029258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3.6388817159590213E-2</v>
      </c>
      <c r="AV187" s="23">
        <f>EXP(-LN(2)/25)*AV186+(1-EXP(-LN(2)/25))/(LN(2)/25)*Calculateur!AQ187*Calculateur!AS187*VLOOKUP('Données projet'!$B$10,Paramètres!$A$1:$I$89,3,0)*0.475*44/12</f>
        <v>7.2655928622148355E-2</v>
      </c>
      <c r="AW187" s="23">
        <f>EXP(-LN(2)/2)*AW186+(1-EXP(-LN(2)/2))/(LN(2)/2)*AQ187*AT187*VLOOKUP('Données projet'!$B$10,Paramètres!$A$1:$I$89,3,0)*0.475*44/12</f>
        <v>1.0282670114354897E-22</v>
      </c>
      <c r="AX187" s="23">
        <f t="shared" si="166"/>
        <v>0.10904474578173856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1.9895196601282805E-13</v>
      </c>
      <c r="O188" s="14">
        <f>N188*VLOOKUP('Données projet'!$B$9,Paramètres!$A$1:$I$89,3,0)*VLOOKUP('Données projet'!$B$9,Paramètres!$A$1:$I$89,5,0)</f>
        <v>1.8001173884840681E-13</v>
      </c>
      <c r="P188" s="14">
        <f t="shared" si="141"/>
        <v>2.5254331426407198E-12</v>
      </c>
      <c r="Q188" s="22">
        <f t="shared" si="162"/>
        <v>4.7119831685935622E-12</v>
      </c>
      <c r="R188" s="62">
        <f t="shared" si="109"/>
        <v>293.33333333333803</v>
      </c>
      <c r="S188" s="62">
        <f ca="1">AVERAGE(OFFSET($R$3,0,0,'Données projet'!$E$9+1,1))-AVERAGE(OFFSET($H$3,0,0,'Données projet'!$E$9+1,1))</f>
        <v>247.05981224668733</v>
      </c>
      <c r="T188" s="62">
        <f t="shared" si="142"/>
        <v>345.23839191022898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6.2704777747622223E-3</v>
      </c>
      <c r="AA188" s="23">
        <f>EXP(-LN(2)/25)*AA187+(1-EXP(-LN(2)/25))/(LN(2)/25)*Calculateur!V188*Calculateur!X188*VLOOKUP('Données projet'!$B$9,Paramètres!$A$1:$I$89,3,0)*0.475*44/12</f>
        <v>1.369531420203907E-2</v>
      </c>
      <c r="AB188" s="23">
        <f>EXP(-LN(2)/2)*AB187+(1-EXP(-LN(2)/2))/(LN(2)/2)*V188*Y188*VLOOKUP('Données projet'!$B$9,Paramètres!$A$1:$I$89,3,0)*0.475*44/12</f>
        <v>1.959844072776768E-23</v>
      </c>
      <c r="AC188" s="24">
        <f t="shared" si="163"/>
        <v>1.9965791976801293E-2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2.8421709430404007E-14</v>
      </c>
      <c r="AJ188" s="14">
        <f>AI188*VLOOKUP('Données projet'!$B$10,Paramètres!$A$1:$I$89,3,0)*VLOOKUP('Données projet'!$B$10,Paramètres!$A$1:$I$89,5,0)</f>
        <v>2.4829205358400945E-14</v>
      </c>
      <c r="AK188" s="14">
        <f t="shared" si="164"/>
        <v>4.3867331143352915E-13</v>
      </c>
      <c r="AL188" s="22">
        <f t="shared" si="165"/>
        <v>8.0726688341261168E-13</v>
      </c>
      <c r="AM188" s="62">
        <f t="shared" si="113"/>
        <v>293.33333333333411</v>
      </c>
      <c r="AN188" s="62">
        <f ca="1">AVERAGE(OFFSET($AM$3,0,0,'Données projet'!$E$10+1,1))-AVERAGE(OFFSET($H$3,0,0,'Données projet'!$E$10+1,1))</f>
        <v>235.92135862353973</v>
      </c>
      <c r="AO188" s="62">
        <f t="shared" si="144"/>
        <v>270.64539221029258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3.5675254650077544E-2</v>
      </c>
      <c r="AV188" s="23">
        <f>EXP(-LN(2)/25)*AV187+(1-EXP(-LN(2)/25))/(LN(2)/25)*Calculateur!AQ188*Calculateur!AS188*VLOOKUP('Données projet'!$B$10,Paramètres!$A$1:$I$89,3,0)*0.475*44/12</f>
        <v>7.0669148433166476E-2</v>
      </c>
      <c r="AW188" s="23">
        <f>EXP(-LN(2)/2)*AW187+(1-EXP(-LN(2)/2))/(LN(2)/2)*AQ188*AT188*VLOOKUP('Données projet'!$B$10,Paramètres!$A$1:$I$89,3,0)*0.475*44/12</f>
        <v>7.2709457665645994E-23</v>
      </c>
      <c r="AX188" s="23">
        <f t="shared" si="166"/>
        <v>0.10634440308324403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1.9895196601282805E-13</v>
      </c>
      <c r="O189" s="14">
        <f>N189*VLOOKUP('Données projet'!$B$9,Paramètres!$A$1:$I$89,3,0)*VLOOKUP('Données projet'!$B$9,Paramètres!$A$1:$I$89,5,0)</f>
        <v>1.8001173884840681E-13</v>
      </c>
      <c r="P189" s="14">
        <f t="shared" si="141"/>
        <v>2.5254331426407198E-12</v>
      </c>
      <c r="Q189" s="22">
        <f t="shared" si="162"/>
        <v>4.7119831685935622E-12</v>
      </c>
      <c r="R189" s="62">
        <f t="shared" si="109"/>
        <v>293.33333333333803</v>
      </c>
      <c r="S189" s="62">
        <f ca="1">AVERAGE(OFFSET($R$3,0,0,'Données projet'!$E$9+1,1))-AVERAGE(OFFSET($H$3,0,0,'Données projet'!$E$9+1,1))</f>
        <v>247.05981224668733</v>
      </c>
      <c r="T189" s="62">
        <f t="shared" si="142"/>
        <v>345.23839191022898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6.1475175302129282E-3</v>
      </c>
      <c r="AA189" s="23">
        <f>EXP(-LN(2)/25)*AA188+(1-EXP(-LN(2)/25))/(LN(2)/25)*Calculateur!V189*Calculateur!X189*VLOOKUP('Données projet'!$B$9,Paramètres!$A$1:$I$89,3,0)*0.475*44/12</f>
        <v>1.3320815114979038E-2</v>
      </c>
      <c r="AB189" s="23">
        <f>EXP(-LN(2)/2)*AB188+(1-EXP(-LN(2)/2))/(LN(2)/2)*V189*Y189*VLOOKUP('Données projet'!$B$9,Paramètres!$A$1:$I$89,3,0)*0.475*44/12</f>
        <v>1.3858190339287142E-23</v>
      </c>
      <c r="AC189" s="24">
        <f t="shared" si="163"/>
        <v>1.9468332645191967E-2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2.8421709430404007E-14</v>
      </c>
      <c r="AJ189" s="14">
        <f>AI189*VLOOKUP('Données projet'!$B$10,Paramètres!$A$1:$I$89,3,0)*VLOOKUP('Données projet'!$B$10,Paramètres!$A$1:$I$89,5,0)</f>
        <v>2.4829205358400945E-14</v>
      </c>
      <c r="AK189" s="14">
        <f t="shared" si="164"/>
        <v>4.3867331143352915E-13</v>
      </c>
      <c r="AL189" s="22">
        <f t="shared" si="165"/>
        <v>8.0726688341261168E-13</v>
      </c>
      <c r="AM189" s="62">
        <f t="shared" si="113"/>
        <v>293.33333333333411</v>
      </c>
      <c r="AN189" s="62">
        <f ca="1">AVERAGE(OFFSET($AM$3,0,0,'Données projet'!$E$10+1,1))-AVERAGE(OFFSET($H$3,0,0,'Données projet'!$E$10+1,1))</f>
        <v>235.92135862353973</v>
      </c>
      <c r="AO189" s="62">
        <f t="shared" si="144"/>
        <v>270.64539221029258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3.4975684666146263E-2</v>
      </c>
      <c r="AV189" s="23">
        <f>EXP(-LN(2)/25)*AV188+(1-EXP(-LN(2)/25))/(LN(2)/25)*Calculateur!AQ189*Calculateur!AS189*VLOOKUP('Données projet'!$B$10,Paramètres!$A$1:$I$89,3,0)*0.475*44/12</f>
        <v>6.8736696852932544E-2</v>
      </c>
      <c r="AW189" s="23">
        <f>EXP(-LN(2)/2)*AW188+(1-EXP(-LN(2)/2))/(LN(2)/2)*AQ189*AT189*VLOOKUP('Données projet'!$B$10,Paramètres!$A$1:$I$89,3,0)*0.475*44/12</f>
        <v>5.1413350571774483E-23</v>
      </c>
      <c r="AX189" s="23">
        <f t="shared" si="166"/>
        <v>0.1037123815190788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1.9895196601282805E-13</v>
      </c>
      <c r="O190" s="14">
        <f>N190*VLOOKUP('Données projet'!$B$9,Paramètres!$A$1:$I$89,3,0)*VLOOKUP('Données projet'!$B$9,Paramètres!$A$1:$I$89,5,0)</f>
        <v>1.8001173884840681E-13</v>
      </c>
      <c r="P190" s="14">
        <f t="shared" si="141"/>
        <v>2.5254331426407198E-12</v>
      </c>
      <c r="Q190" s="22">
        <f t="shared" si="162"/>
        <v>4.7119831685935622E-12</v>
      </c>
      <c r="R190" s="62">
        <f t="shared" si="109"/>
        <v>293.33333333333803</v>
      </c>
      <c r="S190" s="62">
        <f ca="1">AVERAGE(OFFSET($R$3,0,0,'Données projet'!$E$9+1,1))-AVERAGE(OFFSET($H$3,0,0,'Données projet'!$E$9+1,1))</f>
        <v>247.05981224668733</v>
      </c>
      <c r="T190" s="62">
        <f t="shared" si="142"/>
        <v>345.23839191022898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6.0269684610609019E-3</v>
      </c>
      <c r="AA190" s="23">
        <f>EXP(-LN(2)/25)*AA189+(1-EXP(-LN(2)/25))/(LN(2)/25)*Calculateur!V190*Calculateur!X190*VLOOKUP('Données projet'!$B$9,Paramètres!$A$1:$I$89,3,0)*0.475*44/12</f>
        <v>1.2956556725148715E-2</v>
      </c>
      <c r="AB190" s="23">
        <f>EXP(-LN(2)/2)*AB189+(1-EXP(-LN(2)/2))/(LN(2)/2)*V190*Y190*VLOOKUP('Données projet'!$B$9,Paramètres!$A$1:$I$89,3,0)*0.475*44/12</f>
        <v>9.7992203638838401E-24</v>
      </c>
      <c r="AC190" s="24">
        <f t="shared" si="163"/>
        <v>1.8983525186209618E-2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2.8421709430404007E-14</v>
      </c>
      <c r="AJ190" s="14">
        <f>AI190*VLOOKUP('Données projet'!$B$10,Paramètres!$A$1:$I$89,3,0)*VLOOKUP('Données projet'!$B$10,Paramètres!$A$1:$I$89,5,0)</f>
        <v>2.4829205358400945E-14</v>
      </c>
      <c r="AK190" s="14">
        <f t="shared" si="164"/>
        <v>4.3867331143352915E-13</v>
      </c>
      <c r="AL190" s="22">
        <f t="shared" si="165"/>
        <v>8.0726688341261168E-13</v>
      </c>
      <c r="AM190" s="62">
        <f t="shared" si="113"/>
        <v>293.33333333333411</v>
      </c>
      <c r="AN190" s="62">
        <f ca="1">AVERAGE(OFFSET($AM$3,0,0,'Données projet'!$E$10+1,1))-AVERAGE(OFFSET($H$3,0,0,'Données projet'!$E$10+1,1))</f>
        <v>235.92135862353973</v>
      </c>
      <c r="AO190" s="62">
        <f t="shared" si="144"/>
        <v>270.64539221029258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3.4289832822904313E-2</v>
      </c>
      <c r="AV190" s="23">
        <f>EXP(-LN(2)/25)*AV189+(1-EXP(-LN(2)/25))/(LN(2)/25)*Calculateur!AQ190*Calculateur!AS190*VLOOKUP('Données projet'!$B$10,Paramètres!$A$1:$I$89,3,0)*0.475*44/12</f>
        <v>6.6857088262783318E-2</v>
      </c>
      <c r="AW190" s="23">
        <f>EXP(-LN(2)/2)*AW189+(1-EXP(-LN(2)/2))/(LN(2)/2)*AQ190*AT190*VLOOKUP('Données projet'!$B$10,Paramètres!$A$1:$I$89,3,0)*0.475*44/12</f>
        <v>3.6354728832822997E-23</v>
      </c>
      <c r="AX190" s="23">
        <f t="shared" si="166"/>
        <v>0.10114692108568762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1.9895196601282805E-13</v>
      </c>
      <c r="O191" s="14">
        <f>N191*VLOOKUP('Données projet'!$B$9,Paramètres!$A$1:$I$89,3,0)*VLOOKUP('Données projet'!$B$9,Paramètres!$A$1:$I$89,5,0)</f>
        <v>1.8001173884840681E-13</v>
      </c>
      <c r="P191" s="14">
        <f t="shared" si="141"/>
        <v>2.5254331426407198E-12</v>
      </c>
      <c r="Q191" s="22">
        <f t="shared" si="162"/>
        <v>4.7119831685935622E-12</v>
      </c>
      <c r="R191" s="62">
        <f t="shared" si="109"/>
        <v>293.33333333333803</v>
      </c>
      <c r="S191" s="62">
        <f ca="1">AVERAGE(OFFSET($R$3,0,0,'Données projet'!$E$9+1,1))-AVERAGE(OFFSET($H$3,0,0,'Données projet'!$E$9+1,1))</f>
        <v>247.05981224668733</v>
      </c>
      <c r="T191" s="62">
        <f t="shared" si="142"/>
        <v>345.23839191022898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5.9087832856272752E-3</v>
      </c>
      <c r="AA191" s="23">
        <f>EXP(-LN(2)/25)*AA190+(1-EXP(-LN(2)/25))/(LN(2)/25)*Calculateur!V191*Calculateur!X191*VLOOKUP('Données projet'!$B$9,Paramètres!$A$1:$I$89,3,0)*0.475*44/12</f>
        <v>1.2602259000143818E-2</v>
      </c>
      <c r="AB191" s="23">
        <f>EXP(-LN(2)/2)*AB190+(1-EXP(-LN(2)/2))/(LN(2)/2)*V191*Y191*VLOOKUP('Données projet'!$B$9,Paramètres!$A$1:$I$89,3,0)*0.475*44/12</f>
        <v>6.9290951696435711E-24</v>
      </c>
      <c r="AC191" s="24">
        <f t="shared" si="163"/>
        <v>1.8511042285771093E-2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2.8421709430404007E-14</v>
      </c>
      <c r="AJ191" s="14">
        <f>AI191*VLOOKUP('Données projet'!$B$10,Paramètres!$A$1:$I$89,3,0)*VLOOKUP('Données projet'!$B$10,Paramètres!$A$1:$I$89,5,0)</f>
        <v>2.4829205358400945E-14</v>
      </c>
      <c r="AK191" s="14">
        <f t="shared" si="164"/>
        <v>4.3867331143352915E-13</v>
      </c>
      <c r="AL191" s="22">
        <f t="shared" si="165"/>
        <v>8.0726688341261168E-13</v>
      </c>
      <c r="AM191" s="62">
        <f t="shared" si="113"/>
        <v>293.33333333333411</v>
      </c>
      <c r="AN191" s="62">
        <f ca="1">AVERAGE(OFFSET($AM$3,0,0,'Données projet'!$E$10+1,1))-AVERAGE(OFFSET($H$3,0,0,'Données projet'!$E$10+1,1))</f>
        <v>235.92135862353973</v>
      </c>
      <c r="AO191" s="62">
        <f t="shared" si="144"/>
        <v>270.64539221029258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3.3617430115980021E-2</v>
      </c>
      <c r="AV191" s="23">
        <f>EXP(-LN(2)/25)*AV190+(1-EXP(-LN(2)/25))/(LN(2)/25)*Calculateur!AQ191*Calculateur!AS191*VLOOKUP('Données projet'!$B$10,Paramètres!$A$1:$I$89,3,0)*0.475*44/12</f>
        <v>6.5028877668376034E-2</v>
      </c>
      <c r="AW191" s="23">
        <f>EXP(-LN(2)/2)*AW190+(1-EXP(-LN(2)/2))/(LN(2)/2)*AQ191*AT191*VLOOKUP('Données projet'!$B$10,Paramètres!$A$1:$I$89,3,0)*0.475*44/12</f>
        <v>2.5706675285887242E-23</v>
      </c>
      <c r="AX191" s="23">
        <f t="shared" si="166"/>
        <v>9.8646307784356055E-2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1.9895196601282805E-13</v>
      </c>
      <c r="O192" s="14">
        <f>N192*VLOOKUP('Données projet'!$B$9,Paramètres!$A$1:$I$89,3,0)*VLOOKUP('Données projet'!$B$9,Paramètres!$A$1:$I$89,5,0)</f>
        <v>1.8001173884840681E-13</v>
      </c>
      <c r="P192" s="14">
        <f t="shared" si="141"/>
        <v>2.5254331426407198E-12</v>
      </c>
      <c r="Q192" s="22">
        <f t="shared" si="162"/>
        <v>4.7119831685935622E-12</v>
      </c>
      <c r="R192" s="62">
        <f t="shared" si="109"/>
        <v>293.33333333333803</v>
      </c>
      <c r="S192" s="62">
        <f ca="1">AVERAGE(OFFSET($R$3,0,0,'Données projet'!$E$9+1,1))-AVERAGE(OFFSET($H$3,0,0,'Données projet'!$E$9+1,1))</f>
        <v>247.05981224668733</v>
      </c>
      <c r="T192" s="62">
        <f t="shared" si="142"/>
        <v>345.23839191022898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5.7929156493980631E-3</v>
      </c>
      <c r="AA192" s="23">
        <f>EXP(-LN(2)/25)*AA191+(1-EXP(-LN(2)/25))/(LN(2)/25)*Calculateur!V192*Calculateur!X192*VLOOKUP('Données projet'!$B$9,Paramètres!$A$1:$I$89,3,0)*0.475*44/12</f>
        <v>1.2257649565060888E-2</v>
      </c>
      <c r="AB192" s="23">
        <f>EXP(-LN(2)/2)*AB191+(1-EXP(-LN(2)/2))/(LN(2)/2)*V192*Y192*VLOOKUP('Données projet'!$B$9,Paramètres!$A$1:$I$89,3,0)*0.475*44/12</f>
        <v>4.89961018194192E-24</v>
      </c>
      <c r="AC192" s="24">
        <f t="shared" si="163"/>
        <v>1.8050565214458952E-2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2.8421709430404007E-14</v>
      </c>
      <c r="AJ192" s="14">
        <f>AI192*VLOOKUP('Données projet'!$B$10,Paramètres!$A$1:$I$89,3,0)*VLOOKUP('Données projet'!$B$10,Paramètres!$A$1:$I$89,5,0)</f>
        <v>2.4829205358400945E-14</v>
      </c>
      <c r="AK192" s="14">
        <f t="shared" si="164"/>
        <v>4.3867331143352915E-13</v>
      </c>
      <c r="AL192" s="22">
        <f t="shared" si="165"/>
        <v>8.0726688341261168E-13</v>
      </c>
      <c r="AM192" s="62">
        <f t="shared" si="113"/>
        <v>293.33333333333411</v>
      </c>
      <c r="AN192" s="62">
        <f ca="1">AVERAGE(OFFSET($AM$3,0,0,'Données projet'!$E$10+1,1))-AVERAGE(OFFSET($H$3,0,0,'Données projet'!$E$10+1,1))</f>
        <v>235.92135862353973</v>
      </c>
      <c r="AO192" s="62">
        <f t="shared" si="144"/>
        <v>270.64539221029258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3.2958212816013362E-2</v>
      </c>
      <c r="AV192" s="23">
        <f>EXP(-LN(2)/25)*AV191+(1-EXP(-LN(2)/25))/(LN(2)/25)*Calculateur!AQ192*Calculateur!AS192*VLOOKUP('Données projet'!$B$10,Paramètres!$A$1:$I$89,3,0)*0.475*44/12</f>
        <v>6.3250659588814234E-2</v>
      </c>
      <c r="AW192" s="23">
        <f>EXP(-LN(2)/2)*AW191+(1-EXP(-LN(2)/2))/(LN(2)/2)*AQ192*AT192*VLOOKUP('Données projet'!$B$10,Paramètres!$A$1:$I$89,3,0)*0.475*44/12</f>
        <v>1.8177364416411499E-23</v>
      </c>
      <c r="AX192" s="23">
        <f t="shared" si="166"/>
        <v>9.6208872404827589E-2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1.9895196601282805E-13</v>
      </c>
      <c r="O193" s="14">
        <f>N193*VLOOKUP('Données projet'!$B$9,Paramètres!$A$1:$I$89,3,0)*VLOOKUP('Données projet'!$B$9,Paramètres!$A$1:$I$89,5,0)</f>
        <v>1.8001173884840681E-13</v>
      </c>
      <c r="P193" s="14">
        <f t="shared" si="141"/>
        <v>2.5254331426407198E-12</v>
      </c>
      <c r="Q193" s="22">
        <f t="shared" si="162"/>
        <v>4.7119831685935622E-12</v>
      </c>
      <c r="R193" s="62">
        <f t="shared" si="109"/>
        <v>293.33333333333803</v>
      </c>
      <c r="S193" s="62">
        <f ca="1">AVERAGE(OFFSET($R$3,0,0,'Données projet'!$E$9+1,1))-AVERAGE(OFFSET($H$3,0,0,'Données projet'!$E$9+1,1))</f>
        <v>247.05981224668733</v>
      </c>
      <c r="T193" s="62">
        <f t="shared" si="142"/>
        <v>345.23839191022898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5.6793201068430256E-3</v>
      </c>
      <c r="AA193" s="23">
        <f>EXP(-LN(2)/25)*AA192+(1-EXP(-LN(2)/25))/(LN(2)/25)*Calculateur!V193*Calculateur!X193*VLOOKUP('Données projet'!$B$9,Paramètres!$A$1:$I$89,3,0)*0.475*44/12</f>
        <v>1.1922463493102522E-2</v>
      </c>
      <c r="AB193" s="23">
        <f>EXP(-LN(2)/2)*AB192+(1-EXP(-LN(2)/2))/(LN(2)/2)*V193*Y193*VLOOKUP('Données projet'!$B$9,Paramètres!$A$1:$I$89,3,0)*0.475*44/12</f>
        <v>3.4645475848217855E-24</v>
      </c>
      <c r="AC193" s="24">
        <f t="shared" si="163"/>
        <v>1.7601783599945547E-2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2.8421709430404007E-14</v>
      </c>
      <c r="AJ193" s="14">
        <f>AI193*VLOOKUP('Données projet'!$B$10,Paramètres!$A$1:$I$89,3,0)*VLOOKUP('Données projet'!$B$10,Paramètres!$A$1:$I$89,5,0)</f>
        <v>2.4829205358400945E-14</v>
      </c>
      <c r="AK193" s="14">
        <f t="shared" si="164"/>
        <v>4.3867331143352915E-13</v>
      </c>
      <c r="AL193" s="22">
        <f t="shared" si="165"/>
        <v>8.0726688341261168E-13</v>
      </c>
      <c r="AM193" s="62">
        <f t="shared" si="113"/>
        <v>293.33333333333411</v>
      </c>
      <c r="AN193" s="62">
        <f ca="1">AVERAGE(OFFSET($AM$3,0,0,'Données projet'!$E$10+1,1))-AVERAGE(OFFSET($H$3,0,0,'Données projet'!$E$10+1,1))</f>
        <v>235.92135862353973</v>
      </c>
      <c r="AO193" s="62">
        <f t="shared" si="144"/>
        <v>270.64539221029258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3.2311922365216197E-2</v>
      </c>
      <c r="AV193" s="23">
        <f>EXP(-LN(2)/25)*AV192+(1-EXP(-LN(2)/25))/(LN(2)/25)*Calculateur!AQ193*Calculateur!AS193*VLOOKUP('Données projet'!$B$10,Paramètres!$A$1:$I$89,3,0)*0.475*44/12</f>
        <v>6.1521066976150479E-2</v>
      </c>
      <c r="AW193" s="23">
        <f>EXP(-LN(2)/2)*AW192+(1-EXP(-LN(2)/2))/(LN(2)/2)*AQ193*AT193*VLOOKUP('Données projet'!$B$10,Paramètres!$A$1:$I$89,3,0)*0.475*44/12</f>
        <v>1.2853337642943621E-23</v>
      </c>
      <c r="AX193" s="23">
        <f t="shared" si="166"/>
        <v>9.3832989341366677E-2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1.9895196601282805E-13</v>
      </c>
      <c r="O194" s="14">
        <f>N194*VLOOKUP('Données projet'!$B$9,Paramètres!$A$1:$I$89,3,0)*VLOOKUP('Données projet'!$B$9,Paramètres!$A$1:$I$89,5,0)</f>
        <v>1.8001173884840681E-13</v>
      </c>
      <c r="P194" s="14">
        <f t="shared" si="141"/>
        <v>2.5254331426407198E-12</v>
      </c>
      <c r="Q194" s="22">
        <f t="shared" si="162"/>
        <v>4.7119831685935622E-12</v>
      </c>
      <c r="R194" s="62">
        <f t="shared" si="109"/>
        <v>293.33333333333803</v>
      </c>
      <c r="S194" s="62">
        <f ca="1">AVERAGE(OFFSET($R$3,0,0,'Données projet'!$E$9+1,1))-AVERAGE(OFFSET($H$3,0,0,'Données projet'!$E$9+1,1))</f>
        <v>247.05981224668733</v>
      </c>
      <c r="T194" s="62">
        <f t="shared" si="142"/>
        <v>345.23839191022898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5.5679521035910534E-3</v>
      </c>
      <c r="AA194" s="23">
        <f>EXP(-LN(2)/25)*AA193+(1-EXP(-LN(2)/25))/(LN(2)/25)*Calculateur!V194*Calculateur!X194*VLOOKUP('Données projet'!$B$9,Paramètres!$A$1:$I$89,3,0)*0.475*44/12</f>
        <v>1.1596443101908528E-2</v>
      </c>
      <c r="AB194" s="23">
        <f>EXP(-LN(2)/2)*AB193+(1-EXP(-LN(2)/2))/(LN(2)/2)*V194*Y194*VLOOKUP('Données projet'!$B$9,Paramètres!$A$1:$I$89,3,0)*0.475*44/12</f>
        <v>2.44980509097096E-24</v>
      </c>
      <c r="AC194" s="24">
        <f t="shared" si="163"/>
        <v>1.7164395205499582E-2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2.8421709430404007E-14</v>
      </c>
      <c r="AJ194" s="14">
        <f>AI194*VLOOKUP('Données projet'!$B$10,Paramètres!$A$1:$I$89,3,0)*VLOOKUP('Données projet'!$B$10,Paramètres!$A$1:$I$89,5,0)</f>
        <v>2.4829205358400945E-14</v>
      </c>
      <c r="AK194" s="14">
        <f t="shared" si="164"/>
        <v>4.3867331143352915E-13</v>
      </c>
      <c r="AL194" s="22">
        <f t="shared" si="165"/>
        <v>8.0726688341261168E-13</v>
      </c>
      <c r="AM194" s="62">
        <f t="shared" si="113"/>
        <v>293.33333333333411</v>
      </c>
      <c r="AN194" s="62">
        <f ca="1">AVERAGE(OFFSET($AM$3,0,0,'Données projet'!$E$10+1,1))-AVERAGE(OFFSET($H$3,0,0,'Données projet'!$E$10+1,1))</f>
        <v>235.92135862353973</v>
      </c>
      <c r="AO194" s="62">
        <f t="shared" si="144"/>
        <v>270.64539221029258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3.1678305275960918E-2</v>
      </c>
      <c r="AV194" s="23">
        <f>EXP(-LN(2)/25)*AV193+(1-EXP(-LN(2)/25))/(LN(2)/25)*Calculateur!AQ194*Calculateur!AS194*VLOOKUP('Données projet'!$B$10,Paramètres!$A$1:$I$89,3,0)*0.475*44/12</f>
        <v>5.983877016443534E-2</v>
      </c>
      <c r="AW194" s="23">
        <f>EXP(-LN(2)/2)*AW193+(1-EXP(-LN(2)/2))/(LN(2)/2)*AQ194*AT194*VLOOKUP('Données projet'!$B$10,Paramètres!$A$1:$I$89,3,0)*0.475*44/12</f>
        <v>9.0886822082057493E-24</v>
      </c>
      <c r="AX194" s="23">
        <f t="shared" si="166"/>
        <v>9.1517075440396251E-2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1.9895196601282805E-13</v>
      </c>
      <c r="O195" s="14">
        <f>N195*VLOOKUP('Données projet'!$B$9,Paramètres!$A$1:$I$89,3,0)*VLOOKUP('Données projet'!$B$9,Paramètres!$A$1:$I$89,5,0)</f>
        <v>1.8001173884840681E-13</v>
      </c>
      <c r="P195" s="14">
        <f t="shared" si="141"/>
        <v>2.5254331426407198E-12</v>
      </c>
      <c r="Q195" s="22">
        <f t="shared" si="162"/>
        <v>4.7119831685935622E-12</v>
      </c>
      <c r="R195" s="62">
        <f t="shared" ref="R195:R203" si="191">Q195+(I195+J195)*44/12</f>
        <v>293.33333333333803</v>
      </c>
      <c r="S195" s="62">
        <f ca="1">AVERAGE(OFFSET($R$3,0,0,'Données projet'!$E$9+1,1))-AVERAGE(OFFSET($H$3,0,0,'Données projet'!$E$9+1,1))</f>
        <v>247.05981224668733</v>
      </c>
      <c r="T195" s="62">
        <f t="shared" si="142"/>
        <v>345.23839191022898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5.4587679589550775E-3</v>
      </c>
      <c r="AA195" s="23">
        <f>EXP(-LN(2)/25)*AA194+(1-EXP(-LN(2)/25))/(LN(2)/25)*Calculateur!V195*Calculateur!X195*VLOOKUP('Données projet'!$B$9,Paramètres!$A$1:$I$89,3,0)*0.475*44/12</f>
        <v>1.1279337755456401E-2</v>
      </c>
      <c r="AB195" s="23">
        <f>EXP(-LN(2)/2)*AB194+(1-EXP(-LN(2)/2))/(LN(2)/2)*V195*Y195*VLOOKUP('Données projet'!$B$9,Paramètres!$A$1:$I$89,3,0)*0.475*44/12</f>
        <v>1.7322737924108928E-24</v>
      </c>
      <c r="AC195" s="24">
        <f t="shared" si="163"/>
        <v>1.6738105714411478E-2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2.8421709430404007E-14</v>
      </c>
      <c r="AJ195" s="14">
        <f>AI195*VLOOKUP('Données projet'!$B$10,Paramètres!$A$1:$I$89,3,0)*VLOOKUP('Données projet'!$B$10,Paramètres!$A$1:$I$89,5,0)</f>
        <v>2.4829205358400945E-14</v>
      </c>
      <c r="AK195" s="14">
        <f t="shared" si="164"/>
        <v>4.3867331143352915E-13</v>
      </c>
      <c r="AL195" s="22">
        <f t="shared" si="165"/>
        <v>8.0726688341261168E-13</v>
      </c>
      <c r="AM195" s="62">
        <f t="shared" si="113"/>
        <v>293.33333333333411</v>
      </c>
      <c r="AN195" s="62">
        <f ca="1">AVERAGE(OFFSET($AM$3,0,0,'Données projet'!$E$10+1,1))-AVERAGE(OFFSET($H$3,0,0,'Données projet'!$E$10+1,1))</f>
        <v>235.92135862353973</v>
      </c>
      <c r="AO195" s="62">
        <f t="shared" si="144"/>
        <v>270.64539221029258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3.1057113031357667E-2</v>
      </c>
      <c r="AV195" s="23">
        <f>EXP(-LN(2)/25)*AV194+(1-EXP(-LN(2)/25))/(LN(2)/25)*Calculateur!AQ195*Calculateur!AS195*VLOOKUP('Données projet'!$B$10,Paramètres!$A$1:$I$89,3,0)*0.475*44/12</f>
        <v>5.8202475847504695E-2</v>
      </c>
      <c r="AW195" s="23">
        <f>EXP(-LN(2)/2)*AW194+(1-EXP(-LN(2)/2))/(LN(2)/2)*AQ195*AT195*VLOOKUP('Données projet'!$B$10,Paramètres!$A$1:$I$89,3,0)*0.475*44/12</f>
        <v>6.4266688214718104E-24</v>
      </c>
      <c r="AX195" s="23">
        <f t="shared" si="166"/>
        <v>8.9259588878862359E-2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1.9895196601282805E-13</v>
      </c>
      <c r="O196" s="14">
        <f>N196*VLOOKUP('Données projet'!$B$9,Paramètres!$A$1:$I$89,3,0)*VLOOKUP('Données projet'!$B$9,Paramètres!$A$1:$I$89,5,0)</f>
        <v>1.8001173884840681E-13</v>
      </c>
      <c r="P196" s="14">
        <f t="shared" si="141"/>
        <v>2.5254331426407198E-12</v>
      </c>
      <c r="Q196" s="22">
        <f t="shared" si="162"/>
        <v>4.7119831685935622E-12</v>
      </c>
      <c r="R196" s="62">
        <f t="shared" si="191"/>
        <v>293.33333333333803</v>
      </c>
      <c r="S196" s="62">
        <f ca="1">AVERAGE(OFFSET($R$3,0,0,'Données projet'!$E$9+1,1))-AVERAGE(OFFSET($H$3,0,0,'Données projet'!$E$9+1,1))</f>
        <v>247.05981224668733</v>
      </c>
      <c r="T196" s="62">
        <f t="shared" si="142"/>
        <v>345.23839191022898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5.3517248487996603E-3</v>
      </c>
      <c r="AA196" s="23">
        <f>EXP(-LN(2)/25)*AA195+(1-EXP(-LN(2)/25))/(LN(2)/25)*Calculateur!V196*Calculateur!X196*VLOOKUP('Données projet'!$B$9,Paramètres!$A$1:$I$89,3,0)*0.475*44/12</f>
        <v>1.0970903671378852E-2</v>
      </c>
      <c r="AB196" s="23">
        <f>EXP(-LN(2)/2)*AB195+(1-EXP(-LN(2)/2))/(LN(2)/2)*V196*Y196*VLOOKUP('Données projet'!$B$9,Paramètres!$A$1:$I$89,3,0)*0.475*44/12</f>
        <v>1.22490254548548E-24</v>
      </c>
      <c r="AC196" s="24">
        <f t="shared" si="163"/>
        <v>1.6322628520178514E-2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2.8421709430404007E-14</v>
      </c>
      <c r="AJ196" s="14">
        <f>AI196*VLOOKUP('Données projet'!$B$10,Paramètres!$A$1:$I$89,3,0)*VLOOKUP('Données projet'!$B$10,Paramètres!$A$1:$I$89,5,0)</f>
        <v>2.4829205358400945E-14</v>
      </c>
      <c r="AK196" s="14">
        <f t="shared" si="164"/>
        <v>4.3867331143352915E-13</v>
      </c>
      <c r="AL196" s="22">
        <f t="shared" si="165"/>
        <v>8.0726688341261168E-13</v>
      </c>
      <c r="AM196" s="62">
        <f t="shared" ref="AM196:AM203" si="193">AL196+(AD196+AE196)*44/12</f>
        <v>293.33333333333411</v>
      </c>
      <c r="AN196" s="62">
        <f ca="1">AVERAGE(OFFSET($AM$3,0,0,'Données projet'!$E$10+1,1))-AVERAGE(OFFSET($H$3,0,0,'Données projet'!$E$10+1,1))</f>
        <v>235.92135862353973</v>
      </c>
      <c r="AO196" s="62">
        <f t="shared" si="144"/>
        <v>270.64539221029258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3.044810198778123E-2</v>
      </c>
      <c r="AV196" s="23">
        <f>EXP(-LN(2)/25)*AV195+(1-EXP(-LN(2)/25))/(LN(2)/25)*Calculateur!AQ196*Calculateur!AS196*VLOOKUP('Données projet'!$B$10,Paramètres!$A$1:$I$89,3,0)*0.475*44/12</f>
        <v>5.6610926084719501E-2</v>
      </c>
      <c r="AW196" s="23">
        <f>EXP(-LN(2)/2)*AW195+(1-EXP(-LN(2)/2))/(LN(2)/2)*AQ196*AT196*VLOOKUP('Données projet'!$B$10,Paramètres!$A$1:$I$89,3,0)*0.475*44/12</f>
        <v>4.5443411041028746E-24</v>
      </c>
      <c r="AX196" s="23">
        <f t="shared" si="166"/>
        <v>8.7059028072500738E-2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1.9895196601282805E-13</v>
      </c>
      <c r="O197" s="14">
        <f>N197*VLOOKUP('Données projet'!$B$9,Paramètres!$A$1:$I$89,3,0)*VLOOKUP('Données projet'!$B$9,Paramètres!$A$1:$I$89,5,0)</f>
        <v>1.8001173884840681E-13</v>
      </c>
      <c r="P197" s="14">
        <f t="shared" ref="P197:P203" si="203">EXP(-1.0587+0.8836*LN(O197)+0.284)</f>
        <v>2.5254331426407198E-12</v>
      </c>
      <c r="Q197" s="22">
        <f t="shared" si="162"/>
        <v>4.7119831685935622E-12</v>
      </c>
      <c r="R197" s="62">
        <f t="shared" si="191"/>
        <v>293.33333333333803</v>
      </c>
      <c r="S197" s="62">
        <f ca="1">AVERAGE(OFFSET($R$3,0,0,'Données projet'!$E$9+1,1))-AVERAGE(OFFSET($H$3,0,0,'Données projet'!$E$9+1,1))</f>
        <v>247.05981224668733</v>
      </c>
      <c r="T197" s="62">
        <f t="shared" ref="T197:T203" si="204">$T$3</f>
        <v>345.23839191022898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5.2467807887445405E-3</v>
      </c>
      <c r="AA197" s="23">
        <f>EXP(-LN(2)/25)*AA196+(1-EXP(-LN(2)/25))/(LN(2)/25)*Calculateur!V197*Calculateur!X197*VLOOKUP('Données projet'!$B$9,Paramètres!$A$1:$I$89,3,0)*0.475*44/12</f>
        <v>1.0670903733550247E-2</v>
      </c>
      <c r="AB197" s="23">
        <f>EXP(-LN(2)/2)*AB196+(1-EXP(-LN(2)/2))/(LN(2)/2)*V197*Y197*VLOOKUP('Données projet'!$B$9,Paramètres!$A$1:$I$89,3,0)*0.475*44/12</f>
        <v>8.6613689620544638E-25</v>
      </c>
      <c r="AC197" s="24">
        <f t="shared" si="163"/>
        <v>1.5917684522294789E-2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2.8421709430404007E-14</v>
      </c>
      <c r="AJ197" s="14">
        <f>AI197*VLOOKUP('Données projet'!$B$10,Paramètres!$A$1:$I$89,3,0)*VLOOKUP('Données projet'!$B$10,Paramètres!$A$1:$I$89,5,0)</f>
        <v>2.4829205358400945E-14</v>
      </c>
      <c r="AK197" s="14">
        <f t="shared" si="164"/>
        <v>4.3867331143352915E-13</v>
      </c>
      <c r="AL197" s="22">
        <f t="shared" si="165"/>
        <v>8.0726688341261168E-13</v>
      </c>
      <c r="AM197" s="62">
        <f t="shared" si="193"/>
        <v>293.33333333333411</v>
      </c>
      <c r="AN197" s="62">
        <f ca="1">AVERAGE(OFFSET($AM$3,0,0,'Données projet'!$E$10+1,1))-AVERAGE(OFFSET($H$3,0,0,'Données projet'!$E$10+1,1))</f>
        <v>235.92135862353973</v>
      </c>
      <c r="AO197" s="62">
        <f t="shared" ref="AO197:AO203" si="205">$AO$3</f>
        <v>270.64539221029258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2.9851033279309269E-2</v>
      </c>
      <c r="AV197" s="23">
        <f>EXP(-LN(2)/25)*AV196+(1-EXP(-LN(2)/25))/(LN(2)/25)*Calculateur!AQ197*Calculateur!AS197*VLOOKUP('Données projet'!$B$10,Paramètres!$A$1:$I$89,3,0)*0.475*44/12</f>
        <v>5.5062897333893628E-2</v>
      </c>
      <c r="AW197" s="23">
        <f>EXP(-LN(2)/2)*AW196+(1-EXP(-LN(2)/2))/(LN(2)/2)*AQ197*AT197*VLOOKUP('Données projet'!$B$10,Paramètres!$A$1:$I$89,3,0)*0.475*44/12</f>
        <v>3.2133344107359052E-24</v>
      </c>
      <c r="AX197" s="23">
        <f t="shared" si="166"/>
        <v>8.4913930613202904E-2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1.9895196601282805E-13</v>
      </c>
      <c r="O198" s="14">
        <f>N198*VLOOKUP('Données projet'!$B$9,Paramètres!$A$1:$I$89,3,0)*VLOOKUP('Données projet'!$B$9,Paramètres!$A$1:$I$89,5,0)</f>
        <v>1.8001173884840681E-13</v>
      </c>
      <c r="P198" s="14">
        <f t="shared" si="203"/>
        <v>2.5254331426407198E-12</v>
      </c>
      <c r="Q198" s="22">
        <f t="shared" si="162"/>
        <v>4.7119831685935622E-12</v>
      </c>
      <c r="R198" s="62">
        <f t="shared" si="191"/>
        <v>293.33333333333803</v>
      </c>
      <c r="S198" s="62">
        <f ca="1">AVERAGE(OFFSET($R$3,0,0,'Données projet'!$E$9+1,1))-AVERAGE(OFFSET($H$3,0,0,'Données projet'!$E$9+1,1))</f>
        <v>247.05981224668733</v>
      </c>
      <c r="T198" s="62">
        <f t="shared" si="204"/>
        <v>345.23839191022898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5.1438946176975454E-3</v>
      </c>
      <c r="AA198" s="23">
        <f>EXP(-LN(2)/25)*AA197+(1-EXP(-LN(2)/25))/(LN(2)/25)*Calculateur!V198*Calculateur!X198*VLOOKUP('Données projet'!$B$9,Paramètres!$A$1:$I$89,3,0)*0.475*44/12</f>
        <v>1.0379107309797877E-2</v>
      </c>
      <c r="AB198" s="23">
        <f>EXP(-LN(2)/2)*AB197+(1-EXP(-LN(2)/2))/(LN(2)/2)*V198*Y198*VLOOKUP('Données projet'!$B$9,Paramètres!$A$1:$I$89,3,0)*0.475*44/12</f>
        <v>6.1245127274274001E-25</v>
      </c>
      <c r="AC198" s="24">
        <f t="shared" si="163"/>
        <v>1.5523001927495422E-2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2.8421709430404007E-14</v>
      </c>
      <c r="AJ198" s="14">
        <f>AI198*VLOOKUP('Données projet'!$B$10,Paramètres!$A$1:$I$89,3,0)*VLOOKUP('Données projet'!$B$10,Paramètres!$A$1:$I$89,5,0)</f>
        <v>2.4829205358400945E-14</v>
      </c>
      <c r="AK198" s="14">
        <f t="shared" si="164"/>
        <v>4.3867331143352915E-13</v>
      </c>
      <c r="AL198" s="22">
        <f t="shared" si="165"/>
        <v>8.0726688341261168E-13</v>
      </c>
      <c r="AM198" s="62">
        <f t="shared" si="193"/>
        <v>293.33333333333411</v>
      </c>
      <c r="AN198" s="62">
        <f ca="1">AVERAGE(OFFSET($AM$3,0,0,'Données projet'!$E$10+1,1))-AVERAGE(OFFSET($H$3,0,0,'Données projet'!$E$10+1,1))</f>
        <v>235.92135862353973</v>
      </c>
      <c r="AO198" s="62">
        <f t="shared" si="205"/>
        <v>270.64539221029258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2.9265672724034492E-2</v>
      </c>
      <c r="AV198" s="23">
        <f>EXP(-LN(2)/25)*AV197+(1-EXP(-LN(2)/25))/(LN(2)/25)*Calculateur!AQ198*Calculateur!AS198*VLOOKUP('Données projet'!$B$10,Paramètres!$A$1:$I$89,3,0)*0.475*44/12</f>
        <v>5.3557199510666384E-2</v>
      </c>
      <c r="AW198" s="23">
        <f>EXP(-LN(2)/2)*AW197+(1-EXP(-LN(2)/2))/(LN(2)/2)*AQ198*AT198*VLOOKUP('Données projet'!$B$10,Paramètres!$A$1:$I$89,3,0)*0.475*44/12</f>
        <v>2.2721705520514373E-24</v>
      </c>
      <c r="AX198" s="23">
        <f t="shared" si="166"/>
        <v>8.2822872234700876E-2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1.9895196601282805E-13</v>
      </c>
      <c r="O199" s="14">
        <f>N199*VLOOKUP('Données projet'!$B$9,Paramètres!$A$1:$I$89,3,0)*VLOOKUP('Données projet'!$B$9,Paramètres!$A$1:$I$89,5,0)</f>
        <v>1.8001173884840681E-13</v>
      </c>
      <c r="P199" s="14">
        <f t="shared" si="203"/>
        <v>2.5254331426407198E-12</v>
      </c>
      <c r="Q199" s="22">
        <f t="shared" si="162"/>
        <v>4.7119831685935622E-12</v>
      </c>
      <c r="R199" s="62">
        <f t="shared" si="191"/>
        <v>293.33333333333803</v>
      </c>
      <c r="S199" s="62">
        <f ca="1">AVERAGE(OFFSET($R$3,0,0,'Données projet'!$E$9+1,1))-AVERAGE(OFFSET($H$3,0,0,'Données projet'!$E$9+1,1))</f>
        <v>247.05981224668733</v>
      </c>
      <c r="T199" s="62">
        <f t="shared" si="204"/>
        <v>345.23839191022898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5.0430259817104139E-3</v>
      </c>
      <c r="AA199" s="23">
        <f>EXP(-LN(2)/25)*AA198+(1-EXP(-LN(2)/25))/(LN(2)/25)*Calculateur!V199*Calculateur!X199*VLOOKUP('Données projet'!$B$9,Paramètres!$A$1:$I$89,3,0)*0.475*44/12</f>
        <v>1.0095290074597921E-2</v>
      </c>
      <c r="AB199" s="23">
        <f>EXP(-LN(2)/2)*AB198+(1-EXP(-LN(2)/2))/(LN(2)/2)*V199*Y199*VLOOKUP('Données projet'!$B$9,Paramètres!$A$1:$I$89,3,0)*0.475*44/12</f>
        <v>4.3306844810272319E-25</v>
      </c>
      <c r="AC199" s="24">
        <f t="shared" si="163"/>
        <v>1.5138316056308335E-2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2.8421709430404007E-14</v>
      </c>
      <c r="AJ199" s="14">
        <f>AI199*VLOOKUP('Données projet'!$B$10,Paramètres!$A$1:$I$89,3,0)*VLOOKUP('Données projet'!$B$10,Paramètres!$A$1:$I$89,5,0)</f>
        <v>2.4829205358400945E-14</v>
      </c>
      <c r="AK199" s="14">
        <f t="shared" si="164"/>
        <v>4.3867331143352915E-13</v>
      </c>
      <c r="AL199" s="22">
        <f t="shared" si="165"/>
        <v>8.0726688341261168E-13</v>
      </c>
      <c r="AM199" s="62">
        <f t="shared" si="193"/>
        <v>293.33333333333411</v>
      </c>
      <c r="AN199" s="62">
        <f ca="1">AVERAGE(OFFSET($AM$3,0,0,'Données projet'!$E$10+1,1))-AVERAGE(OFFSET($H$3,0,0,'Données projet'!$E$10+1,1))</f>
        <v>235.92135862353973</v>
      </c>
      <c r="AO199" s="62">
        <f t="shared" si="205"/>
        <v>270.64539221029258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2.8691790732213965E-2</v>
      </c>
      <c r="AV199" s="23">
        <f>EXP(-LN(2)/25)*AV198+(1-EXP(-LN(2)/25))/(LN(2)/25)*Calculateur!AQ199*Calculateur!AS199*VLOOKUP('Données projet'!$B$10,Paramètres!$A$1:$I$89,3,0)*0.475*44/12</f>
        <v>5.2092675073596495E-2</v>
      </c>
      <c r="AW199" s="23">
        <f>EXP(-LN(2)/2)*AW198+(1-EXP(-LN(2)/2))/(LN(2)/2)*AQ199*AT199*VLOOKUP('Données projet'!$B$10,Paramètres!$A$1:$I$89,3,0)*0.475*44/12</f>
        <v>1.6066672053679526E-24</v>
      </c>
      <c r="AX199" s="23">
        <f t="shared" si="166"/>
        <v>8.078446580581046E-2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1.9895196601282805E-13</v>
      </c>
      <c r="O200" s="14">
        <f>N200*VLOOKUP('Données projet'!$B$9,Paramètres!$A$1:$I$89,3,0)*VLOOKUP('Données projet'!$B$9,Paramètres!$A$1:$I$89,5,0)</f>
        <v>1.8001173884840681E-13</v>
      </c>
      <c r="P200" s="14">
        <f t="shared" si="203"/>
        <v>2.5254331426407198E-12</v>
      </c>
      <c r="Q200" s="22">
        <f t="shared" si="162"/>
        <v>4.7119831685935622E-12</v>
      </c>
      <c r="R200" s="62">
        <f t="shared" si="191"/>
        <v>293.33333333333803</v>
      </c>
      <c r="S200" s="62">
        <f ca="1">AVERAGE(OFFSET($R$3,0,0,'Données projet'!$E$9+1,1))-AVERAGE(OFFSET($H$3,0,0,'Données projet'!$E$9+1,1))</f>
        <v>247.05981224668733</v>
      </c>
      <c r="T200" s="62">
        <f t="shared" si="204"/>
        <v>345.23839191022898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4.9441353181511978E-3</v>
      </c>
      <c r="AA200" s="23">
        <f>EXP(-LN(2)/25)*AA199+(1-EXP(-LN(2)/25))/(LN(2)/25)*Calculateur!V200*Calculateur!X200*VLOOKUP('Données projet'!$B$9,Paramètres!$A$1:$I$89,3,0)*0.475*44/12</f>
        <v>9.81923383661981E-3</v>
      </c>
      <c r="AB200" s="23">
        <f>EXP(-LN(2)/2)*AB199+(1-EXP(-LN(2)/2))/(LN(2)/2)*V200*Y200*VLOOKUP('Données projet'!$B$9,Paramètres!$A$1:$I$89,3,0)*0.475*44/12</f>
        <v>3.0622563637137E-25</v>
      </c>
      <c r="AC200" s="24">
        <f t="shared" si="163"/>
        <v>1.4763369154771007E-2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2.8421709430404007E-14</v>
      </c>
      <c r="AJ200" s="14">
        <f>AI200*VLOOKUP('Données projet'!$B$10,Paramètres!$A$1:$I$89,3,0)*VLOOKUP('Données projet'!$B$10,Paramètres!$A$1:$I$89,5,0)</f>
        <v>2.4829205358400945E-14</v>
      </c>
      <c r="AK200" s="14">
        <f t="shared" si="164"/>
        <v>4.3867331143352915E-13</v>
      </c>
      <c r="AL200" s="22">
        <f t="shared" si="165"/>
        <v>8.0726688341261168E-13</v>
      </c>
      <c r="AM200" s="62">
        <f t="shared" si="193"/>
        <v>293.33333333333411</v>
      </c>
      <c r="AN200" s="62">
        <f ca="1">AVERAGE(OFFSET($AM$3,0,0,'Données projet'!$E$10+1,1))-AVERAGE(OFFSET($H$3,0,0,'Données projet'!$E$10+1,1))</f>
        <v>235.92135862353973</v>
      </c>
      <c r="AO200" s="62">
        <f t="shared" si="205"/>
        <v>270.64539221029258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2.8129162216219587E-2</v>
      </c>
      <c r="AV200" s="23">
        <f>EXP(-LN(2)/25)*AV199+(1-EXP(-LN(2)/25))/(LN(2)/25)*Calculateur!AQ200*Calculateur!AS200*VLOOKUP('Données projet'!$B$10,Paramètres!$A$1:$I$89,3,0)*0.475*44/12</f>
        <v>5.0668198134274277E-2</v>
      </c>
      <c r="AW200" s="23">
        <f>EXP(-LN(2)/2)*AW199+(1-EXP(-LN(2)/2))/(LN(2)/2)*AQ200*AT200*VLOOKUP('Données projet'!$B$10,Paramètres!$A$1:$I$89,3,0)*0.475*44/12</f>
        <v>1.1360852760257187E-24</v>
      </c>
      <c r="AX200" s="23">
        <f t="shared" si="166"/>
        <v>7.8797360350493867E-2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1.9895196601282805E-13</v>
      </c>
      <c r="O201" s="14">
        <f>N201*VLOOKUP('Données projet'!$B$9,Paramètres!$A$1:$I$89,3,0)*VLOOKUP('Données projet'!$B$9,Paramètres!$A$1:$I$89,5,0)</f>
        <v>1.8001173884840681E-13</v>
      </c>
      <c r="P201" s="14">
        <f t="shared" si="203"/>
        <v>2.5254331426407198E-12</v>
      </c>
      <c r="Q201" s="22">
        <f t="shared" si="162"/>
        <v>4.7119831685935622E-12</v>
      </c>
      <c r="R201" s="62">
        <f t="shared" si="191"/>
        <v>293.33333333333803</v>
      </c>
      <c r="S201" s="62">
        <f ca="1">AVERAGE(OFFSET($R$3,0,0,'Données projet'!$E$9+1,1))-AVERAGE(OFFSET($H$3,0,0,'Données projet'!$E$9+1,1))</f>
        <v>247.05981224668733</v>
      </c>
      <c r="T201" s="62">
        <f t="shared" si="204"/>
        <v>345.23839191022898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4.847183840187029E-3</v>
      </c>
      <c r="AA201" s="23">
        <f>EXP(-LN(2)/25)*AA200+(1-EXP(-LN(2)/25))/(LN(2)/25)*Calculateur!V201*Calculateur!X201*VLOOKUP('Données projet'!$B$9,Paramètres!$A$1:$I$89,3,0)*0.475*44/12</f>
        <v>9.550726370986376E-3</v>
      </c>
      <c r="AB201" s="23">
        <f>EXP(-LN(2)/2)*AB200+(1-EXP(-LN(2)/2))/(LN(2)/2)*V201*Y201*VLOOKUP('Données projet'!$B$9,Paramètres!$A$1:$I$89,3,0)*0.475*44/12</f>
        <v>2.165342240513616E-25</v>
      </c>
      <c r="AC201" s="24">
        <f t="shared" si="163"/>
        <v>1.4397910211173405E-2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2.8421709430404007E-14</v>
      </c>
      <c r="AJ201" s="14">
        <f>AI201*VLOOKUP('Données projet'!$B$10,Paramètres!$A$1:$I$89,3,0)*VLOOKUP('Données projet'!$B$10,Paramètres!$A$1:$I$89,5,0)</f>
        <v>2.4829205358400945E-14</v>
      </c>
      <c r="AK201" s="14">
        <f t="shared" si="164"/>
        <v>4.3867331143352915E-13</v>
      </c>
      <c r="AL201" s="22">
        <f t="shared" si="165"/>
        <v>8.0726688341261168E-13</v>
      </c>
      <c r="AM201" s="62">
        <f t="shared" si="193"/>
        <v>293.33333333333411</v>
      </c>
      <c r="AN201" s="62">
        <f ca="1">AVERAGE(OFFSET($AM$3,0,0,'Données projet'!$E$10+1,1))-AVERAGE(OFFSET($H$3,0,0,'Données projet'!$E$10+1,1))</f>
        <v>235.92135862353973</v>
      </c>
      <c r="AO201" s="62">
        <f t="shared" si="205"/>
        <v>270.64539221029258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2.757756650225435E-2</v>
      </c>
      <c r="AV201" s="23">
        <f>EXP(-LN(2)/25)*AV200+(1-EXP(-LN(2)/25))/(LN(2)/25)*Calculateur!AQ201*Calculateur!AS201*VLOOKUP('Données projet'!$B$10,Paramètres!$A$1:$I$89,3,0)*0.475*44/12</f>
        <v>4.9282673591767807E-2</v>
      </c>
      <c r="AW201" s="23">
        <f>EXP(-LN(2)/2)*AW200+(1-EXP(-LN(2)/2))/(LN(2)/2)*AQ201*AT201*VLOOKUP('Données projet'!$B$10,Paramètres!$A$1:$I$89,3,0)*0.475*44/12</f>
        <v>8.033336026839763E-25</v>
      </c>
      <c r="AX201" s="23">
        <f t="shared" si="166"/>
        <v>7.6860240094022161E-2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1.9895196601282805E-13</v>
      </c>
      <c r="O202" s="14">
        <f>N202*VLOOKUP('Données projet'!$B$9,Paramètres!$A$1:$I$89,3,0)*VLOOKUP('Données projet'!$B$9,Paramètres!$A$1:$I$89,5,0)</f>
        <v>1.8001173884840681E-13</v>
      </c>
      <c r="P202" s="14">
        <f t="shared" si="203"/>
        <v>2.5254331426407198E-12</v>
      </c>
      <c r="Q202" s="22">
        <f t="shared" si="162"/>
        <v>4.7119831685935622E-12</v>
      </c>
      <c r="R202" s="62">
        <f t="shared" si="191"/>
        <v>293.33333333333803</v>
      </c>
      <c r="S202" s="62">
        <f ca="1">AVERAGE(OFFSET($R$3,0,0,'Données projet'!$E$9+1,1))-AVERAGE(OFFSET($H$3,0,0,'Données projet'!$E$9+1,1))</f>
        <v>247.05981224668733</v>
      </c>
      <c r="T202" s="62">
        <f t="shared" si="204"/>
        <v>345.23839191022898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4.7521335215711747E-3</v>
      </c>
      <c r="AA202" s="23">
        <f>EXP(-LN(2)/25)*AA201+(1-EXP(-LN(2)/25))/(LN(2)/25)*Calculateur!V202*Calculateur!X202*VLOOKUP('Données projet'!$B$9,Paramètres!$A$1:$I$89,3,0)*0.475*44/12</f>
        <v>9.2895612561208814E-3</v>
      </c>
      <c r="AB202" s="23">
        <f>EXP(-LN(2)/2)*AB201+(1-EXP(-LN(2)/2))/(LN(2)/2)*V202*Y202*VLOOKUP('Données projet'!$B$9,Paramètres!$A$1:$I$89,3,0)*0.475*44/12</f>
        <v>1.53112818185685E-25</v>
      </c>
      <c r="AC202" s="24">
        <f t="shared" si="163"/>
        <v>1.4041694777692057E-2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2.8421709430404007E-14</v>
      </c>
      <c r="AJ202" s="14">
        <f>AI202*VLOOKUP('Données projet'!$B$10,Paramètres!$A$1:$I$89,3,0)*VLOOKUP('Données projet'!$B$10,Paramètres!$A$1:$I$89,5,0)</f>
        <v>2.4829205358400945E-14</v>
      </c>
      <c r="AK202" s="14">
        <f t="shared" si="164"/>
        <v>4.3867331143352915E-13</v>
      </c>
      <c r="AL202" s="22">
        <f t="shared" si="165"/>
        <v>8.0726688341261168E-13</v>
      </c>
      <c r="AM202" s="62">
        <f t="shared" si="193"/>
        <v>293.33333333333411</v>
      </c>
      <c r="AN202" s="62">
        <f ca="1">AVERAGE(OFFSET($AM$3,0,0,'Données projet'!$E$10+1,1))-AVERAGE(OFFSET($H$3,0,0,'Données projet'!$E$10+1,1))</f>
        <v>235.92135862353973</v>
      </c>
      <c r="AO202" s="62">
        <f t="shared" si="205"/>
        <v>270.64539221029258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2.7036787243799806E-2</v>
      </c>
      <c r="AV202" s="23">
        <f>EXP(-LN(2)/25)*AV201+(1-EXP(-LN(2)/25))/(LN(2)/25)*Calculateur!AQ202*Calculateur!AS202*VLOOKUP('Données projet'!$B$10,Paramètres!$A$1:$I$89,3,0)*0.475*44/12</f>
        <v>4.7935036290737747E-2</v>
      </c>
      <c r="AW202" s="23">
        <f>EXP(-LN(2)/2)*AW201+(1-EXP(-LN(2)/2))/(LN(2)/2)*AQ202*AT202*VLOOKUP('Données projet'!$B$10,Paramètres!$A$1:$I$89,3,0)*0.475*44/12</f>
        <v>5.6804263801285933E-25</v>
      </c>
      <c r="AX202" s="23">
        <f t="shared" si="166"/>
        <v>7.4971823534537546E-2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1.9895196601282805E-13</v>
      </c>
      <c r="O203" s="14">
        <f>N203*VLOOKUP('Données projet'!$B$9,Paramètres!$A$1:$I$89,3,0)*VLOOKUP('Données projet'!$B$9,Paramètres!$A$1:$I$89,5,0)</f>
        <v>1.8001173884840681E-13</v>
      </c>
      <c r="P203" s="14">
        <f t="shared" si="203"/>
        <v>2.5254331426407198E-12</v>
      </c>
      <c r="Q203" s="22">
        <f t="shared" si="162"/>
        <v>4.7119831685935622E-12</v>
      </c>
      <c r="R203" s="62">
        <f t="shared" si="191"/>
        <v>293.33333333333803</v>
      </c>
      <c r="S203" s="62">
        <f ca="1">AVERAGE(OFFSET($R$3,0,0,'Données projet'!$E$9+1,1))-AVERAGE(OFFSET($H$3,0,0,'Données projet'!$E$9+1,1))</f>
        <v>247.05981224668733</v>
      </c>
      <c r="T203" s="62">
        <f t="shared" si="204"/>
        <v>345.23839191022898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4.6589470817284071E-3</v>
      </c>
      <c r="AA203" s="23">
        <f>EXP(-LN(2)/25)*AA202+(1-EXP(-LN(2)/25))/(LN(2)/25)*Calculateur!V203*Calculateur!X203*VLOOKUP('Données projet'!$B$9,Paramètres!$A$1:$I$89,3,0)*0.475*44/12</f>
        <v>9.0355377150554608E-3</v>
      </c>
      <c r="AB203" s="23">
        <f>EXP(-LN(2)/2)*AB202+(1-EXP(-LN(2)/2))/(LN(2)/2)*V203*Y203*VLOOKUP('Données projet'!$B$9,Paramètres!$A$1:$I$89,3,0)*0.475*44/12</f>
        <v>1.082671120256808E-25</v>
      </c>
      <c r="AC203" s="24">
        <f t="shared" si="163"/>
        <v>1.3694484796783868E-2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2.8421709430404007E-14</v>
      </c>
      <c r="AJ203" s="14">
        <f>AI203*VLOOKUP('Données projet'!$B$10,Paramètres!$A$1:$I$89,3,0)*VLOOKUP('Données projet'!$B$10,Paramètres!$A$1:$I$89,5,0)</f>
        <v>2.4829205358400945E-14</v>
      </c>
      <c r="AK203" s="14">
        <f t="shared" si="164"/>
        <v>4.3867331143352915E-13</v>
      </c>
      <c r="AL203" s="22">
        <f t="shared" si="165"/>
        <v>8.0726688341261168E-13</v>
      </c>
      <c r="AM203" s="62">
        <f t="shared" si="193"/>
        <v>293.33333333333411</v>
      </c>
      <c r="AN203" s="62">
        <f ca="1">AVERAGE(OFFSET($AM$3,0,0,'Données projet'!$E$10+1,1))-AVERAGE(OFFSET($H$3,0,0,'Données projet'!$E$10+1,1))</f>
        <v>235.92135862353973</v>
      </c>
      <c r="AO203" s="62">
        <f t="shared" si="205"/>
        <v>270.64539221029258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2.6506612336760778E-2</v>
      </c>
      <c r="AV203" s="23">
        <f>EXP(-LN(2)/25)*AV202+(1-EXP(-LN(2)/25))/(LN(2)/25)*Calculateur!AQ203*Calculateur!AS203*VLOOKUP('Données projet'!$B$10,Paramètres!$A$1:$I$89,3,0)*0.475*44/12</f>
        <v>4.6624250202573519E-2</v>
      </c>
      <c r="AW203" s="23">
        <f>EXP(-LN(2)/2)*AW202+(1-EXP(-LN(2)/2))/(LN(2)/2)*AQ203*AT203*VLOOKUP('Données projet'!$B$10,Paramètres!$A$1:$I$89,3,0)*0.475*44/12</f>
        <v>4.0166680134198815E-25</v>
      </c>
      <c r="AX203" s="23">
        <f t="shared" si="166"/>
        <v>7.313086253933429E-2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1.9472943612303364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1.2765231539157764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Normal="100" workbookViewId="0">
      <selection activeCell="N23" sqref="N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Robinier faux-acacia</v>
      </c>
      <c r="B6" s="155">
        <f>'Données projet'!D9</f>
        <v>1.75</v>
      </c>
      <c r="C6" s="156">
        <f ca="1">IF(OR('Données projet'!B9="",'Données projet'!C9="",'Données projet'!C9=0%),0,Calculateur!S3)</f>
        <v>247.05981224668733</v>
      </c>
      <c r="D6" s="156">
        <f>IF(OR('Données projet'!B9="",'Données projet'!C9="",'Données projet'!C9=0%),0,Calculateur!T3)</f>
        <v>345.23839191022898</v>
      </c>
      <c r="E6" s="156">
        <f ca="1">MIN(C6,D6)</f>
        <v>247.05981224668733</v>
      </c>
      <c r="F6" s="156">
        <f ca="1">E6*B6</f>
        <v>432.35467143170285</v>
      </c>
      <c r="G6" s="156">
        <f ca="1">F6*(100%-'Données projet'!$C$24)*(100%-'Données projet'!$C$25)*(100%-'Données projet'!$C$26)*(100%-'Données projet'!$C$27)</f>
        <v>350.20728385967931</v>
      </c>
      <c r="H6" s="157">
        <f>IF(OR('Données projet'!B9="",'Données projet'!C9="",'Données projet'!C9=0%),0,AVERAGE(Calculateur!$AC$3:$AC$33)*B6)</f>
        <v>9.3505019291682743</v>
      </c>
      <c r="I6" s="158">
        <f>H6*(100%-'Données projet'!$C$24)*(100%-'Données projet'!$C$25)*(100%-'Données projet'!$C$26)*(100%-'Données projet'!$C$27)</f>
        <v>7.573906562626302</v>
      </c>
      <c r="J6" s="159">
        <f>IF(OR('Données projet'!B9="",'Données projet'!C9="",'Données projet'!C9=0%),0,SUM(Calculateur!$V$3:$V$33)*VLOOKUP('Données projet'!$B$9,Paramètres!$A$1:$I$89,9,0)*B6)</f>
        <v>33.25</v>
      </c>
      <c r="K6" s="160">
        <f>J6*(100%-'Données projet'!$C$24)*(100%-'Données projet'!$C$25)*(100%-'Données projet'!$C$26)*(100%-'Données projet'!$C$27)</f>
        <v>26.932500000000001</v>
      </c>
      <c r="L6" s="161">
        <f ca="1">G6+I6+K6</f>
        <v>384.7136904223056</v>
      </c>
      <c r="M6" s="25">
        <f ca="1">L6/B6</f>
        <v>219.83639452703179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rouge d'Amérique</v>
      </c>
      <c r="B7" s="163">
        <f>'Données projet'!D10</f>
        <v>0.75</v>
      </c>
      <c r="C7" s="156">
        <f ca="1">IF(OR('Données projet'!B10="",'Données projet'!C10="",'Données projet'!C10=0%),0,Calculateur!AN3)</f>
        <v>235.92135862353973</v>
      </c>
      <c r="D7" s="156">
        <f>IF(OR('Données projet'!B10="",'Données projet'!C10="",'Données projet'!C10=0%),0,Calculateur!AO3)</f>
        <v>270.64539221029258</v>
      </c>
      <c r="E7" s="156">
        <f t="shared" ref="E7:E15" ca="1" si="0">MIN(C7,D7)</f>
        <v>235.92135862353973</v>
      </c>
      <c r="F7" s="156">
        <f t="shared" ref="F7:F15" ca="1" si="1">E7*B7</f>
        <v>176.9410189676548</v>
      </c>
      <c r="G7" s="156">
        <f ca="1">F7*(100%-'Données projet'!$C$24)*(100%-'Données projet'!$C$25)*(100%-'Données projet'!$C$26)*(100%-'Données projet'!$C$27)</f>
        <v>143.32222536380038</v>
      </c>
      <c r="H7" s="164">
        <f>IF(OR('Données projet'!B10="",'Données projet'!C10="",'Données projet'!C10=0%),0,AVERAGE(Calculateur!$AX$3:$AX$33)*B7)</f>
        <v>3.8244514079662451</v>
      </c>
      <c r="I7" s="158">
        <f>H7*(100%-'Données projet'!$C$24)*(100%-'Données projet'!$C$25)*(100%-'Données projet'!$C$26)*(100%-'Données projet'!$C$27)</f>
        <v>3.0978056404526586</v>
      </c>
      <c r="J7" s="159">
        <f>IF(OR('Données projet'!B10="",'Données projet'!C10="",'Données projet'!C10=0%),0,SUM(Calculateur!$AQ$3:$AQ$33)*VLOOKUP('Données projet'!$B$10,Paramètres!$A$1:$I$89,9,0)*B7)</f>
        <v>23.25</v>
      </c>
      <c r="K7" s="160">
        <f>J7*(100%-'Données projet'!$C$24)*(100%-'Données projet'!$C$25)*(100%-'Données projet'!$C$26)*(100%-'Données projet'!$C$27)</f>
        <v>18.8325</v>
      </c>
      <c r="L7" s="161">
        <f t="shared" ref="L7:L15" ca="1" si="2">G7+I7+K7</f>
        <v>165.25253100425306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609.29569039935768</v>
      </c>
      <c r="G16" s="175">
        <f t="shared" ca="1" si="3"/>
        <v>493.52950922347969</v>
      </c>
      <c r="H16" s="176">
        <f t="shared" si="3"/>
        <v>13.17495333713452</v>
      </c>
      <c r="I16" s="176">
        <f t="shared" si="3"/>
        <v>10.671712203078961</v>
      </c>
      <c r="J16" s="177">
        <f t="shared" si="3"/>
        <v>56.5</v>
      </c>
      <c r="K16" s="177">
        <f t="shared" si="3"/>
        <v>45.765000000000001</v>
      </c>
      <c r="L16" s="178">
        <f t="shared" ca="1" si="3"/>
        <v>549.9662214265586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" zoomScale="85" zoomScaleNormal="85" workbookViewId="0">
      <selection activeCell="W29" sqref="W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1059.7028841549345</v>
      </c>
      <c r="U10" s="190">
        <f>'Données projet'!D9</f>
        <v>1.75</v>
      </c>
      <c r="V10" s="189">
        <f>U10*T10</f>
        <v>1854.4800472711354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1033.6354477083682</v>
      </c>
      <c r="U11" s="190">
        <f>'Données projet'!D10</f>
        <v>0.75</v>
      </c>
      <c r="V11" s="189">
        <f t="shared" ref="V11" si="0">U11*T11</f>
        <v>775.22658578127619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59.999999999999957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10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599.99999999999955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5522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1250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650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5</v>
      </c>
      <c r="B23" s="193">
        <f>'Données projet'!D36</f>
        <v>4</v>
      </c>
      <c r="C23" s="204">
        <v>8</v>
      </c>
      <c r="D23" s="194">
        <f>B23*C23</f>
        <v>32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-15589.705970546385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10</v>
      </c>
      <c r="B24" s="193">
        <f>'Données projet'!D37</f>
        <v>21</v>
      </c>
      <c r="C24" s="204">
        <v>8</v>
      </c>
      <c r="D24" s="194">
        <f t="shared" ref="D24:D42" si="2">B24*C24</f>
        <v>168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106.9335124211097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15</v>
      </c>
      <c r="B25" s="193">
        <f>'Données projet'!D38</f>
        <v>17</v>
      </c>
      <c r="C25" s="204">
        <v>8</v>
      </c>
      <c r="D25" s="194">
        <f t="shared" si="2"/>
        <v>136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-15696.639482967495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20</v>
      </c>
      <c r="B26" s="193">
        <f>'Données projet'!D39</f>
        <v>14</v>
      </c>
      <c r="C26" s="204">
        <v>8</v>
      </c>
      <c r="D26" s="194">
        <f t="shared" si="2"/>
        <v>112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25</v>
      </c>
      <c r="B27" s="193">
        <f>'Données projet'!D40</f>
        <v>11</v>
      </c>
      <c r="C27" s="204">
        <v>13</v>
      </c>
      <c r="D27" s="194">
        <f t="shared" si="2"/>
        <v>143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30</v>
      </c>
      <c r="B28" s="193">
        <f>'Données projet'!D41</f>
        <v>9</v>
      </c>
      <c r="C28" s="204">
        <v>13</v>
      </c>
      <c r="D28" s="194">
        <f t="shared" si="2"/>
        <v>117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35</v>
      </c>
      <c r="B29" s="193">
        <f>'Données projet'!D42</f>
        <v>7</v>
      </c>
      <c r="C29" s="204">
        <v>13</v>
      </c>
      <c r="D29" s="194">
        <f t="shared" si="2"/>
        <v>91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40</v>
      </c>
      <c r="B30" s="193">
        <f>'Données projet'!D43</f>
        <v>6</v>
      </c>
      <c r="C30" s="204">
        <v>15</v>
      </c>
      <c r="D30" s="194">
        <f t="shared" si="2"/>
        <v>90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45</v>
      </c>
      <c r="B31" s="193">
        <f>'Données projet'!D44</f>
        <v>252</v>
      </c>
      <c r="C31" s="204">
        <v>20</v>
      </c>
      <c r="D31" s="194">
        <f t="shared" si="2"/>
        <v>5040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50</v>
      </c>
      <c r="C54" s="204">
        <v>4</v>
      </c>
      <c r="D54" s="191">
        <f>B54*C54</f>
        <v>200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37</v>
      </c>
      <c r="C55" s="204">
        <v>10</v>
      </c>
      <c r="D55" s="191">
        <f t="shared" ref="D55:D73" si="4">B55*C55</f>
        <v>370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37</v>
      </c>
      <c r="C56" s="204">
        <v>10</v>
      </c>
      <c r="D56" s="191">
        <f t="shared" si="4"/>
        <v>370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36</v>
      </c>
      <c r="C57" s="204">
        <v>15</v>
      </c>
      <c r="D57" s="191">
        <f t="shared" si="4"/>
        <v>540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33</v>
      </c>
      <c r="C58" s="204">
        <v>15</v>
      </c>
      <c r="D58" s="191">
        <f t="shared" si="4"/>
        <v>495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31</v>
      </c>
      <c r="C59" s="204">
        <v>20</v>
      </c>
      <c r="D59" s="191">
        <f t="shared" si="4"/>
        <v>620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04">
        <v>25</v>
      </c>
      <c r="D60" s="191">
        <f t="shared" si="4"/>
        <v>700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25</v>
      </c>
      <c r="C61" s="204">
        <v>30</v>
      </c>
      <c r="D61" s="191">
        <f t="shared" si="4"/>
        <v>750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22</v>
      </c>
      <c r="C62" s="204">
        <v>35</v>
      </c>
      <c r="D62" s="191">
        <f t="shared" si="4"/>
        <v>770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20</v>
      </c>
      <c r="C63" s="204">
        <v>40</v>
      </c>
      <c r="D63" s="191">
        <f t="shared" si="4"/>
        <v>800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17</v>
      </c>
      <c r="C64" s="204">
        <v>45</v>
      </c>
      <c r="D64" s="191">
        <f t="shared" si="4"/>
        <v>765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15</v>
      </c>
      <c r="C65" s="204">
        <v>50</v>
      </c>
      <c r="D65" s="191">
        <f t="shared" si="4"/>
        <v>750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13</v>
      </c>
      <c r="C66" s="204">
        <v>50</v>
      </c>
      <c r="D66" s="191">
        <f t="shared" si="4"/>
        <v>650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12</v>
      </c>
      <c r="C67" s="204">
        <v>50</v>
      </c>
      <c r="D67" s="191">
        <f t="shared" si="4"/>
        <v>600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236</v>
      </c>
      <c r="C68" s="204">
        <v>50</v>
      </c>
      <c r="D68" s="191">
        <f t="shared" si="4"/>
        <v>11800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2024-02-28T09:11:58Z</dcterms:modified>
</cp:coreProperties>
</file>