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OCCI_OG\Documents\Olivier\C+FOR\Pierre Fabre\Anglès\"/>
    </mc:Choice>
  </mc:AlternateContent>
  <bookViews>
    <workbookView xWindow="0" yWindow="0" windowWidth="20490" windowHeight="7755" tabRatio="866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1" i="1" l="1"/>
  <c r="B211" i="1"/>
  <c r="D210" i="1"/>
  <c r="B210" i="1"/>
  <c r="D209" i="1"/>
  <c r="B209" i="1"/>
  <c r="D208" i="1"/>
  <c r="B208" i="1"/>
  <c r="B207" i="1"/>
  <c r="D207" i="1"/>
  <c r="D206" i="1"/>
  <c r="B206" i="1"/>
  <c r="D205" i="1"/>
  <c r="B205" i="1"/>
  <c r="D203" i="1"/>
  <c r="B203" i="1"/>
  <c r="D201" i="1"/>
  <c r="B201" i="1"/>
  <c r="D199" i="1"/>
  <c r="B199" i="1"/>
  <c r="D197" i="1"/>
  <c r="B197" i="1"/>
  <c r="D195" i="1"/>
  <c r="B195" i="1"/>
  <c r="B179" i="1" l="1"/>
  <c r="D179" i="1" s="1"/>
  <c r="D177" i="1"/>
  <c r="B177" i="1"/>
  <c r="D175" i="1"/>
  <c r="B175" i="1"/>
  <c r="D173" i="1"/>
  <c r="B173" i="1"/>
  <c r="D171" i="1"/>
  <c r="B171" i="1"/>
  <c r="D169" i="1"/>
  <c r="B169" i="1"/>
  <c r="D167" i="1"/>
  <c r="B167" i="1"/>
  <c r="D153" i="1" l="1"/>
  <c r="B153" i="1"/>
  <c r="D151" i="1"/>
  <c r="B151" i="1"/>
  <c r="D149" i="1"/>
  <c r="B149" i="1"/>
  <c r="D147" i="1"/>
  <c r="B147" i="1"/>
  <c r="D145" i="1"/>
  <c r="B145" i="1"/>
  <c r="D143" i="1"/>
  <c r="B143" i="1"/>
  <c r="D141" i="1"/>
  <c r="B141" i="1"/>
  <c r="B73" i="1" l="1"/>
  <c r="D73" i="1" s="1"/>
  <c r="D72" i="1"/>
  <c r="B72" i="1"/>
  <c r="D71" i="1"/>
  <c r="B71" i="1"/>
  <c r="D70" i="1"/>
  <c r="B70" i="1"/>
  <c r="D69" i="1"/>
  <c r="B69" i="1"/>
  <c r="D68" i="1"/>
  <c r="B68" i="1"/>
  <c r="B67" i="1"/>
  <c r="D66" i="1"/>
  <c r="B66" i="1"/>
  <c r="B65" i="1"/>
  <c r="D64" i="1"/>
  <c r="B64" i="1"/>
  <c r="B63" i="1"/>
  <c r="B62" i="1"/>
  <c r="B121" i="1"/>
  <c r="D120" i="1"/>
  <c r="B120" i="1"/>
  <c r="B119" i="1"/>
  <c r="D118" i="1"/>
  <c r="B118" i="1"/>
  <c r="B117" i="1"/>
  <c r="D116" i="1"/>
  <c r="B116" i="1"/>
  <c r="B115" i="1"/>
  <c r="B46" i="1"/>
  <c r="D46" i="1" s="1"/>
  <c r="B45" i="1"/>
  <c r="D44" i="1"/>
  <c r="B44" i="1"/>
  <c r="D43" i="1"/>
  <c r="B43" i="1"/>
  <c r="D42" i="1"/>
  <c r="B42" i="1"/>
  <c r="D41" i="1"/>
  <c r="B41" i="1"/>
  <c r="D40" i="1"/>
  <c r="B40" i="1"/>
  <c r="B39" i="1"/>
  <c r="D38" i="1"/>
  <c r="B38" i="1"/>
  <c r="D37" i="1"/>
  <c r="B37" i="1"/>
  <c r="B36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F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FR5" i="2"/>
  <c r="EX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W7" i="2"/>
  <c r="EV7" i="2"/>
  <c r="EA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C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W18" i="2"/>
  <c r="EV18" i="2"/>
  <c r="EX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FS20" i="2" l="1"/>
  <c r="EV20" i="2"/>
  <c r="EW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W22" i="2"/>
  <c r="EC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V28" i="2"/>
  <c r="EC28" i="2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EV33" i="2"/>
  <c r="EB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CM35" i="2"/>
  <c r="FQ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EX38" i="2"/>
  <c r="EW38" i="2"/>
  <c r="EA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X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C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V61" i="2"/>
  <c r="EW61" i="2"/>
  <c r="EX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EA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X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B78" i="2" l="1"/>
  <c r="EV78" i="2"/>
  <c r="EW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C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X87" i="2"/>
  <c r="EB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X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A105" i="2" l="1"/>
  <c r="FS105" i="2"/>
  <c r="EV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FS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FQ112" i="2"/>
  <c r="EX112" i="2"/>
  <c r="EC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FS113" i="2"/>
  <c r="EW113" i="2"/>
  <c r="EX113" i="2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EX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EC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S118" i="2"/>
  <c r="FQ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FQ120" i="2"/>
  <c r="EX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EA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EW122" i="2"/>
  <c r="EC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X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X128" i="2"/>
  <c r="EV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EX130" i="2"/>
  <c r="EW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X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V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EB139" i="2"/>
  <c r="FS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FR140" i="2"/>
  <c r="FS140" i="2"/>
  <c r="EX140" i="2"/>
  <c r="EB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EA141" i="2"/>
  <c r="FS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EX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EX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FR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FS150" i="2"/>
  <c r="EV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EB154" i="2" l="1"/>
  <c r="A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Y154" i="2" l="1"/>
  <c r="ED154" i="2"/>
  <c r="EW155" i="2"/>
  <c r="EX155" i="2"/>
  <c r="DI154" i="2"/>
  <c r="EA155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D155" i="2" l="1"/>
  <c r="EY155" i="2"/>
  <c r="FS156" i="2"/>
  <c r="EX156" i="2"/>
  <c r="AB156" i="2"/>
  <c r="EB156" i="2"/>
  <c r="D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X157" i="2"/>
  <c r="EB157" i="2"/>
  <c r="EC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C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ED158" i="2"/>
  <c r="EA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FS160" i="2"/>
  <c r="EY159" i="2"/>
  <c r="EC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D160" i="2" l="1"/>
  <c r="FS161" i="2"/>
  <c r="EX161" i="2"/>
  <c r="EB161" i="2"/>
  <c r="EA161" i="2"/>
  <c r="A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EB162" i="2"/>
  <c r="EY161" i="2"/>
  <c r="EW162" i="2"/>
  <c r="DI161" i="2"/>
  <c r="EC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D162" i="2" l="1"/>
  <c r="EB163" i="2"/>
  <c r="EY162" i="2"/>
  <c r="EV163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 l="1"/>
  <c r="FR164" i="2"/>
  <c r="FS164" i="2"/>
  <c r="EY163" i="2"/>
  <c r="EV164" i="2"/>
  <c r="EX164" i="2"/>
  <c r="DI163" i="2"/>
  <c r="EA164" i="2"/>
  <c r="D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A165" i="2"/>
  <c r="EX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C166" i="2" l="1"/>
  <c r="ED165" i="2"/>
  <c r="FS166" i="2"/>
  <c r="CN165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FR167" i="2"/>
  <c r="EX167" i="2"/>
  <c r="DG167" i="2"/>
  <c r="EB167" i="2"/>
  <c r="EC167" i="2"/>
  <c r="EA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C168" i="2" l="1"/>
  <c r="EV168" i="2"/>
  <c r="EW168" i="2"/>
  <c r="DG168" i="2"/>
  <c r="EB168" i="2"/>
  <c r="DI167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EY168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D171" i="2" l="1"/>
  <c r="EB172" i="2"/>
  <c r="EA172" i="2"/>
  <c r="EY171" i="2"/>
  <c r="EV172" i="2"/>
  <c r="EW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D172" i="2"/>
  <c r="EW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D174" i="2" l="1"/>
  <c r="EB175" i="2"/>
  <c r="EA175" i="2"/>
  <c r="FS175" i="2"/>
  <c r="EW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Y175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FQ177" i="2"/>
  <c r="FS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FQ178" i="2"/>
  <c r="FS178" i="2"/>
  <c r="EW178" i="2"/>
  <c r="ED177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A179" i="2" l="1"/>
  <c r="ED178" i="2"/>
  <c r="EV179" i="2"/>
  <c r="DF179" i="2"/>
  <c r="EB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D179" i="2" l="1"/>
  <c r="EY179" i="2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X182" i="2"/>
  <c r="EC182" i="2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ED182" i="2" s="1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EA183" i="2"/>
  <c r="FS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EY184" i="2"/>
  <c r="EV185" i="2"/>
  <c r="EW185" i="2"/>
  <c r="EB185" i="2"/>
  <c r="EA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D185" i="2" l="1"/>
  <c r="EA186" i="2"/>
  <c r="EB186" i="2"/>
  <c r="FR186" i="2"/>
  <c r="FS186" i="2"/>
  <c r="EW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C187" i="2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Y188" i="2" l="1"/>
  <c r="EV189" i="2"/>
  <c r="EB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D189" i="2" l="1"/>
  <c r="EY189" i="2"/>
  <c r="EV190" i="2"/>
  <c r="EW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B192" i="2" l="1"/>
  <c r="EY191" i="2"/>
  <c r="EV192" i="2"/>
  <c r="EW192" i="2"/>
  <c r="EC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D192" i="2" l="1"/>
  <c r="EB193" i="2"/>
  <c r="EY192" i="2"/>
  <c r="FQ193" i="2"/>
  <c r="EX193" i="2"/>
  <c r="EA193" i="2"/>
  <c r="DI192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B194" i="2" l="1"/>
  <c r="ED193" i="2"/>
  <c r="FQ194" i="2"/>
  <c r="EA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EB195" i="2" l="1"/>
  <c r="EA195" i="2"/>
  <c r="ED194" i="2"/>
  <c r="EY194" i="2"/>
  <c r="FQ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Y196" i="2" l="1"/>
  <c r="FS197" i="2"/>
  <c r="EW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B199" i="2" l="1"/>
  <c r="EY198" i="2"/>
  <c r="FS199" i="2"/>
  <c r="EV199" i="2"/>
  <c r="EW199" i="2"/>
  <c r="EA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 l="1"/>
  <c r="ED200" i="2"/>
  <c r="FS201" i="2"/>
  <c r="DI200" i="2"/>
  <c r="EB201" i="2"/>
  <c r="EA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 l="1"/>
  <c r="FS202" i="2"/>
  <c r="FR202" i="2"/>
  <c r="EX202" i="2"/>
  <c r="EW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DN155" i="2" a="1"/>
  <c r="DN155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DN123" i="2" a="1"/>
  <c r="DN123" i="2" s="1"/>
  <c r="DN103" i="2" a="1"/>
  <c r="DN103" i="2" s="1"/>
  <c r="DN114" i="2" a="1"/>
  <c r="DN114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BX107" i="2" a="1"/>
  <c r="BX107" i="2" s="1"/>
  <c r="DN187" i="2" a="1"/>
  <c r="DN187" i="2" s="1"/>
  <c r="HJ202" i="2"/>
  <c r="AX200" i="2"/>
  <c r="EI71" i="2" l="1" a="1"/>
  <c r="EI71" i="2" s="1"/>
  <c r="EI57" i="2" a="1"/>
  <c r="EI57" i="2" s="1"/>
  <c r="EI170" i="2" a="1"/>
  <c r="EI170" i="2" s="1"/>
  <c r="EI142" i="2" a="1"/>
  <c r="EI142" i="2" s="1"/>
  <c r="EI178" i="2" a="1"/>
  <c r="EI178" i="2" s="1"/>
  <c r="EI150" i="2" a="1"/>
  <c r="EI150" i="2" s="1"/>
  <c r="EI67" i="2" a="1"/>
  <c r="EI67" i="2" s="1"/>
  <c r="EI16" i="2" a="1"/>
  <c r="EI16" i="2" s="1"/>
  <c r="EI36" i="2" a="1"/>
  <c r="EI36" i="2" s="1"/>
  <c r="EI195" i="2" a="1"/>
  <c r="EI195" i="2" s="1"/>
  <c r="EI145" i="2" a="1"/>
  <c r="EI145" i="2" s="1"/>
  <c r="EI87" i="2" a="1"/>
  <c r="EI87" i="2" s="1"/>
  <c r="EI128" i="2" a="1"/>
  <c r="EI128" i="2" s="1"/>
  <c r="EI109" i="2" a="1"/>
  <c r="EI109" i="2" s="1"/>
  <c r="EI29" i="2" a="1"/>
  <c r="EI29" i="2" s="1"/>
  <c r="EI113" i="2" a="1"/>
  <c r="EI113" i="2" s="1"/>
  <c r="EI37" i="2" a="1"/>
  <c r="EI37" i="2" s="1"/>
  <c r="EI38" i="2" a="1"/>
  <c r="EI38" i="2" s="1"/>
  <c r="EI106" i="2" a="1"/>
  <c r="EI106" i="2" s="1"/>
  <c r="EI35" i="2" a="1"/>
  <c r="EI35" i="2" s="1"/>
  <c r="EI34" i="2" a="1"/>
  <c r="EI34" i="2" s="1"/>
  <c r="EI153" i="2" a="1"/>
  <c r="EI153" i="2" s="1"/>
  <c r="EI20" i="2" a="1"/>
  <c r="EI20" i="2" s="1"/>
  <c r="EI139" i="2" a="1"/>
  <c r="EI139" i="2" s="1"/>
  <c r="EI165" i="2" a="1"/>
  <c r="EI165" i="2" s="1"/>
  <c r="EY202" i="2"/>
  <c r="EI162" i="2" a="1"/>
  <c r="EI162" i="2" s="1"/>
  <c r="EI166" i="2" a="1"/>
  <c r="EI166" i="2" s="1"/>
  <c r="EI198" i="2" a="1"/>
  <c r="EI198" i="2" s="1"/>
  <c r="FS203" i="2"/>
  <c r="DN124" i="2" a="1"/>
  <c r="DN124" i="2" s="1"/>
  <c r="FR203" i="2"/>
  <c r="FD82" i="2" a="1"/>
  <c r="FD82" i="2" s="1"/>
  <c r="FD21" i="2" a="1"/>
  <c r="FD21" i="2" s="1"/>
  <c r="FD194" i="2" a="1"/>
  <c r="FD194" i="2" s="1"/>
  <c r="FD160" i="2" a="1"/>
  <c r="FD160" i="2" s="1"/>
  <c r="FD137" i="2" a="1"/>
  <c r="FD137" i="2" s="1"/>
  <c r="FD107" i="2" a="1"/>
  <c r="FD107" i="2" s="1"/>
  <c r="FD189" i="2" a="1"/>
  <c r="FD189" i="2" s="1"/>
  <c r="FD14" i="2" a="1"/>
  <c r="FD14" i="2" s="1"/>
  <c r="FD44" i="2" a="1"/>
  <c r="FD44" i="2" s="1"/>
  <c r="FD159" i="2" a="1"/>
  <c r="FD159" i="2" s="1"/>
  <c r="FD48" i="2" a="1"/>
  <c r="FD48" i="2" s="1"/>
  <c r="FD167" i="2" a="1"/>
  <c r="FD167" i="2" s="1"/>
  <c r="FD188" i="2" a="1"/>
  <c r="FD188" i="2" s="1"/>
  <c r="FD187" i="2" a="1"/>
  <c r="FD187" i="2" s="1"/>
  <c r="FD131" i="2" a="1"/>
  <c r="FD131" i="2" s="1"/>
  <c r="FD60" i="2" a="1"/>
  <c r="FD60" i="2" s="1"/>
  <c r="FD43" i="2" a="1"/>
  <c r="FD43" i="2" s="1"/>
  <c r="FD59" i="2" a="1"/>
  <c r="FD59" i="2" s="1"/>
  <c r="FD19" i="2" a="1"/>
  <c r="FD19" i="2" s="1"/>
  <c r="FD64" i="2" a="1"/>
  <c r="FD64" i="2" s="1"/>
  <c r="FD144" i="2" a="1"/>
  <c r="FD144" i="2" s="1"/>
  <c r="CS56" i="2" a="1"/>
  <c r="CS56" i="2" s="1"/>
  <c r="CS72" i="2" a="1"/>
  <c r="CS72" i="2" s="1"/>
  <c r="CS134" i="2" a="1"/>
  <c r="CS134" i="2" s="1"/>
  <c r="CS38" i="2" a="1"/>
  <c r="CS38" i="2" s="1"/>
  <c r="CS114" i="2" a="1"/>
  <c r="CS114" i="2" s="1"/>
  <c r="CS77" i="2" a="1"/>
  <c r="CS77" i="2" s="1"/>
  <c r="CS185" i="2" a="1"/>
  <c r="CS185" i="2" s="1"/>
  <c r="CS120" i="2" a="1"/>
  <c r="CS120" i="2" s="1"/>
  <c r="CS24" i="2" a="1"/>
  <c r="CS24" i="2" s="1"/>
  <c r="CS52" i="2" a="1"/>
  <c r="CS52" i="2" s="1"/>
  <c r="CS137" i="2" a="1"/>
  <c r="CS137" i="2" s="1"/>
  <c r="CS66" i="2" a="1"/>
  <c r="CS66" i="2" s="1"/>
  <c r="CS116" i="2" a="1"/>
  <c r="CS116" i="2" s="1"/>
  <c r="CS105" i="2" a="1"/>
  <c r="CS105" i="2" s="1"/>
  <c r="CS129" i="2" a="1"/>
  <c r="CS129" i="2" s="1"/>
  <c r="CS161" i="2" a="1"/>
  <c r="CS161" i="2" s="1"/>
  <c r="BP203" i="2"/>
  <c r="AH62" i="2" a="1"/>
  <c r="AH62" i="2" s="1"/>
  <c r="AH199" i="2" a="1"/>
  <c r="AH199" i="2" s="1"/>
  <c r="AH19" i="2" a="1"/>
  <c r="AH19" i="2" s="1"/>
  <c r="AH90" i="2" a="1"/>
  <c r="AH90" i="2" s="1"/>
  <c r="AH166" i="2" a="1"/>
  <c r="AH166" i="2" s="1"/>
  <c r="AH151" i="2" a="1"/>
  <c r="AH151" i="2" s="1"/>
  <c r="AH92" i="2" a="1"/>
  <c r="AH92" i="2" s="1"/>
  <c r="AH163" i="2" a="1"/>
  <c r="AH163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CN203" i="2"/>
  <c r="EY203" i="2"/>
  <c r="DI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EO71" i="2" l="1"/>
  <c r="EO176" i="2"/>
  <c r="EO35" i="2"/>
  <c r="EO156" i="2"/>
  <c r="EO52" i="2"/>
  <c r="EO126" i="2"/>
  <c r="EO98" i="2"/>
  <c r="EO7" i="2"/>
  <c r="EO113" i="2"/>
  <c r="EO82" i="2"/>
  <c r="EO108" i="2"/>
  <c r="EO187" i="2"/>
  <c r="EO26" i="2"/>
  <c r="EO200" i="2"/>
  <c r="EO31" i="2"/>
  <c r="EO183" i="2"/>
  <c r="EO44" i="2"/>
  <c r="EO100" i="2"/>
  <c r="EO197" i="2"/>
  <c r="EO102" i="2"/>
  <c r="EO142" i="2"/>
  <c r="EO50" i="2"/>
  <c r="EO151" i="2"/>
  <c r="EO19" i="2"/>
  <c r="EO193" i="2"/>
  <c r="EO112" i="2"/>
  <c r="EO180" i="2"/>
  <c r="EO45" i="2"/>
  <c r="EO143" i="2"/>
  <c r="EO168" i="2"/>
  <c r="EO124" i="2"/>
  <c r="EO150" i="2"/>
  <c r="EO120" i="2"/>
  <c r="EO149" i="2"/>
  <c r="EO169" i="2"/>
  <c r="EO115" i="2"/>
  <c r="EO158" i="2"/>
  <c r="EO130" i="2"/>
  <c r="EO79" i="2"/>
  <c r="EO186" i="2"/>
  <c r="EO30" i="2"/>
  <c r="EO54" i="2"/>
  <c r="EO86" i="2"/>
  <c r="EO57" i="2"/>
  <c r="EO34" i="2"/>
  <c r="EO39" i="2"/>
  <c r="EO107" i="2"/>
  <c r="EO41" i="2"/>
  <c r="EO29" i="2"/>
  <c r="EO22" i="2"/>
  <c r="EO191" i="2"/>
  <c r="EO62" i="2"/>
  <c r="EO97" i="2"/>
  <c r="EO38" i="2"/>
  <c r="EO136" i="2"/>
  <c r="EO189" i="2"/>
  <c r="EO123" i="2"/>
  <c r="EO129" i="2"/>
  <c r="EO74" i="2"/>
  <c r="EO148" i="2"/>
  <c r="EO105" i="2"/>
  <c r="EO27" i="2"/>
  <c r="EO66" i="2"/>
  <c r="EO171" i="2"/>
  <c r="EO99" i="2"/>
  <c r="EO89" i="2"/>
  <c r="EO8" i="2"/>
  <c r="EO165" i="2"/>
  <c r="EO152" i="2"/>
  <c r="EO110" i="2"/>
  <c r="EO13" i="2"/>
  <c r="EO122" i="2"/>
  <c r="EO127" i="2"/>
  <c r="EO119" i="2"/>
  <c r="EO196" i="2"/>
  <c r="EO14" i="2"/>
  <c r="EO199" i="2"/>
  <c r="EO80" i="2"/>
  <c r="EO203" i="2"/>
  <c r="EO153" i="2"/>
  <c r="EO135" i="2"/>
  <c r="EO179" i="2"/>
  <c r="EO137" i="2"/>
  <c r="EO188" i="2"/>
  <c r="EO121" i="2"/>
  <c r="EO64" i="2"/>
  <c r="EO181" i="2"/>
  <c r="EO63" i="2"/>
  <c r="EO70" i="2"/>
  <c r="EO87" i="2"/>
  <c r="EO73" i="2"/>
  <c r="EO114" i="2"/>
  <c r="EO155" i="2"/>
  <c r="EO51" i="2"/>
  <c r="EO147" i="2"/>
  <c r="EO84" i="2"/>
  <c r="EO58" i="2"/>
  <c r="EO134" i="2"/>
  <c r="EO77" i="2"/>
  <c r="EO55" i="2"/>
  <c r="EO184" i="2"/>
  <c r="EO141" i="2"/>
  <c r="EO56" i="2"/>
  <c r="EO154" i="2"/>
  <c r="EO42" i="2"/>
  <c r="EO76" i="2"/>
  <c r="EO128" i="2"/>
  <c r="EO125" i="2"/>
  <c r="EO28" i="2"/>
  <c r="EO94" i="2"/>
  <c r="EO131" i="2"/>
  <c r="EO111" i="2"/>
  <c r="EO78" i="2"/>
  <c r="EO75" i="2"/>
  <c r="EO32" i="2"/>
  <c r="EO90" i="2"/>
  <c r="EO146" i="2"/>
  <c r="EO17" i="2"/>
  <c r="EO159" i="2"/>
  <c r="EO81" i="2"/>
  <c r="EO91" i="2"/>
  <c r="EO85" i="2"/>
  <c r="EO9" i="2"/>
  <c r="EO145" i="2"/>
  <c r="EO24" i="2"/>
  <c r="EO47" i="2"/>
  <c r="EO140" i="2"/>
  <c r="EO201" i="2"/>
  <c r="EO48" i="2"/>
  <c r="EO144" i="2"/>
  <c r="EO20" i="2"/>
  <c r="EO23" i="2"/>
  <c r="EO162" i="2"/>
  <c r="EO194" i="2"/>
  <c r="EO5" i="2"/>
  <c r="EO198" i="2"/>
  <c r="EO157" i="2"/>
  <c r="EO3" i="2"/>
  <c r="C12" i="4" s="1"/>
  <c r="E12" i="4" s="1"/>
  <c r="F12" i="4" s="1"/>
  <c r="G12" i="4" s="1"/>
  <c r="L12" i="4" s="1"/>
  <c r="EO37" i="2"/>
  <c r="EO174" i="2"/>
  <c r="EO106" i="2"/>
  <c r="EO53" i="2"/>
  <c r="EO93" i="2"/>
  <c r="EO46" i="2"/>
  <c r="EO132" i="2"/>
  <c r="EO161" i="2"/>
  <c r="EO4" i="2"/>
  <c r="EO96" i="2"/>
  <c r="EO139" i="2"/>
  <c r="EO178" i="2"/>
  <c r="EO65" i="2"/>
  <c r="EO163" i="2"/>
  <c r="EO164" i="2"/>
  <c r="EO18" i="2"/>
  <c r="EO61" i="2"/>
  <c r="EO21" i="2"/>
  <c r="EO166" i="2"/>
  <c r="EO43" i="2"/>
  <c r="EO195" i="2"/>
  <c r="EO83" i="2"/>
  <c r="EO59" i="2"/>
  <c r="EO72" i="2"/>
  <c r="EO88" i="2"/>
  <c r="EO16" i="2"/>
  <c r="EO185" i="2"/>
  <c r="EO49" i="2"/>
  <c r="EO177" i="2"/>
  <c r="EO40" i="2"/>
  <c r="EO133" i="2"/>
  <c r="EO167" i="2"/>
  <c r="EO182" i="2"/>
  <c r="EO11" i="2"/>
  <c r="EO192" i="2"/>
  <c r="EO15" i="2"/>
  <c r="EO173" i="2"/>
  <c r="EO68" i="2"/>
  <c r="EO101" i="2"/>
  <c r="EO6" i="2"/>
  <c r="EO104" i="2"/>
  <c r="EO95" i="2"/>
  <c r="EO116" i="2"/>
  <c r="EO160" i="2"/>
  <c r="EO33" i="2"/>
  <c r="EO103" i="2"/>
  <c r="EO36" i="2"/>
  <c r="EO60" i="2"/>
  <c r="EO12" i="2"/>
  <c r="EO172" i="2"/>
  <c r="EO10" i="2"/>
  <c r="EO170" i="2"/>
  <c r="EO67" i="2"/>
  <c r="EO190" i="2"/>
  <c r="EO69" i="2"/>
  <c r="EO117" i="2"/>
  <c r="EO138" i="2"/>
  <c r="EO118" i="2"/>
  <c r="EO202" i="2"/>
  <c r="EO175" i="2"/>
  <c r="EO25" i="2"/>
  <c r="EO109" i="2"/>
  <c r="EO92" i="2"/>
  <c r="CD70" i="2"/>
  <c r="CD60" i="2"/>
  <c r="CD61" i="2"/>
  <c r="CD187" i="2"/>
  <c r="CD64" i="2"/>
  <c r="CD185" i="2"/>
  <c r="CD202" i="2"/>
  <c r="CD56" i="2"/>
  <c r="CD134" i="2"/>
  <c r="CD51" i="2"/>
  <c r="CD38" i="2"/>
  <c r="CD113" i="2"/>
  <c r="CD197" i="2"/>
  <c r="CD183" i="2"/>
  <c r="CD71" i="2"/>
  <c r="CD97" i="2"/>
  <c r="CD162" i="2"/>
  <c r="CD145" i="2"/>
  <c r="CD23" i="2"/>
  <c r="CD41" i="2"/>
  <c r="CD106" i="2"/>
  <c r="CD40" i="2"/>
  <c r="CD92" i="2"/>
  <c r="CD114" i="2"/>
  <c r="CD19" i="2"/>
  <c r="CD43" i="2"/>
  <c r="CD96" i="2"/>
  <c r="CD186" i="2"/>
  <c r="CD143" i="2"/>
  <c r="CD34" i="2"/>
  <c r="CD48" i="2"/>
  <c r="CD104" i="2"/>
  <c r="CD17" i="2"/>
  <c r="CD109" i="2"/>
  <c r="CD89" i="2"/>
  <c r="CD7" i="2"/>
  <c r="CD54" i="2"/>
  <c r="CD166" i="2"/>
  <c r="CD130" i="2"/>
  <c r="CD178" i="2"/>
  <c r="CD81" i="2"/>
  <c r="CD36" i="2"/>
  <c r="CD176" i="2"/>
  <c r="CD78" i="2"/>
  <c r="CD128" i="2"/>
  <c r="CD100" i="2"/>
  <c r="CD189" i="2"/>
  <c r="CD30" i="2"/>
  <c r="CD85" i="2"/>
  <c r="CD126" i="2"/>
  <c r="CD3" i="2"/>
  <c r="C9" i="4" s="1"/>
  <c r="E9" i="4" s="1"/>
  <c r="F9" i="4" s="1"/>
  <c r="G9" i="4" s="1"/>
  <c r="L9" i="4" s="1"/>
  <c r="CD35" i="2"/>
  <c r="CD105" i="2"/>
  <c r="CD165" i="2"/>
  <c r="CD198" i="2"/>
  <c r="CD9" i="2"/>
  <c r="CD68" i="2"/>
  <c r="CD139" i="2"/>
  <c r="CD98" i="2"/>
  <c r="CD26" i="2"/>
  <c r="CD118" i="2"/>
  <c r="CD5" i="2"/>
  <c r="CD148" i="2"/>
  <c r="CD194" i="2"/>
  <c r="CD44" i="2"/>
  <c r="CD121" i="2"/>
  <c r="CD155" i="2"/>
  <c r="CD99" i="2"/>
  <c r="CD159" i="2"/>
  <c r="CD53" i="2"/>
  <c r="CD135" i="2"/>
  <c r="CD90" i="2"/>
  <c r="CD101" i="2"/>
  <c r="CD103" i="2"/>
  <c r="CD79" i="2"/>
  <c r="CD10" i="2"/>
  <c r="CD173" i="2"/>
  <c r="CD65" i="2"/>
  <c r="CD116" i="2"/>
  <c r="CD86" i="2"/>
  <c r="CD20" i="2"/>
  <c r="CD120" i="2"/>
  <c r="CD192" i="2"/>
  <c r="CD154" i="2"/>
  <c r="CD196" i="2"/>
  <c r="CD12" i="2"/>
  <c r="CD6" i="2"/>
  <c r="CD31" i="2"/>
  <c r="CD112" i="2"/>
  <c r="CD82" i="2"/>
  <c r="CD32" i="2"/>
  <c r="CD191" i="2"/>
  <c r="CD146" i="2"/>
  <c r="CD133" i="2"/>
  <c r="CD137" i="2"/>
  <c r="CD174" i="2"/>
  <c r="CD188" i="2"/>
  <c r="CD117" i="2"/>
  <c r="CD124" i="2"/>
  <c r="CD49" i="2"/>
  <c r="CD62" i="2"/>
  <c r="CD150" i="2"/>
  <c r="CD153" i="2"/>
  <c r="CD57" i="2"/>
  <c r="CD108" i="2"/>
  <c r="CD84" i="2"/>
  <c r="CD77" i="2"/>
  <c r="CD69" i="2"/>
  <c r="CD110" i="2"/>
  <c r="CD184" i="2"/>
  <c r="CD4" i="2"/>
  <c r="CD168" i="2"/>
  <c r="CD171" i="2"/>
  <c r="CD29" i="2"/>
  <c r="CD25" i="2"/>
  <c r="CD163" i="2"/>
  <c r="CD18" i="2"/>
  <c r="CD157" i="2"/>
  <c r="CD193" i="2"/>
  <c r="CD66" i="2"/>
  <c r="CD67" i="2"/>
  <c r="CD170" i="2"/>
  <c r="CD180" i="2"/>
  <c r="CD181" i="2"/>
  <c r="CD76" i="2"/>
  <c r="CD28" i="2"/>
  <c r="CD93" i="2"/>
  <c r="CD16" i="2"/>
  <c r="CD179" i="2"/>
  <c r="CD190" i="2"/>
  <c r="CD74" i="2"/>
  <c r="CD115" i="2"/>
  <c r="CD91" i="2"/>
  <c r="CD131" i="2"/>
  <c r="CD160" i="2"/>
  <c r="CD152" i="2"/>
  <c r="CD45" i="2"/>
  <c r="CD39" i="2"/>
  <c r="CD132" i="2"/>
  <c r="CD144" i="2"/>
  <c r="CD21" i="2"/>
  <c r="CD72" i="2"/>
  <c r="CD122" i="2"/>
  <c r="CD95" i="2"/>
  <c r="CD87" i="2"/>
  <c r="CD138" i="2"/>
  <c r="CD27" i="2"/>
  <c r="CD46" i="2"/>
  <c r="CD111" i="2"/>
  <c r="CD169" i="2"/>
  <c r="CD80" i="2"/>
  <c r="CD14" i="2"/>
  <c r="CD24" i="2"/>
  <c r="CD203" i="2"/>
  <c r="CD33" i="2"/>
  <c r="CD50" i="2"/>
  <c r="CD75" i="2"/>
  <c r="CD156" i="2"/>
  <c r="CD182" i="2"/>
  <c r="CD125" i="2"/>
  <c r="CD63" i="2"/>
  <c r="CD158" i="2"/>
  <c r="CD119" i="2"/>
  <c r="CD151" i="2"/>
  <c r="CD73" i="2"/>
  <c r="CD123" i="2"/>
  <c r="CD140" i="2"/>
  <c r="CD47" i="2"/>
  <c r="CD59" i="2"/>
  <c r="CD22" i="2"/>
  <c r="CD94" i="2"/>
  <c r="CD164" i="2"/>
  <c r="CD107" i="2"/>
  <c r="CD142" i="2"/>
  <c r="CD55" i="2"/>
  <c r="CD102" i="2"/>
  <c r="CD201" i="2"/>
  <c r="CD147" i="2"/>
  <c r="CD141" i="2"/>
  <c r="CD172" i="2"/>
  <c r="CD15" i="2"/>
  <c r="CD83" i="2"/>
  <c r="CD200" i="2"/>
  <c r="CD52" i="2"/>
  <c r="CD195" i="2"/>
  <c r="CD199" i="2"/>
  <c r="CD127" i="2"/>
  <c r="CD11" i="2"/>
  <c r="CD13" i="2"/>
  <c r="CD136" i="2"/>
  <c r="CD37" i="2"/>
  <c r="CD167" i="2"/>
  <c r="CD42" i="2"/>
  <c r="CD149" i="2"/>
  <c r="CD88" i="2"/>
  <c r="CD58" i="2"/>
  <c r="CD8" i="2"/>
  <c r="CD175" i="2"/>
  <c r="CD129" i="2"/>
  <c r="CD161" i="2"/>
  <c r="CD177" i="2"/>
  <c r="FJ114" i="2"/>
  <c r="FJ156" i="2"/>
  <c r="FJ157" i="2"/>
  <c r="FJ60" i="2"/>
  <c r="FJ120" i="2"/>
  <c r="FJ24" i="2"/>
  <c r="FJ76" i="2"/>
  <c r="FJ115" i="2"/>
  <c r="FJ152" i="2"/>
  <c r="FJ191" i="2"/>
  <c r="FJ36" i="2"/>
  <c r="FJ131" i="2"/>
  <c r="FJ46" i="2"/>
  <c r="FJ56" i="2"/>
  <c r="FJ144" i="2"/>
  <c r="FJ170" i="2"/>
  <c r="FJ168" i="2"/>
  <c r="FJ111" i="2"/>
  <c r="FJ59" i="2"/>
  <c r="FJ73" i="2"/>
  <c r="FJ195" i="2"/>
  <c r="FJ63" i="2"/>
  <c r="FJ35" i="2"/>
  <c r="FJ165" i="2"/>
  <c r="FJ117" i="2"/>
  <c r="FJ85" i="2"/>
  <c r="FJ169" i="2"/>
  <c r="FJ27" i="2"/>
  <c r="FJ146" i="2"/>
  <c r="FJ52" i="2"/>
  <c r="FJ130" i="2"/>
  <c r="FJ193" i="2"/>
  <c r="FJ174" i="2"/>
  <c r="FJ32" i="2"/>
  <c r="FJ121" i="2"/>
  <c r="FJ108" i="2"/>
  <c r="FJ142" i="2"/>
  <c r="FJ181" i="2"/>
  <c r="FJ28" i="2"/>
  <c r="FJ65" i="2"/>
  <c r="FJ200" i="2"/>
  <c r="FJ91" i="2"/>
  <c r="FJ166" i="2"/>
  <c r="FJ96" i="2"/>
  <c r="FJ20" i="2"/>
  <c r="FJ98" i="2"/>
  <c r="FJ189" i="2"/>
  <c r="FJ64" i="2"/>
  <c r="FJ54" i="2"/>
  <c r="FJ139" i="2"/>
  <c r="FJ180" i="2"/>
  <c r="FJ178" i="2"/>
  <c r="FJ53" i="2"/>
  <c r="FJ203" i="2"/>
  <c r="FJ161" i="2"/>
  <c r="FJ126" i="2"/>
  <c r="FJ83" i="2"/>
  <c r="FJ9" i="2"/>
  <c r="FJ190" i="2"/>
  <c r="FJ128" i="2"/>
  <c r="FJ77" i="2"/>
  <c r="FJ79" i="2"/>
  <c r="FJ8" i="2"/>
  <c r="FJ23" i="2"/>
  <c r="FJ34" i="2"/>
  <c r="FJ99" i="2"/>
  <c r="FJ95" i="2"/>
  <c r="FJ135" i="2"/>
  <c r="FJ184" i="2"/>
  <c r="FJ164" i="2"/>
  <c r="FJ202" i="2"/>
  <c r="FJ58" i="2"/>
  <c r="FJ69" i="2"/>
  <c r="FJ198" i="2"/>
  <c r="FJ143" i="2"/>
  <c r="FJ101" i="2"/>
  <c r="FJ106" i="2"/>
  <c r="FJ61" i="2"/>
  <c r="FJ84" i="2"/>
  <c r="FJ12" i="2"/>
  <c r="FJ22" i="2"/>
  <c r="FJ112" i="2"/>
  <c r="FJ42" i="2"/>
  <c r="FJ153" i="2"/>
  <c r="FJ133" i="2"/>
  <c r="FJ40" i="2"/>
  <c r="FJ182" i="2"/>
  <c r="FJ150" i="2"/>
  <c r="FJ57" i="2"/>
  <c r="FJ87" i="2"/>
  <c r="FJ43" i="2"/>
  <c r="FJ93" i="2"/>
  <c r="FJ154" i="2"/>
  <c r="FJ13" i="2"/>
  <c r="FJ188" i="2"/>
  <c r="FJ75" i="2"/>
  <c r="FJ172" i="2"/>
  <c r="FJ194" i="2"/>
  <c r="FJ97" i="2"/>
  <c r="FJ175" i="2"/>
  <c r="FJ179" i="2"/>
  <c r="FJ162" i="2"/>
  <c r="FJ14" i="2"/>
  <c r="FJ11" i="2"/>
  <c r="FJ158" i="2"/>
  <c r="FJ187" i="2"/>
  <c r="FJ62" i="2"/>
  <c r="FJ102" i="2"/>
  <c r="FJ94" i="2"/>
  <c r="FJ171" i="2"/>
  <c r="FJ147" i="2"/>
  <c r="FJ4" i="2"/>
  <c r="FJ125" i="2"/>
  <c r="FJ136" i="2"/>
  <c r="FJ138" i="2"/>
  <c r="FJ119" i="2"/>
  <c r="FJ92" i="2"/>
  <c r="FJ78" i="2"/>
  <c r="FJ6" i="2"/>
  <c r="FJ47" i="2"/>
  <c r="FJ137" i="2"/>
  <c r="FJ163" i="2"/>
  <c r="FJ177" i="2"/>
  <c r="FJ30" i="2"/>
  <c r="FJ124" i="2"/>
  <c r="FJ196" i="2"/>
  <c r="FJ3" i="2"/>
  <c r="C13" i="4" s="1"/>
  <c r="E13" i="4" s="1"/>
  <c r="F13" i="4" s="1"/>
  <c r="G13" i="4" s="1"/>
  <c r="L13" i="4" s="1"/>
  <c r="FJ89" i="2"/>
  <c r="FJ19" i="2"/>
  <c r="FJ107" i="2"/>
  <c r="FJ33" i="2"/>
  <c r="FJ25" i="2"/>
  <c r="FJ140" i="2"/>
  <c r="FJ71" i="2"/>
  <c r="FJ17" i="2"/>
  <c r="FJ72" i="2"/>
  <c r="FJ176" i="2"/>
  <c r="FJ185" i="2"/>
  <c r="FJ104" i="2"/>
  <c r="FJ80" i="2"/>
  <c r="FJ167" i="2"/>
  <c r="FJ103" i="2"/>
  <c r="FJ41" i="2"/>
  <c r="FJ132" i="2"/>
  <c r="FJ141" i="2"/>
  <c r="FJ21" i="2"/>
  <c r="FJ37" i="2"/>
  <c r="FJ18" i="2"/>
  <c r="FJ197" i="2"/>
  <c r="FJ113" i="2"/>
  <c r="FJ81" i="2"/>
  <c r="FJ129" i="2"/>
  <c r="FJ88" i="2"/>
  <c r="FJ49" i="2"/>
  <c r="FJ29" i="2"/>
  <c r="FJ123" i="2"/>
  <c r="FJ50" i="2"/>
  <c r="FJ86" i="2"/>
  <c r="FJ5" i="2"/>
  <c r="FJ145" i="2"/>
  <c r="FJ90" i="2"/>
  <c r="FJ48" i="2"/>
  <c r="FJ159" i="2"/>
  <c r="FJ7" i="2"/>
  <c r="FJ31" i="2"/>
  <c r="FJ74" i="2"/>
  <c r="FJ10" i="2"/>
  <c r="FJ110" i="2"/>
  <c r="FJ100" i="2"/>
  <c r="FJ109" i="2"/>
  <c r="FJ45" i="2"/>
  <c r="FJ127" i="2"/>
  <c r="FJ16" i="2"/>
  <c r="FJ173" i="2"/>
  <c r="FJ15" i="2"/>
  <c r="FJ38" i="2"/>
  <c r="FJ68" i="2"/>
  <c r="FJ183" i="2"/>
  <c r="FJ51" i="2"/>
  <c r="FJ44" i="2"/>
  <c r="FJ148" i="2"/>
  <c r="FJ82" i="2"/>
  <c r="FJ155" i="2"/>
  <c r="FJ39" i="2"/>
  <c r="FJ160" i="2"/>
  <c r="FJ26" i="2"/>
  <c r="FJ201" i="2"/>
  <c r="FJ105" i="2"/>
  <c r="FJ116" i="2"/>
  <c r="FJ149" i="2"/>
  <c r="FJ67" i="2"/>
  <c r="FJ199" i="2"/>
  <c r="FJ134" i="2"/>
  <c r="FJ118" i="2"/>
  <c r="FJ151" i="2"/>
  <c r="FJ192" i="2"/>
  <c r="FJ55" i="2"/>
  <c r="FJ186" i="2"/>
  <c r="FJ70" i="2"/>
  <c r="FJ66" i="2"/>
  <c r="FJ122" i="2"/>
  <c r="DT13" i="2"/>
  <c r="DT73" i="2"/>
  <c r="DT158" i="2"/>
  <c r="DT186" i="2"/>
  <c r="DT105" i="2"/>
  <c r="DT178" i="2"/>
  <c r="DT27" i="2"/>
  <c r="DT146" i="2"/>
  <c r="DT86" i="2"/>
  <c r="DT81" i="2"/>
  <c r="DT29" i="2"/>
  <c r="DT40" i="2"/>
  <c r="DT62" i="2"/>
  <c r="DT131" i="2"/>
  <c r="DT68" i="2"/>
  <c r="DT28" i="2"/>
  <c r="DT51" i="2"/>
  <c r="DT179" i="2"/>
  <c r="DT41" i="2"/>
  <c r="DT110" i="2"/>
  <c r="DT153" i="2"/>
  <c r="DT132" i="2"/>
  <c r="DT164" i="2"/>
  <c r="DT4" i="2"/>
  <c r="DT140" i="2"/>
  <c r="DT21" i="2"/>
  <c r="DT92" i="2"/>
  <c r="DT65" i="2"/>
  <c r="DT79" i="2"/>
  <c r="DT82" i="2"/>
  <c r="DT31" i="2"/>
  <c r="DT148" i="2"/>
  <c r="DT200" i="2"/>
  <c r="DT120" i="2"/>
  <c r="DT48" i="2"/>
  <c r="DT11" i="2"/>
  <c r="DT160" i="2"/>
  <c r="DT63" i="2"/>
  <c r="DT154" i="2"/>
  <c r="DT142" i="2"/>
  <c r="DT33" i="2"/>
  <c r="DT22" i="2"/>
  <c r="DT37" i="2"/>
  <c r="DT43" i="2"/>
  <c r="DT10" i="2"/>
  <c r="DT42" i="2"/>
  <c r="DT102" i="2"/>
  <c r="DT15" i="2"/>
  <c r="DT147" i="2"/>
  <c r="DT78" i="2"/>
  <c r="DT133" i="2"/>
  <c r="DT119" i="2"/>
  <c r="DT106" i="2"/>
  <c r="DT176" i="2"/>
  <c r="DT53" i="2"/>
  <c r="DT185" i="2"/>
  <c r="DT103" i="2"/>
  <c r="DT56" i="2"/>
  <c r="DT162" i="2"/>
  <c r="DT18" i="2"/>
  <c r="DT7" i="2"/>
  <c r="DT71" i="2"/>
  <c r="DT123" i="2"/>
  <c r="DT97" i="2"/>
  <c r="DT134" i="2"/>
  <c r="DT84" i="2"/>
  <c r="DT55" i="2"/>
  <c r="DT5" i="2"/>
  <c r="DT89" i="2"/>
  <c r="DT173" i="2"/>
  <c r="DT202" i="2"/>
  <c r="DT174" i="2"/>
  <c r="DT3" i="2"/>
  <c r="C11" i="4" s="1"/>
  <c r="E11" i="4" s="1"/>
  <c r="F11" i="4" s="1"/>
  <c r="G11" i="4" s="1"/>
  <c r="L11" i="4" s="1"/>
  <c r="DT155" i="2"/>
  <c r="DT181" i="2"/>
  <c r="DT35" i="2"/>
  <c r="DT111" i="2"/>
  <c r="DT25" i="2"/>
  <c r="DT135" i="2"/>
  <c r="DT64" i="2"/>
  <c r="DT98" i="2"/>
  <c r="DT143" i="2"/>
  <c r="DT46" i="2"/>
  <c r="DT70" i="2"/>
  <c r="DT26" i="2"/>
  <c r="DT163" i="2"/>
  <c r="DT12" i="2"/>
  <c r="DT149" i="2"/>
  <c r="DT150" i="2"/>
  <c r="DT195" i="2"/>
  <c r="DT197" i="2"/>
  <c r="DT49" i="2"/>
  <c r="DT99" i="2"/>
  <c r="DT177" i="2"/>
  <c r="DT72" i="2"/>
  <c r="DT6" i="2"/>
  <c r="DT121" i="2"/>
  <c r="DT156" i="2"/>
  <c r="DT116" i="2"/>
  <c r="DT36" i="2"/>
  <c r="DT128" i="2"/>
  <c r="DT57" i="2"/>
  <c r="DT52" i="2"/>
  <c r="DT124" i="2"/>
  <c r="DT167" i="2"/>
  <c r="DT107" i="2"/>
  <c r="DT122" i="2"/>
  <c r="DT85" i="2"/>
  <c r="DT165" i="2"/>
  <c r="DT77" i="2"/>
  <c r="DT117" i="2"/>
  <c r="DT113" i="2"/>
  <c r="DT125" i="2"/>
  <c r="DT193" i="2"/>
  <c r="DT54" i="2"/>
  <c r="DT59" i="2"/>
  <c r="DT61" i="2"/>
  <c r="DT182" i="2"/>
  <c r="DT130" i="2"/>
  <c r="DT183" i="2"/>
  <c r="DT69" i="2"/>
  <c r="DT30" i="2"/>
  <c r="DT180" i="2"/>
  <c r="DT139" i="2"/>
  <c r="DT80" i="2"/>
  <c r="DT24" i="2"/>
  <c r="DT166" i="2"/>
  <c r="DT108" i="2"/>
  <c r="DT192" i="2"/>
  <c r="DT19" i="2"/>
  <c r="DT44" i="2"/>
  <c r="DT159" i="2"/>
  <c r="DT104" i="2"/>
  <c r="DT38" i="2"/>
  <c r="DT168" i="2"/>
  <c r="DT50" i="2"/>
  <c r="DT126" i="2"/>
  <c r="DT58" i="2"/>
  <c r="DT95" i="2"/>
  <c r="DT47" i="2"/>
  <c r="DT32" i="2"/>
  <c r="DT138" i="2"/>
  <c r="DT74" i="2"/>
  <c r="DT169" i="2"/>
  <c r="DT127" i="2"/>
  <c r="DT118" i="2"/>
  <c r="DT194" i="2"/>
  <c r="DT170" i="2"/>
  <c r="DT67" i="2"/>
  <c r="DT171" i="2"/>
  <c r="DT14" i="2"/>
  <c r="DT151" i="2"/>
  <c r="DT34" i="2"/>
  <c r="DT16" i="2"/>
  <c r="DT137" i="2"/>
  <c r="DT187" i="2"/>
  <c r="DT8" i="2"/>
  <c r="DT198" i="2"/>
  <c r="DT96" i="2"/>
  <c r="DT115" i="2"/>
  <c r="DT20" i="2"/>
  <c r="DT191" i="2"/>
  <c r="DT23" i="2"/>
  <c r="DT39" i="2"/>
  <c r="DT157" i="2"/>
  <c r="DT145" i="2"/>
  <c r="DT88" i="2"/>
  <c r="DT161" i="2"/>
  <c r="DT66" i="2"/>
  <c r="DT93" i="2"/>
  <c r="DT75" i="2"/>
  <c r="DT199" i="2"/>
  <c r="DT136" i="2"/>
  <c r="DT141" i="2"/>
  <c r="DT152" i="2"/>
  <c r="DT114" i="2"/>
  <c r="DT201" i="2"/>
  <c r="DT109" i="2"/>
  <c r="DT184" i="2"/>
  <c r="DT45" i="2"/>
  <c r="DT175" i="2"/>
  <c r="DT83" i="2"/>
  <c r="DT188" i="2"/>
  <c r="DT172" i="2"/>
  <c r="DT100" i="2"/>
  <c r="DT9" i="2"/>
  <c r="DT94" i="2"/>
  <c r="DT203" i="2"/>
  <c r="DT144" i="2"/>
  <c r="DT189" i="2"/>
  <c r="DT190" i="2"/>
  <c r="DT101" i="2"/>
  <c r="DT17" i="2"/>
  <c r="DT112" i="2"/>
  <c r="DT90" i="2"/>
  <c r="DT60" i="2"/>
  <c r="DT76" i="2"/>
  <c r="DT91" i="2"/>
  <c r="DT196" i="2"/>
  <c r="DT87" i="2"/>
  <c r="DT129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67" i="2" l="1"/>
  <c r="BI47" i="2"/>
  <c r="BI103" i="2"/>
  <c r="BI182" i="2"/>
  <c r="BI97" i="2"/>
  <c r="BI127" i="2"/>
  <c r="BI139" i="2"/>
  <c r="BI178" i="2"/>
  <c r="BI114" i="2"/>
  <c r="BI164" i="2"/>
  <c r="BI44" i="2"/>
  <c r="BI108" i="2"/>
  <c r="BI189" i="2"/>
  <c r="BI128" i="2"/>
  <c r="BI93" i="2"/>
  <c r="BI29" i="2"/>
  <c r="BI39" i="2"/>
  <c r="BI73" i="2"/>
  <c r="BI23" i="2"/>
  <c r="BI56" i="2"/>
  <c r="BI171" i="2"/>
  <c r="BI125" i="2"/>
  <c r="BI191" i="2"/>
  <c r="BI120" i="2"/>
  <c r="BI43" i="2"/>
  <c r="BI21" i="2"/>
  <c r="BI109" i="2"/>
  <c r="BI11" i="2"/>
  <c r="BI4" i="2"/>
  <c r="BI31" i="2"/>
  <c r="BI55" i="2"/>
  <c r="BI99" i="2"/>
  <c r="BI59" i="2"/>
  <c r="BI151" i="2"/>
  <c r="BI119" i="2"/>
  <c r="BI86" i="2"/>
  <c r="BI89" i="2"/>
  <c r="BI142" i="2"/>
  <c r="BI57" i="2"/>
  <c r="BI61" i="2"/>
  <c r="BI28" i="2"/>
  <c r="BI6" i="2"/>
  <c r="BI148" i="2"/>
  <c r="BI196" i="2"/>
  <c r="BI98" i="2"/>
  <c r="BI197" i="2"/>
  <c r="BI20" i="2"/>
  <c r="BI100" i="2"/>
  <c r="BI167" i="2"/>
  <c r="BI104" i="2"/>
  <c r="BI179" i="2"/>
  <c r="BI133" i="2"/>
  <c r="BI64" i="2"/>
  <c r="BI45" i="2"/>
  <c r="BI113" i="2"/>
  <c r="BI16" i="2"/>
  <c r="BI144" i="2"/>
  <c r="BI3" i="2"/>
  <c r="C8" i="4" s="1"/>
  <c r="E8" i="4" s="1"/>
  <c r="F8" i="4" s="1"/>
  <c r="G8" i="4" s="1"/>
  <c r="L8" i="4" s="1"/>
  <c r="BI150" i="2"/>
  <c r="BI168" i="2"/>
  <c r="BI60" i="2"/>
  <c r="BI90" i="2"/>
  <c r="BI141" i="2"/>
  <c r="BI121" i="2"/>
  <c r="BI187" i="2"/>
  <c r="BI158" i="2"/>
  <c r="BI77" i="2"/>
  <c r="BI82" i="2"/>
  <c r="BI112" i="2"/>
  <c r="BI15" i="2"/>
  <c r="BI68" i="2"/>
  <c r="BI118" i="2"/>
  <c r="BI156" i="2"/>
  <c r="BI91" i="2"/>
  <c r="BI165" i="2"/>
  <c r="BI78" i="2"/>
  <c r="BI87" i="2"/>
  <c r="BI131" i="2"/>
  <c r="BI126" i="2"/>
  <c r="BI153" i="2"/>
  <c r="BI180" i="2"/>
  <c r="BI5" i="2"/>
  <c r="BI72" i="2"/>
  <c r="BI76" i="2"/>
  <c r="BI9" i="2"/>
  <c r="BI80" i="2"/>
  <c r="BI175" i="2"/>
  <c r="BI41" i="2"/>
  <c r="BI170" i="2"/>
  <c r="BI8" i="2"/>
  <c r="BI105" i="2"/>
  <c r="BI123" i="2"/>
  <c r="BI74" i="2"/>
  <c r="BI70" i="2"/>
  <c r="BI10" i="2"/>
  <c r="BI26" i="2"/>
  <c r="BI14" i="2"/>
  <c r="BI199" i="2"/>
  <c r="BI155" i="2"/>
  <c r="BI136" i="2"/>
  <c r="BI24" i="2"/>
  <c r="BI58" i="2"/>
  <c r="BI101" i="2"/>
  <c r="BI172" i="2"/>
  <c r="BI12" i="2"/>
  <c r="BI143" i="2"/>
  <c r="BI176" i="2"/>
  <c r="BI84" i="2"/>
  <c r="BI27" i="2"/>
  <c r="BI137" i="2"/>
  <c r="BI35" i="2"/>
  <c r="BI122" i="2"/>
  <c r="BI92" i="2"/>
  <c r="BI135" i="2"/>
  <c r="BI62" i="2"/>
  <c r="BI94" i="2"/>
  <c r="BI162" i="2"/>
  <c r="BI107" i="2"/>
  <c r="BI66" i="2"/>
  <c r="BI202" i="2"/>
  <c r="BI159" i="2"/>
  <c r="BI88" i="2"/>
  <c r="BI157" i="2"/>
  <c r="BI106" i="2"/>
  <c r="BI198" i="2"/>
  <c r="BI138" i="2"/>
  <c r="BI183" i="2"/>
  <c r="BI17" i="2"/>
  <c r="BI117" i="2"/>
  <c r="BI63" i="2"/>
  <c r="BI71" i="2"/>
  <c r="BI54" i="2"/>
  <c r="BI200" i="2"/>
  <c r="BI79" i="2"/>
  <c r="BI184" i="2"/>
  <c r="BI13" i="2"/>
  <c r="BI147" i="2"/>
  <c r="BI192" i="2"/>
  <c r="BI22" i="2"/>
  <c r="BI102" i="2"/>
  <c r="BI85" i="2"/>
  <c r="BI177" i="2"/>
  <c r="BI115" i="2"/>
  <c r="BI96" i="2"/>
  <c r="BI65" i="2"/>
  <c r="BI124" i="2"/>
  <c r="BI25" i="2"/>
  <c r="BI7" i="2"/>
  <c r="BI146" i="2"/>
  <c r="BI154" i="2"/>
  <c r="BI111" i="2"/>
  <c r="BI50" i="2"/>
  <c r="BI33" i="2"/>
  <c r="BI18" i="2"/>
  <c r="BI134" i="2"/>
  <c r="BI52" i="2"/>
  <c r="BI193" i="2"/>
  <c r="BI169" i="2"/>
  <c r="BI46" i="2"/>
  <c r="BI166" i="2"/>
  <c r="BI194" i="2"/>
  <c r="BI181" i="2"/>
  <c r="BI152" i="2"/>
  <c r="BI149" i="2"/>
  <c r="BI36" i="2"/>
  <c r="BI95" i="2"/>
  <c r="BI129" i="2"/>
  <c r="BI185" i="2"/>
  <c r="BI19" i="2"/>
  <c r="BI42" i="2"/>
  <c r="BI195" i="2"/>
  <c r="BI186" i="2"/>
  <c r="BI53" i="2"/>
  <c r="BI110" i="2"/>
  <c r="BI83" i="2"/>
  <c r="BI188" i="2"/>
  <c r="BI37" i="2"/>
  <c r="BI161" i="2"/>
  <c r="BI75" i="2"/>
  <c r="BI190" i="2"/>
  <c r="BI160" i="2"/>
  <c r="BI30" i="2"/>
  <c r="BI38" i="2"/>
  <c r="BI145" i="2"/>
  <c r="BI201" i="2"/>
  <c r="BI174" i="2"/>
  <c r="BI48" i="2"/>
  <c r="BI116" i="2"/>
  <c r="BI173" i="2"/>
  <c r="BI69" i="2"/>
  <c r="BI81" i="2"/>
  <c r="BI51" i="2"/>
  <c r="BI49" i="2"/>
  <c r="BI40" i="2"/>
  <c r="BI132" i="2"/>
  <c r="BI203" i="2"/>
  <c r="BI32" i="2"/>
  <c r="BI34" i="2"/>
  <c r="BI130" i="2"/>
  <c r="BI163" i="2"/>
  <c r="BI140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<sst xmlns="http://schemas.openxmlformats.org/spreadsheetml/2006/main" count="1176" uniqueCount="324">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</sst>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1.8723031649007107</c:v>
                </c:pt>
                <c:pt idx="2">
                  <c:v>2.4119576082137919</c:v>
                </c:pt>
                <c:pt idx="3">
                  <c:v>3.1077875147547922</c:v>
                </c:pt>
                <c:pt idx="4">
                  <c:v>4.0051622306374703</c:v>
                </c:pt>
                <c:pt idx="5">
                  <c:v>5.1626778961505897</c:v>
                </c:pt>
                <c:pt idx="6">
                  <c:v>6.6560262423418139</c:v>
                </c:pt>
                <c:pt idx="7">
                  <c:v>8.5829984321267663</c:v>
                </c:pt>
                <c:pt idx="8">
                  <c:v>11.069957874647789</c:v>
                </c:pt>
                <c:pt idx="9">
                  <c:v>14.280214431149867</c:v>
                </c:pt>
                <c:pt idx="10">
                  <c:v>18.424860035282308</c:v>
                </c:pt>
                <c:pt idx="11">
                  <c:v>23.776791095098442</c:v>
                </c:pt>
                <c:pt idx="12">
                  <c:v>30.688857312292658</c:v>
                </c:pt>
                <c:pt idx="13">
                  <c:v>39.617354250979595</c:v>
                </c:pt>
                <c:pt idx="14">
                  <c:v>51.152436925971216</c:v>
                </c:pt>
                <c:pt idx="15">
                  <c:v>66.057498260618672</c:v>
                </c:pt>
                <c:pt idx="16">
                  <c:v>85.320161140728672</c:v>
                </c:pt>
                <c:pt idx="17">
                  <c:v>110.21831702865047</c:v>
                </c:pt>
                <c:pt idx="18">
                  <c:v>142.40566097813468</c:v>
                </c:pt>
                <c:pt idx="19">
                  <c:v>184.02249153410344</c:v>
                </c:pt>
                <c:pt idx="20">
                  <c:v>203.3007266873141</c:v>
                </c:pt>
                <c:pt idx="21">
                  <c:v>222.53665149290285</c:v>
                </c:pt>
                <c:pt idx="22">
                  <c:v>168.7566706161912</c:v>
                </c:pt>
                <c:pt idx="23">
                  <c:v>188.97408626306844</c:v>
                </c:pt>
                <c:pt idx="24">
                  <c:v>209.14106954499582</c:v>
                </c:pt>
                <c:pt idx="25">
                  <c:v>229.2631686584871</c:v>
                </c:pt>
                <c:pt idx="26">
                  <c:v>249.34487716008644</c:v>
                </c:pt>
                <c:pt idx="27">
                  <c:v>269.38990512338609</c:v>
                </c:pt>
                <c:pt idx="28">
                  <c:v>289.40136514946488</c:v>
                </c:pt>
                <c:pt idx="29">
                  <c:v>242.80327727023806</c:v>
                </c:pt>
                <c:pt idx="30">
                  <c:v>264.55540625187342</c:v>
                </c:pt>
                <c:pt idx="31">
                  <c:v>286.26720910143649</c:v>
                </c:pt>
                <c:pt idx="32">
                  <c:v>307.94217323717999</c:v>
                </c:pt>
                <c:pt idx="33">
                  <c:v>329.58325501039627</c:v>
                </c:pt>
                <c:pt idx="34">
                  <c:v>351.19299087374634</c:v>
                </c:pt>
                <c:pt idx="35">
                  <c:v>372.77357972834852</c:v>
                </c:pt>
                <c:pt idx="36">
                  <c:v>310.37056459620067</c:v>
                </c:pt>
                <c:pt idx="37">
                  <c:v>332.16291001549854</c:v>
                </c:pt>
                <c:pt idx="38">
                  <c:v>353.92374107920119</c:v>
                </c:pt>
                <c:pt idx="39">
                  <c:v>375.65526675033772</c:v>
                </c:pt>
                <c:pt idx="40">
                  <c:v>397.35941965516298</c:v>
                </c:pt>
                <c:pt idx="41">
                  <c:v>419.03790416885482</c:v>
                </c:pt>
                <c:pt idx="42">
                  <c:v>440.69223402870375</c:v>
                </c:pt>
                <c:pt idx="43">
                  <c:v>365.57312204300916</c:v>
                </c:pt>
                <c:pt idx="44">
                  <c:v>386.44458202636088</c:v>
                </c:pt>
                <c:pt idx="45">
                  <c:v>407.29156713376295</c:v>
                </c:pt>
                <c:pt idx="46">
                  <c:v>428.11550550227406</c:v>
                </c:pt>
                <c:pt idx="47">
                  <c:v>448.91767507952318</c:v>
                </c:pt>
                <c:pt idx="48">
                  <c:v>469.69922578809798</c:v>
                </c:pt>
                <c:pt idx="49">
                  <c:v>490.46119756343563</c:v>
                </c:pt>
                <c:pt idx="50">
                  <c:v>402.3588366856095</c:v>
                </c:pt>
                <c:pt idx="51">
                  <c:v>421.65245364552828</c:v>
                </c:pt>
                <c:pt idx="52">
                  <c:v>440.92706835035841</c:v>
                </c:pt>
                <c:pt idx="53">
                  <c:v>460.18362785912103</c:v>
                </c:pt>
                <c:pt idx="54">
                  <c:v>479.42299355003178</c:v>
                </c:pt>
                <c:pt idx="55">
                  <c:v>498.64595206966368</c:v>
                </c:pt>
                <c:pt idx="56">
                  <c:v>517.85322450630554</c:v>
                </c:pt>
                <c:pt idx="57">
                  <c:v>445.53319473983174</c:v>
                </c:pt>
                <c:pt idx="58">
                  <c:v>463.13961636412461</c:v>
                </c:pt>
                <c:pt idx="59">
                  <c:v>480.73176524290039</c:v>
                </c:pt>
                <c:pt idx="60">
                  <c:v>498.31023693169209</c:v>
                </c:pt>
                <c:pt idx="61">
                  <c:v>515.87558156393777</c:v>
                </c:pt>
                <c:pt idx="62">
                  <c:v>533.42830877562324</c:v>
                </c:pt>
                <c:pt idx="63">
                  <c:v>550.96889194826019</c:v>
                </c:pt>
                <c:pt idx="64">
                  <c:v>472.44484575319535</c:v>
                </c:pt>
                <c:pt idx="65">
                  <c:v>488.29251559091125</c:v>
                </c:pt>
                <c:pt idx="66">
                  <c:v>504.12927484272382</c:v>
                </c:pt>
                <c:pt idx="67">
                  <c:v>519.95551437581287</c:v>
                </c:pt>
                <c:pt idx="68">
                  <c:v>535.7715993334549</c:v>
                </c:pt>
                <c:pt idx="69">
                  <c:v>551.57787155305971</c:v>
                </c:pt>
                <c:pt idx="70">
                  <c:v>566.74332225455612</c:v>
                </c:pt>
                <c:pt idx="71">
                  <c:v>3.4554122145673649E-12</c:v>
                </c:pt>
                <c:pt idx="72">
                  <c:v>3.4554122145673649E-12</c:v>
                </c:pt>
                <c:pt idx="73">
                  <c:v>3.4554122145673649E-12</c:v>
                </c:pt>
                <c:pt idx="74">
                  <c:v>3.4554122145673649E-12</c:v>
                </c:pt>
                <c:pt idx="75">
                  <c:v>3.4554122145673649E-12</c:v>
                </c:pt>
                <c:pt idx="76">
                  <c:v>3.4554122145673649E-12</c:v>
                </c:pt>
                <c:pt idx="77">
                  <c:v>3.4554122145673649E-12</c:v>
                </c:pt>
                <c:pt idx="78">
                  <c:v>3.4554122145673649E-12</c:v>
                </c:pt>
                <c:pt idx="79">
                  <c:v>3.4554122145673649E-12</c:v>
                </c:pt>
                <c:pt idx="80">
                  <c:v>3.4554122145673649E-12</c:v>
                </c:pt>
                <c:pt idx="81">
                  <c:v>3.4554122145673649E-12</c:v>
                </c:pt>
                <c:pt idx="82">
                  <c:v>3.4554122145673649E-12</c:v>
                </c:pt>
                <c:pt idx="83">
                  <c:v>3.4554122145673649E-12</c:v>
                </c:pt>
                <c:pt idx="84">
                  <c:v>3.4554122145673649E-12</c:v>
                </c:pt>
                <c:pt idx="85">
                  <c:v>3.4554122145673649E-12</c:v>
                </c:pt>
                <c:pt idx="86">
                  <c:v>3.4554122145673649E-12</c:v>
                </c:pt>
                <c:pt idx="87">
                  <c:v>3.4554122145673649E-12</c:v>
                </c:pt>
                <c:pt idx="88">
                  <c:v>3.4554122145673649E-12</c:v>
                </c:pt>
                <c:pt idx="89">
                  <c:v>3.4554122145673649E-12</c:v>
                </c:pt>
                <c:pt idx="90">
                  <c:v>3.4554122145673649E-12</c:v>
                </c:pt>
                <c:pt idx="91">
                  <c:v>3.4554122145673649E-12</c:v>
                </c:pt>
                <c:pt idx="92">
                  <c:v>3.4554122145673649E-12</c:v>
                </c:pt>
                <c:pt idx="93">
                  <c:v>3.4554122145673649E-12</c:v>
                </c:pt>
                <c:pt idx="94">
                  <c:v>3.4554122145673649E-12</c:v>
                </c:pt>
                <c:pt idx="95">
                  <c:v>3.4554122145673649E-12</c:v>
                </c:pt>
                <c:pt idx="96">
                  <c:v>3.4554122145673649E-12</c:v>
                </c:pt>
                <c:pt idx="97">
                  <c:v>3.4554122145673649E-12</c:v>
                </c:pt>
                <c:pt idx="98">
                  <c:v>3.4554122145673649E-12</c:v>
                </c:pt>
                <c:pt idx="99">
                  <c:v>3.4554122145673649E-12</c:v>
                </c:pt>
                <c:pt idx="100">
                  <c:v>3.4554122145673649E-12</c:v>
                </c:pt>
                <c:pt idx="101">
                  <c:v>3.4554122145673649E-12</c:v>
                </c:pt>
                <c:pt idx="102">
                  <c:v>3.4554122145673649E-12</c:v>
                </c:pt>
                <c:pt idx="103">
                  <c:v>3.4554122145673649E-12</c:v>
                </c:pt>
                <c:pt idx="104">
                  <c:v>3.4554122145673649E-12</c:v>
                </c:pt>
                <c:pt idx="105">
                  <c:v>3.4554122145673649E-12</c:v>
                </c:pt>
                <c:pt idx="106">
                  <c:v>3.4554122145673649E-12</c:v>
                </c:pt>
                <c:pt idx="107">
                  <c:v>3.4554122145673649E-12</c:v>
                </c:pt>
                <c:pt idx="108">
                  <c:v>3.4554122145673649E-12</c:v>
                </c:pt>
                <c:pt idx="109">
                  <c:v>3.4554122145673649E-12</c:v>
                </c:pt>
                <c:pt idx="110">
                  <c:v>3.4554122145673649E-12</c:v>
                </c:pt>
                <c:pt idx="111">
                  <c:v>3.4554122145673649E-12</c:v>
                </c:pt>
                <c:pt idx="112">
                  <c:v>3.4554122145673649E-12</c:v>
                </c:pt>
                <c:pt idx="113">
                  <c:v>3.4554122145673649E-12</c:v>
                </c:pt>
                <c:pt idx="114">
                  <c:v>3.4554122145673649E-12</c:v>
                </c:pt>
                <c:pt idx="115">
                  <c:v>3.4554122145673649E-12</c:v>
                </c:pt>
                <c:pt idx="116">
                  <c:v>3.4554122145673649E-12</c:v>
                </c:pt>
                <c:pt idx="117">
                  <c:v>3.4554122145673649E-12</c:v>
                </c:pt>
                <c:pt idx="118">
                  <c:v>3.4554122145673649E-12</c:v>
                </c:pt>
                <c:pt idx="119">
                  <c:v>3.4554122145673649E-12</c:v>
                </c:pt>
                <c:pt idx="120">
                  <c:v>3.4554122145673649E-12</c:v>
                </c:pt>
                <c:pt idx="121">
                  <c:v>3.4554122145673649E-12</c:v>
                </c:pt>
                <c:pt idx="122">
                  <c:v>3.4554122145673649E-12</c:v>
                </c:pt>
                <c:pt idx="123">
                  <c:v>3.4554122145673649E-12</c:v>
                </c:pt>
                <c:pt idx="124">
                  <c:v>3.4554122145673649E-12</c:v>
                </c:pt>
                <c:pt idx="125">
                  <c:v>3.4554122145673649E-12</c:v>
                </c:pt>
                <c:pt idx="126">
                  <c:v>3.4554122145673649E-12</c:v>
                </c:pt>
                <c:pt idx="127">
                  <c:v>3.4554122145673649E-12</c:v>
                </c:pt>
                <c:pt idx="128">
                  <c:v>3.4554122145673649E-12</c:v>
                </c:pt>
                <c:pt idx="129">
                  <c:v>3.4554122145673649E-12</c:v>
                </c:pt>
                <c:pt idx="130">
                  <c:v>3.4554122145673649E-12</c:v>
                </c:pt>
                <c:pt idx="131">
                  <c:v>3.4554122145673649E-12</c:v>
                </c:pt>
                <c:pt idx="132">
                  <c:v>3.4554122145673649E-12</c:v>
                </c:pt>
                <c:pt idx="133">
                  <c:v>3.4554122145673649E-12</c:v>
                </c:pt>
                <c:pt idx="134">
                  <c:v>3.4554122145673649E-12</c:v>
                </c:pt>
                <c:pt idx="135">
                  <c:v>3.4554122145673649E-12</c:v>
                </c:pt>
                <c:pt idx="136">
                  <c:v>3.4554122145673649E-12</c:v>
                </c:pt>
                <c:pt idx="137">
                  <c:v>3.4554122145673649E-12</c:v>
                </c:pt>
                <c:pt idx="138">
                  <c:v>3.4554122145673649E-12</c:v>
                </c:pt>
                <c:pt idx="139">
                  <c:v>3.4554122145673649E-12</c:v>
                </c:pt>
                <c:pt idx="140">
                  <c:v>3.4554122145673649E-12</c:v>
                </c:pt>
                <c:pt idx="141">
                  <c:v>3.4554122145673649E-12</c:v>
                </c:pt>
                <c:pt idx="142">
                  <c:v>3.4554122145673649E-12</c:v>
                </c:pt>
                <c:pt idx="143">
                  <c:v>3.4554122145673649E-12</c:v>
                </c:pt>
                <c:pt idx="144">
                  <c:v>3.4554122145673649E-12</c:v>
                </c:pt>
                <c:pt idx="145">
                  <c:v>3.4554122145673649E-12</c:v>
                </c:pt>
                <c:pt idx="146">
                  <c:v>3.4554122145673649E-12</c:v>
                </c:pt>
                <c:pt idx="147">
                  <c:v>3.4554122145673649E-12</c:v>
                </c:pt>
                <c:pt idx="148">
                  <c:v>3.4554122145673649E-12</c:v>
                </c:pt>
                <c:pt idx="149">
                  <c:v>3.4554122145673649E-12</c:v>
                </c:pt>
                <c:pt idx="150">
                  <c:v>3.4554122145673649E-12</c:v>
                </c:pt>
                <c:pt idx="151">
                  <c:v>3.4554122145673649E-12</c:v>
                </c:pt>
                <c:pt idx="152">
                  <c:v>3.4554122145673649E-12</c:v>
                </c:pt>
                <c:pt idx="153">
                  <c:v>3.4554122145673649E-12</c:v>
                </c:pt>
                <c:pt idx="154">
                  <c:v>3.4554122145673649E-12</c:v>
                </c:pt>
                <c:pt idx="155">
                  <c:v>3.4554122145673649E-12</c:v>
                </c:pt>
                <c:pt idx="156">
                  <c:v>3.4554122145673649E-12</c:v>
                </c:pt>
                <c:pt idx="157">
                  <c:v>3.4554122145673649E-12</c:v>
                </c:pt>
                <c:pt idx="158">
                  <c:v>3.4554122145673649E-12</c:v>
                </c:pt>
                <c:pt idx="159">
                  <c:v>3.4554122145673649E-12</c:v>
                </c:pt>
                <c:pt idx="160">
                  <c:v>3.4554122145673649E-12</c:v>
                </c:pt>
                <c:pt idx="161">
                  <c:v>3.4554122145673649E-12</c:v>
                </c:pt>
                <c:pt idx="162">
                  <c:v>3.4554122145673649E-12</c:v>
                </c:pt>
                <c:pt idx="163">
                  <c:v>3.4554122145673649E-12</c:v>
                </c:pt>
                <c:pt idx="164">
                  <c:v>3.4554122145673649E-12</c:v>
                </c:pt>
                <c:pt idx="165">
                  <c:v>3.4554122145673649E-12</c:v>
                </c:pt>
                <c:pt idx="166">
                  <c:v>3.4554122145673649E-12</c:v>
                </c:pt>
                <c:pt idx="167">
                  <c:v>3.4554122145673649E-12</c:v>
                </c:pt>
                <c:pt idx="168">
                  <c:v>3.4554122145673649E-12</c:v>
                </c:pt>
                <c:pt idx="169">
                  <c:v>3.4554122145673649E-12</c:v>
                </c:pt>
                <c:pt idx="170">
                  <c:v>3.4554122145673649E-12</c:v>
                </c:pt>
                <c:pt idx="171">
                  <c:v>3.4554122145673649E-12</c:v>
                </c:pt>
                <c:pt idx="172">
                  <c:v>3.4554122145673649E-12</c:v>
                </c:pt>
                <c:pt idx="173">
                  <c:v>3.4554122145673649E-12</c:v>
                </c:pt>
                <c:pt idx="174">
                  <c:v>3.4554122145673649E-12</c:v>
                </c:pt>
                <c:pt idx="175">
                  <c:v>3.4554122145673649E-12</c:v>
                </c:pt>
                <c:pt idx="176">
                  <c:v>3.4554122145673649E-12</c:v>
                </c:pt>
                <c:pt idx="177">
                  <c:v>3.4554122145673649E-12</c:v>
                </c:pt>
                <c:pt idx="178">
                  <c:v>3.4554122145673649E-12</c:v>
                </c:pt>
                <c:pt idx="179">
                  <c:v>3.4554122145673649E-12</c:v>
                </c:pt>
                <c:pt idx="180">
                  <c:v>3.4554122145673649E-12</c:v>
                </c:pt>
                <c:pt idx="181">
                  <c:v>3.4554122145673649E-12</c:v>
                </c:pt>
                <c:pt idx="182">
                  <c:v>3.4554122145673649E-12</c:v>
                </c:pt>
                <c:pt idx="183">
                  <c:v>3.4554122145673649E-12</c:v>
                </c:pt>
                <c:pt idx="184">
                  <c:v>3.4554122145673649E-12</c:v>
                </c:pt>
                <c:pt idx="185">
                  <c:v>3.4554122145673649E-12</c:v>
                </c:pt>
                <c:pt idx="186">
                  <c:v>3.4554122145673649E-12</c:v>
                </c:pt>
                <c:pt idx="187">
                  <c:v>3.4554122145673649E-12</c:v>
                </c:pt>
                <c:pt idx="188">
                  <c:v>3.4554122145673649E-12</c:v>
                </c:pt>
                <c:pt idx="189">
                  <c:v>3.4554122145673649E-12</c:v>
                </c:pt>
                <c:pt idx="190">
                  <c:v>3.4554122145673649E-12</c:v>
                </c:pt>
                <c:pt idx="191">
                  <c:v>3.4554122145673649E-12</c:v>
                </c:pt>
                <c:pt idx="192">
                  <c:v>3.4554122145673649E-12</c:v>
                </c:pt>
                <c:pt idx="193">
                  <c:v>3.4554122145673649E-12</c:v>
                </c:pt>
                <c:pt idx="194">
                  <c:v>3.4554122145673649E-12</c:v>
                </c:pt>
                <c:pt idx="195">
                  <c:v>3.4554122145673649E-12</c:v>
                </c:pt>
                <c:pt idx="196">
                  <c:v>3.4554122145673649E-12</c:v>
                </c:pt>
                <c:pt idx="197">
                  <c:v>3.4554122145673649E-12</c:v>
                </c:pt>
                <c:pt idx="198">
                  <c:v>3.4554122145673649E-12</c:v>
                </c:pt>
                <c:pt idx="199">
                  <c:v>3.4554122145673649E-12</c:v>
                </c:pt>
                <c:pt idx="200">
                  <c:v>3.4554122145673649E-12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43415312"/>
        <c:axId val="843413680"/>
      </c:scatterChart>
      <c:valAx>
        <c:axId val="8434153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3413680"/>
        <c:crosses val="autoZero"/>
        <c:crossBetween val="midCat"/>
      </c:valAx>
      <c:valAx>
        <c:axId val="843413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34153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39832400"/>
        <c:axId val="839048960"/>
      </c:scatterChart>
      <c:valAx>
        <c:axId val="6398324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39048960"/>
        <c:crosses val="autoZero"/>
        <c:crossBetween val="midCat"/>
      </c:valAx>
      <c:valAx>
        <c:axId val="839048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98324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1.9508946107432275</c:v>
                </c:pt>
                <c:pt idx="2">
                  <c:v>2.4541577777849692</c:v>
                </c:pt>
                <c:pt idx="3">
                  <c:v>3.0877594432242415</c:v>
                </c:pt>
                <c:pt idx="4">
                  <c:v>3.8855812951691147</c:v>
                </c:pt>
                <c:pt idx="5">
                  <c:v>4.8903432539889566</c:v>
                </c:pt>
                <c:pt idx="6">
                  <c:v>6.1559164125763592</c:v>
                </c:pt>
                <c:pt idx="7">
                  <c:v>7.7502430654644883</c:v>
                </c:pt>
                <c:pt idx="8">
                  <c:v>9.759023606181179</c:v>
                </c:pt>
                <c:pt idx="9">
                  <c:v>12.290372228750266</c:v>
                </c:pt>
                <c:pt idx="10">
                  <c:v>15.480696673450021</c:v>
                </c:pt>
                <c:pt idx="11">
                  <c:v>19.502124662623089</c:v>
                </c:pt>
                <c:pt idx="12">
                  <c:v>24.571884917422917</c:v>
                </c:pt>
                <c:pt idx="13">
                  <c:v>30.964158461385495</c:v>
                </c:pt>
                <c:pt idx="14">
                  <c:v>39.025052288726734</c:v>
                </c:pt>
                <c:pt idx="15">
                  <c:v>49.1915199822785</c:v>
                </c:pt>
                <c:pt idx="16">
                  <c:v>66.657384980595054</c:v>
                </c:pt>
                <c:pt idx="17">
                  <c:v>84.004272555239865</c:v>
                </c:pt>
                <c:pt idx="18">
                  <c:v>101.26043228511077</c:v>
                </c:pt>
                <c:pt idx="19">
                  <c:v>118.4435774600118</c:v>
                </c:pt>
                <c:pt idx="20">
                  <c:v>135.56582181617225</c:v>
                </c:pt>
                <c:pt idx="21">
                  <c:v>152.635953308398</c:v>
                </c:pt>
                <c:pt idx="22">
                  <c:v>172.96879566591463</c:v>
                </c:pt>
                <c:pt idx="23">
                  <c:v>118.91172145652443</c:v>
                </c:pt>
                <c:pt idx="24">
                  <c:v>133.60360008678595</c:v>
                </c:pt>
                <c:pt idx="25">
                  <c:v>151.40834557678431</c:v>
                </c:pt>
                <c:pt idx="26">
                  <c:v>169.16318954630938</c:v>
                </c:pt>
                <c:pt idx="27">
                  <c:v>186.87411053311584</c:v>
                </c:pt>
                <c:pt idx="28">
                  <c:v>158.76051047616974</c:v>
                </c:pt>
                <c:pt idx="29">
                  <c:v>175.59896515661092</c:v>
                </c:pt>
                <c:pt idx="30">
                  <c:v>192.39950654022343</c:v>
                </c:pt>
                <c:pt idx="31">
                  <c:v>209.16591247422164</c:v>
                </c:pt>
                <c:pt idx="32">
                  <c:v>225.90130495746598</c:v>
                </c:pt>
                <c:pt idx="33">
                  <c:v>242.60830522574884</c:v>
                </c:pt>
                <c:pt idx="34">
                  <c:v>203.58097513744312</c:v>
                </c:pt>
                <c:pt idx="35">
                  <c:v>220.02792534458783</c:v>
                </c:pt>
                <c:pt idx="36">
                  <c:v>236.44664825214025</c:v>
                </c:pt>
                <c:pt idx="37">
                  <c:v>252.83938003643593</c:v>
                </c:pt>
                <c:pt idx="38">
                  <c:v>269.20804307840717</c:v>
                </c:pt>
                <c:pt idx="39">
                  <c:v>285.5543068085463</c:v>
                </c:pt>
                <c:pt idx="40">
                  <c:v>301.87963387321696</c:v>
                </c:pt>
                <c:pt idx="41">
                  <c:v>318.18531578207211</c:v>
                </c:pt>
                <c:pt idx="42">
                  <c:v>258.41598708702196</c:v>
                </c:pt>
                <c:pt idx="43">
                  <c:v>273.64897539352847</c:v>
                </c:pt>
                <c:pt idx="44">
                  <c:v>288.86291050410284</c:v>
                </c:pt>
                <c:pt idx="45">
                  <c:v>304.0589372536673</c:v>
                </c:pt>
                <c:pt idx="46">
                  <c:v>319.23807668113335</c:v>
                </c:pt>
                <c:pt idx="47">
                  <c:v>334.40124478994869</c:v>
                </c:pt>
                <c:pt idx="48">
                  <c:v>349.54926772624771</c:v>
                </c:pt>
                <c:pt idx="49">
                  <c:v>364.68289418741483</c:v>
                </c:pt>
                <c:pt idx="50">
                  <c:v>379.80280566271296</c:v>
                </c:pt>
                <c:pt idx="51">
                  <c:v>322.84049712168786</c:v>
                </c:pt>
                <c:pt idx="52">
                  <c:v>336.4690093627658</c:v>
                </c:pt>
                <c:pt idx="53">
                  <c:v>350.08536930552191</c:v>
                </c:pt>
                <c:pt idx="54">
                  <c:v>363.69011622210314</c:v>
                </c:pt>
                <c:pt idx="55">
                  <c:v>377.28374574247232</c:v>
                </c:pt>
                <c:pt idx="56">
                  <c:v>390.8667148646162</c:v>
                </c:pt>
                <c:pt idx="57">
                  <c:v>404.43944623185251</c:v>
                </c:pt>
                <c:pt idx="58">
                  <c:v>418.00233180594455</c:v>
                </c:pt>
                <c:pt idx="59">
                  <c:v>431.55573603859693</c:v>
                </c:pt>
                <c:pt idx="60">
                  <c:v>445.09999862375895</c:v>
                </c:pt>
                <c:pt idx="61">
                  <c:v>387.77711671492489</c:v>
                </c:pt>
                <c:pt idx="62">
                  <c:v>399.46857547560211</c:v>
                </c:pt>
                <c:pt idx="63">
                  <c:v>411.15262834415722</c:v>
                </c:pt>
                <c:pt idx="64">
                  <c:v>422.82951547202788</c:v>
                </c:pt>
                <c:pt idx="65">
                  <c:v>434.4994626626833</c:v>
                </c:pt>
                <c:pt idx="66">
                  <c:v>446.16268259938084</c:v>
                </c:pt>
                <c:pt idx="67">
                  <c:v>457.81937593784551</c:v>
                </c:pt>
                <c:pt idx="68">
                  <c:v>469.46973228186403</c:v>
                </c:pt>
                <c:pt idx="69">
                  <c:v>481.11393105699329</c:v>
                </c:pt>
                <c:pt idx="70">
                  <c:v>492.75214229528314</c:v>
                </c:pt>
                <c:pt idx="71">
                  <c:v>435.52165251525486</c:v>
                </c:pt>
                <c:pt idx="72">
                  <c:v>445.12148725674388</c:v>
                </c:pt>
                <c:pt idx="73">
                  <c:v>454.71688879830623</c:v>
                </c:pt>
                <c:pt idx="74">
                  <c:v>464.30796390444101</c:v>
                </c:pt>
                <c:pt idx="75">
                  <c:v>473.8948145679185</c:v>
                </c:pt>
                <c:pt idx="76">
                  <c:v>483.47753831734195</c:v>
                </c:pt>
                <c:pt idx="77">
                  <c:v>493.05622849905507</c:v>
                </c:pt>
                <c:pt idx="78">
                  <c:v>502.63097453599829</c:v>
                </c:pt>
                <c:pt idx="79">
                  <c:v>512.20186216581487</c:v>
                </c:pt>
                <c:pt idx="80">
                  <c:v>521.76897366023286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43418576"/>
        <c:axId val="843424560"/>
      </c:scatterChart>
      <c:valAx>
        <c:axId val="84341857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3424560"/>
        <c:crosses val="autoZero"/>
        <c:crossBetween val="midCat"/>
      </c:valAx>
      <c:valAx>
        <c:axId val="843424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34185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2.0795372090593456</c:v>
                </c:pt>
                <c:pt idx="2">
                  <c:v>2.6767360435395098</c:v>
                </c:pt>
                <c:pt idx="3">
                  <c:v>3.4461288787733699</c:v>
                </c:pt>
                <c:pt idx="4">
                  <c:v>4.4375534869622877</c:v>
                </c:pt>
                <c:pt idx="5">
                  <c:v>5.7153230288444377</c:v>
                </c:pt>
                <c:pt idx="6">
                  <c:v>7.3624441813975059</c:v>
                </c:pt>
                <c:pt idx="7">
                  <c:v>9.4860681256370967</c:v>
                </c:pt>
                <c:pt idx="8">
                  <c:v>12.224535721998178</c:v>
                </c:pt>
                <c:pt idx="9">
                  <c:v>15.75648436384756</c:v>
                </c:pt>
                <c:pt idx="10">
                  <c:v>20.312621425545984</c:v>
                </c:pt>
                <c:pt idx="11">
                  <c:v>26.1909471351813</c:v>
                </c:pt>
                <c:pt idx="12">
                  <c:v>33.776440055750776</c:v>
                </c:pt>
                <c:pt idx="13">
                  <c:v>43.566516638901568</c:v>
                </c:pt>
                <c:pt idx="14">
                  <c:v>56.203962590623313</c:v>
                </c:pt>
                <c:pt idx="15">
                  <c:v>72.519534065863823</c:v>
                </c:pt>
                <c:pt idx="16">
                  <c:v>93.587074695597963</c:v>
                </c:pt>
                <c:pt idx="17">
                  <c:v>120.79483383419057</c:v>
                </c:pt>
                <c:pt idx="18">
                  <c:v>155.93775882820458</c:v>
                </c:pt>
                <c:pt idx="19">
                  <c:v>153.22371186614836</c:v>
                </c:pt>
                <c:pt idx="20">
                  <c:v>177.61148225294494</c:v>
                </c:pt>
                <c:pt idx="21">
                  <c:v>201.92063702336623</c:v>
                </c:pt>
                <c:pt idx="22">
                  <c:v>188.42454454363443</c:v>
                </c:pt>
                <c:pt idx="23">
                  <c:v>210.0081668012941</c:v>
                </c:pt>
                <c:pt idx="24">
                  <c:v>231.54060536306486</c:v>
                </c:pt>
                <c:pt idx="25">
                  <c:v>211.57989792897527</c:v>
                </c:pt>
                <c:pt idx="26">
                  <c:v>230.64436776020281</c:v>
                </c:pt>
                <c:pt idx="27">
                  <c:v>249.67282178538531</c:v>
                </c:pt>
                <c:pt idx="28">
                  <c:v>268.6683907698814</c:v>
                </c:pt>
                <c:pt idx="29">
                  <c:v>287.63372643257628</c:v>
                </c:pt>
                <c:pt idx="30">
                  <c:v>306.57110217476503</c:v>
                </c:pt>
                <c:pt idx="31">
                  <c:v>252.80368978904474</c:v>
                </c:pt>
                <c:pt idx="32">
                  <c:v>270.00808353321963</c:v>
                </c:pt>
                <c:pt idx="33">
                  <c:v>287.18781271272866</c:v>
                </c:pt>
                <c:pt idx="34">
                  <c:v>304.34456023906205</c:v>
                </c:pt>
                <c:pt idx="35">
                  <c:v>321.47980377066716</c:v>
                </c:pt>
                <c:pt idx="36">
                  <c:v>338.5948505822164</c:v>
                </c:pt>
                <c:pt idx="37">
                  <c:v>271.12437982914275</c:v>
                </c:pt>
                <c:pt idx="38">
                  <c:v>286.51891307475506</c:v>
                </c:pt>
                <c:pt idx="39">
                  <c:v>301.89494535388923</c:v>
                </c:pt>
                <c:pt idx="40">
                  <c:v>317.25355162035777</c:v>
                </c:pt>
                <c:pt idx="41">
                  <c:v>332.59569423900763</c:v>
                </c:pt>
                <c:pt idx="42">
                  <c:v>347.92223953697521</c:v>
                </c:pt>
                <c:pt idx="43">
                  <c:v>272.68702100091008</c:v>
                </c:pt>
                <c:pt idx="44">
                  <c:v>286.96485004460743</c:v>
                </c:pt>
                <c:pt idx="45">
                  <c:v>301.22679191692959</c:v>
                </c:pt>
                <c:pt idx="46">
                  <c:v>315.47370483249205</c:v>
                </c:pt>
                <c:pt idx="47">
                  <c:v>329.70636314748066</c:v>
                </c:pt>
                <c:pt idx="48">
                  <c:v>343.92546889640715</c:v>
                </c:pt>
                <c:pt idx="49">
                  <c:v>270.11971783077774</c:v>
                </c:pt>
                <c:pt idx="50">
                  <c:v>283.1738887162237</c:v>
                </c:pt>
                <c:pt idx="51">
                  <c:v>296.21458319381429</c:v>
                </c:pt>
                <c:pt idx="52">
                  <c:v>309.24247828757859</c:v>
                </c:pt>
                <c:pt idx="53">
                  <c:v>322.25818930207646</c:v>
                </c:pt>
                <c:pt idx="54">
                  <c:v>335.2622777674473</c:v>
                </c:pt>
                <c:pt idx="55">
                  <c:v>348.25525808679203</c:v>
                </c:pt>
                <c:pt idx="56">
                  <c:v>361.2376031393249</c:v>
                </c:pt>
                <c:pt idx="57">
                  <c:v>374.20974903573409</c:v>
                </c:pt>
                <c:pt idx="58">
                  <c:v>387.17209917956257</c:v>
                </c:pt>
                <c:pt idx="59">
                  <c:v>400.12502775620351</c:v>
                </c:pt>
                <c:pt idx="60">
                  <c:v>413.06888274647389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43419120"/>
        <c:axId val="843419664"/>
      </c:scatterChart>
      <c:valAx>
        <c:axId val="8434191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3419664"/>
        <c:crosses val="autoZero"/>
        <c:crossBetween val="midCat"/>
      </c:valAx>
      <c:valAx>
        <c:axId val="843419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34191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97.318927922969635</c:v>
                </c:pt>
                <c:pt idx="22">
                  <c:v>108.4475019129206</c:v>
                </c:pt>
                <c:pt idx="23">
                  <c:v>119.54796628555846</c:v>
                </c:pt>
                <c:pt idx="24">
                  <c:v>130.62330272297189</c:v>
                </c:pt>
                <c:pt idx="25">
                  <c:v>141.67594470663133</c:v>
                </c:pt>
                <c:pt idx="26">
                  <c:v>155.46288225618903</c:v>
                </c:pt>
                <c:pt idx="27">
                  <c:v>169.22076873606747</c:v>
                </c:pt>
                <c:pt idx="28">
                  <c:v>182.95230030612535</c:v>
                </c:pt>
                <c:pt idx="29">
                  <c:v>196.65973476943884</c:v>
                </c:pt>
                <c:pt idx="30">
                  <c:v>210.34498910896306</c:v>
                </c:pt>
                <c:pt idx="31">
                  <c:v>169.22076873606747</c:v>
                </c:pt>
                <c:pt idx="32">
                  <c:v>184.91193253803269</c:v>
                </c:pt>
                <c:pt idx="33">
                  <c:v>200.57199414028256</c:v>
                </c:pt>
                <c:pt idx="34">
                  <c:v>216.20372460175972</c:v>
                </c:pt>
                <c:pt idx="35">
                  <c:v>231.8094611658297</c:v>
                </c:pt>
                <c:pt idx="36">
                  <c:v>248.16968942779488</c:v>
                </c:pt>
                <c:pt idx="37">
                  <c:v>264.50544806917611</c:v>
                </c:pt>
                <c:pt idx="38">
                  <c:v>280.81846105391611</c:v>
                </c:pt>
                <c:pt idx="39">
                  <c:v>297.11023564036316</c:v>
                </c:pt>
                <c:pt idx="40">
                  <c:v>313.38210026249641</c:v>
                </c:pt>
                <c:pt idx="41">
                  <c:v>248.16968942779496</c:v>
                </c:pt>
                <c:pt idx="42">
                  <c:v>264.50544806917623</c:v>
                </c:pt>
                <c:pt idx="43">
                  <c:v>280.81846105391611</c:v>
                </c:pt>
                <c:pt idx="44">
                  <c:v>297.11023564036327</c:v>
                </c:pt>
                <c:pt idx="45">
                  <c:v>313.38210026249641</c:v>
                </c:pt>
                <c:pt idx="46">
                  <c:v>329.24846413649914</c:v>
                </c:pt>
                <c:pt idx="47">
                  <c:v>345.09796018035962</c:v>
                </c:pt>
                <c:pt idx="48">
                  <c:v>360.93147205550491</c:v>
                </c:pt>
                <c:pt idx="49">
                  <c:v>376.74979957167847</c:v>
                </c:pt>
                <c:pt idx="50">
                  <c:v>392.55366990377706</c:v>
                </c:pt>
                <c:pt idx="51">
                  <c:v>326.9276331083118</c:v>
                </c:pt>
                <c:pt idx="52">
                  <c:v>342.393103483792</c:v>
                </c:pt>
                <c:pt idx="53">
                  <c:v>357.84322260194625</c:v>
                </c:pt>
                <c:pt idx="54">
                  <c:v>373.27874650728046</c:v>
                </c:pt>
                <c:pt idx="55">
                  <c:v>388.70036362009404</c:v>
                </c:pt>
                <c:pt idx="56">
                  <c:v>403.33859253105862</c:v>
                </c:pt>
                <c:pt idx="57">
                  <c:v>417.96533499156266</c:v>
                </c:pt>
                <c:pt idx="58">
                  <c:v>432.58104952108766</c:v>
                </c:pt>
                <c:pt idx="59">
                  <c:v>447.18616113243911</c:v>
                </c:pt>
                <c:pt idx="60">
                  <c:v>461.78106481747727</c:v>
                </c:pt>
                <c:pt idx="61">
                  <c:v>394.86525935006392</c:v>
                </c:pt>
                <c:pt idx="62">
                  <c:v>408.72870365690932</c:v>
                </c:pt>
                <c:pt idx="63">
                  <c:v>422.5819944009279</c:v>
                </c:pt>
                <c:pt idx="64">
                  <c:v>436.42551129808606</c:v>
                </c:pt>
                <c:pt idx="65">
                  <c:v>450.25960801246725</c:v>
                </c:pt>
                <c:pt idx="66">
                  <c:v>463.31679190893482</c:v>
                </c:pt>
                <c:pt idx="67">
                  <c:v>476.36612856926143</c:v>
                </c:pt>
                <c:pt idx="68">
                  <c:v>489.40786321667775</c:v>
                </c:pt>
                <c:pt idx="69">
                  <c:v>502.44222694105241</c:v>
                </c:pt>
                <c:pt idx="70">
                  <c:v>515.4694378666801</c:v>
                </c:pt>
                <c:pt idx="71">
                  <c:v>446.80194854061978</c:v>
                </c:pt>
                <c:pt idx="72">
                  <c:v>458.70928319621316</c:v>
                </c:pt>
                <c:pt idx="73">
                  <c:v>470.61001955868869</c:v>
                </c:pt>
                <c:pt idx="74">
                  <c:v>482.50434799892832</c:v>
                </c:pt>
                <c:pt idx="75">
                  <c:v>494.39244873679587</c:v>
                </c:pt>
                <c:pt idx="76">
                  <c:v>505.89129373820577</c:v>
                </c:pt>
                <c:pt idx="77">
                  <c:v>517.38461348648957</c:v>
                </c:pt>
                <c:pt idx="78">
                  <c:v>528.87254801147833</c:v>
                </c:pt>
                <c:pt idx="79">
                  <c:v>540.35523076412733</c:v>
                </c:pt>
                <c:pt idx="80">
                  <c:v>551.83278906179692</c:v>
                </c:pt>
                <c:pt idx="81">
                  <c:v>482.12075813367829</c:v>
                </c:pt>
                <c:pt idx="82">
                  <c:v>492.85884412246605</c:v>
                </c:pt>
                <c:pt idx="83">
                  <c:v>503.59197136026643</c:v>
                </c:pt>
                <c:pt idx="84">
                  <c:v>514.32026043494204</c:v>
                </c:pt>
                <c:pt idx="85">
                  <c:v>525.04382649327351</c:v>
                </c:pt>
                <c:pt idx="86">
                  <c:v>535.76277959494894</c:v>
                </c:pt>
                <c:pt idx="87">
                  <c:v>546.47722503675357</c:v>
                </c:pt>
                <c:pt idx="88">
                  <c:v>557.18726365001555</c:v>
                </c:pt>
                <c:pt idx="89">
                  <c:v>567.89299207399438</c:v>
                </c:pt>
                <c:pt idx="90">
                  <c:v>578.59450300758806</c:v>
                </c:pt>
                <c:pt idx="91">
                  <c:v>507.61564043595672</c:v>
                </c:pt>
                <c:pt idx="92">
                  <c:v>517.00159034875594</c:v>
                </c:pt>
                <c:pt idx="93">
                  <c:v>526.3839456981226</c:v>
                </c:pt>
                <c:pt idx="94">
                  <c:v>535.76277959494894</c:v>
                </c:pt>
                <c:pt idx="95">
                  <c:v>545.13816238142283</c:v>
                </c:pt>
                <c:pt idx="96">
                  <c:v>554.51016178271254</c:v>
                </c:pt>
                <c:pt idx="97">
                  <c:v>563.87884304786564</c:v>
                </c:pt>
                <c:pt idx="98">
                  <c:v>573.24426908085582</c:v>
                </c:pt>
                <c:pt idx="99">
                  <c:v>582.60650056262409</c:v>
                </c:pt>
                <c:pt idx="100">
                  <c:v>591.9655960648646</c:v>
                </c:pt>
                <c:pt idx="101">
                  <c:v>520.06560820994252</c:v>
                </c:pt>
                <c:pt idx="102">
                  <c:v>528.48970219589648</c:v>
                </c:pt>
                <c:pt idx="103">
                  <c:v>536.91096968482657</c:v>
                </c:pt>
                <c:pt idx="104">
                  <c:v>545.32946126916943</c:v>
                </c:pt>
                <c:pt idx="105">
                  <c:v>553.74522585166278</c:v>
                </c:pt>
                <c:pt idx="106">
                  <c:v>562.15831072715287</c:v>
                </c:pt>
                <c:pt idx="107">
                  <c:v>570.56876165925303</c:v>
                </c:pt>
                <c:pt idx="108">
                  <c:v>578.97662295224757</c:v>
                </c:pt>
                <c:pt idx="109">
                  <c:v>587.38193751859842</c:v>
                </c:pt>
                <c:pt idx="110">
                  <c:v>595.7847469423923</c:v>
                </c:pt>
                <c:pt idx="111">
                  <c:v>528.29827709857079</c:v>
                </c:pt>
                <c:pt idx="112">
                  <c:v>535.38003807305233</c:v>
                </c:pt>
                <c:pt idx="113">
                  <c:v>542.45982974283959</c:v>
                </c:pt>
                <c:pt idx="114">
                  <c:v>549.53768144295657</c:v>
                </c:pt>
                <c:pt idx="115">
                  <c:v>556.61362169091774</c:v>
                </c:pt>
                <c:pt idx="116">
                  <c:v>563.68767821983818</c:v>
                </c:pt>
                <c:pt idx="117">
                  <c:v>570.75987800979885</c:v>
                </c:pt>
                <c:pt idx="118">
                  <c:v>577.8302473175728</c:v>
                </c:pt>
                <c:pt idx="119">
                  <c:v>584.89881170482306</c:v>
                </c:pt>
                <c:pt idx="120">
                  <c:v>591.96559606486414</c:v>
                </c:pt>
                <c:pt idx="121">
                  <c:v>531.16950054399888</c:v>
                </c:pt>
                <c:pt idx="122">
                  <c:v>537.29368823845141</c:v>
                </c:pt>
                <c:pt idx="123">
                  <c:v>543.41640891561519</c:v>
                </c:pt>
                <c:pt idx="124">
                  <c:v>549.53768144295634</c:v>
                </c:pt>
                <c:pt idx="125">
                  <c:v>555.65752423315837</c:v>
                </c:pt>
                <c:pt idx="126">
                  <c:v>561.77595526008167</c:v>
                </c:pt>
                <c:pt idx="127">
                  <c:v>567.89299207399313</c:v>
                </c:pt>
                <c:pt idx="128">
                  <c:v>574.00865181610322</c:v>
                </c:pt>
                <c:pt idx="129">
                  <c:v>580.12295123245383</c:v>
                </c:pt>
                <c:pt idx="130">
                  <c:v>586.23590668718714</c:v>
                </c:pt>
                <c:pt idx="131">
                  <c:v>532.12650235188266</c:v>
                </c:pt>
                <c:pt idx="132">
                  <c:v>537.29368823845118</c:v>
                </c:pt>
                <c:pt idx="133">
                  <c:v>542.45982974283925</c:v>
                </c:pt>
                <c:pt idx="134">
                  <c:v>547.62493821970475</c:v>
                </c:pt>
                <c:pt idx="135">
                  <c:v>552.78902479193243</c:v>
                </c:pt>
                <c:pt idx="136">
                  <c:v>557.95210035753337</c:v>
                </c:pt>
                <c:pt idx="137">
                  <c:v>563.11417559627546</c:v>
                </c:pt>
                <c:pt idx="138">
                  <c:v>568.27526097606062</c:v>
                </c:pt>
                <c:pt idx="139">
                  <c:v>573.43536675905443</c:v>
                </c:pt>
                <c:pt idx="140">
                  <c:v>578.59450300758647</c:v>
                </c:pt>
                <c:pt idx="141">
                  <c:v>531.55230561741405</c:v>
                </c:pt>
                <c:pt idx="142">
                  <c:v>536.14551536775082</c:v>
                </c:pt>
                <c:pt idx="143">
                  <c:v>540.73789791143247</c:v>
                </c:pt>
                <c:pt idx="144">
                  <c:v>545.32946126916829</c:v>
                </c:pt>
                <c:pt idx="145">
                  <c:v>549.92021331550427</c:v>
                </c:pt>
                <c:pt idx="146">
                  <c:v>554.51016178271107</c:v>
                </c:pt>
                <c:pt idx="147">
                  <c:v>559.09931426453841</c:v>
                </c:pt>
                <c:pt idx="148">
                  <c:v>563.68767821983727</c:v>
                </c:pt>
                <c:pt idx="149">
                  <c:v>568.27526097606028</c:v>
                </c:pt>
                <c:pt idx="150">
                  <c:v>572.86206973264132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43422384"/>
        <c:axId val="843420752"/>
      </c:scatterChart>
      <c:valAx>
        <c:axId val="84342238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3420752"/>
        <c:crosses val="autoZero"/>
        <c:crossBetween val="midCat"/>
      </c:valAx>
      <c:valAx>
        <c:axId val="843420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34223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2.574052909151487</c:v>
                </c:pt>
                <c:pt idx="2">
                  <c:v>3.2461281653882743</c:v>
                </c:pt>
                <c:pt idx="3">
                  <c:v>4.0943661844375043</c:v>
                </c:pt>
                <c:pt idx="4">
                  <c:v>5.1651119528221656</c:v>
                </c:pt>
                <c:pt idx="5">
                  <c:v>6.5169446661128978</c:v>
                </c:pt>
                <c:pt idx="6">
                  <c:v>8.2239175681987557</c:v>
                </c:pt>
                <c:pt idx="7">
                  <c:v>10.379658260168837</c:v>
                </c:pt>
                <c:pt idx="8">
                  <c:v>13.102558620551131</c:v>
                </c:pt>
                <c:pt idx="9">
                  <c:v>16.542344646784436</c:v>
                </c:pt>
                <c:pt idx="10">
                  <c:v>20.888394060285197</c:v>
                </c:pt>
                <c:pt idx="11">
                  <c:v>26.380267800949554</c:v>
                </c:pt>
                <c:pt idx="12">
                  <c:v>33.321046136009507</c:v>
                </c:pt>
                <c:pt idx="13">
                  <c:v>42.094218082254564</c:v>
                </c:pt>
                <c:pt idx="14">
                  <c:v>53.185073146122171</c:v>
                </c:pt>
                <c:pt idx="15">
                  <c:v>67.207798386934755</c:v>
                </c:pt>
                <c:pt idx="16">
                  <c:v>87.624256130804284</c:v>
                </c:pt>
                <c:pt idx="17">
                  <c:v>107.92051495671599</c:v>
                </c:pt>
                <c:pt idx="18">
                  <c:v>128.12250482488196</c:v>
                </c:pt>
                <c:pt idx="19">
                  <c:v>148.24723201695511</c:v>
                </c:pt>
                <c:pt idx="20">
                  <c:v>168.30668061428082</c:v>
                </c:pt>
                <c:pt idx="21">
                  <c:v>115.59337364680665</c:v>
                </c:pt>
                <c:pt idx="22">
                  <c:v>137.4997067322079</c:v>
                </c:pt>
                <c:pt idx="23">
                  <c:v>159.32196170762111</c:v>
                </c:pt>
                <c:pt idx="24">
                  <c:v>181.07329523604912</c:v>
                </c:pt>
                <c:pt idx="25">
                  <c:v>202.76343275622807</c:v>
                </c:pt>
                <c:pt idx="26">
                  <c:v>223.37066471153204</c:v>
                </c:pt>
                <c:pt idx="27">
                  <c:v>243.93430319999132</c:v>
                </c:pt>
                <c:pt idx="28">
                  <c:v>264.45853959036123</c:v>
                </c:pt>
                <c:pt idx="29">
                  <c:v>284.94686117730771</c:v>
                </c:pt>
                <c:pt idx="30">
                  <c:v>305.4022126668512</c:v>
                </c:pt>
                <c:pt idx="31">
                  <c:v>227.82966235272235</c:v>
                </c:pt>
                <c:pt idx="32">
                  <c:v>245.98843749648782</c:v>
                </c:pt>
                <c:pt idx="33">
                  <c:v>264.11677214797504</c:v>
                </c:pt>
                <c:pt idx="34">
                  <c:v>282.21704940359291</c:v>
                </c:pt>
                <c:pt idx="35">
                  <c:v>300.29132163404557</c:v>
                </c:pt>
                <c:pt idx="36">
                  <c:v>316.63952954423013</c:v>
                </c:pt>
                <c:pt idx="37">
                  <c:v>332.96904422153938</c:v>
                </c:pt>
                <c:pt idx="38">
                  <c:v>349.28091133215889</c:v>
                </c:pt>
                <c:pt idx="39">
                  <c:v>365.57607090875041</c:v>
                </c:pt>
                <c:pt idx="40">
                  <c:v>381.85537235272426</c:v>
                </c:pt>
                <c:pt idx="41">
                  <c:v>300.63210759978858</c:v>
                </c:pt>
                <c:pt idx="42">
                  <c:v>314.59704855401958</c:v>
                </c:pt>
                <c:pt idx="43">
                  <c:v>328.5482515646342</c:v>
                </c:pt>
                <c:pt idx="44">
                  <c:v>342.4863822030199</c:v>
                </c:pt>
                <c:pt idx="45">
                  <c:v>356.41204743833833</c:v>
                </c:pt>
                <c:pt idx="46">
                  <c:v>368.29036734139095</c:v>
                </c:pt>
                <c:pt idx="47">
                  <c:v>380.16032837232183</c:v>
                </c:pt>
                <c:pt idx="48">
                  <c:v>392.0222283580228</c:v>
                </c:pt>
                <c:pt idx="49">
                  <c:v>403.87634562786849</c:v>
                </c:pt>
                <c:pt idx="50">
                  <c:v>415.72294083711432</c:v>
                </c:pt>
                <c:pt idx="51">
                  <c:v>360.48557531469902</c:v>
                </c:pt>
                <c:pt idx="52">
                  <c:v>371.34342911371238</c:v>
                </c:pt>
                <c:pt idx="53">
                  <c:v>382.19436148493236</c:v>
                </c:pt>
                <c:pt idx="54">
                  <c:v>393.03859669656578</c:v>
                </c:pt>
                <c:pt idx="55">
                  <c:v>403.87634562786849</c:v>
                </c:pt>
                <c:pt idx="56">
                  <c:v>412.33895235831255</c:v>
                </c:pt>
                <c:pt idx="57">
                  <c:v>420.79781154308029</c:v>
                </c:pt>
                <c:pt idx="58">
                  <c:v>429.25300917701065</c:v>
                </c:pt>
                <c:pt idx="59">
                  <c:v>437.70462758915488</c:v>
                </c:pt>
                <c:pt idx="60">
                  <c:v>446.1527456683495</c:v>
                </c:pt>
                <c:pt idx="61">
                  <c:v>411.32363915605634</c:v>
                </c:pt>
                <c:pt idx="62">
                  <c:v>418.76802245127942</c:v>
                </c:pt>
                <c:pt idx="63">
                  <c:v>426.20955457884071</c:v>
                </c:pt>
                <c:pt idx="64">
                  <c:v>433.64829237194999</c:v>
                </c:pt>
                <c:pt idx="65">
                  <c:v>441.08429055375763</c:v>
                </c:pt>
                <c:pt idx="66">
                  <c:v>447.50412482878772</c:v>
                </c:pt>
                <c:pt idx="67">
                  <c:v>453.92198789781906</c:v>
                </c:pt>
                <c:pt idx="68">
                  <c:v>460.33791158124319</c:v>
                </c:pt>
                <c:pt idx="69">
                  <c:v>466.75192673952944</c:v>
                </c:pt>
                <c:pt idx="70">
                  <c:v>473.16406331526713</c:v>
                </c:pt>
                <c:pt idx="71">
                  <c:v>443.449724046781</c:v>
                </c:pt>
                <c:pt idx="72">
                  <c:v>449.1932259604792</c:v>
                </c:pt>
                <c:pt idx="73">
                  <c:v>454.93515661064163</c:v>
                </c:pt>
                <c:pt idx="74">
                  <c:v>460.67553864161073</c:v>
                </c:pt>
                <c:pt idx="75">
                  <c:v>466.41439408694345</c:v>
                </c:pt>
                <c:pt idx="76">
                  <c:v>471.47683944067597</c:v>
                </c:pt>
                <c:pt idx="77">
                  <c:v>476.53812734890533</c:v>
                </c:pt>
                <c:pt idx="78">
                  <c:v>481.59827184865503</c:v>
                </c:pt>
                <c:pt idx="79">
                  <c:v>486.65728665769001</c:v>
                </c:pt>
                <c:pt idx="80">
                  <c:v>491.71518518509475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43410960"/>
        <c:axId val="843422928"/>
      </c:scatterChart>
      <c:valAx>
        <c:axId val="8434109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3422928"/>
        <c:crosses val="autoZero"/>
        <c:crossBetween val="midCat"/>
      </c:valAx>
      <c:valAx>
        <c:axId val="843422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34109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2.3793080898225729</c:v>
                </c:pt>
                <c:pt idx="2">
                  <c:v>3.0003642996210083</c:v>
                </c:pt>
                <c:pt idx="3">
                  <c:v>3.7841678017287599</c:v>
                </c:pt>
                <c:pt idx="4">
                  <c:v>4.7735237790966574</c:v>
                </c:pt>
                <c:pt idx="5">
                  <c:v>6.0225346181057935</c:v>
                </c:pt>
                <c:pt idx="6">
                  <c:v>7.5995909853256647</c:v>
                </c:pt>
                <c:pt idx="7">
                  <c:v>9.5911571523689911</c:v>
                </c:pt>
                <c:pt idx="8">
                  <c:v>12.106562038828912</c:v>
                </c:pt>
                <c:pt idx="9">
                  <c:v>15.284063885053456</c:v>
                </c:pt>
                <c:pt idx="10">
                  <c:v>19.298528006020888</c:v>
                </c:pt>
                <c:pt idx="11">
                  <c:v>24.371147761410047</c:v>
                </c:pt>
                <c:pt idx="12">
                  <c:v>30.781753838224574</c:v>
                </c:pt>
                <c:pt idx="13">
                  <c:v>38.884402692877721</c:v>
                </c:pt>
                <c:pt idx="14">
                  <c:v>49.127119800966483</c:v>
                </c:pt>
                <c:pt idx="15">
                  <c:v>62.076907697013901</c:v>
                </c:pt>
                <c:pt idx="16">
                  <c:v>80.930305178951087</c:v>
                </c:pt>
                <c:pt idx="17">
                  <c:v>99.671872945964807</c:v>
                </c:pt>
                <c:pt idx="18">
                  <c:v>118.32573550855612</c:v>
                </c:pt>
                <c:pt idx="19">
                  <c:v>136.9077150360213</c:v>
                </c:pt>
                <c:pt idx="20">
                  <c:v>155.42896118281021</c:v>
                </c:pt>
                <c:pt idx="21">
                  <c:v>106.75681222125495</c:v>
                </c:pt>
                <c:pt idx="22">
                  <c:v>126.98414944146755</c:v>
                </c:pt>
                <c:pt idx="23">
                  <c:v>147.13326273728035</c:v>
                </c:pt>
                <c:pt idx="24">
                  <c:v>167.21639270035547</c:v>
                </c:pt>
                <c:pt idx="25">
                  <c:v>187.24258760716546</c:v>
                </c:pt>
                <c:pt idx="26">
                  <c:v>206.2685966241975</c:v>
                </c:pt>
                <c:pt idx="27">
                  <c:v>225.25404749767384</c:v>
                </c:pt>
                <c:pt idx="28">
                  <c:v>244.20283975997816</c:v>
                </c:pt>
                <c:pt idx="29">
                  <c:v>263.11821789263291</c:v>
                </c:pt>
                <c:pt idx="30">
                  <c:v>282.00292156784479</c:v>
                </c:pt>
                <c:pt idx="31">
                  <c:v>210.38540694907314</c:v>
                </c:pt>
                <c:pt idx="32">
                  <c:v>227.15051827180903</c:v>
                </c:pt>
                <c:pt idx="33">
                  <c:v>243.88730861103326</c:v>
                </c:pt>
                <c:pt idx="34">
                  <c:v>260.59799513306115</c:v>
                </c:pt>
                <c:pt idx="35">
                  <c:v>277.28448730625297</c:v>
                </c:pt>
                <c:pt idx="36">
                  <c:v>292.37729611444672</c:v>
                </c:pt>
                <c:pt idx="37">
                  <c:v>307.4527132610603</c:v>
                </c:pt>
                <c:pt idx="38">
                  <c:v>322.51171160469693</c:v>
                </c:pt>
                <c:pt idx="39">
                  <c:v>337.55516572548032</c:v>
                </c:pt>
                <c:pt idx="40">
                  <c:v>352.58386588275084</c:v>
                </c:pt>
                <c:pt idx="41">
                  <c:v>277.59910531675132</c:v>
                </c:pt>
                <c:pt idx="42">
                  <c:v>290.49166725088799</c:v>
                </c:pt>
                <c:pt idx="43">
                  <c:v>303.37144778612065</c:v>
                </c:pt>
                <c:pt idx="44">
                  <c:v>316.23906615147206</c:v>
                </c:pt>
                <c:pt idx="45">
                  <c:v>329.09508705409172</c:v>
                </c:pt>
                <c:pt idx="46">
                  <c:v>340.06095344521356</c:v>
                </c:pt>
                <c:pt idx="47">
                  <c:v>351.01904297525931</c:v>
                </c:pt>
                <c:pt idx="48">
                  <c:v>361.96963273404771</c:v>
                </c:pt>
                <c:pt idx="49">
                  <c:v>372.91298167145283</c:v>
                </c:pt>
                <c:pt idx="50">
                  <c:v>383.8493322938412</c:v>
                </c:pt>
                <c:pt idx="51">
                  <c:v>332.85570681025916</c:v>
                </c:pt>
                <c:pt idx="52">
                  <c:v>342.87947924141304</c:v>
                </c:pt>
                <c:pt idx="53">
                  <c:v>352.89681216953187</c:v>
                </c:pt>
                <c:pt idx="54">
                  <c:v>362.90791424748909</c:v>
                </c:pt>
                <c:pt idx="55">
                  <c:v>372.91298167145288</c:v>
                </c:pt>
                <c:pt idx="56">
                  <c:v>380.7253612664947</c:v>
                </c:pt>
                <c:pt idx="57">
                  <c:v>388.5342542497454</c:v>
                </c:pt>
                <c:pt idx="58">
                  <c:v>396.33974062840025</c:v>
                </c:pt>
                <c:pt idx="59">
                  <c:v>404.1418969991085</c:v>
                </c:pt>
                <c:pt idx="60">
                  <c:v>411.94079675783905</c:v>
                </c:pt>
                <c:pt idx="61">
                  <c:v>379.78806142237414</c:v>
                </c:pt>
                <c:pt idx="62">
                  <c:v>386.66043357385666</c:v>
                </c:pt>
                <c:pt idx="63">
                  <c:v>393.53015307860801</c:v>
                </c:pt>
                <c:pt idx="64">
                  <c:v>400.39727281265851</c:v>
                </c:pt>
                <c:pt idx="65">
                  <c:v>407.26184368889852</c:v>
                </c:pt>
                <c:pt idx="66">
                  <c:v>413.18832324929986</c:v>
                </c:pt>
                <c:pt idx="67">
                  <c:v>419.11296885471535</c:v>
                </c:pt>
                <c:pt idx="68">
                  <c:v>425.03581010994799</c:v>
                </c:pt>
                <c:pt idx="69">
                  <c:v>430.95687572671636</c:v>
                </c:pt>
                <c:pt idx="70">
                  <c:v>436.87619356276895</c:v>
                </c:pt>
                <c:pt idx="71">
                  <c:v>409.44549880731051</c:v>
                </c:pt>
                <c:pt idx="72">
                  <c:v>414.74761709639353</c:v>
                </c:pt>
                <c:pt idx="73">
                  <c:v>420.0482735257836</c:v>
                </c:pt>
                <c:pt idx="74">
                  <c:v>425.34748916314453</c:v>
                </c:pt>
                <c:pt idx="75">
                  <c:v>430.64528450788202</c:v>
                </c:pt>
                <c:pt idx="76">
                  <c:v>435.31864626323119</c:v>
                </c:pt>
                <c:pt idx="77">
                  <c:v>439.99093116362309</c:v>
                </c:pt>
                <c:pt idx="78">
                  <c:v>444.66215226871242</c:v>
                </c:pt>
                <c:pt idx="79">
                  <c:v>449.33232234112387</c:v>
                </c:pt>
                <c:pt idx="80">
                  <c:v>454.00145385629543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43423472"/>
        <c:axId val="843409872"/>
      </c:scatterChart>
      <c:valAx>
        <c:axId val="8434234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3409872"/>
        <c:crosses val="autoZero"/>
        <c:crossBetween val="midCat"/>
      </c:valAx>
      <c:valAx>
        <c:axId val="843409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34234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2.5306217639403932</c:v>
                </c:pt>
                <c:pt idx="2">
                  <c:v>2.9172207570325672</c:v>
                </c:pt>
                <c:pt idx="3">
                  <c:v>3.3630927689110268</c:v>
                </c:pt>
                <c:pt idx="4">
                  <c:v>3.8773563467113861</c:v>
                </c:pt>
                <c:pt idx="5">
                  <c:v>4.4705372894252715</c:v>
                </c:pt>
                <c:pt idx="6">
                  <c:v>5.1547864684478117</c:v>
                </c:pt>
                <c:pt idx="7">
                  <c:v>5.9441314553665761</c:v>
                </c:pt>
                <c:pt idx="8">
                  <c:v>6.8547672172727552</c:v>
                </c:pt>
                <c:pt idx="9">
                  <c:v>7.9053919602337386</c:v>
                </c:pt>
                <c:pt idx="10">
                  <c:v>9.117595150129306</c:v>
                </c:pt>
                <c:pt idx="11">
                  <c:v>10.516305836895535</c:v>
                </c:pt>
                <c:pt idx="12">
                  <c:v>12.130310676562779</c:v>
                </c:pt>
                <c:pt idx="13">
                  <c:v>13.992852512182466</c:v>
                </c:pt>
                <c:pt idx="14">
                  <c:v>16.142322070891733</c:v>
                </c:pt>
                <c:pt idx="15">
                  <c:v>18.623057295923864</c:v>
                </c:pt>
                <c:pt idx="16">
                  <c:v>21.486267100938448</c:v>
                </c:pt>
                <c:pt idx="17">
                  <c:v>24.7910989577524</c:v>
                </c:pt>
                <c:pt idx="18">
                  <c:v>28.605872763094592</c:v>
                </c:pt>
                <c:pt idx="19">
                  <c:v>33.009506939823325</c:v>
                </c:pt>
                <c:pt idx="20">
                  <c:v>38.093166787700049</c:v>
                </c:pt>
                <c:pt idx="21">
                  <c:v>43.962169794584405</c:v>
                </c:pt>
                <c:pt idx="22">
                  <c:v>50.738188050641945</c:v>
                </c:pt>
                <c:pt idx="23">
                  <c:v>58.561794191367277</c:v>
                </c:pt>
                <c:pt idx="24">
                  <c:v>67.595404563615133</c:v>
                </c:pt>
                <c:pt idx="25">
                  <c:v>78.026681717112226</c:v>
                </c:pt>
                <c:pt idx="26">
                  <c:v>90.526413145957463</c:v>
                </c:pt>
                <c:pt idx="27">
                  <c:v>102.98287489084596</c:v>
                </c:pt>
                <c:pt idx="28">
                  <c:v>115.40204957981786</c:v>
                </c:pt>
                <c:pt idx="29">
                  <c:v>127.78852186744196</c:v>
                </c:pt>
                <c:pt idx="30">
                  <c:v>140.14591229472146</c:v>
                </c:pt>
                <c:pt idx="31">
                  <c:v>131.16146937116449</c:v>
                </c:pt>
                <c:pt idx="32">
                  <c:v>144.63288785558254</c:v>
                </c:pt>
                <c:pt idx="33">
                  <c:v>158.07427982969338</c:v>
                </c:pt>
                <c:pt idx="34">
                  <c:v>171.48856021442305</c:v>
                </c:pt>
                <c:pt idx="35">
                  <c:v>184.87814990346817</c:v>
                </c:pt>
                <c:pt idx="36">
                  <c:v>199.35803580001891</c:v>
                </c:pt>
                <c:pt idx="37">
                  <c:v>213.81353867190262</c:v>
                </c:pt>
                <c:pt idx="38">
                  <c:v>228.24653971138068</c:v>
                </c:pt>
                <c:pt idx="39">
                  <c:v>242.65866258523189</c:v>
                </c:pt>
                <c:pt idx="40">
                  <c:v>257.05132222059115</c:v>
                </c:pt>
                <c:pt idx="41">
                  <c:v>194.16304064471566</c:v>
                </c:pt>
                <c:pt idx="42">
                  <c:v>208.99762497430501</c:v>
                </c:pt>
                <c:pt idx="43">
                  <c:v>223.80791091839103</c:v>
                </c:pt>
                <c:pt idx="44">
                  <c:v>238.59573324490535</c:v>
                </c:pt>
                <c:pt idx="45">
                  <c:v>253.36268056439772</c:v>
                </c:pt>
                <c:pt idx="46">
                  <c:v>268.47858881189217</c:v>
                </c:pt>
                <c:pt idx="47">
                  <c:v>283.57533816627682</c:v>
                </c:pt>
                <c:pt idx="48">
                  <c:v>298.6540922734967</c:v>
                </c:pt>
                <c:pt idx="49">
                  <c:v>313.71588765661983</c:v>
                </c:pt>
                <c:pt idx="50">
                  <c:v>328.76165316889802</c:v>
                </c:pt>
                <c:pt idx="51">
                  <c:v>267.37321139326588</c:v>
                </c:pt>
                <c:pt idx="52">
                  <c:v>283.20734332387497</c:v>
                </c:pt>
                <c:pt idx="53">
                  <c:v>299.02165093044317</c:v>
                </c:pt>
                <c:pt idx="54">
                  <c:v>314.81733022074974</c:v>
                </c:pt>
                <c:pt idx="55">
                  <c:v>330.59544737419026</c:v>
                </c:pt>
                <c:pt idx="56">
                  <c:v>345.99059370647996</c:v>
                </c:pt>
                <c:pt idx="57">
                  <c:v>361.37070184043199</c:v>
                </c:pt>
                <c:pt idx="58">
                  <c:v>376.73650185143856</c:v>
                </c:pt>
                <c:pt idx="59">
                  <c:v>392.08865940549907</c:v>
                </c:pt>
                <c:pt idx="60">
                  <c:v>407.42778379371663</c:v>
                </c:pt>
                <c:pt idx="61">
                  <c:v>345.62422040265614</c:v>
                </c:pt>
                <c:pt idx="62">
                  <c:v>360.63864570434475</c:v>
                </c:pt>
                <c:pt idx="63">
                  <c:v>375.63940468104903</c:v>
                </c:pt>
                <c:pt idx="64">
                  <c:v>390.62711987431993</c:v>
                </c:pt>
                <c:pt idx="65">
                  <c:v>405.60236216041091</c:v>
                </c:pt>
                <c:pt idx="66">
                  <c:v>420.56565682711158</c:v>
                </c:pt>
                <c:pt idx="67">
                  <c:v>435.51748874062383</c:v>
                </c:pt>
                <c:pt idx="68">
                  <c:v>450.45830676592914</c:v>
                </c:pt>
                <c:pt idx="69">
                  <c:v>465.38852757017963</c:v>
                </c:pt>
                <c:pt idx="70">
                  <c:v>480.30853891265775</c:v>
                </c:pt>
                <c:pt idx="71">
                  <c:v>417.64690431825011</c:v>
                </c:pt>
                <c:pt idx="72">
                  <c:v>431.50712073862775</c:v>
                </c:pt>
                <c:pt idx="73">
                  <c:v>445.35777581895212</c:v>
                </c:pt>
                <c:pt idx="74">
                  <c:v>459.19920876443263</c:v>
                </c:pt>
                <c:pt idx="75">
                  <c:v>473.03173666651475</c:v>
                </c:pt>
                <c:pt idx="76">
                  <c:v>486.49197709231652</c:v>
                </c:pt>
                <c:pt idx="77">
                  <c:v>499.94431424130948</c:v>
                </c:pt>
                <c:pt idx="78">
                  <c:v>513.38899068788419</c:v>
                </c:pt>
                <c:pt idx="79">
                  <c:v>526.82623526820373</c:v>
                </c:pt>
                <c:pt idx="80">
                  <c:v>540.2562641961664</c:v>
                </c:pt>
                <c:pt idx="81">
                  <c:v>476.67043320372522</c:v>
                </c:pt>
                <c:pt idx="82">
                  <c:v>489.40125164788623</c:v>
                </c:pt>
                <c:pt idx="83">
                  <c:v>502.12504627431366</c:v>
                </c:pt>
                <c:pt idx="84">
                  <c:v>514.84202011790001</c:v>
                </c:pt>
                <c:pt idx="85">
                  <c:v>527.55236536708867</c:v>
                </c:pt>
                <c:pt idx="86">
                  <c:v>539.53049772146937</c:v>
                </c:pt>
                <c:pt idx="87">
                  <c:v>551.50304455178104</c:v>
                </c:pt>
                <c:pt idx="88">
                  <c:v>563.47014417956586</c:v>
                </c:pt>
                <c:pt idx="89">
                  <c:v>575.43192857309486</c:v>
                </c:pt>
                <c:pt idx="90">
                  <c:v>587.38852376796467</c:v>
                </c:pt>
                <c:pt idx="91">
                  <c:v>522.28744323037404</c:v>
                </c:pt>
                <c:pt idx="92">
                  <c:v>533.36065122872662</c:v>
                </c:pt>
                <c:pt idx="93">
                  <c:v>544.42902489691699</c:v>
                </c:pt>
                <c:pt idx="94">
                  <c:v>555.49267636229206</c:v>
                </c:pt>
                <c:pt idx="95">
                  <c:v>566.55171292202692</c:v>
                </c:pt>
                <c:pt idx="96">
                  <c:v>577.60623734341618</c:v>
                </c:pt>
                <c:pt idx="97">
                  <c:v>588.6563481399902</c:v>
                </c:pt>
                <c:pt idx="98">
                  <c:v>599.70213982582175</c:v>
                </c:pt>
                <c:pt idx="99">
                  <c:v>610.74370315013027</c:v>
                </c:pt>
                <c:pt idx="100">
                  <c:v>621.78112531404179</c:v>
                </c:pt>
                <c:pt idx="101">
                  <c:v>560.93211702073961</c:v>
                </c:pt>
                <c:pt idx="102">
                  <c:v>570.72033680560946</c:v>
                </c:pt>
                <c:pt idx="103">
                  <c:v>580.50505015445844</c:v>
                </c:pt>
                <c:pt idx="104">
                  <c:v>590.28632449918848</c:v>
                </c:pt>
                <c:pt idx="105">
                  <c:v>600.06422485487678</c:v>
                </c:pt>
                <c:pt idx="106">
                  <c:v>609.83881394520915</c:v>
                </c:pt>
                <c:pt idx="107">
                  <c:v>619.61015231945055</c:v>
                </c:pt>
                <c:pt idx="108">
                  <c:v>629.37829846165971</c:v>
                </c:pt>
                <c:pt idx="109">
                  <c:v>639.14330889277005</c:v>
                </c:pt>
                <c:pt idx="110">
                  <c:v>648.90523826610968</c:v>
                </c:pt>
                <c:pt idx="111">
                  <c:v>592.45948058080194</c:v>
                </c:pt>
                <c:pt idx="112">
                  <c:v>601.15045270282633</c:v>
                </c:pt>
                <c:pt idx="113">
                  <c:v>609.83881394520893</c:v>
                </c:pt>
                <c:pt idx="114">
                  <c:v>618.52460674908536</c:v>
                </c:pt>
                <c:pt idx="115">
                  <c:v>627.2078722664487</c:v>
                </c:pt>
                <c:pt idx="116">
                  <c:v>635.8886504169941</c:v>
                </c:pt>
                <c:pt idx="117">
                  <c:v>644.56697994169917</c:v>
                </c:pt>
                <c:pt idx="118">
                  <c:v>653.24289845337114</c:v>
                </c:pt>
                <c:pt idx="119">
                  <c:v>661.91644248436648</c:v>
                </c:pt>
                <c:pt idx="120">
                  <c:v>670.58764753168191</c:v>
                </c:pt>
                <c:pt idx="121">
                  <c:v>618.34367865045544</c:v>
                </c:pt>
                <c:pt idx="122">
                  <c:v>625.76083514390416</c:v>
                </c:pt>
                <c:pt idx="123">
                  <c:v>633.17617207882051</c:v>
                </c:pt>
                <c:pt idx="124">
                  <c:v>640.58971377058072</c:v>
                </c:pt>
                <c:pt idx="125">
                  <c:v>648.00148392584265</c:v>
                </c:pt>
                <c:pt idx="126">
                  <c:v>655.41150566472436</c:v>
                </c:pt>
                <c:pt idx="127">
                  <c:v>662.81980154192615</c:v>
                </c:pt>
                <c:pt idx="128">
                  <c:v>670.2263935668592</c:v>
                </c:pt>
                <c:pt idx="129">
                  <c:v>677.63130322283928</c:v>
                </c:pt>
                <c:pt idx="130">
                  <c:v>685.03455148539808</c:v>
                </c:pt>
                <c:pt idx="131">
                  <c:v>633.89952308174304</c:v>
                </c:pt>
                <c:pt idx="132">
                  <c:v>640.58971377058094</c:v>
                </c:pt>
                <c:pt idx="133">
                  <c:v>647.27846173422597</c:v>
                </c:pt>
                <c:pt idx="134">
                  <c:v>653.96578398494614</c:v>
                </c:pt>
                <c:pt idx="135">
                  <c:v>660.65169715868331</c:v>
                </c:pt>
                <c:pt idx="136">
                  <c:v>667.33621752718705</c:v>
                </c:pt>
                <c:pt idx="137">
                  <c:v>674.01936100963246</c:v>
                </c:pt>
                <c:pt idx="138">
                  <c:v>680.70114318375704</c:v>
                </c:pt>
                <c:pt idx="139">
                  <c:v>687.38157929653505</c:v>
                </c:pt>
                <c:pt idx="140">
                  <c:v>694.06068427441789</c:v>
                </c:pt>
                <c:pt idx="141">
                  <c:v>645.47083331034901</c:v>
                </c:pt>
                <c:pt idx="142">
                  <c:v>651.07414284203014</c:v>
                </c:pt>
                <c:pt idx="143">
                  <c:v>656.67645822915131</c:v>
                </c:pt>
                <c:pt idx="144">
                  <c:v>662.27778915062163</c:v>
                </c:pt>
                <c:pt idx="145">
                  <c:v>667.87814510825103</c:v>
                </c:pt>
                <c:pt idx="146">
                  <c:v>673.47753543148212</c:v>
                </c:pt>
                <c:pt idx="147">
                  <c:v>679.07596928195414</c:v>
                </c:pt>
                <c:pt idx="148">
                  <c:v>684.67345565791118</c:v>
                </c:pt>
                <c:pt idx="149">
                  <c:v>690.27000339845529</c:v>
                </c:pt>
                <c:pt idx="150">
                  <c:v>695.86562118765994</c:v>
                </c:pt>
                <c:pt idx="151">
                  <c:v>7.2667013513884219E-12</c:v>
                </c:pt>
                <c:pt idx="152">
                  <c:v>7.2667013513884219E-12</c:v>
                </c:pt>
                <c:pt idx="153">
                  <c:v>7.2667013513884219E-12</c:v>
                </c:pt>
                <c:pt idx="154">
                  <c:v>7.2667013513884219E-12</c:v>
                </c:pt>
                <c:pt idx="155">
                  <c:v>7.2667013513884219E-12</c:v>
                </c:pt>
                <c:pt idx="156">
                  <c:v>7.2667013513884219E-12</c:v>
                </c:pt>
                <c:pt idx="157">
                  <c:v>7.2667013513884219E-12</c:v>
                </c:pt>
                <c:pt idx="158">
                  <c:v>7.2667013513884219E-12</c:v>
                </c:pt>
                <c:pt idx="159">
                  <c:v>7.2667013513884219E-12</c:v>
                </c:pt>
                <c:pt idx="160">
                  <c:v>7.2667013513884219E-12</c:v>
                </c:pt>
                <c:pt idx="161">
                  <c:v>7.2667013513884219E-12</c:v>
                </c:pt>
                <c:pt idx="162">
                  <c:v>7.2667013513884219E-12</c:v>
                </c:pt>
                <c:pt idx="163">
                  <c:v>7.2667013513884219E-12</c:v>
                </c:pt>
                <c:pt idx="164">
                  <c:v>7.2667013513884219E-12</c:v>
                </c:pt>
                <c:pt idx="165">
                  <c:v>7.2667013513884219E-12</c:v>
                </c:pt>
                <c:pt idx="166">
                  <c:v>7.2667013513884219E-12</c:v>
                </c:pt>
                <c:pt idx="167">
                  <c:v>7.2667013513884219E-12</c:v>
                </c:pt>
                <c:pt idx="168">
                  <c:v>7.2667013513884219E-12</c:v>
                </c:pt>
                <c:pt idx="169">
                  <c:v>7.2667013513884219E-12</c:v>
                </c:pt>
                <c:pt idx="170">
                  <c:v>7.2667013513884219E-12</c:v>
                </c:pt>
                <c:pt idx="171">
                  <c:v>7.2667013513884219E-12</c:v>
                </c:pt>
                <c:pt idx="172">
                  <c:v>7.2667013513884219E-12</c:v>
                </c:pt>
                <c:pt idx="173">
                  <c:v>7.2667013513884219E-12</c:v>
                </c:pt>
                <c:pt idx="174">
                  <c:v>7.2667013513884219E-12</c:v>
                </c:pt>
                <c:pt idx="175">
                  <c:v>7.2667013513884219E-12</c:v>
                </c:pt>
                <c:pt idx="176">
                  <c:v>7.2667013513884219E-12</c:v>
                </c:pt>
                <c:pt idx="177">
                  <c:v>7.2667013513884219E-12</c:v>
                </c:pt>
                <c:pt idx="178">
                  <c:v>7.2667013513884219E-12</c:v>
                </c:pt>
                <c:pt idx="179">
                  <c:v>7.2667013513884219E-12</c:v>
                </c:pt>
                <c:pt idx="180">
                  <c:v>7.2667013513884219E-12</c:v>
                </c:pt>
                <c:pt idx="181">
                  <c:v>7.2667013513884219E-12</c:v>
                </c:pt>
                <c:pt idx="182">
                  <c:v>7.2667013513884219E-12</c:v>
                </c:pt>
                <c:pt idx="183">
                  <c:v>7.2667013513884219E-12</c:v>
                </c:pt>
                <c:pt idx="184">
                  <c:v>7.2667013513884219E-12</c:v>
                </c:pt>
                <c:pt idx="185">
                  <c:v>7.2667013513884219E-12</c:v>
                </c:pt>
                <c:pt idx="186">
                  <c:v>7.2667013513884219E-12</c:v>
                </c:pt>
                <c:pt idx="187">
                  <c:v>7.2667013513884219E-12</c:v>
                </c:pt>
                <c:pt idx="188">
                  <c:v>7.2667013513884219E-12</c:v>
                </c:pt>
                <c:pt idx="189">
                  <c:v>7.2667013513884219E-12</c:v>
                </c:pt>
                <c:pt idx="190">
                  <c:v>7.2667013513884219E-12</c:v>
                </c:pt>
                <c:pt idx="191">
                  <c:v>7.2667013513884219E-12</c:v>
                </c:pt>
                <c:pt idx="192">
                  <c:v>7.2667013513884219E-12</c:v>
                </c:pt>
                <c:pt idx="193">
                  <c:v>7.2667013513884219E-12</c:v>
                </c:pt>
                <c:pt idx="194">
                  <c:v>7.2667013513884219E-12</c:v>
                </c:pt>
                <c:pt idx="195">
                  <c:v>7.2667013513884219E-12</c:v>
                </c:pt>
                <c:pt idx="196">
                  <c:v>7.2667013513884219E-12</c:v>
                </c:pt>
                <c:pt idx="197">
                  <c:v>7.2667013513884219E-12</c:v>
                </c:pt>
                <c:pt idx="198">
                  <c:v>7.2667013513884219E-12</c:v>
                </c:pt>
                <c:pt idx="199">
                  <c:v>7.2667013513884219E-12</c:v>
                </c:pt>
                <c:pt idx="200">
                  <c:v>7.2667013513884219E-12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43410416"/>
        <c:axId val="843412048"/>
      </c:scatterChart>
      <c:valAx>
        <c:axId val="84341041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3412048"/>
        <c:crosses val="autoZero"/>
        <c:crossBetween val="midCat"/>
      </c:valAx>
      <c:valAx>
        <c:axId val="843412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34104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43412592"/>
        <c:axId val="843413136"/>
      </c:scatterChart>
      <c:valAx>
        <c:axId val="84341259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3413136"/>
        <c:crosses val="autoZero"/>
        <c:crossBetween val="midCat"/>
      </c:valAx>
      <c:valAx>
        <c:axId val="843413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34125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43414224"/>
        <c:axId val="639829680"/>
      </c:scatterChart>
      <c:valAx>
        <c:axId val="8434142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9829680"/>
        <c:crosses val="autoZero"/>
        <c:crossBetween val="midCat"/>
      </c:valAx>
      <c:valAx>
        <c:axId val="639829680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34142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A178" zoomScale="99" zoomScaleNormal="80" workbookViewId="0">
      <selection activeCell="H194" sqref="H194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3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18</v>
      </c>
      <c r="C9" s="35">
        <v>0.35</v>
      </c>
      <c r="D9" s="36">
        <f t="shared" ref="D9:D18" si="0">C9*$C$5</f>
        <v>1.0499999999999998</v>
      </c>
      <c r="E9" s="37">
        <v>70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35</v>
      </c>
      <c r="C10" s="35">
        <v>0.2</v>
      </c>
      <c r="D10" s="36">
        <f t="shared" si="0"/>
        <v>0.60000000000000009</v>
      </c>
      <c r="E10" s="37">
        <v>80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27</v>
      </c>
      <c r="C11" s="35">
        <v>0.1</v>
      </c>
      <c r="D11" s="36">
        <f t="shared" si="0"/>
        <v>0.30000000000000004</v>
      </c>
      <c r="E11" s="37">
        <v>60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14</v>
      </c>
      <c r="C12" s="35">
        <v>0.1</v>
      </c>
      <c r="D12" s="36">
        <f t="shared" si="0"/>
        <v>0.30000000000000004</v>
      </c>
      <c r="E12" s="37">
        <v>150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22</v>
      </c>
      <c r="C13" s="35">
        <v>0.1</v>
      </c>
      <c r="D13" s="36">
        <f t="shared" si="0"/>
        <v>0.30000000000000004</v>
      </c>
      <c r="E13" s="37">
        <v>80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 t="s">
        <v>8</v>
      </c>
      <c r="C14" s="35">
        <v>0.08</v>
      </c>
      <c r="D14" s="36">
        <f t="shared" si="0"/>
        <v>0.24</v>
      </c>
      <c r="E14" s="37">
        <v>80</v>
      </c>
      <c r="F14" s="38" t="str">
        <f t="array" ref="F14">IF(E14="","",IF(INDEX(A:A,MAX(IF(ISNUMBER($A$166:$A$185),ROW($A$166:$A$185),"")))&lt;&gt;E14,"Corrigez : révolution incorrecte","OK"))</f>
        <v>OK</v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 t="s">
        <v>25</v>
      </c>
      <c r="C15" s="35">
        <v>0.05</v>
      </c>
      <c r="D15" s="36">
        <f t="shared" si="0"/>
        <v>0.15000000000000002</v>
      </c>
      <c r="E15" s="37">
        <v>150</v>
      </c>
      <c r="F15" s="38" t="str">
        <f t="array" ref="F15">IF(E15="","",IF(INDEX(A:A,MAX(IF(ISNUMBER($A$192:$A$211),ROW($A$192:$A$211),"")))&lt;&gt;E15,"Corrigez : révolution incorrecte","OK"))</f>
        <v>OK</v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0.98</v>
      </c>
      <c r="D19" s="41">
        <f>SUM(D9:D18)</f>
        <v>2.94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Douglas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19</v>
      </c>
      <c r="B36" s="63">
        <f>192.63/1.3</f>
        <v>148.17692307692306</v>
      </c>
      <c r="C36" s="63"/>
      <c r="D36" s="63"/>
      <c r="E36" s="54"/>
      <c r="F36" s="54"/>
      <c r="G36" s="54"/>
      <c r="H36" s="54"/>
      <c r="I36" s="52">
        <f>IFERROR(B36/A36,"")</f>
        <v>7.7987854251012134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21</v>
      </c>
      <c r="B37" s="63">
        <f>234.08/1.3</f>
        <v>180.06153846153848</v>
      </c>
      <c r="C37" s="63">
        <v>1</v>
      </c>
      <c r="D37" s="63">
        <f>79.52/1.3</f>
        <v>61.169230769230765</v>
      </c>
      <c r="E37" s="54"/>
      <c r="F37" s="54">
        <v>0.2</v>
      </c>
      <c r="G37" s="54">
        <v>0.4</v>
      </c>
      <c r="H37" s="54">
        <v>0.4</v>
      </c>
      <c r="I37" s="56">
        <f t="shared" ref="I37:I55" si="1">IF(A37&lt;&gt;0,(B37-(B36-D36))/(A37-A36),"")</f>
        <v>15.942307692307708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28</v>
      </c>
      <c r="B38" s="63">
        <f>306.42/1.3</f>
        <v>235.7076923076923</v>
      </c>
      <c r="C38" s="63">
        <v>2</v>
      </c>
      <c r="D38" s="63">
        <f>73.99/1.3</f>
        <v>56.91538461538461</v>
      </c>
      <c r="E38" s="54">
        <v>0.2</v>
      </c>
      <c r="F38" s="54">
        <v>0.2</v>
      </c>
      <c r="G38" s="54">
        <v>0.3</v>
      </c>
      <c r="H38" s="54">
        <v>0.3</v>
      </c>
      <c r="I38" s="56">
        <f t="shared" si="1"/>
        <v>16.687912087912085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f>279.49/1.3</f>
        <v>214.99230769230769</v>
      </c>
      <c r="C39" s="63"/>
      <c r="D39" s="63"/>
      <c r="E39" s="54"/>
      <c r="F39" s="54"/>
      <c r="G39" s="54"/>
      <c r="H39" s="54"/>
      <c r="I39" s="52">
        <f t="shared" si="1"/>
        <v>18.099999999999994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35</v>
      </c>
      <c r="B40" s="63">
        <f>397.14/1.3</f>
        <v>305.49230769230769</v>
      </c>
      <c r="C40" s="63">
        <v>3</v>
      </c>
      <c r="D40" s="63">
        <f>91.65/1.3</f>
        <v>70.5</v>
      </c>
      <c r="E40" s="54"/>
      <c r="F40" s="54"/>
      <c r="G40" s="54"/>
      <c r="H40" s="54"/>
      <c r="I40" s="52">
        <f t="shared" si="1"/>
        <v>18.100000000000001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42</v>
      </c>
      <c r="B41" s="63">
        <f>471.38/1.3</f>
        <v>362.59999999999997</v>
      </c>
      <c r="C41" s="63">
        <v>4</v>
      </c>
      <c r="D41" s="63">
        <f>104.87/1.3</f>
        <v>80.669230769230765</v>
      </c>
      <c r="E41" s="54"/>
      <c r="F41" s="54"/>
      <c r="G41" s="54"/>
      <c r="H41" s="54"/>
      <c r="I41" s="56">
        <f t="shared" si="1"/>
        <v>18.229670329670324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49</v>
      </c>
      <c r="B42" s="63">
        <f>525.94/1.3</f>
        <v>404.56923076923078</v>
      </c>
      <c r="C42" s="63">
        <v>5</v>
      </c>
      <c r="D42" s="63">
        <f>117.59/1.3</f>
        <v>90.453846153846158</v>
      </c>
      <c r="E42" s="54"/>
      <c r="F42" s="54"/>
      <c r="G42" s="54"/>
      <c r="H42" s="54"/>
      <c r="I42" s="56">
        <f t="shared" si="1"/>
        <v>17.519780219780223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56</v>
      </c>
      <c r="B43" s="63">
        <f>556.02/1.3</f>
        <v>427.7076923076923</v>
      </c>
      <c r="C43" s="63">
        <v>6</v>
      </c>
      <c r="D43" s="63">
        <f>98.63/1.3</f>
        <v>75.869230769230768</v>
      </c>
      <c r="E43" s="54"/>
      <c r="F43" s="54"/>
      <c r="G43" s="54"/>
      <c r="H43" s="54"/>
      <c r="I43" s="52">
        <f t="shared" si="1"/>
        <v>16.227472527472521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63</v>
      </c>
      <c r="B44" s="63">
        <f>592.43/1.3</f>
        <v>455.71538461538455</v>
      </c>
      <c r="C44" s="63">
        <v>7</v>
      </c>
      <c r="D44" s="63">
        <f>103.64/1.3</f>
        <v>79.723076923076917</v>
      </c>
      <c r="E44" s="54"/>
      <c r="F44" s="54"/>
      <c r="G44" s="54"/>
      <c r="H44" s="54"/>
      <c r="I44" s="52">
        <f t="shared" si="1"/>
        <v>14.839560439560435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>
        <v>69</v>
      </c>
      <c r="B45" s="63">
        <f>593.1/1.3</f>
        <v>456.23076923076923</v>
      </c>
      <c r="C45" s="63"/>
      <c r="D45" s="63"/>
      <c r="E45" s="54"/>
      <c r="F45" s="54"/>
      <c r="G45" s="54"/>
      <c r="H45" s="54"/>
      <c r="I45" s="52">
        <f t="shared" si="1"/>
        <v>13.373076923076932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>
        <v>70</v>
      </c>
      <c r="B46" s="63">
        <f>609.79/1.3</f>
        <v>469.06923076923073</v>
      </c>
      <c r="C46" s="63">
        <v>8</v>
      </c>
      <c r="D46" s="63">
        <f>B46</f>
        <v>469.06923076923073</v>
      </c>
      <c r="E46" s="54"/>
      <c r="F46" s="54"/>
      <c r="G46" s="54"/>
      <c r="H46" s="54"/>
      <c r="I46" s="52">
        <f t="shared" si="1"/>
        <v>12.838461538461502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Pin laricio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15</v>
      </c>
      <c r="B62" s="63">
        <f>46.42/1.3</f>
        <v>35.707692307692305</v>
      </c>
      <c r="C62" s="63"/>
      <c r="D62" s="63"/>
      <c r="E62" s="54"/>
      <c r="F62" s="54"/>
      <c r="G62" s="54"/>
      <c r="H62" s="93"/>
      <c r="I62" s="56">
        <f>IFERROR(B62/A62,"")</f>
        <v>2.3805128205128203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21</v>
      </c>
      <c r="B63" s="63">
        <f>148.63/1.3</f>
        <v>114.33076923076922</v>
      </c>
      <c r="C63" s="63"/>
      <c r="D63" s="63"/>
      <c r="E63" s="54"/>
      <c r="F63" s="54"/>
      <c r="G63" s="54"/>
      <c r="H63" s="93"/>
      <c r="I63" s="52">
        <f>IF(A63&lt;&gt;0,(B63-(B62-D62))/(A63-A62),"")</f>
        <v>13.103846153846154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22</v>
      </c>
      <c r="B64" s="63">
        <f>168.98/1.3</f>
        <v>129.98461538461538</v>
      </c>
      <c r="C64" s="63">
        <v>1</v>
      </c>
      <c r="D64" s="63">
        <f>68.57/1.3</f>
        <v>52.746153846153838</v>
      </c>
      <c r="E64" s="93"/>
      <c r="F64" s="93"/>
      <c r="G64" s="93"/>
      <c r="H64" s="93">
        <v>1</v>
      </c>
      <c r="I64" s="52">
        <f>IF(A64&lt;&gt;0,(B64-(B63-D63))/(A64-A63),"")</f>
        <v>15.65384615384616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24</v>
      </c>
      <c r="B65" s="63">
        <f>129.64/1.3</f>
        <v>99.723076923076903</v>
      </c>
      <c r="C65" s="63"/>
      <c r="D65" s="63"/>
      <c r="E65" s="93"/>
      <c r="F65" s="93"/>
      <c r="G65" s="93"/>
      <c r="H65" s="93"/>
      <c r="I65" s="52">
        <f>IF(A65&lt;&gt;0,(B65-(B64-D64))/(A65-A64),"")</f>
        <v>11.242307692307683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27</v>
      </c>
      <c r="B66" s="63">
        <f>182.93/1.3</f>
        <v>140.71538461538461</v>
      </c>
      <c r="C66" s="63">
        <v>2</v>
      </c>
      <c r="D66" s="63">
        <f>45.04/1.3</f>
        <v>34.646153846153844</v>
      </c>
      <c r="E66" s="93"/>
      <c r="F66" s="93"/>
      <c r="G66" s="93">
        <v>0.5</v>
      </c>
      <c r="H66" s="93">
        <v>0.5</v>
      </c>
      <c r="I66" s="52">
        <f t="shared" ref="I66:I81" si="2">IF(A66&lt;&gt;0,(B66-(B65-D65))/(A66-A65),"")</f>
        <v>13.664102564102569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30</v>
      </c>
      <c r="B67" s="63">
        <f>188.48/1.3</f>
        <v>144.98461538461538</v>
      </c>
      <c r="C67" s="63"/>
      <c r="D67" s="63"/>
      <c r="E67" s="93"/>
      <c r="F67" s="93"/>
      <c r="G67" s="93"/>
      <c r="H67" s="93"/>
      <c r="I67" s="52">
        <f t="shared" si="2"/>
        <v>12.971794871794875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33</v>
      </c>
      <c r="B68" s="63">
        <f>239.07/1.3</f>
        <v>183.89999999999998</v>
      </c>
      <c r="C68" s="63">
        <v>3</v>
      </c>
      <c r="D68" s="63">
        <f>55.91/1.3</f>
        <v>43.007692307692302</v>
      </c>
      <c r="E68" s="93"/>
      <c r="F68" s="93"/>
      <c r="G68" s="93"/>
      <c r="H68" s="93"/>
      <c r="I68" s="52">
        <f t="shared" si="2"/>
        <v>12.971794871794865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63">
        <v>41</v>
      </c>
      <c r="B69" s="63">
        <f>315.66/1.3</f>
        <v>242.81538461538463</v>
      </c>
      <c r="C69" s="63">
        <v>4</v>
      </c>
      <c r="D69" s="63">
        <f>76.03/1.3</f>
        <v>58.484615384615381</v>
      </c>
      <c r="E69" s="93"/>
      <c r="F69" s="93"/>
      <c r="G69" s="93"/>
      <c r="H69" s="93"/>
      <c r="I69" s="52">
        <f t="shared" si="2"/>
        <v>12.74038461538462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63">
        <v>50</v>
      </c>
      <c r="B70" s="63">
        <f>378.41/1.3</f>
        <v>291.0846153846154</v>
      </c>
      <c r="C70" s="63">
        <v>5</v>
      </c>
      <c r="D70" s="63">
        <f>71.88/1.3</f>
        <v>55.292307692307688</v>
      </c>
      <c r="E70" s="93"/>
      <c r="F70" s="93"/>
      <c r="G70" s="93"/>
      <c r="H70" s="93"/>
      <c r="I70" s="52">
        <f t="shared" si="2"/>
        <v>11.861538461538462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63">
        <v>60</v>
      </c>
      <c r="B71" s="63">
        <f>445.15/1.3</f>
        <v>342.42307692307691</v>
      </c>
      <c r="C71" s="63">
        <v>6</v>
      </c>
      <c r="D71" s="63">
        <f>70.54/1.3</f>
        <v>54.261538461538464</v>
      </c>
      <c r="E71" s="93"/>
      <c r="F71" s="93"/>
      <c r="G71" s="93"/>
      <c r="H71" s="93"/>
      <c r="I71" s="52">
        <f t="shared" si="2"/>
        <v>10.66307692307692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63">
        <v>70</v>
      </c>
      <c r="B72" s="63">
        <f>493.99/1.3</f>
        <v>379.99230769230769</v>
      </c>
      <c r="C72" s="63">
        <v>7</v>
      </c>
      <c r="D72" s="63">
        <f>68.47/1.3</f>
        <v>52.669230769230765</v>
      </c>
      <c r="E72" s="93"/>
      <c r="F72" s="93"/>
      <c r="G72" s="93"/>
      <c r="H72" s="93"/>
      <c r="I72" s="52">
        <f t="shared" si="2"/>
        <v>9.1830769230769249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63">
        <v>80</v>
      </c>
      <c r="B73" s="63">
        <f>523.78/1.3</f>
        <v>402.90769230769229</v>
      </c>
      <c r="C73" s="63">
        <v>8</v>
      </c>
      <c r="D73" s="63">
        <f>B73</f>
        <v>402.90769230769229</v>
      </c>
      <c r="E73" s="93"/>
      <c r="F73" s="93"/>
      <c r="G73" s="93"/>
      <c r="H73" s="93"/>
      <c r="I73" s="52">
        <f t="shared" si="2"/>
        <v>7.5584615384615343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Mélèze d'Europe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18</v>
      </c>
      <c r="B88" s="53">
        <v>112</v>
      </c>
      <c r="C88" s="53">
        <v>1</v>
      </c>
      <c r="D88" s="53">
        <v>20</v>
      </c>
      <c r="E88" s="54"/>
      <c r="F88" s="54"/>
      <c r="G88" s="54">
        <v>0.5</v>
      </c>
      <c r="H88" s="54">
        <v>0.5</v>
      </c>
      <c r="I88" s="56">
        <f>IFERROR(B88/A88,"")</f>
        <v>6.2222222222222223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21</v>
      </c>
      <c r="B89" s="53">
        <v>146</v>
      </c>
      <c r="C89" s="53">
        <v>2</v>
      </c>
      <c r="D89" s="53">
        <v>26</v>
      </c>
      <c r="E89" s="54"/>
      <c r="F89" s="54"/>
      <c r="G89" s="54">
        <v>0.5</v>
      </c>
      <c r="H89" s="54">
        <v>0.5</v>
      </c>
      <c r="I89" s="56">
        <f t="shared" ref="I89:I107" si="3">IF(A89&lt;&gt;0,(B89-(B88-D88))/(A89-A88),"")</f>
        <v>18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24</v>
      </c>
      <c r="B90" s="53">
        <v>168</v>
      </c>
      <c r="C90" s="53">
        <v>3</v>
      </c>
      <c r="D90" s="53">
        <v>29</v>
      </c>
      <c r="E90" s="54"/>
      <c r="F90" s="54">
        <v>0.2</v>
      </c>
      <c r="G90" s="54">
        <v>0.4</v>
      </c>
      <c r="H90" s="54">
        <v>0.4</v>
      </c>
      <c r="I90" s="56">
        <f t="shared" si="3"/>
        <v>16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30</v>
      </c>
      <c r="B91" s="53">
        <v>224</v>
      </c>
      <c r="C91" s="53">
        <v>4</v>
      </c>
      <c r="D91" s="53">
        <v>53</v>
      </c>
      <c r="E91" s="54"/>
      <c r="F91" s="54">
        <v>0.3</v>
      </c>
      <c r="G91" s="54">
        <v>0.4</v>
      </c>
      <c r="H91" s="54">
        <v>0.3</v>
      </c>
      <c r="I91" s="56">
        <f t="shared" si="3"/>
        <v>14.166666666666666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36</v>
      </c>
      <c r="B92" s="53">
        <v>248</v>
      </c>
      <c r="C92" s="53">
        <v>5</v>
      </c>
      <c r="D92" s="53">
        <v>62</v>
      </c>
      <c r="E92" s="54"/>
      <c r="F92" s="54"/>
      <c r="G92" s="54"/>
      <c r="H92" s="54"/>
      <c r="I92" s="56">
        <f t="shared" si="3"/>
        <v>12.833333333333334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42</v>
      </c>
      <c r="B93" s="53">
        <v>255</v>
      </c>
      <c r="C93" s="53">
        <v>6</v>
      </c>
      <c r="D93" s="53">
        <v>67</v>
      </c>
      <c r="E93" s="54"/>
      <c r="F93" s="54"/>
      <c r="G93" s="54"/>
      <c r="H93" s="54"/>
      <c r="I93" s="56">
        <f t="shared" si="3"/>
        <v>11.5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48</v>
      </c>
      <c r="B94" s="53">
        <v>252</v>
      </c>
      <c r="C94" s="53">
        <v>7</v>
      </c>
      <c r="D94" s="53">
        <v>65</v>
      </c>
      <c r="E94" s="54"/>
      <c r="F94" s="54"/>
      <c r="G94" s="54"/>
      <c r="H94" s="54"/>
      <c r="I94" s="56">
        <f t="shared" si="3"/>
        <v>10.666666666666666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53">
        <v>60</v>
      </c>
      <c r="B95" s="53">
        <v>304</v>
      </c>
      <c r="C95" s="53">
        <v>8</v>
      </c>
      <c r="D95" s="53">
        <v>304</v>
      </c>
      <c r="E95" s="54"/>
      <c r="F95" s="54"/>
      <c r="G95" s="54"/>
      <c r="H95" s="54"/>
      <c r="I95" s="56">
        <f t="shared" si="3"/>
        <v>9.75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53"/>
      <c r="B96" s="53"/>
      <c r="C96" s="53"/>
      <c r="D96" s="53"/>
      <c r="E96" s="54"/>
      <c r="F96" s="54"/>
      <c r="G96" s="54"/>
      <c r="H96" s="54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53"/>
      <c r="B97" s="53"/>
      <c r="C97" s="53"/>
      <c r="D97" s="53"/>
      <c r="E97" s="54"/>
      <c r="F97" s="54"/>
      <c r="G97" s="54"/>
      <c r="H97" s="54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53"/>
      <c r="B98" s="53"/>
      <c r="C98" s="53"/>
      <c r="D98" s="53"/>
      <c r="E98" s="54"/>
      <c r="F98" s="54"/>
      <c r="G98" s="54"/>
      <c r="H98" s="54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53"/>
      <c r="B99" s="53"/>
      <c r="C99" s="53"/>
      <c r="D99" s="53"/>
      <c r="E99" s="54"/>
      <c r="F99" s="54"/>
      <c r="G99" s="54"/>
      <c r="H99" s="54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53"/>
      <c r="B100" s="53"/>
      <c r="C100" s="53"/>
      <c r="D100" s="53"/>
      <c r="E100" s="54"/>
      <c r="F100" s="54"/>
      <c r="G100" s="54"/>
      <c r="H100" s="54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53"/>
      <c r="B101" s="53"/>
      <c r="C101" s="53"/>
      <c r="D101" s="53"/>
      <c r="E101" s="54"/>
      <c r="F101" s="54"/>
      <c r="G101" s="54"/>
      <c r="H101" s="54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53"/>
      <c r="B102" s="53"/>
      <c r="C102" s="53"/>
      <c r="D102" s="53"/>
      <c r="E102" s="54"/>
      <c r="F102" s="54"/>
      <c r="G102" s="54"/>
      <c r="H102" s="54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53"/>
      <c r="B103" s="53"/>
      <c r="C103" s="53"/>
      <c r="D103" s="53"/>
      <c r="E103" s="54"/>
      <c r="F103" s="54"/>
      <c r="G103" s="54"/>
      <c r="H103" s="54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53"/>
      <c r="B104" s="53"/>
      <c r="C104" s="53"/>
      <c r="D104" s="53"/>
      <c r="E104" s="54"/>
      <c r="F104" s="54"/>
      <c r="G104" s="54"/>
      <c r="H104" s="54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4"/>
      <c r="F105" s="54"/>
      <c r="G105" s="54"/>
      <c r="H105" s="54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4"/>
      <c r="F106" s="54"/>
      <c r="G106" s="54"/>
      <c r="H106" s="54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4"/>
      <c r="F107" s="54"/>
      <c r="G107" s="54"/>
      <c r="H107" s="54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Chêne sessile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20</v>
      </c>
      <c r="B114" s="63">
        <v>42</v>
      </c>
      <c r="C114" s="63"/>
      <c r="D114" s="63"/>
      <c r="E114" s="54"/>
      <c r="F114" s="54"/>
      <c r="G114" s="54"/>
      <c r="H114" s="54"/>
      <c r="I114" s="56">
        <f>IFERROR(B114/A114,"")</f>
        <v>2.1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25</v>
      </c>
      <c r="B115" s="63">
        <f>62+8</f>
        <v>70</v>
      </c>
      <c r="C115" s="63"/>
      <c r="D115" s="63"/>
      <c r="E115" s="54"/>
      <c r="F115" s="54"/>
      <c r="G115" s="54"/>
      <c r="H115" s="54"/>
      <c r="I115" s="56">
        <f t="shared" ref="I115:I133" si="4">IF(A115&lt;&gt;0,(B115-(B114-D114))/(A115-A114),"")</f>
        <v>5.6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30</v>
      </c>
      <c r="B116" s="63">
        <f>76+8+21</f>
        <v>105</v>
      </c>
      <c r="C116" s="63">
        <v>1</v>
      </c>
      <c r="D116" s="63">
        <f>8+21</f>
        <v>29</v>
      </c>
      <c r="E116" s="54"/>
      <c r="F116" s="54"/>
      <c r="G116" s="54"/>
      <c r="H116" s="54">
        <v>1</v>
      </c>
      <c r="I116" s="56">
        <f t="shared" si="4"/>
        <v>7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35</v>
      </c>
      <c r="B117" s="63">
        <f>95+21</f>
        <v>116</v>
      </c>
      <c r="C117" s="63"/>
      <c r="D117" s="63"/>
      <c r="E117" s="54"/>
      <c r="F117" s="54"/>
      <c r="G117" s="54"/>
      <c r="H117" s="54"/>
      <c r="I117" s="56">
        <f t="shared" si="4"/>
        <v>8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40</v>
      </c>
      <c r="B118" s="63">
        <f>116+21+21</f>
        <v>158</v>
      </c>
      <c r="C118" s="63">
        <v>2</v>
      </c>
      <c r="D118" s="63">
        <f>21+21</f>
        <v>42</v>
      </c>
      <c r="E118" s="54"/>
      <c r="F118" s="54"/>
      <c r="G118" s="54"/>
      <c r="H118" s="54"/>
      <c r="I118" s="56">
        <f t="shared" si="4"/>
        <v>8.4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45</v>
      </c>
      <c r="B119" s="63">
        <f>137+21</f>
        <v>158</v>
      </c>
      <c r="C119" s="63"/>
      <c r="D119" s="63"/>
      <c r="E119" s="54"/>
      <c r="F119" s="54"/>
      <c r="G119" s="54"/>
      <c r="H119" s="54"/>
      <c r="I119" s="56">
        <f t="shared" si="4"/>
        <v>8.4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53">
        <v>50</v>
      </c>
      <c r="B120" s="63">
        <f>157+21+21</f>
        <v>199</v>
      </c>
      <c r="C120" s="63">
        <v>3</v>
      </c>
      <c r="D120" s="63">
        <f>21+21</f>
        <v>42</v>
      </c>
      <c r="E120" s="54"/>
      <c r="F120" s="54"/>
      <c r="G120" s="54"/>
      <c r="H120" s="54"/>
      <c r="I120" s="56">
        <f t="shared" si="4"/>
        <v>8.1999999999999993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53">
        <v>55</v>
      </c>
      <c r="B121" s="63">
        <f>176+21</f>
        <v>197</v>
      </c>
      <c r="C121" s="63"/>
      <c r="D121" s="63"/>
      <c r="E121" s="54"/>
      <c r="F121" s="54"/>
      <c r="G121" s="54"/>
      <c r="H121" s="54"/>
      <c r="I121" s="56">
        <f t="shared" si="4"/>
        <v>8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53">
        <v>60</v>
      </c>
      <c r="B122" s="53">
        <v>235</v>
      </c>
      <c r="C122" s="53">
        <v>4</v>
      </c>
      <c r="D122" s="53">
        <v>42</v>
      </c>
      <c r="E122" s="54"/>
      <c r="F122" s="54"/>
      <c r="G122" s="54"/>
      <c r="H122" s="54"/>
      <c r="I122" s="56">
        <f t="shared" si="4"/>
        <v>7.6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53">
        <v>65</v>
      </c>
      <c r="B123" s="53">
        <v>229</v>
      </c>
      <c r="C123" s="53"/>
      <c r="D123" s="53"/>
      <c r="E123" s="54"/>
      <c r="F123" s="54"/>
      <c r="G123" s="54"/>
      <c r="H123" s="54"/>
      <c r="I123" s="56">
        <f t="shared" si="4"/>
        <v>7.2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53">
        <v>70</v>
      </c>
      <c r="B124" s="53">
        <v>263</v>
      </c>
      <c r="C124" s="53">
        <v>5</v>
      </c>
      <c r="D124" s="53">
        <v>42</v>
      </c>
      <c r="E124" s="54"/>
      <c r="F124" s="54"/>
      <c r="G124" s="54"/>
      <c r="H124" s="54"/>
      <c r="I124" s="56">
        <f t="shared" si="4"/>
        <v>6.8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53">
        <v>75</v>
      </c>
      <c r="B125" s="53">
        <v>252</v>
      </c>
      <c r="C125" s="53"/>
      <c r="D125" s="53"/>
      <c r="E125" s="54"/>
      <c r="F125" s="54"/>
      <c r="G125" s="54"/>
      <c r="H125" s="54"/>
      <c r="I125" s="56">
        <f t="shared" si="4"/>
        <v>6.2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53">
        <v>80</v>
      </c>
      <c r="B126" s="53">
        <v>282</v>
      </c>
      <c r="C126" s="53">
        <v>6</v>
      </c>
      <c r="D126" s="53">
        <v>42</v>
      </c>
      <c r="E126" s="54"/>
      <c r="F126" s="54"/>
      <c r="G126" s="54"/>
      <c r="H126" s="54"/>
      <c r="I126" s="56">
        <f t="shared" si="4"/>
        <v>6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53">
        <v>90</v>
      </c>
      <c r="B127" s="53">
        <v>296</v>
      </c>
      <c r="C127" s="53">
        <v>7</v>
      </c>
      <c r="D127" s="53">
        <v>42</v>
      </c>
      <c r="E127" s="54"/>
      <c r="F127" s="54"/>
      <c r="G127" s="54"/>
      <c r="H127" s="54"/>
      <c r="I127" s="56">
        <f t="shared" si="4"/>
        <v>5.6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>
        <v>100</v>
      </c>
      <c r="B128" s="53">
        <v>303</v>
      </c>
      <c r="C128" s="53">
        <v>8</v>
      </c>
      <c r="D128" s="53">
        <v>42</v>
      </c>
      <c r="E128" s="54"/>
      <c r="F128" s="54"/>
      <c r="G128" s="54"/>
      <c r="H128" s="54"/>
      <c r="I128" s="56">
        <f t="shared" si="4"/>
        <v>4.9000000000000004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>
        <v>110</v>
      </c>
      <c r="B129" s="53">
        <v>305</v>
      </c>
      <c r="C129" s="53">
        <v>9</v>
      </c>
      <c r="D129" s="53">
        <v>39</v>
      </c>
      <c r="E129" s="54"/>
      <c r="F129" s="54"/>
      <c r="G129" s="54"/>
      <c r="H129" s="54"/>
      <c r="I129" s="56">
        <f t="shared" si="4"/>
        <v>4.4000000000000004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>
        <v>120</v>
      </c>
      <c r="B130" s="53">
        <v>303</v>
      </c>
      <c r="C130" s="53">
        <v>10</v>
      </c>
      <c r="D130" s="53">
        <v>35</v>
      </c>
      <c r="E130" s="54"/>
      <c r="F130" s="54"/>
      <c r="G130" s="54"/>
      <c r="H130" s="54"/>
      <c r="I130" s="56">
        <f t="shared" si="4"/>
        <v>3.7</v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>
        <v>130</v>
      </c>
      <c r="B131" s="53">
        <v>300</v>
      </c>
      <c r="C131" s="53">
        <v>11</v>
      </c>
      <c r="D131" s="53">
        <v>31</v>
      </c>
      <c r="E131" s="54"/>
      <c r="F131" s="54"/>
      <c r="G131" s="54"/>
      <c r="H131" s="54"/>
      <c r="I131" s="56">
        <f t="shared" si="4"/>
        <v>3.2</v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>
        <v>140</v>
      </c>
      <c r="B132" s="53">
        <v>296</v>
      </c>
      <c r="C132" s="53">
        <v>12</v>
      </c>
      <c r="D132" s="53">
        <v>27</v>
      </c>
      <c r="E132" s="54"/>
      <c r="F132" s="54"/>
      <c r="G132" s="54"/>
      <c r="H132" s="54"/>
      <c r="I132" s="56">
        <f t="shared" si="4"/>
        <v>2.7</v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>
        <v>150</v>
      </c>
      <c r="B133" s="53">
        <v>293</v>
      </c>
      <c r="C133" s="53">
        <v>13</v>
      </c>
      <c r="D133" s="53">
        <v>293</v>
      </c>
      <c r="E133" s="54"/>
      <c r="F133" s="54"/>
      <c r="G133" s="54"/>
      <c r="H133" s="54"/>
      <c r="I133" s="56">
        <f t="shared" si="4"/>
        <v>2.4</v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Erable plane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>
        <v>15</v>
      </c>
      <c r="B140" s="63">
        <v>37</v>
      </c>
      <c r="C140" s="63"/>
      <c r="D140" s="63"/>
      <c r="E140" s="54"/>
      <c r="F140" s="54"/>
      <c r="G140" s="54"/>
      <c r="H140" s="93"/>
      <c r="I140" s="60">
        <f>IFERROR(B140/A140,"")</f>
        <v>2.4666666666666668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>
        <v>20</v>
      </c>
      <c r="B141" s="63">
        <f>80+15</f>
        <v>95</v>
      </c>
      <c r="C141" s="63">
        <v>1</v>
      </c>
      <c r="D141" s="63">
        <f>15+28</f>
        <v>43</v>
      </c>
      <c r="E141" s="54"/>
      <c r="F141" s="54"/>
      <c r="G141" s="54"/>
      <c r="H141" s="93">
        <v>1</v>
      </c>
      <c r="I141" s="60">
        <f t="shared" ref="I141:I159" si="5">IF(A141&lt;&gt;0,(B141-(B140-D140))/(A141-A140),"")</f>
        <v>11.6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>
        <v>25</v>
      </c>
      <c r="B142" s="63">
        <v>115</v>
      </c>
      <c r="C142" s="63"/>
      <c r="D142" s="63"/>
      <c r="E142" s="93"/>
      <c r="F142" s="93"/>
      <c r="G142" s="93"/>
      <c r="H142" s="93"/>
      <c r="I142" s="60">
        <f t="shared" si="5"/>
        <v>12.6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>
        <v>30</v>
      </c>
      <c r="B143" s="63">
        <f>147+28</f>
        <v>175</v>
      </c>
      <c r="C143" s="63">
        <v>2</v>
      </c>
      <c r="D143" s="63">
        <f>28+28</f>
        <v>56</v>
      </c>
      <c r="E143" s="93"/>
      <c r="F143" s="93"/>
      <c r="G143" s="93"/>
      <c r="H143" s="93">
        <v>1</v>
      </c>
      <c r="I143" s="60">
        <f t="shared" si="5"/>
        <v>12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>
        <v>35</v>
      </c>
      <c r="B144" s="63">
        <v>172</v>
      </c>
      <c r="C144" s="63"/>
      <c r="D144" s="63"/>
      <c r="E144" s="93"/>
      <c r="F144" s="93"/>
      <c r="G144" s="93"/>
      <c r="H144" s="93"/>
      <c r="I144" s="60">
        <f t="shared" si="5"/>
        <v>10.6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>
        <v>40</v>
      </c>
      <c r="B145" s="63">
        <f>192+28</f>
        <v>220</v>
      </c>
      <c r="C145" s="63">
        <v>3</v>
      </c>
      <c r="D145" s="63">
        <f>28+28</f>
        <v>56</v>
      </c>
      <c r="E145" s="93"/>
      <c r="F145" s="93"/>
      <c r="G145" s="93"/>
      <c r="H145" s="93"/>
      <c r="I145" s="60">
        <f t="shared" si="5"/>
        <v>9.6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>
        <v>45</v>
      </c>
      <c r="B146" s="63">
        <v>205</v>
      </c>
      <c r="C146" s="63"/>
      <c r="D146" s="63"/>
      <c r="E146" s="93"/>
      <c r="F146" s="93"/>
      <c r="G146" s="93"/>
      <c r="H146" s="93"/>
      <c r="I146" s="60">
        <f t="shared" si="5"/>
        <v>8.1999999999999993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63">
        <v>50</v>
      </c>
      <c r="B147" s="63">
        <f>218+22</f>
        <v>240</v>
      </c>
      <c r="C147" s="63">
        <v>4</v>
      </c>
      <c r="D147" s="63">
        <f>22+17</f>
        <v>39</v>
      </c>
      <c r="E147" s="93"/>
      <c r="F147" s="93"/>
      <c r="G147" s="93"/>
      <c r="H147" s="93"/>
      <c r="I147" s="60">
        <f>IF(A147&lt;&gt;0,(B147-(B146-D146))/(A147-A146),"")</f>
        <v>7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63">
        <v>55</v>
      </c>
      <c r="B148" s="63">
        <v>233</v>
      </c>
      <c r="C148" s="63"/>
      <c r="D148" s="63"/>
      <c r="E148" s="93"/>
      <c r="F148" s="93"/>
      <c r="G148" s="93"/>
      <c r="H148" s="93"/>
      <c r="I148" s="60">
        <f t="shared" si="5"/>
        <v>6.4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63">
        <v>60</v>
      </c>
      <c r="B149" s="63">
        <f>245+13</f>
        <v>258</v>
      </c>
      <c r="C149" s="63">
        <v>5</v>
      </c>
      <c r="D149" s="63">
        <f>13+12</f>
        <v>25</v>
      </c>
      <c r="E149" s="93"/>
      <c r="F149" s="93"/>
      <c r="G149" s="93"/>
      <c r="H149" s="93"/>
      <c r="I149" s="60">
        <f t="shared" si="5"/>
        <v>5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63">
        <v>65</v>
      </c>
      <c r="B150" s="63">
        <v>255</v>
      </c>
      <c r="C150" s="63"/>
      <c r="D150" s="63"/>
      <c r="E150" s="93"/>
      <c r="F150" s="93"/>
      <c r="G150" s="93"/>
      <c r="H150" s="93"/>
      <c r="I150" s="60">
        <f t="shared" si="5"/>
        <v>4.4000000000000004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63">
        <v>70</v>
      </c>
      <c r="B151" s="63">
        <f>263+11</f>
        <v>274</v>
      </c>
      <c r="C151" s="63">
        <v>6</v>
      </c>
      <c r="D151" s="63">
        <f>11+10</f>
        <v>21</v>
      </c>
      <c r="E151" s="93"/>
      <c r="F151" s="93"/>
      <c r="G151" s="93"/>
      <c r="H151" s="93"/>
      <c r="I151" s="60">
        <f t="shared" si="5"/>
        <v>3.8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63">
        <v>75</v>
      </c>
      <c r="B152" s="63">
        <v>270</v>
      </c>
      <c r="C152" s="63"/>
      <c r="D152" s="63"/>
      <c r="E152" s="68"/>
      <c r="F152" s="68"/>
      <c r="G152" s="68"/>
      <c r="H152" s="68"/>
      <c r="I152" s="60">
        <f t="shared" si="5"/>
        <v>3.4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63">
        <v>80</v>
      </c>
      <c r="B153" s="63">
        <f>276+9</f>
        <v>285</v>
      </c>
      <c r="C153" s="63">
        <v>7</v>
      </c>
      <c r="D153" s="63">
        <f>B153</f>
        <v>285</v>
      </c>
      <c r="E153" s="68"/>
      <c r="F153" s="68"/>
      <c r="G153" s="68"/>
      <c r="H153" s="68"/>
      <c r="I153" s="60">
        <f t="shared" si="5"/>
        <v>3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63"/>
      <c r="B154" s="53"/>
      <c r="C154" s="6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>Châtaignier</v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>
        <v>15</v>
      </c>
      <c r="B166" s="63">
        <v>37</v>
      </c>
      <c r="C166" s="63"/>
      <c r="D166" s="63"/>
      <c r="E166" s="54"/>
      <c r="F166" s="54"/>
      <c r="G166" s="54"/>
      <c r="H166" s="93"/>
      <c r="I166" s="52">
        <f>IFERROR(B166/A166,"")</f>
        <v>2.4666666666666668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>
        <v>20</v>
      </c>
      <c r="B167" s="63">
        <f>80+15</f>
        <v>95</v>
      </c>
      <c r="C167" s="63">
        <v>1</v>
      </c>
      <c r="D167" s="63">
        <f>15+28</f>
        <v>43</v>
      </c>
      <c r="E167" s="54"/>
      <c r="F167" s="54"/>
      <c r="G167" s="54"/>
      <c r="H167" s="93">
        <v>1</v>
      </c>
      <c r="I167" s="52">
        <f t="shared" ref="I167:I185" si="6">IF(A167&lt;&gt;0,(B167-(B166-D166))/(A167-A166),"")</f>
        <v>11.6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>
        <v>25</v>
      </c>
      <c r="B168" s="63">
        <v>115</v>
      </c>
      <c r="C168" s="63"/>
      <c r="D168" s="63"/>
      <c r="E168" s="93"/>
      <c r="F168" s="93"/>
      <c r="G168" s="93"/>
      <c r="H168" s="93"/>
      <c r="I168" s="52">
        <f t="shared" si="6"/>
        <v>12.6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>
        <v>30</v>
      </c>
      <c r="B169" s="63">
        <f>147+28</f>
        <v>175</v>
      </c>
      <c r="C169" s="63">
        <v>2</v>
      </c>
      <c r="D169" s="63">
        <f>28+28</f>
        <v>56</v>
      </c>
      <c r="E169" s="93"/>
      <c r="F169" s="93"/>
      <c r="G169" s="93"/>
      <c r="H169" s="93">
        <v>1</v>
      </c>
      <c r="I169" s="52">
        <f t="shared" si="6"/>
        <v>12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>
        <v>35</v>
      </c>
      <c r="B170" s="63">
        <v>172</v>
      </c>
      <c r="C170" s="63"/>
      <c r="D170" s="63"/>
      <c r="E170" s="93"/>
      <c r="F170" s="93"/>
      <c r="G170" s="93"/>
      <c r="H170" s="93"/>
      <c r="I170" s="52">
        <f t="shared" si="6"/>
        <v>10.6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>
        <v>40</v>
      </c>
      <c r="B171" s="63">
        <f>192+28</f>
        <v>220</v>
      </c>
      <c r="C171" s="63">
        <v>3</v>
      </c>
      <c r="D171" s="63">
        <f>28+28</f>
        <v>56</v>
      </c>
      <c r="E171" s="93"/>
      <c r="F171" s="93"/>
      <c r="G171" s="93"/>
      <c r="H171" s="93"/>
      <c r="I171" s="52">
        <f t="shared" si="6"/>
        <v>9.6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>
        <v>45</v>
      </c>
      <c r="B172" s="63">
        <v>205</v>
      </c>
      <c r="C172" s="63"/>
      <c r="D172" s="63"/>
      <c r="E172" s="93"/>
      <c r="F172" s="93"/>
      <c r="G172" s="93"/>
      <c r="H172" s="93"/>
      <c r="I172" s="52">
        <f t="shared" si="6"/>
        <v>8.1999999999999993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63">
        <v>50</v>
      </c>
      <c r="B173" s="63">
        <f>218+22</f>
        <v>240</v>
      </c>
      <c r="C173" s="63">
        <v>4</v>
      </c>
      <c r="D173" s="63">
        <f>22+17</f>
        <v>39</v>
      </c>
      <c r="E173" s="93"/>
      <c r="F173" s="93"/>
      <c r="G173" s="93"/>
      <c r="H173" s="93"/>
      <c r="I173" s="52">
        <f t="shared" si="6"/>
        <v>7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63">
        <v>55</v>
      </c>
      <c r="B174" s="63">
        <v>233</v>
      </c>
      <c r="C174" s="63"/>
      <c r="D174" s="63"/>
      <c r="E174" s="93"/>
      <c r="F174" s="93"/>
      <c r="G174" s="93"/>
      <c r="H174" s="93"/>
      <c r="I174" s="52">
        <f t="shared" si="6"/>
        <v>6.4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63">
        <v>60</v>
      </c>
      <c r="B175" s="63">
        <f>245+13</f>
        <v>258</v>
      </c>
      <c r="C175" s="63">
        <v>5</v>
      </c>
      <c r="D175" s="63">
        <f>13+12</f>
        <v>25</v>
      </c>
      <c r="E175" s="93"/>
      <c r="F175" s="93"/>
      <c r="G175" s="93"/>
      <c r="H175" s="93"/>
      <c r="I175" s="52">
        <f t="shared" si="6"/>
        <v>5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63">
        <v>65</v>
      </c>
      <c r="B176" s="63">
        <v>255</v>
      </c>
      <c r="C176" s="63"/>
      <c r="D176" s="63"/>
      <c r="E176" s="93"/>
      <c r="F176" s="93"/>
      <c r="G176" s="93"/>
      <c r="H176" s="93"/>
      <c r="I176" s="52">
        <f t="shared" si="6"/>
        <v>4.4000000000000004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63">
        <v>70</v>
      </c>
      <c r="B177" s="63">
        <f>263+11</f>
        <v>274</v>
      </c>
      <c r="C177" s="63">
        <v>6</v>
      </c>
      <c r="D177" s="63">
        <f>11+10</f>
        <v>21</v>
      </c>
      <c r="E177" s="93"/>
      <c r="F177" s="93"/>
      <c r="G177" s="93"/>
      <c r="H177" s="93"/>
      <c r="I177" s="52">
        <f t="shared" si="6"/>
        <v>3.8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63">
        <v>75</v>
      </c>
      <c r="B178" s="63">
        <v>270</v>
      </c>
      <c r="C178" s="63"/>
      <c r="D178" s="63"/>
      <c r="E178" s="68"/>
      <c r="F178" s="68"/>
      <c r="G178" s="68"/>
      <c r="H178" s="68"/>
      <c r="I178" s="52">
        <f t="shared" si="6"/>
        <v>3.4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63">
        <v>80</v>
      </c>
      <c r="B179" s="63">
        <f>276+9</f>
        <v>285</v>
      </c>
      <c r="C179" s="63">
        <v>7</v>
      </c>
      <c r="D179" s="63">
        <f>B179</f>
        <v>285</v>
      </c>
      <c r="E179" s="68"/>
      <c r="F179" s="68"/>
      <c r="G179" s="68"/>
      <c r="H179" s="68"/>
      <c r="I179" s="52">
        <f t="shared" si="6"/>
        <v>3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>Hêtre</v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>
        <v>25</v>
      </c>
      <c r="B192" s="63">
        <v>40</v>
      </c>
      <c r="C192" s="53"/>
      <c r="D192" s="63"/>
      <c r="E192" s="54"/>
      <c r="F192" s="54"/>
      <c r="G192" s="54"/>
      <c r="H192" s="54"/>
      <c r="I192" s="52">
        <f>IFERROR(B192/A192,"")</f>
        <v>1.6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>
        <v>30</v>
      </c>
      <c r="B193" s="63">
        <v>73</v>
      </c>
      <c r="C193" s="53">
        <v>1</v>
      </c>
      <c r="D193" s="63">
        <v>12</v>
      </c>
      <c r="E193" s="54"/>
      <c r="F193" s="54"/>
      <c r="G193" s="54"/>
      <c r="H193" s="54">
        <v>1</v>
      </c>
      <c r="I193" s="52">
        <f t="shared" ref="I193:I211" si="7">IF(A193&lt;&gt;0,(B193-(B192-D192))/(A193-A192),"")</f>
        <v>6.6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>
        <v>35</v>
      </c>
      <c r="B194" s="63">
        <v>97</v>
      </c>
      <c r="C194" s="53"/>
      <c r="D194" s="63"/>
      <c r="E194" s="54"/>
      <c r="F194" s="54"/>
      <c r="G194" s="54"/>
      <c r="H194" s="54"/>
      <c r="I194" s="52">
        <f t="shared" si="7"/>
        <v>7.2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>
        <v>40</v>
      </c>
      <c r="B195" s="63">
        <f>115+21</f>
        <v>136</v>
      </c>
      <c r="C195" s="53">
        <v>2</v>
      </c>
      <c r="D195" s="63">
        <f>21+21</f>
        <v>42</v>
      </c>
      <c r="E195" s="54"/>
      <c r="F195" s="54"/>
      <c r="G195" s="54"/>
      <c r="H195" s="54"/>
      <c r="I195" s="52">
        <f t="shared" si="7"/>
        <v>7.8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>
        <v>45</v>
      </c>
      <c r="B196" s="63">
        <v>134</v>
      </c>
      <c r="C196" s="53"/>
      <c r="D196" s="63"/>
      <c r="E196" s="54"/>
      <c r="F196" s="54"/>
      <c r="G196" s="54"/>
      <c r="H196" s="54"/>
      <c r="I196" s="52">
        <f t="shared" si="7"/>
        <v>8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>
        <v>50</v>
      </c>
      <c r="B197" s="63">
        <f>154+21</f>
        <v>175</v>
      </c>
      <c r="C197" s="53">
        <v>3</v>
      </c>
      <c r="D197" s="63">
        <f>21+21</f>
        <v>42</v>
      </c>
      <c r="E197" s="54"/>
      <c r="F197" s="54"/>
      <c r="G197" s="54"/>
      <c r="H197" s="54"/>
      <c r="I197" s="52">
        <f t="shared" si="7"/>
        <v>8.1999999999999993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>
        <v>55</v>
      </c>
      <c r="B198" s="63">
        <v>176</v>
      </c>
      <c r="C198" s="53"/>
      <c r="D198" s="63"/>
      <c r="E198" s="54"/>
      <c r="F198" s="54"/>
      <c r="G198" s="54"/>
      <c r="H198" s="54"/>
      <c r="I198" s="52">
        <f t="shared" si="7"/>
        <v>8.6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>
        <v>60</v>
      </c>
      <c r="B199" s="63">
        <f>197+21</f>
        <v>218</v>
      </c>
      <c r="C199" s="53">
        <v>4</v>
      </c>
      <c r="D199" s="63">
        <f>21+21</f>
        <v>42</v>
      </c>
      <c r="E199" s="54"/>
      <c r="F199" s="54"/>
      <c r="G199" s="54"/>
      <c r="H199" s="54"/>
      <c r="I199" s="52">
        <f t="shared" si="7"/>
        <v>8.4</v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>
        <v>65</v>
      </c>
      <c r="B200" s="63">
        <v>217</v>
      </c>
      <c r="C200" s="53"/>
      <c r="D200" s="63"/>
      <c r="E200" s="54"/>
      <c r="F200" s="54"/>
      <c r="G200" s="54"/>
      <c r="H200" s="54"/>
      <c r="I200" s="52">
        <f t="shared" si="7"/>
        <v>8.1999999999999993</v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>
        <v>70</v>
      </c>
      <c r="B201" s="63">
        <f>237+21</f>
        <v>258</v>
      </c>
      <c r="C201" s="53">
        <v>5</v>
      </c>
      <c r="D201" s="63">
        <f>21+21</f>
        <v>42</v>
      </c>
      <c r="E201" s="54"/>
      <c r="F201" s="54"/>
      <c r="G201" s="54"/>
      <c r="H201" s="54"/>
      <c r="I201" s="52">
        <f t="shared" si="7"/>
        <v>8.1999999999999993</v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>
        <v>75</v>
      </c>
      <c r="B202" s="63">
        <v>254</v>
      </c>
      <c r="C202" s="53"/>
      <c r="D202" s="63"/>
      <c r="E202" s="54"/>
      <c r="F202" s="54"/>
      <c r="G202" s="54"/>
      <c r="H202" s="54"/>
      <c r="I202" s="52">
        <f t="shared" si="7"/>
        <v>7.6</v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>
        <v>80</v>
      </c>
      <c r="B203" s="63">
        <f>270+21</f>
        <v>291</v>
      </c>
      <c r="C203" s="53">
        <v>6</v>
      </c>
      <c r="D203" s="63">
        <f>21+21</f>
        <v>42</v>
      </c>
      <c r="E203" s="54"/>
      <c r="F203" s="54"/>
      <c r="G203" s="54"/>
      <c r="H203" s="54"/>
      <c r="I203" s="52">
        <f t="shared" si="7"/>
        <v>7.4</v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>
        <v>85</v>
      </c>
      <c r="B204" s="63">
        <v>284</v>
      </c>
      <c r="C204" s="53"/>
      <c r="D204" s="63"/>
      <c r="E204" s="57"/>
      <c r="F204" s="57"/>
      <c r="G204" s="57"/>
      <c r="H204" s="57"/>
      <c r="I204" s="52">
        <f t="shared" si="7"/>
        <v>7</v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63">
        <v>90</v>
      </c>
      <c r="B205" s="63">
        <f>296+21</f>
        <v>317</v>
      </c>
      <c r="C205" s="63">
        <v>7</v>
      </c>
      <c r="D205" s="63">
        <f>21+21</f>
        <v>42</v>
      </c>
      <c r="E205" s="54"/>
      <c r="F205" s="54"/>
      <c r="G205" s="54"/>
      <c r="H205" s="54"/>
      <c r="I205" s="52">
        <f t="shared" si="7"/>
        <v>6.6</v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63">
        <v>100</v>
      </c>
      <c r="B206" s="53">
        <f>316+20</f>
        <v>336</v>
      </c>
      <c r="C206" s="63">
        <v>8</v>
      </c>
      <c r="D206" s="53">
        <f>20+19</f>
        <v>39</v>
      </c>
      <c r="E206" s="57"/>
      <c r="F206" s="57"/>
      <c r="G206" s="57"/>
      <c r="H206" s="57"/>
      <c r="I206" s="52">
        <f t="shared" si="7"/>
        <v>6.1</v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283">
        <v>110</v>
      </c>
      <c r="B207" s="53">
        <f>333+18</f>
        <v>351</v>
      </c>
      <c r="C207" s="53">
        <v>9</v>
      </c>
      <c r="D207" s="53">
        <f>18+18</f>
        <v>36</v>
      </c>
      <c r="E207" s="54"/>
      <c r="F207" s="54"/>
      <c r="G207" s="54"/>
      <c r="H207" s="54"/>
      <c r="I207" s="52">
        <f t="shared" si="7"/>
        <v>5.4</v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283">
        <v>120</v>
      </c>
      <c r="B208" s="53">
        <f>346+17</f>
        <v>363</v>
      </c>
      <c r="C208" s="53">
        <v>10</v>
      </c>
      <c r="D208" s="53">
        <f>17+16</f>
        <v>33</v>
      </c>
      <c r="E208" s="54"/>
      <c r="F208" s="54"/>
      <c r="G208" s="54"/>
      <c r="H208" s="54"/>
      <c r="I208" s="52">
        <f t="shared" si="7"/>
        <v>4.8</v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283">
        <v>130</v>
      </c>
      <c r="B209" s="53">
        <f>355+16</f>
        <v>371</v>
      </c>
      <c r="C209" s="53">
        <v>11</v>
      </c>
      <c r="D209" s="53">
        <f>16+16</f>
        <v>32</v>
      </c>
      <c r="E209" s="54"/>
      <c r="F209" s="54"/>
      <c r="G209" s="54"/>
      <c r="H209" s="54"/>
      <c r="I209" s="52">
        <f t="shared" si="7"/>
        <v>4.0999999999999996</v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283">
        <v>140</v>
      </c>
      <c r="B210" s="53">
        <f>361+15</f>
        <v>376</v>
      </c>
      <c r="C210" s="53">
        <v>12</v>
      </c>
      <c r="D210" s="53">
        <f>15+15</f>
        <v>30</v>
      </c>
      <c r="E210" s="54"/>
      <c r="F210" s="54"/>
      <c r="G210" s="54"/>
      <c r="H210" s="54"/>
      <c r="I210" s="52">
        <f t="shared" si="7"/>
        <v>3.7</v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283">
        <v>150</v>
      </c>
      <c r="B211" s="53">
        <f>362+15</f>
        <v>377</v>
      </c>
      <c r="C211" s="53">
        <v>13</v>
      </c>
      <c r="D211" s="53">
        <f>B211</f>
        <v>377</v>
      </c>
      <c r="E211" s="54"/>
      <c r="F211" s="54"/>
      <c r="G211" s="54"/>
      <c r="H211" s="54"/>
      <c r="I211" s="52">
        <f t="shared" si="7"/>
        <v>3.1</v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63"/>
      <c r="D218" s="63"/>
      <c r="E218" s="54"/>
      <c r="F218" s="54"/>
      <c r="G218" s="54"/>
      <c r="H218" s="54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63"/>
      <c r="D219" s="63"/>
      <c r="E219" s="54"/>
      <c r="F219" s="54"/>
      <c r="G219" s="54"/>
      <c r="H219" s="54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63"/>
      <c r="D220" s="63"/>
      <c r="E220" s="54"/>
      <c r="F220" s="54"/>
      <c r="G220" s="54"/>
      <c r="H220" s="54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3"/>
      <c r="B221" s="63"/>
      <c r="C221" s="63"/>
      <c r="D221" s="63"/>
      <c r="E221" s="54"/>
      <c r="F221" s="54"/>
      <c r="G221" s="54"/>
      <c r="H221" s="54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3"/>
      <c r="B222" s="63"/>
      <c r="C222" s="63"/>
      <c r="D222" s="63"/>
      <c r="E222" s="54"/>
      <c r="F222" s="54"/>
      <c r="G222" s="54"/>
      <c r="H222" s="54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3"/>
      <c r="B223" s="63"/>
      <c r="C223" s="63"/>
      <c r="D223" s="63"/>
      <c r="E223" s="54"/>
      <c r="F223" s="54"/>
      <c r="G223" s="54"/>
      <c r="H223" s="54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3"/>
      <c r="B224" s="63"/>
      <c r="C224" s="63"/>
      <c r="D224" s="63"/>
      <c r="E224" s="54"/>
      <c r="F224" s="54"/>
      <c r="G224" s="54"/>
      <c r="H224" s="54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3"/>
      <c r="B225" s="63"/>
      <c r="C225" s="63"/>
      <c r="D225" s="63"/>
      <c r="E225" s="54"/>
      <c r="F225" s="54"/>
      <c r="G225" s="54"/>
      <c r="H225" s="54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3"/>
      <c r="B226" s="53"/>
      <c r="C226" s="53"/>
      <c r="D226" s="53"/>
      <c r="E226" s="54"/>
      <c r="F226" s="54"/>
      <c r="G226" s="54"/>
      <c r="H226" s="54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3"/>
      <c r="B227" s="53"/>
      <c r="C227" s="53"/>
      <c r="D227" s="53"/>
      <c r="E227" s="54"/>
      <c r="F227" s="54"/>
      <c r="G227" s="54"/>
      <c r="H227" s="54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3"/>
      <c r="B228" s="53"/>
      <c r="C228" s="53"/>
      <c r="D228" s="53"/>
      <c r="E228" s="54"/>
      <c r="F228" s="54"/>
      <c r="G228" s="54"/>
      <c r="H228" s="54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3"/>
      <c r="B229" s="53"/>
      <c r="C229" s="53"/>
      <c r="D229" s="53"/>
      <c r="E229" s="54"/>
      <c r="F229" s="54"/>
      <c r="G229" s="54"/>
      <c r="H229" s="54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3"/>
      <c r="B230" s="53"/>
      <c r="C230" s="53"/>
      <c r="D230" s="53"/>
      <c r="E230" s="54"/>
      <c r="F230" s="54"/>
      <c r="G230" s="54"/>
      <c r="H230" s="54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53"/>
      <c r="B231" s="53"/>
      <c r="C231" s="53"/>
      <c r="D231" s="53"/>
      <c r="E231" s="54"/>
      <c r="F231" s="54"/>
      <c r="G231" s="54"/>
      <c r="H231" s="54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4"/>
      <c r="F232" s="54"/>
      <c r="G232" s="54"/>
      <c r="H232" s="54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4"/>
      <c r="F233" s="54"/>
      <c r="G233" s="54"/>
      <c r="H233" s="54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4"/>
      <c r="F234" s="54"/>
      <c r="G234" s="54"/>
      <c r="H234" s="54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4"/>
      <c r="F235" s="54"/>
      <c r="G235" s="54"/>
      <c r="H235" s="54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4"/>
      <c r="F236" s="54"/>
      <c r="G236" s="54"/>
      <c r="H236" s="54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4"/>
      <c r="F237" s="54"/>
      <c r="G237" s="54"/>
      <c r="H237" s="54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C23" sqref="C23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zoomScaleNormal="100" workbookViewId="0">
      <selection activeCell="E3" sqref="E3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Douglas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Pin laricio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Mélèze d'Europe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>Chêne sessile</v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>Erable plane</v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>Châtaignier</v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>Hêtre</v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323.98185264074681</v>
      </c>
      <c r="T3" s="62">
        <f>IF('Données projet'!E9&gt;30,$R$33-$H$33,LOOKUP('Données projet'!$E$9,$A$3:$A$203,R3:R203)-LOOKUP('Données projet'!$E$9,$A$3:$A$203,$H$3:$H$203))</f>
        <v>301.22207291854005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289.12367833861299</v>
      </c>
      <c r="AO3" s="62">
        <f>IF('Données projet'!E10&gt;30,$AM$33-$H$33,LOOKUP('Données projet'!$E$10,$A$3:$A$203,AM3:AM203)-LOOKUP('Données projet'!$E$10,$A$3:$A$203,$H$3:$H$203))</f>
        <v>229.06617320689003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240.22884864766218</v>
      </c>
      <c r="BJ3" s="62">
        <f>IF('Données projet'!E11&gt;30,$BH$33-$H$33,LOOKUP('Données projet'!$E$11,$A$3:$A$203,BH3:BH203)-LOOKUP('Données projet'!$E$11,$A$3:$A$203,$H$3:$H$203))</f>
        <v>343.23776884143166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256.66666666666669</v>
      </c>
      <c r="CD3" s="62">
        <f ca="1">AVERAGE(OFFSET($CC$3,0,0,'Données projet'!$E$12+1,1))-AVERAGE(OFFSET($H$3,0,0,'Données projet'!$E$12+1,1))</f>
        <v>428.8489304403459</v>
      </c>
      <c r="CE3" s="62">
        <f>IF('Données projet'!E12&gt;30,$CC$33-$H$33,LOOKUP('Données projet'!$E$12,$A$3:$A$203,CC3:CC203)-LOOKUP('Données projet'!$E$12,$A$3:$A$203,$H$3:$H$203))</f>
        <v>247.01165577562966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256.66666666666669</v>
      </c>
      <c r="CY3" s="62">
        <f ca="1">AVERAGE(OFFSET($CX$3,0,0,'Données projet'!$E$13+1,1))-AVERAGE(OFFSET($H$3,0,0,'Données projet'!$E$13+1,1))</f>
        <v>312.53381881960331</v>
      </c>
      <c r="CZ3" s="62">
        <f>IF('Données projet'!E13&gt;30,$CX$33-$H$33,LOOKUP('Données projet'!$E$13,$A$3:$A$203,CX3:CX203)-LOOKUP('Données projet'!$E$13,$A$3:$A$203,$H$3:$H$203))</f>
        <v>342.06887933351783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2">
        <f>DR3+(DJ3+DK3)*44/12</f>
        <v>256.66666666666669</v>
      </c>
      <c r="DT3" s="62">
        <f ca="1">AVERAGE(OFFSET($DS$3,0,0,'Données projet'!$E$14+1,1))-AVERAGE(OFFSET($H$3,0,0,'Données projet'!$E$14+1,1))</f>
        <v>290.85271051443431</v>
      </c>
      <c r="DU3" s="62">
        <f>IF('Données projet'!E14&gt;30,$DS$33-$H$33,LOOKUP('Données projet'!$E$14,$A$3:$A$203,DS3:DS203)-LOOKUP('Données projet'!$E$14,$A$3:$A$203,$H$3:$H$203))</f>
        <v>318.66958823451142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2">
        <f>EM3+(EE3+EF3)*44/12</f>
        <v>256.66666666666669</v>
      </c>
      <c r="EO3" s="62">
        <f ca="1">AVERAGE(OFFSET($EN$3,0,0,'Données projet'!$E$15+1,1))-AVERAGE(OFFSET($H$3,0,0,'Données projet'!$E$15+1,1))</f>
        <v>438.65317358403996</v>
      </c>
      <c r="EP3" s="62">
        <f>IF('Données projet'!E15&gt;30,$EN$33-$H$33,LOOKUP('Données projet'!$E$15,$A$3:$A$203,EN3:EN203)-LOOKUP('Données projet'!$E$15,$A$3:$A$203,$H$3:$H$203))</f>
        <v>176.81257896138806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7.7987854251012134</v>
      </c>
      <c r="N4" s="14">
        <f>IF('Données projet'!$A$36&gt;35,N3+M4-V3,IF(A4&lt;'Données projet'!$A$36,$K$205^A4,IF(A4='Données projet'!$A$36,'Données projet'!$B$36,N3+M4-V3)))</f>
        <v>1.3009230512021859</v>
      </c>
      <c r="O4" s="14">
        <f>N4*VLOOKUP('Données projet'!$B$9,Paramètres!$A$1:$I$89,3,0)*VLOOKUP('Données projet'!$B$9,Paramètres!$A$1:$I$89,5,0)</f>
        <v>0.72721598562202194</v>
      </c>
      <c r="P4" s="14">
        <f>EXP(-1.0587+0.8836*LN(O4)+0.284)</f>
        <v>0.3477906162348457</v>
      </c>
      <c r="Q4" s="22">
        <f t="shared" ref="Q4:Q34" si="2">(O4+P4)*0.475*44/12</f>
        <v>1.8723031649007107</v>
      </c>
      <c r="R4" s="62">
        <f t="shared" si="0"/>
        <v>259.76119205378956</v>
      </c>
      <c r="S4" s="62">
        <f ca="1">AVERAGE(OFFSET($R$3,0,0,'Données projet'!$E$9+1,1))-AVERAGE(OFFSET($H$3,0,0,'Données projet'!$E$9+1,1))</f>
        <v>323.98185264074681</v>
      </c>
      <c r="T4" s="62">
        <f>$T$3</f>
        <v>301.22207291854005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2.3805128205128203</v>
      </c>
      <c r="AI4" s="14">
        <f>IF('Données projet'!$A$62&gt;35,AI3+AH4-AQ3,IF(A4&lt;'Données projet'!$A$62,$AF$205^A4,IF(A4='Données projet'!$A$62,'Données projet'!$B$62,AI3+AH4-AQ3)))</f>
        <v>1.2691631451226497</v>
      </c>
      <c r="AJ4" s="14">
        <f>AI4*VLOOKUP('Données projet'!$B$10,Paramètres!$A$1:$I$89,3,0)*VLOOKUP('Données projet'!$B$10,Paramètres!$A$1:$I$89,5,0)</f>
        <v>0.75895956078334459</v>
      </c>
      <c r="AK4" s="14">
        <f>EXP(-1.0587+0.8836*LN(AJ4)+0.284)</f>
        <v>0.36117131619841292</v>
      </c>
      <c r="AL4" s="22">
        <f t="shared" ref="AL4:AL67" si="4">(AJ4+AK4)*0.475*44/12</f>
        <v>1.9508946107432275</v>
      </c>
      <c r="AM4" s="62">
        <f t="shared" ref="AM4:AM67" si="5">AL4+(AD4+AE4)*44/12</f>
        <v>259.83978349963206</v>
      </c>
      <c r="AN4" s="62">
        <f ca="1">AVERAGE(OFFSET($AM$3,0,0,'Données projet'!$E$10+1,1))-AVERAGE(OFFSET($H$3,0,0,'Données projet'!$E$10+1,1))</f>
        <v>289.12367833861299</v>
      </c>
      <c r="AO4" s="62">
        <f>$AO$3</f>
        <v>229.06617320689003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6.2222222222222223</v>
      </c>
      <c r="BD4" s="13">
        <f>IF('Données projet'!$A$88&gt;35,BD3+BC4-BL3,IF(A4&lt;'Données projet'!$A$88,$BA$205^A4,IF(A4='Données projet'!$A$88,'Données projet'!$B$88,BD3+BC4-BL3)))</f>
        <v>1.2997069632623315</v>
      </c>
      <c r="BE4" s="14">
        <f>BD4*VLOOKUP('Données projet'!$B$11,Paramètres!$A$1:$I$89,3,0)*VLOOKUP('Données projet'!$B$11,Paramètres!$A$1:$I$89,5,0)</f>
        <v>0.81101714507569489</v>
      </c>
      <c r="BF4" s="14">
        <f>EXP(-1.0587+0.8836*LN(BE4)+0.284)</f>
        <v>0.38297551084354686</v>
      </c>
      <c r="BG4" s="22">
        <f t="shared" ref="BG4:BG67" si="7">(BE4+BF4)*0.475*44/12</f>
        <v>2.0795372090593456</v>
      </c>
      <c r="BH4" s="62">
        <f t="shared" ref="BH4:BH67" si="8">BG4+(AY4+AZ4)*44/12</f>
        <v>259.96842609794822</v>
      </c>
      <c r="BI4" s="62">
        <f ca="1">AVERAGE(OFFSET($BH$3,0,0,'Données projet'!$E$11+1,1))-AVERAGE(OFFSET($H$3,0,0,'Données projet'!$E$11+1,1))</f>
        <v>240.22884864766218</v>
      </c>
      <c r="BJ4" s="62">
        <f>$BJ$3</f>
        <v>343.23776884143166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2.1</v>
      </c>
      <c r="BY4" s="13">
        <f>IF('Données projet'!$A$114&gt;35,BY3+BX4-CG3,IF(A4&lt;'Données projet'!$A$114,$BV$205^A4,IF(A4='Données projet'!$A$114,'Données projet'!$B$114,BY3+BX4-CG3)))</f>
        <v>1.2054868146447177</v>
      </c>
      <c r="BZ4" s="14">
        <f>BY4*VLOOKUP('Données projet'!$B$12,Paramètres!$A$1:$I$89,3,0)*VLOOKUP('Données projet'!$B$12,Paramètres!$A$1:$I$89,5,0)</f>
        <v>1.0907244698905405</v>
      </c>
      <c r="CA4" s="14">
        <f>EXP(-1.0587+0.8836*LN(BZ4)+0.284)</f>
        <v>0.49759623852608204</v>
      </c>
      <c r="CB4" s="22">
        <f t="shared" ref="CB4:CB67" si="10">(BZ4+CA4)*0.475*44/12</f>
        <v>2.7663252338256172</v>
      </c>
      <c r="CC4" s="62">
        <f t="shared" ref="CC4:CC67" si="11">CB4+(BT4+BU4)*44/12</f>
        <v>260.65521412271448</v>
      </c>
      <c r="CD4" s="62">
        <f ca="1">AVERAGE(OFFSET($CC$3,0,0,'Données projet'!$E$12+1,1))-AVERAGE(OFFSET($H$3,0,0,'Données projet'!$E$12+1,1))</f>
        <v>428.8489304403459</v>
      </c>
      <c r="CE4" s="62">
        <f>$CE$3</f>
        <v>247.01165577562966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2.4666666666666668</v>
      </c>
      <c r="CT4" s="13">
        <f>IF('Données projet'!$A$140&gt;35,CT3+CS4-DB3,IF(A4&lt;'Données projet'!$A$140,$CQ$205^A4,IF(A4='Données projet'!$A$140,'Données projet'!$B$140,CT3+CS4-DB3)))</f>
        <v>1.2721747796233518</v>
      </c>
      <c r="CU4" s="18">
        <f>CT4*VLOOKUP('Données projet'!$B$13,Paramètres!$A$1:$I$89,3,0)*VLOOKUP('Données projet'!$B$13,Paramètres!$A$1:$I$89,5,0)</f>
        <v>1.0121422546683387</v>
      </c>
      <c r="CV4" s="14">
        <f>EXP(-1.0587+0.8836*LN(CU4)+0.284)</f>
        <v>0.46578286063395047</v>
      </c>
      <c r="CW4" s="22">
        <f t="shared" ref="CW4:CW67" si="13">(CU4+CV4)*0.475*44/12</f>
        <v>2.574052909151487</v>
      </c>
      <c r="CX4" s="62">
        <f t="shared" ref="CX4:CX67" si="14">CW4+(CO4+CP4)*44/12</f>
        <v>260.46294179804033</v>
      </c>
      <c r="CY4" s="62">
        <f ca="1">AVERAGE(OFFSET($CX$3,0,0,'Données projet'!$E$13+1,1))-AVERAGE(OFFSET($H$3,0,0,'Données projet'!$E$13+1,1))</f>
        <v>312.53381881960331</v>
      </c>
      <c r="CZ4" s="62">
        <f>$CZ$3</f>
        <v>342.06887933351783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2.4666666666666668</v>
      </c>
      <c r="DO4" s="13">
        <f>IF('Données projet'!$A$166&gt;35,DO3+DN4-DW3,IF(A4&lt;'Données projet'!$A$166,$DL$205^A4,IF(A4='Données projet'!$A$166,'Données projet'!$B$166,DO3+DN4-DW3)))</f>
        <v>1.2721747796233518</v>
      </c>
      <c r="DP4" s="18">
        <f>DO4*VLOOKUP('Données projet'!$B$14,Paramètres!$A$1:$I$89,3,0)*VLOOKUP('Données projet'!$B$14,Paramètres!$A$1:$I$89,5,0)</f>
        <v>0.9327585484198414</v>
      </c>
      <c r="DQ4" s="14">
        <f>EXP(-1.0587+0.8836*LN(DP4)+0.284)</f>
        <v>0.43335135961225768</v>
      </c>
      <c r="DR4" s="22">
        <f t="shared" ref="DR4:DR67" si="16">(DP4+DQ4)*0.475*44/12</f>
        <v>2.3793080898225729</v>
      </c>
      <c r="DS4" s="62">
        <f t="shared" ref="DS4:DS67" si="17">DR4+(DJ4+DK4)*44/12</f>
        <v>260.26819697871144</v>
      </c>
      <c r="DT4" s="62">
        <f ca="1">AVERAGE(OFFSET($DS$3,0,0,'Données projet'!$E$14+1,1))-AVERAGE(OFFSET($H$3,0,0,'Données projet'!$E$14+1,1))</f>
        <v>290.85271051443431</v>
      </c>
      <c r="DU4" s="62">
        <f>$DU$3</f>
        <v>318.66958823451142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1.6</v>
      </c>
      <c r="EJ4" s="13">
        <f>IF('Données projet'!$A$192&gt;35,EJ3+EI4-ER3,IF(A4&lt;'Données projet'!$A$192,$EG$205^A4,IF(A4='Données projet'!$A$192,'Données projet'!$B$192,EJ3+EI4-ER3)))</f>
        <v>1.1589972344055464</v>
      </c>
      <c r="EK4" s="18">
        <f>EJ4*VLOOKUP('Données projet'!$B$15,Paramètres!$A$1:$I$89,3,0)*VLOOKUP('Données projet'!$B$15,Paramètres!$A$1:$I$89,5,0)</f>
        <v>0.9944196271199589</v>
      </c>
      <c r="EL4" s="14">
        <f>EXP(-1.0587+0.8836*LN(EK4)+0.284)</f>
        <v>0.4585689454773958</v>
      </c>
      <c r="EM4" s="22">
        <f t="shared" ref="EM4:EM67" si="19">(EK4+EL4)*0.475*44/12</f>
        <v>2.5306217639403932</v>
      </c>
      <c r="EN4" s="62">
        <f t="shared" ref="EN4:EN67" si="20">EM4+(EE4+EF4)*44/12</f>
        <v>260.41951065282927</v>
      </c>
      <c r="EO4" s="62">
        <f ca="1">AVERAGE(OFFSET($EN$3,0,0,'Données projet'!$E$15+1,1))-AVERAGE(OFFSET($H$3,0,0,'Données projet'!$E$15+1,1))</f>
        <v>438.65317358403996</v>
      </c>
      <c r="EP4" s="62">
        <f>$EP$3</f>
        <v>176.81257896138806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7.7987854251012134</v>
      </c>
      <c r="N5" s="14">
        <f>IF('Données projet'!$A$36&gt;35,N4+M5-V4,IF(A5&lt;'Données projet'!$A$36,$K$205^A5,IF(A5='Données projet'!$A$36,'Données projet'!$B$36,N4+M5-V4)))</f>
        <v>1.6924007851492051</v>
      </c>
      <c r="O5" s="14">
        <f>N5*VLOOKUP('Données projet'!$B$9,Paramètres!$A$1:$I$89,3,0)*VLOOKUP('Données projet'!$B$9,Paramètres!$A$1:$I$89,5,0)</f>
        <v>0.94605203889840572</v>
      </c>
      <c r="P5" s="14">
        <f t="shared" ref="P5:P68" si="33">EXP(-1.0587+0.8836*LN(O5)+0.284)</f>
        <v>0.43880400409515918</v>
      </c>
      <c r="Q5" s="22">
        <f t="shared" si="2"/>
        <v>2.4119576082137919</v>
      </c>
      <c r="R5" s="62">
        <f t="shared" si="0"/>
        <v>261.52306871932495</v>
      </c>
      <c r="S5" s="62">
        <f ca="1">AVERAGE(OFFSET($R$3,0,0,'Données projet'!$E$9+1,1))-AVERAGE(OFFSET($H$3,0,0,'Données projet'!$E$9+1,1))</f>
        <v>323.98185264074681</v>
      </c>
      <c r="T5" s="62">
        <f t="shared" ref="T5:T68" si="34">$T$3</f>
        <v>301.22207291854005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2.3805128205128203</v>
      </c>
      <c r="AI5" s="14">
        <f>IF('Données projet'!$A$62&gt;35,AI4+AH5-AQ4,IF(A5&lt;'Données projet'!$A$62,$AF$205^A5,IF(A5='Données projet'!$A$62,'Données projet'!$B$62,AI4+AH5-AQ4)))</f>
        <v>1.610775088937616</v>
      </c>
      <c r="AJ5" s="14">
        <f>AI5*VLOOKUP('Données projet'!$B$10,Paramètres!$A$1:$I$89,3,0)*VLOOKUP('Données projet'!$B$10,Paramètres!$A$1:$I$89,5,0)</f>
        <v>0.96324350318469443</v>
      </c>
      <c r="AK5" s="14">
        <f t="shared" ref="AK5:AK68" si="35">EXP(-1.0587+0.8836*LN(AJ5)+0.284)</f>
        <v>0.44584230224208238</v>
      </c>
      <c r="AL5" s="22">
        <f t="shared" si="4"/>
        <v>2.4541577777849692</v>
      </c>
      <c r="AM5" s="62">
        <f t="shared" si="5"/>
        <v>261.56526888889613</v>
      </c>
      <c r="AN5" s="62">
        <f ca="1">AVERAGE(OFFSET($AM$3,0,0,'Données projet'!$E$10+1,1))-AVERAGE(OFFSET($H$3,0,0,'Données projet'!$E$10+1,1))</f>
        <v>289.12367833861299</v>
      </c>
      <c r="AO5" s="62">
        <f t="shared" ref="AO5:AO68" si="36">$AO$3</f>
        <v>229.06617320689003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6.2222222222222223</v>
      </c>
      <c r="BD5" s="13">
        <f>IF('Données projet'!$A$88&gt;35,BD4+BC5-BL4,IF(A5&lt;'Données projet'!$A$88,$BA$205^A5,IF(A5='Données projet'!$A$88,'Données projet'!$B$88,BD4+BC5-BL4)))</f>
        <v>1.6892381903525915</v>
      </c>
      <c r="BE5" s="14">
        <f>BD5*VLOOKUP('Données projet'!$B$11,Paramètres!$A$1:$I$89,3,0)*VLOOKUP('Données projet'!$B$11,Paramètres!$A$1:$I$89,5,0)</f>
        <v>1.0540846307800171</v>
      </c>
      <c r="BF5" s="14">
        <f t="shared" ref="BF5:BF68" si="37">EXP(-1.0587+0.8836*LN(BE5)+0.284)</f>
        <v>0.48279730809434274</v>
      </c>
      <c r="BG5" s="22">
        <f t="shared" si="7"/>
        <v>2.6767360435395098</v>
      </c>
      <c r="BH5" s="62">
        <f t="shared" si="8"/>
        <v>261.78784715465065</v>
      </c>
      <c r="BI5" s="62">
        <f ca="1">AVERAGE(OFFSET($BH$3,0,0,'Données projet'!$E$11+1,1))-AVERAGE(OFFSET($H$3,0,0,'Données projet'!$E$11+1,1))</f>
        <v>240.22884864766218</v>
      </c>
      <c r="BJ5" s="62">
        <f t="shared" ref="BJ5:BJ68" si="38">$BJ$3</f>
        <v>343.23776884143166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2.1</v>
      </c>
      <c r="BY5" s="13">
        <f>IF('Données projet'!$A$114&gt;35,BY4+BX5-CG4,IF(A5&lt;'Données projet'!$A$114,$BV$205^A5,IF(A5='Données projet'!$A$114,'Données projet'!$B$114,BY4+BX5-CG4)))</f>
        <v>1.4531984602822681</v>
      </c>
      <c r="BZ5" s="14">
        <f>BY5*VLOOKUP('Données projet'!$B$12,Paramètres!$A$1:$I$89,3,0)*VLOOKUP('Données projet'!$B$12,Paramètres!$A$1:$I$89,5,0)</f>
        <v>1.3148539668633961</v>
      </c>
      <c r="CA5" s="14">
        <f t="shared" ref="CA5:CA68" si="39">EXP(-1.0587+0.8836*LN(BZ5)+0.284)</f>
        <v>0.58693801963664449</v>
      </c>
      <c r="CB5" s="22">
        <f t="shared" si="10"/>
        <v>3.3122877098209038</v>
      </c>
      <c r="CC5" s="62">
        <f t="shared" si="11"/>
        <v>262.42339882093205</v>
      </c>
      <c r="CD5" s="62">
        <f ca="1">AVERAGE(OFFSET($CC$3,0,0,'Données projet'!$E$12+1,1))-AVERAGE(OFFSET($H$3,0,0,'Données projet'!$E$12+1,1))</f>
        <v>428.8489304403459</v>
      </c>
      <c r="CE5" s="62">
        <f t="shared" ref="CE5:CE68" si="40">$CE$3</f>
        <v>247.01165577562966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2.4666666666666668</v>
      </c>
      <c r="CT5" s="13">
        <f>IF('Données projet'!$A$140&gt;35,CT4+CS5-DB4,IF(A5&lt;'Données projet'!$A$140,$CQ$205^A5,IF(A5='Données projet'!$A$140,'Données projet'!$B$140,CT4+CS5-DB4)))</f>
        <v>1.6184286699097237</v>
      </c>
      <c r="CU5" s="18">
        <f>CT5*VLOOKUP('Données projet'!$B$13,Paramètres!$A$1:$I$89,3,0)*VLOOKUP('Données projet'!$B$13,Paramètres!$A$1:$I$89,5,0)</f>
        <v>1.2876218497801761</v>
      </c>
      <c r="CV5" s="14">
        <f t="shared" ref="CV5:CV68" si="41">EXP(-1.0587+0.8836*LN(CU5)+0.284)</f>
        <v>0.57618379541883336</v>
      </c>
      <c r="CW5" s="22">
        <f t="shared" si="13"/>
        <v>3.2461281653882743</v>
      </c>
      <c r="CX5" s="62">
        <f t="shared" si="14"/>
        <v>262.3572392764994</v>
      </c>
      <c r="CY5" s="62">
        <f ca="1">AVERAGE(OFFSET($CX$3,0,0,'Données projet'!$E$13+1,1))-AVERAGE(OFFSET($H$3,0,0,'Données projet'!$E$13+1,1))</f>
        <v>312.53381881960331</v>
      </c>
      <c r="CZ5" s="62">
        <f t="shared" ref="CZ5:CZ68" si="42">$CZ$3</f>
        <v>342.06887933351783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2.4666666666666668</v>
      </c>
      <c r="DO5" s="13">
        <f>IF('Données projet'!$A$166&gt;35,DO4+DN5-DW4,IF(A5&lt;'Données projet'!$A$166,$DL$205^A5,IF(A5='Données projet'!$A$166,'Données projet'!$B$166,DO4+DN5-DW4)))</f>
        <v>1.6184286699097237</v>
      </c>
      <c r="DP5" s="18">
        <f>DO5*VLOOKUP('Données projet'!$B$14,Paramètres!$A$1:$I$89,3,0)*VLOOKUP('Données projet'!$B$14,Paramètres!$A$1:$I$89,5,0)</f>
        <v>1.1866319007778094</v>
      </c>
      <c r="DQ5" s="14">
        <f t="shared" ref="DQ5:DQ68" si="43">EXP(-1.0587+0.8836*LN(DP5)+0.284)</f>
        <v>0.53606530474621483</v>
      </c>
      <c r="DR5" s="22">
        <f t="shared" si="16"/>
        <v>3.0003642996210083</v>
      </c>
      <c r="DS5" s="62">
        <f t="shared" si="17"/>
        <v>262.11147541073217</v>
      </c>
      <c r="DT5" s="62">
        <f ca="1">AVERAGE(OFFSET($DS$3,0,0,'Données projet'!$E$14+1,1))-AVERAGE(OFFSET($H$3,0,0,'Données projet'!$E$14+1,1))</f>
        <v>290.85271051443431</v>
      </c>
      <c r="DU5" s="62">
        <f t="shared" ref="DU5:DU68" si="44">$DU$3</f>
        <v>318.66958823451142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1.6</v>
      </c>
      <c r="EJ5" s="13">
        <f>IF('Données projet'!$A$192&gt;35,EJ4+EI5-ER4,IF(A5&lt;'Données projet'!$A$192,$EG$205^A5,IF(A5='Données projet'!$A$192,'Données projet'!$B$192,EJ4+EI5-ER4)))</f>
        <v>1.3432745893597049</v>
      </c>
      <c r="EK5" s="18">
        <f>EJ5*VLOOKUP('Données projet'!$B$15,Paramètres!$A$1:$I$89,3,0)*VLOOKUP('Données projet'!$B$15,Paramètres!$A$1:$I$89,5,0)</f>
        <v>1.1525295976706269</v>
      </c>
      <c r="EL5" s="14">
        <f t="shared" ref="EL5:EL68" si="45">EXP(-1.0587+0.8836*LN(EK5)+0.284)</f>
        <v>0.52242968866386141</v>
      </c>
      <c r="EM5" s="22">
        <f t="shared" si="19"/>
        <v>2.9172207570325672</v>
      </c>
      <c r="EN5" s="62">
        <f t="shared" si="20"/>
        <v>262.02833186814371</v>
      </c>
      <c r="EO5" s="62">
        <f ca="1">AVERAGE(OFFSET($EN$3,0,0,'Données projet'!$E$15+1,1))-AVERAGE(OFFSET($H$3,0,0,'Données projet'!$E$15+1,1))</f>
        <v>438.65317358403996</v>
      </c>
      <c r="EP5" s="62">
        <f t="shared" ref="EP5:EP68" si="46">$EP$3</f>
        <v>176.81257896138806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7.7987854251012134</v>
      </c>
      <c r="N6" s="14">
        <f>IF('Données projet'!$A$36&gt;35,N5+M6-V5,IF(A6&lt;'Données projet'!$A$36,$K$205^A6,IF(A6='Données projet'!$A$36,'Données projet'!$B$36,N5+M6-V5)))</f>
        <v>2.2016831932732788</v>
      </c>
      <c r="O6" s="14">
        <f>N6*VLOOKUP('Données projet'!$B$9,Paramètres!$A$1:$I$89,3,0)*VLOOKUP('Données projet'!$B$9,Paramètres!$A$1:$I$89,5,0)</f>
        <v>1.2307409050397629</v>
      </c>
      <c r="P6" s="14">
        <f t="shared" si="33"/>
        <v>0.55363470151801264</v>
      </c>
      <c r="Q6" s="22">
        <f t="shared" si="2"/>
        <v>3.1077875147547922</v>
      </c>
      <c r="R6" s="62">
        <f t="shared" si="0"/>
        <v>263.44112084808813</v>
      </c>
      <c r="S6" s="62">
        <f ca="1">AVERAGE(OFFSET($R$3,0,0,'Données projet'!$E$9+1,1))-AVERAGE(OFFSET($H$3,0,0,'Données projet'!$E$9+1,1))</f>
        <v>323.98185264074681</v>
      </c>
      <c r="T6" s="62">
        <f t="shared" si="34"/>
        <v>301.22207291854005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2.3805128205128203</v>
      </c>
      <c r="AI6" s="14">
        <f>IF('Données projet'!$A$62&gt;35,AI5+AH6-AQ5,IF(A6&lt;'Données projet'!$A$62,$AF$205^A6,IF(A6='Données projet'!$A$62,'Données projet'!$B$62,AI5+AH6-AQ5)))</f>
        <v>2.0443363779612804</v>
      </c>
      <c r="AJ6" s="14">
        <f>AI6*VLOOKUP('Données projet'!$B$10,Paramètres!$A$1:$I$89,3,0)*VLOOKUP('Données projet'!$B$10,Paramètres!$A$1:$I$89,5,0)</f>
        <v>1.2225131540208458</v>
      </c>
      <c r="AK6" s="14">
        <f t="shared" si="35"/>
        <v>0.55036308132321654</v>
      </c>
      <c r="AL6" s="22">
        <f t="shared" si="4"/>
        <v>3.0877594432242415</v>
      </c>
      <c r="AM6" s="62">
        <f t="shared" si="5"/>
        <v>263.42109277655754</v>
      </c>
      <c r="AN6" s="62">
        <f ca="1">AVERAGE(OFFSET($AM$3,0,0,'Données projet'!$E$10+1,1))-AVERAGE(OFFSET($H$3,0,0,'Données projet'!$E$10+1,1))</f>
        <v>289.12367833861299</v>
      </c>
      <c r="AO6" s="62">
        <f t="shared" si="36"/>
        <v>229.06617320689003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6.2222222222222223</v>
      </c>
      <c r="BD6" s="13">
        <f>IF('Données projet'!$A$88&gt;35,BD5+BC6-BL5,IF(A6&lt;'Données projet'!$A$88,$BA$205^A6,IF(A6='Données projet'!$A$88,'Données projet'!$B$88,BD5+BC6-BL5)))</f>
        <v>2.1955146386099229</v>
      </c>
      <c r="BE6" s="14">
        <f>BD6*VLOOKUP('Données projet'!$B$11,Paramètres!$A$1:$I$89,3,0)*VLOOKUP('Données projet'!$B$11,Paramètres!$A$1:$I$89,5,0)</f>
        <v>1.3700011344925918</v>
      </c>
      <c r="BF6" s="14">
        <f t="shared" si="37"/>
        <v>0.60863745619068288</v>
      </c>
      <c r="BG6" s="22">
        <f t="shared" si="7"/>
        <v>3.4461288787733699</v>
      </c>
      <c r="BH6" s="62">
        <f t="shared" si="8"/>
        <v>263.77946221210669</v>
      </c>
      <c r="BI6" s="62">
        <f ca="1">AVERAGE(OFFSET($BH$3,0,0,'Données projet'!$E$11+1,1))-AVERAGE(OFFSET($H$3,0,0,'Données projet'!$E$11+1,1))</f>
        <v>240.22884864766218</v>
      </c>
      <c r="BJ6" s="62">
        <f t="shared" si="38"/>
        <v>343.23776884143166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2.1</v>
      </c>
      <c r="BY6" s="13">
        <f>IF('Données projet'!$A$114&gt;35,BY5+BX6-CG5,IF(A6&lt;'Données projet'!$A$114,$BV$205^A6,IF(A6='Données projet'!$A$114,'Données projet'!$B$114,BY5+BX6-CG5)))</f>
        <v>1.7518115829322798</v>
      </c>
      <c r="BZ6" s="14">
        <f>BY6*VLOOKUP('Données projet'!$B$12,Paramètres!$A$1:$I$89,3,0)*VLOOKUP('Données projet'!$B$12,Paramètres!$A$1:$I$89,5,0)</f>
        <v>1.5850391202371266</v>
      </c>
      <c r="CA6" s="14">
        <f t="shared" si="39"/>
        <v>0.69232082604846479</v>
      </c>
      <c r="CB6" s="22">
        <f t="shared" si="10"/>
        <v>3.966401906447405</v>
      </c>
      <c r="CC6" s="62">
        <f t="shared" si="11"/>
        <v>264.29973523978072</v>
      </c>
      <c r="CD6" s="62">
        <f ca="1">AVERAGE(OFFSET($CC$3,0,0,'Données projet'!$E$12+1,1))-AVERAGE(OFFSET($H$3,0,0,'Données projet'!$E$12+1,1))</f>
        <v>428.8489304403459</v>
      </c>
      <c r="CE6" s="62">
        <f t="shared" si="40"/>
        <v>247.01165577562966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2.4666666666666668</v>
      </c>
      <c r="CT6" s="13">
        <f>IF('Données projet'!$A$140&gt;35,CT5+CS6-DB5,IF(A6&lt;'Données projet'!$A$140,$CQ$205^A6,IF(A6='Données projet'!$A$140,'Données projet'!$B$140,CT5+CS6-DB5)))</f>
        <v>2.0589241364785171</v>
      </c>
      <c r="CU6" s="18">
        <f>CT6*VLOOKUP('Données projet'!$B$13,Paramètres!$A$1:$I$89,3,0)*VLOOKUP('Données projet'!$B$13,Paramètres!$A$1:$I$89,5,0)</f>
        <v>1.6380800429823084</v>
      </c>
      <c r="CV6" s="14">
        <f t="shared" si="41"/>
        <v>0.71275221602487127</v>
      </c>
      <c r="CW6" s="22">
        <f t="shared" si="13"/>
        <v>4.0943661844375043</v>
      </c>
      <c r="CX6" s="62">
        <f t="shared" si="14"/>
        <v>264.4276995177708</v>
      </c>
      <c r="CY6" s="62">
        <f ca="1">AVERAGE(OFFSET($CX$3,0,0,'Données projet'!$E$13+1,1))-AVERAGE(OFFSET($H$3,0,0,'Données projet'!$E$13+1,1))</f>
        <v>312.53381881960331</v>
      </c>
      <c r="CZ6" s="62">
        <f t="shared" si="42"/>
        <v>342.06887933351783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2.4666666666666668</v>
      </c>
      <c r="DO6" s="13">
        <f>IF('Données projet'!$A$166&gt;35,DO5+DN6-DW5,IF(A6&lt;'Données projet'!$A$166,$DL$205^A6,IF(A6='Données projet'!$A$166,'Données projet'!$B$166,DO5+DN6-DW5)))</f>
        <v>2.0589241364785171</v>
      </c>
      <c r="DP6" s="18">
        <f>DO6*VLOOKUP('Données projet'!$B$14,Paramètres!$A$1:$I$89,3,0)*VLOOKUP('Données projet'!$B$14,Paramètres!$A$1:$I$89,5,0)</f>
        <v>1.5096031768660487</v>
      </c>
      <c r="DQ6" s="14">
        <f t="shared" si="43"/>
        <v>0.66312474757151718</v>
      </c>
      <c r="DR6" s="22">
        <f t="shared" si="16"/>
        <v>3.7841678017287599</v>
      </c>
      <c r="DS6" s="62">
        <f t="shared" si="17"/>
        <v>264.11750113506207</v>
      </c>
      <c r="DT6" s="62">
        <f ca="1">AVERAGE(OFFSET($DS$3,0,0,'Données projet'!$E$14+1,1))-AVERAGE(OFFSET($H$3,0,0,'Données projet'!$E$14+1,1))</f>
        <v>290.85271051443431</v>
      </c>
      <c r="DU6" s="62">
        <f t="shared" si="44"/>
        <v>318.66958823451142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1.6</v>
      </c>
      <c r="EJ6" s="13">
        <f>IF('Données projet'!$A$192&gt;35,EJ5+EI6-ER5,IF(A6&lt;'Données projet'!$A$192,$EG$205^A6,IF(A6='Données projet'!$A$192,'Données projet'!$B$192,EJ5+EI6-ER5)))</f>
        <v>1.5568515341151439</v>
      </c>
      <c r="EK6" s="18">
        <f>EJ6*VLOOKUP('Données projet'!$B$15,Paramètres!$A$1:$I$89,3,0)*VLOOKUP('Données projet'!$B$15,Paramètres!$A$1:$I$89,5,0)</f>
        <v>1.3357786162707936</v>
      </c>
      <c r="EL6" s="14">
        <f t="shared" si="45"/>
        <v>0.5951837390848197</v>
      </c>
      <c r="EM6" s="22">
        <f t="shared" si="19"/>
        <v>3.3630927689110268</v>
      </c>
      <c r="EN6" s="62">
        <f t="shared" si="20"/>
        <v>263.69642610224435</v>
      </c>
      <c r="EO6" s="62">
        <f ca="1">AVERAGE(OFFSET($EN$3,0,0,'Données projet'!$E$15+1,1))-AVERAGE(OFFSET($H$3,0,0,'Données projet'!$E$15+1,1))</f>
        <v>438.65317358403996</v>
      </c>
      <c r="EP6" s="62">
        <f t="shared" si="46"/>
        <v>176.81257896138806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7.7987854251012134</v>
      </c>
      <c r="N7" s="14">
        <f>IF('Données projet'!$A$36&gt;35,N6+M7-V6,IF(A7&lt;'Données projet'!$A$36,$K$205^A7,IF(A7='Données projet'!$A$36,'Données projet'!$B$36,N6+M7-V6)))</f>
        <v>2.8642204175736459</v>
      </c>
      <c r="O7" s="14">
        <f>N7*VLOOKUP('Données projet'!$B$9,Paramètres!$A$1:$I$89,3,0)*VLOOKUP('Données projet'!$B$9,Paramètres!$A$1:$I$89,5,0)</f>
        <v>1.6010992134236679</v>
      </c>
      <c r="P7" s="14">
        <f t="shared" si="33"/>
        <v>0.69851546445430523</v>
      </c>
      <c r="Q7" s="22">
        <f t="shared" si="2"/>
        <v>4.0051622306374703</v>
      </c>
      <c r="R7" s="62">
        <f t="shared" si="0"/>
        <v>265.56071778619304</v>
      </c>
      <c r="S7" s="62">
        <f ca="1">AVERAGE(OFFSET($R$3,0,0,'Données projet'!$E$9+1,1))-AVERAGE(OFFSET($H$3,0,0,'Données projet'!$E$9+1,1))</f>
        <v>323.98185264074681</v>
      </c>
      <c r="T7" s="62">
        <f t="shared" si="34"/>
        <v>301.22207291854005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2.3805128205128203</v>
      </c>
      <c r="AI7" s="14">
        <f>IF('Données projet'!$A$62&gt;35,AI6+AH7-AQ6,IF(A7&lt;'Données projet'!$A$62,$AF$205^A7,IF(A7='Données projet'!$A$62,'Données projet'!$B$62,AI6+AH7-AQ6)))</f>
        <v>2.5945963871419848</v>
      </c>
      <c r="AJ7" s="14">
        <f>AI7*VLOOKUP('Données projet'!$B$10,Paramètres!$A$1:$I$89,3,0)*VLOOKUP('Données projet'!$B$10,Paramètres!$A$1:$I$89,5,0)</f>
        <v>1.551568639510907</v>
      </c>
      <c r="AK7" s="14">
        <f t="shared" si="35"/>
        <v>0.67938712805030732</v>
      </c>
      <c r="AL7" s="22">
        <f t="shared" si="4"/>
        <v>3.8855812951691147</v>
      </c>
      <c r="AM7" s="62">
        <f t="shared" si="5"/>
        <v>265.44113685072466</v>
      </c>
      <c r="AN7" s="62">
        <f ca="1">AVERAGE(OFFSET($AM$3,0,0,'Données projet'!$E$10+1,1))-AVERAGE(OFFSET($H$3,0,0,'Données projet'!$E$10+1,1))</f>
        <v>289.12367833861299</v>
      </c>
      <c r="AO7" s="62">
        <f t="shared" si="36"/>
        <v>229.06617320689003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6.2222222222222223</v>
      </c>
      <c r="BD7" s="13">
        <f>IF('Données projet'!$A$88&gt;35,BD6+BC7-BL6,IF(A7&lt;'Données projet'!$A$88,$BA$205^A7,IF(A7='Données projet'!$A$88,'Données projet'!$B$88,BD6+BC7-BL6)))</f>
        <v>2.8535256637456983</v>
      </c>
      <c r="BE7" s="14">
        <f>BD7*VLOOKUP('Données projet'!$B$11,Paramètres!$A$1:$I$89,3,0)*VLOOKUP('Données projet'!$B$11,Paramètres!$A$1:$I$89,5,0)</f>
        <v>1.7806000141773157</v>
      </c>
      <c r="BF7" s="14">
        <f t="shared" si="37"/>
        <v>0.76727758599241935</v>
      </c>
      <c r="BG7" s="22">
        <f t="shared" si="7"/>
        <v>4.4375534869622877</v>
      </c>
      <c r="BH7" s="62">
        <f t="shared" si="8"/>
        <v>265.99310904251786</v>
      </c>
      <c r="BI7" s="62">
        <f ca="1">AVERAGE(OFFSET($BH$3,0,0,'Données projet'!$E$11+1,1))-AVERAGE(OFFSET($H$3,0,0,'Données projet'!$E$11+1,1))</f>
        <v>240.22884864766218</v>
      </c>
      <c r="BJ7" s="62">
        <f t="shared" si="38"/>
        <v>343.23776884143166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2.1</v>
      </c>
      <c r="BY7" s="13">
        <f>IF('Données projet'!$A$114&gt;35,BY6+BX7-CG6,IF(A7&lt;'Données projet'!$A$114,$BV$205^A7,IF(A7='Données projet'!$A$114,'Données projet'!$B$114,BY6+BX7-CG6)))</f>
        <v>2.1117857649667546</v>
      </c>
      <c r="BZ7" s="14">
        <f>BY7*VLOOKUP('Données projet'!$B$12,Paramètres!$A$1:$I$89,3,0)*VLOOKUP('Données projet'!$B$12,Paramètres!$A$1:$I$89,5,0)</f>
        <v>1.9107437601419195</v>
      </c>
      <c r="CA7" s="14">
        <f t="shared" si="39"/>
        <v>0.81662477151702284</v>
      </c>
      <c r="CB7" s="22">
        <f t="shared" si="10"/>
        <v>4.7501668593059909</v>
      </c>
      <c r="CC7" s="62">
        <f t="shared" si="11"/>
        <v>266.30572241486152</v>
      </c>
      <c r="CD7" s="62">
        <f ca="1">AVERAGE(OFFSET($CC$3,0,0,'Données projet'!$E$12+1,1))-AVERAGE(OFFSET($H$3,0,0,'Données projet'!$E$12+1,1))</f>
        <v>428.8489304403459</v>
      </c>
      <c r="CE7" s="62">
        <f t="shared" si="40"/>
        <v>247.01165577562966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2.4666666666666668</v>
      </c>
      <c r="CT7" s="13">
        <f>IF('Données projet'!$A$140&gt;35,CT6+CS7-DB6,IF(A7&lt;'Données projet'!$A$140,$CQ$205^A7,IF(A7='Données projet'!$A$140,'Données projet'!$B$140,CT6+CS7-DB6)))</f>
        <v>2.6193113595857573</v>
      </c>
      <c r="CU7" s="18">
        <f>CT7*VLOOKUP('Données projet'!$B$13,Paramètres!$A$1:$I$89,3,0)*VLOOKUP('Données projet'!$B$13,Paramètres!$A$1:$I$89,5,0)</f>
        <v>2.0839241176864287</v>
      </c>
      <c r="CV7" s="14">
        <f t="shared" si="41"/>
        <v>0.88169040068036508</v>
      </c>
      <c r="CW7" s="22">
        <f t="shared" si="13"/>
        <v>5.1651119528221656</v>
      </c>
      <c r="CX7" s="62">
        <f t="shared" si="14"/>
        <v>266.72066750837769</v>
      </c>
      <c r="CY7" s="62">
        <f ca="1">AVERAGE(OFFSET($CX$3,0,0,'Données projet'!$E$13+1,1))-AVERAGE(OFFSET($H$3,0,0,'Données projet'!$E$13+1,1))</f>
        <v>312.53381881960331</v>
      </c>
      <c r="CZ7" s="62">
        <f t="shared" si="42"/>
        <v>342.06887933351783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2.4666666666666668</v>
      </c>
      <c r="DO7" s="13">
        <f>IF('Données projet'!$A$166&gt;35,DO6+DN7-DW6,IF(A7&lt;'Données projet'!$A$166,$DL$205^A7,IF(A7='Données projet'!$A$166,'Données projet'!$B$166,DO6+DN7-DW6)))</f>
        <v>2.6193113595857573</v>
      </c>
      <c r="DP7" s="18">
        <f>DO7*VLOOKUP('Données projet'!$B$14,Paramètres!$A$1:$I$89,3,0)*VLOOKUP('Données projet'!$B$14,Paramètres!$A$1:$I$89,5,0)</f>
        <v>1.9204790888482772</v>
      </c>
      <c r="DQ7" s="14">
        <f t="shared" si="43"/>
        <v>0.82030011446080875</v>
      </c>
      <c r="DR7" s="22">
        <f t="shared" si="16"/>
        <v>4.7735237790966574</v>
      </c>
      <c r="DS7" s="62">
        <f t="shared" si="17"/>
        <v>266.32907933465219</v>
      </c>
      <c r="DT7" s="62">
        <f ca="1">AVERAGE(OFFSET($DS$3,0,0,'Données projet'!$E$14+1,1))-AVERAGE(OFFSET($H$3,0,0,'Données projet'!$E$14+1,1))</f>
        <v>290.85271051443431</v>
      </c>
      <c r="DU7" s="62">
        <f t="shared" si="44"/>
        <v>318.66958823451142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1.6</v>
      </c>
      <c r="EJ7" s="13">
        <f>IF('Données projet'!$A$192&gt;35,EJ6+EI7-ER6,IF(A7&lt;'Données projet'!$A$192,$EG$205^A7,IF(A7='Données projet'!$A$192,'Données projet'!$B$192,EJ6+EI7-ER6)))</f>
        <v>1.8043866224194838</v>
      </c>
      <c r="EK7" s="18">
        <f>EJ7*VLOOKUP('Données projet'!$B$15,Paramètres!$A$1:$I$89,3,0)*VLOOKUP('Données projet'!$B$15,Paramètres!$A$1:$I$89,5,0)</f>
        <v>1.5481637220359172</v>
      </c>
      <c r="EL7" s="14">
        <f t="shared" si="45"/>
        <v>0.67806958708066833</v>
      </c>
      <c r="EM7" s="22">
        <f t="shared" si="19"/>
        <v>3.8773563467113861</v>
      </c>
      <c r="EN7" s="62">
        <f t="shared" si="20"/>
        <v>265.43291190226694</v>
      </c>
      <c r="EO7" s="62">
        <f ca="1">AVERAGE(OFFSET($EN$3,0,0,'Données projet'!$E$15+1,1))-AVERAGE(OFFSET($H$3,0,0,'Données projet'!$E$15+1,1))</f>
        <v>438.65317358403996</v>
      </c>
      <c r="EP7" s="62">
        <f t="shared" si="46"/>
        <v>176.81257896138806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7.7987854251012134</v>
      </c>
      <c r="N8" s="14">
        <f>IF('Données projet'!$A$36&gt;35,N7+M8-V7,IF(A8&lt;'Données projet'!$A$36,$K$205^A8,IF(A8='Données projet'!$A$36,'Données projet'!$B$36,N7+M8-V7)))</f>
        <v>3.7261303649455062</v>
      </c>
      <c r="O8" s="14">
        <f>N8*VLOOKUP('Données projet'!$B$9,Paramètres!$A$1:$I$89,3,0)*VLOOKUP('Données projet'!$B$9,Paramètres!$A$1:$I$89,5,0)</f>
        <v>2.082906874004538</v>
      </c>
      <c r="P8" s="14">
        <f t="shared" si="33"/>
        <v>0.88131009986182929</v>
      </c>
      <c r="Q8" s="22">
        <f t="shared" si="2"/>
        <v>5.1626778961505897</v>
      </c>
      <c r="R8" s="62">
        <f t="shared" si="0"/>
        <v>267.94045567392834</v>
      </c>
      <c r="S8" s="62">
        <f ca="1">AVERAGE(OFFSET($R$3,0,0,'Données projet'!$E$9+1,1))-AVERAGE(OFFSET($H$3,0,0,'Données projet'!$E$9+1,1))</f>
        <v>323.98185264074681</v>
      </c>
      <c r="T8" s="62">
        <f t="shared" si="34"/>
        <v>301.22207291854005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2.3805128205128203</v>
      </c>
      <c r="AI8" s="14">
        <f>IF('Données projet'!$A$62&gt;35,AI7+AH8-AQ7,IF(A8&lt;'Données projet'!$A$62,$AF$205^A8,IF(A8='Données projet'!$A$62,'Données projet'!$B$62,AI7+AH8-AQ7)))</f>
        <v>3.2929661110289854</v>
      </c>
      <c r="AJ8" s="14">
        <f>AI8*VLOOKUP('Données projet'!$B$10,Paramètres!$A$1:$I$89,3,0)*VLOOKUP('Données projet'!$B$10,Paramètres!$A$1:$I$89,5,0)</f>
        <v>1.9691937343953334</v>
      </c>
      <c r="AK8" s="14">
        <f t="shared" si="35"/>
        <v>0.83865885162703413</v>
      </c>
      <c r="AL8" s="22">
        <f t="shared" si="4"/>
        <v>4.8903432539889566</v>
      </c>
      <c r="AM8" s="62">
        <f t="shared" si="5"/>
        <v>267.6681210317667</v>
      </c>
      <c r="AN8" s="62">
        <f ca="1">AVERAGE(OFFSET($AM$3,0,0,'Données projet'!$E$10+1,1))-AVERAGE(OFFSET($H$3,0,0,'Données projet'!$E$10+1,1))</f>
        <v>289.12367833861299</v>
      </c>
      <c r="AO8" s="62">
        <f t="shared" si="36"/>
        <v>229.06617320689003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6.2222222222222223</v>
      </c>
      <c r="BD8" s="13">
        <f>IF('Données projet'!$A$88&gt;35,BD7+BC8-BL7,IF(A8&lt;'Données projet'!$A$88,$BA$205^A8,IF(A8='Données projet'!$A$88,'Données projet'!$B$88,BD7+BC8-BL7)))</f>
        <v>3.7087471750180505</v>
      </c>
      <c r="BE8" s="14">
        <f>BD8*VLOOKUP('Données projet'!$B$11,Paramètres!$A$1:$I$89,3,0)*VLOOKUP('Données projet'!$B$11,Paramètres!$A$1:$I$89,5,0)</f>
        <v>2.3142582372112632</v>
      </c>
      <c r="BF8" s="14">
        <f t="shared" si="37"/>
        <v>0.96726694681425085</v>
      </c>
      <c r="BG8" s="22">
        <f t="shared" si="7"/>
        <v>5.7153230288444377</v>
      </c>
      <c r="BH8" s="62">
        <f t="shared" si="8"/>
        <v>268.49310080662224</v>
      </c>
      <c r="BI8" s="62">
        <f ca="1">AVERAGE(OFFSET($BH$3,0,0,'Données projet'!$E$11+1,1))-AVERAGE(OFFSET($H$3,0,0,'Données projet'!$E$11+1,1))</f>
        <v>240.22884864766218</v>
      </c>
      <c r="BJ8" s="62">
        <f t="shared" si="38"/>
        <v>343.23776884143166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2.1</v>
      </c>
      <c r="BY8" s="13">
        <f>IF('Données projet'!$A$114&gt;35,BY7+BX8-CG7,IF(A8&lt;'Données projet'!$A$114,$BV$205^A8,IF(A8='Données projet'!$A$114,'Données projet'!$B$114,BY7+BX8-CG7)))</f>
        <v>2.5457298950218314</v>
      </c>
      <c r="BZ8" s="14">
        <f>BY8*VLOOKUP('Données projet'!$B$12,Paramètres!$A$1:$I$89,3,0)*VLOOKUP('Données projet'!$B$12,Paramètres!$A$1:$I$89,5,0)</f>
        <v>2.3033764090157529</v>
      </c>
      <c r="CA8" s="14">
        <f t="shared" si="39"/>
        <v>0.96324708482559218</v>
      </c>
      <c r="CB8" s="22">
        <f t="shared" si="10"/>
        <v>5.6893692517736758</v>
      </c>
      <c r="CC8" s="62">
        <f t="shared" si="11"/>
        <v>268.46714702955143</v>
      </c>
      <c r="CD8" s="62">
        <f ca="1">AVERAGE(OFFSET($CC$3,0,0,'Données projet'!$E$12+1,1))-AVERAGE(OFFSET($H$3,0,0,'Données projet'!$E$12+1,1))</f>
        <v>428.8489304403459</v>
      </c>
      <c r="CE8" s="62">
        <f t="shared" si="40"/>
        <v>247.01165577562966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2.4666666666666668</v>
      </c>
      <c r="CT8" s="13">
        <f>IF('Données projet'!$A$140&gt;35,CT7+CS8-DB7,IF(A8&lt;'Données projet'!$A$140,$CQ$205^A8,IF(A8='Données projet'!$A$140,'Données projet'!$B$140,CT7+CS8-DB7)))</f>
        <v>3.332221851645953</v>
      </c>
      <c r="CU8" s="18">
        <f>CT8*VLOOKUP('Données projet'!$B$13,Paramètres!$A$1:$I$89,3,0)*VLOOKUP('Données projet'!$B$13,Paramètres!$A$1:$I$89,5,0)</f>
        <v>2.6511157051695204</v>
      </c>
      <c r="CV8" s="14">
        <f t="shared" si="41"/>
        <v>1.0906707059957799</v>
      </c>
      <c r="CW8" s="22">
        <f t="shared" si="13"/>
        <v>6.5169446661128978</v>
      </c>
      <c r="CX8" s="62">
        <f t="shared" si="14"/>
        <v>269.29472244389069</v>
      </c>
      <c r="CY8" s="62">
        <f ca="1">AVERAGE(OFFSET($CX$3,0,0,'Données projet'!$E$13+1,1))-AVERAGE(OFFSET($H$3,0,0,'Données projet'!$E$13+1,1))</f>
        <v>312.53381881960331</v>
      </c>
      <c r="CZ8" s="62">
        <f t="shared" si="42"/>
        <v>342.06887933351783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2.4666666666666668</v>
      </c>
      <c r="DO8" s="13">
        <f>IF('Données projet'!$A$166&gt;35,DO7+DN8-DW7,IF(A8&lt;'Données projet'!$A$166,$DL$205^A8,IF(A8='Données projet'!$A$166,'Données projet'!$B$166,DO7+DN8-DW7)))</f>
        <v>3.332221851645953</v>
      </c>
      <c r="DP8" s="18">
        <f>DO8*VLOOKUP('Données projet'!$B$14,Paramètres!$A$1:$I$89,3,0)*VLOOKUP('Données projet'!$B$14,Paramètres!$A$1:$I$89,5,0)</f>
        <v>2.4431850616268127</v>
      </c>
      <c r="DQ8" s="14">
        <f t="shared" si="43"/>
        <v>1.0147295516396715</v>
      </c>
      <c r="DR8" s="22">
        <f t="shared" si="16"/>
        <v>6.0225346181057935</v>
      </c>
      <c r="DS8" s="62">
        <f t="shared" si="17"/>
        <v>268.80031239588357</v>
      </c>
      <c r="DT8" s="62">
        <f ca="1">AVERAGE(OFFSET($DS$3,0,0,'Données projet'!$E$14+1,1))-AVERAGE(OFFSET($H$3,0,0,'Données projet'!$E$14+1,1))</f>
        <v>290.85271051443431</v>
      </c>
      <c r="DU8" s="62">
        <f t="shared" si="44"/>
        <v>318.66958823451142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1.6</v>
      </c>
      <c r="EJ8" s="13">
        <f>IF('Données projet'!$A$192&gt;35,EJ7+EI8-ER7,IF(A8&lt;'Données projet'!$A$192,$EG$205^A8,IF(A8='Données projet'!$A$192,'Données projet'!$B$192,EJ7+EI8-ER7)))</f>
        <v>2.0912791051825463</v>
      </c>
      <c r="EK8" s="18">
        <f>EJ8*VLOOKUP('Données projet'!$B$15,Paramètres!$A$1:$I$89,3,0)*VLOOKUP('Données projet'!$B$15,Paramètres!$A$1:$I$89,5,0)</f>
        <v>1.7943174722466249</v>
      </c>
      <c r="EL8" s="14">
        <f t="shared" si="45"/>
        <v>0.77249819632290906</v>
      </c>
      <c r="EM8" s="22">
        <f t="shared" si="19"/>
        <v>4.4705372894252715</v>
      </c>
      <c r="EN8" s="62">
        <f t="shared" si="20"/>
        <v>267.24831506720307</v>
      </c>
      <c r="EO8" s="62">
        <f ca="1">AVERAGE(OFFSET($EN$3,0,0,'Données projet'!$E$15+1,1))-AVERAGE(OFFSET($H$3,0,0,'Données projet'!$E$15+1,1))</f>
        <v>438.65317358403996</v>
      </c>
      <c r="EP8" s="62">
        <f t="shared" si="46"/>
        <v>176.81257896138806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7.7987854251012134</v>
      </c>
      <c r="N9" s="14">
        <f>IF('Données projet'!$A$36&gt;35,N8+M9-V8,IF(A9&lt;'Données projet'!$A$36,$K$205^A9,IF(A9='Données projet'!$A$36,'Données projet'!$B$36,N8+M9-V8)))</f>
        <v>4.8474088835420224</v>
      </c>
      <c r="O9" s="14">
        <f>N9*VLOOKUP('Données projet'!$B$9,Paramètres!$A$1:$I$89,3,0)*VLOOKUP('Données projet'!$B$9,Paramètres!$A$1:$I$89,5,0)</f>
        <v>2.7097015658999908</v>
      </c>
      <c r="P9" s="14">
        <f t="shared" si="33"/>
        <v>1.1119402957316735</v>
      </c>
      <c r="Q9" s="22">
        <f t="shared" si="2"/>
        <v>6.6560262423418139</v>
      </c>
      <c r="R9" s="62">
        <f t="shared" si="0"/>
        <v>270.6560262423418</v>
      </c>
      <c r="S9" s="62">
        <f ca="1">AVERAGE(OFFSET($R$3,0,0,'Données projet'!$E$9+1,1))-AVERAGE(OFFSET($H$3,0,0,'Données projet'!$E$9+1,1))</f>
        <v>323.98185264074681</v>
      </c>
      <c r="T9" s="62">
        <f t="shared" si="34"/>
        <v>301.22207291854005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2.3805128205128203</v>
      </c>
      <c r="AI9" s="14">
        <f>IF('Données projet'!$A$62&gt;35,AI8+AH9-AQ8,IF(A9&lt;'Données projet'!$A$62,$AF$205^A9,IF(A9='Données projet'!$A$62,'Données projet'!$B$62,AI8+AH9-AQ8)))</f>
        <v>4.1793112262558481</v>
      </c>
      <c r="AJ9" s="14">
        <f>AI9*VLOOKUP('Données projet'!$B$10,Paramètres!$A$1:$I$89,3,0)*VLOOKUP('Données projet'!$B$10,Paramètres!$A$1:$I$89,5,0)</f>
        <v>2.4992281133009975</v>
      </c>
      <c r="AK9" s="14">
        <f t="shared" si="35"/>
        <v>1.0352693484653335</v>
      </c>
      <c r="AL9" s="22">
        <f t="shared" si="4"/>
        <v>6.1559164125763592</v>
      </c>
      <c r="AM9" s="62">
        <f t="shared" si="5"/>
        <v>270.15591641257635</v>
      </c>
      <c r="AN9" s="62">
        <f ca="1">AVERAGE(OFFSET($AM$3,0,0,'Données projet'!$E$10+1,1))-AVERAGE(OFFSET($H$3,0,0,'Données projet'!$E$10+1,1))</f>
        <v>289.12367833861299</v>
      </c>
      <c r="AO9" s="62">
        <f t="shared" si="36"/>
        <v>229.06617320689003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6.2222222222222223</v>
      </c>
      <c r="BD9" s="13">
        <f>IF('Données projet'!$A$88&gt;35,BD8+BC9-BL8,IF(A9&lt;'Données projet'!$A$88,$BA$205^A9,IF(A9='Données projet'!$A$88,'Données projet'!$B$88,BD8+BC9-BL8)))</f>
        <v>4.8202845283504612</v>
      </c>
      <c r="BE9" s="14">
        <f>BD9*VLOOKUP('Données projet'!$B$11,Paramètres!$A$1:$I$89,3,0)*VLOOKUP('Données projet'!$B$11,Paramètres!$A$1:$I$89,5,0)</f>
        <v>3.0078575456906878</v>
      </c>
      <c r="BF9" s="14">
        <f t="shared" si="37"/>
        <v>1.2193831326236693</v>
      </c>
      <c r="BG9" s="22">
        <f t="shared" si="7"/>
        <v>7.3624441813975059</v>
      </c>
      <c r="BH9" s="62">
        <f t="shared" si="8"/>
        <v>271.36244418139751</v>
      </c>
      <c r="BI9" s="62">
        <f ca="1">AVERAGE(OFFSET($BH$3,0,0,'Données projet'!$E$11+1,1))-AVERAGE(OFFSET($H$3,0,0,'Données projet'!$E$11+1,1))</f>
        <v>240.22884864766218</v>
      </c>
      <c r="BJ9" s="62">
        <f t="shared" si="38"/>
        <v>343.23776884143166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2.1</v>
      </c>
      <c r="BY9" s="13">
        <f>IF('Données projet'!$A$114&gt;35,BY8+BX9-CG8,IF(A9&lt;'Données projet'!$A$114,$BV$205^A9,IF(A9='Données projet'!$A$114,'Données projet'!$B$114,BY8+BX9-CG8)))</f>
        <v>3.0688438220956993</v>
      </c>
      <c r="BZ9" s="14">
        <f>BY9*VLOOKUP('Données projet'!$B$12,Paramètres!$A$1:$I$89,3,0)*VLOOKUP('Données projet'!$B$12,Paramètres!$A$1:$I$89,5,0)</f>
        <v>2.7766898902321886</v>
      </c>
      <c r="CA9" s="14">
        <f t="shared" si="39"/>
        <v>1.1361949561012803</v>
      </c>
      <c r="CB9" s="22">
        <f t="shared" si="10"/>
        <v>6.8149411073641248</v>
      </c>
      <c r="CC9" s="62">
        <f t="shared" si="11"/>
        <v>270.81494110736412</v>
      </c>
      <c r="CD9" s="62">
        <f ca="1">AVERAGE(OFFSET($CC$3,0,0,'Données projet'!$E$12+1,1))-AVERAGE(OFFSET($H$3,0,0,'Données projet'!$E$12+1,1))</f>
        <v>428.8489304403459</v>
      </c>
      <c r="CE9" s="62">
        <f t="shared" si="40"/>
        <v>247.01165577562966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2.4666666666666668</v>
      </c>
      <c r="CT9" s="13">
        <f>IF('Données projet'!$A$140&gt;35,CT8+CS9-DB8,IF(A9&lt;'Données projet'!$A$140,$CQ$205^A9,IF(A9='Données projet'!$A$140,'Données projet'!$B$140,CT8+CS9-DB8)))</f>
        <v>4.2391685997738069</v>
      </c>
      <c r="CU9" s="18">
        <f>CT9*VLOOKUP('Données projet'!$B$13,Paramètres!$A$1:$I$89,3,0)*VLOOKUP('Données projet'!$B$13,Paramètres!$A$1:$I$89,5,0)</f>
        <v>3.3726825379800407</v>
      </c>
      <c r="CV9" s="14">
        <f t="shared" si="41"/>
        <v>1.3491840083541735</v>
      </c>
      <c r="CW9" s="22">
        <f t="shared" si="13"/>
        <v>8.2239175681987557</v>
      </c>
      <c r="CX9" s="62">
        <f t="shared" si="14"/>
        <v>272.22391756819877</v>
      </c>
      <c r="CY9" s="62">
        <f ca="1">AVERAGE(OFFSET($CX$3,0,0,'Données projet'!$E$13+1,1))-AVERAGE(OFFSET($H$3,0,0,'Données projet'!$E$13+1,1))</f>
        <v>312.53381881960331</v>
      </c>
      <c r="CZ9" s="62">
        <f t="shared" si="42"/>
        <v>342.06887933351783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2.4666666666666668</v>
      </c>
      <c r="DO9" s="13">
        <f>IF('Données projet'!$A$166&gt;35,DO8+DN9-DW8,IF(A9&lt;'Données projet'!$A$166,$DL$205^A9,IF(A9='Données projet'!$A$166,'Données projet'!$B$166,DO8+DN9-DW8)))</f>
        <v>4.2391685997738069</v>
      </c>
      <c r="DP9" s="18">
        <f>DO9*VLOOKUP('Données projet'!$B$14,Paramètres!$A$1:$I$89,3,0)*VLOOKUP('Données projet'!$B$14,Paramètres!$A$1:$I$89,5,0)</f>
        <v>3.1081584173541552</v>
      </c>
      <c r="DQ9" s="14">
        <f t="shared" si="43"/>
        <v>1.2552431053208675</v>
      </c>
      <c r="DR9" s="22">
        <f t="shared" si="16"/>
        <v>7.5995909853256647</v>
      </c>
      <c r="DS9" s="62">
        <f t="shared" si="17"/>
        <v>271.59959098532568</v>
      </c>
      <c r="DT9" s="62">
        <f ca="1">AVERAGE(OFFSET($DS$3,0,0,'Données projet'!$E$14+1,1))-AVERAGE(OFFSET($H$3,0,0,'Données projet'!$E$14+1,1))</f>
        <v>290.85271051443431</v>
      </c>
      <c r="DU9" s="62">
        <f t="shared" si="44"/>
        <v>318.66958823451142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1.6</v>
      </c>
      <c r="EJ9" s="13">
        <f>IF('Données projet'!$A$192&gt;35,EJ8+EI9-ER8,IF(A9&lt;'Données projet'!$A$192,$EG$205^A9,IF(A9='Données projet'!$A$192,'Données projet'!$B$192,EJ8+EI9-ER8)))</f>
        <v>2.4237866992766768</v>
      </c>
      <c r="EK9" s="18">
        <f>EJ9*VLOOKUP('Données projet'!$B$15,Paramètres!$A$1:$I$89,3,0)*VLOOKUP('Données projet'!$B$15,Paramètres!$A$1:$I$89,5,0)</f>
        <v>2.0796089879793889</v>
      </c>
      <c r="EL9" s="14">
        <f t="shared" si="45"/>
        <v>0.88007702261265608</v>
      </c>
      <c r="EM9" s="22">
        <f t="shared" si="19"/>
        <v>5.1547864684478117</v>
      </c>
      <c r="EN9" s="62">
        <f t="shared" si="20"/>
        <v>269.15478646844781</v>
      </c>
      <c r="EO9" s="62">
        <f ca="1">AVERAGE(OFFSET($EN$3,0,0,'Données projet'!$E$15+1,1))-AVERAGE(OFFSET($H$3,0,0,'Données projet'!$E$15+1,1))</f>
        <v>438.65317358403996</v>
      </c>
      <c r="EP9" s="62">
        <f t="shared" si="46"/>
        <v>176.81257896138806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7.7987854251012134</v>
      </c>
      <c r="N10" s="14">
        <f>IF('Données projet'!$A$36&gt;35,N9+M10-V9,IF(A10&lt;'Données projet'!$A$36,$K$205^A10,IF(A10='Données projet'!$A$36,'Données projet'!$B$36,N9+M10-V9)))</f>
        <v>6.3061059552020682</v>
      </c>
      <c r="O10" s="14">
        <f>N10*VLOOKUP('Données projet'!$B$9,Paramètres!$A$1:$I$89,3,0)*VLOOKUP('Données projet'!$B$9,Paramètres!$A$1:$I$89,5,0)</f>
        <v>3.5251132289579559</v>
      </c>
      <c r="P10" s="14">
        <f t="shared" si="33"/>
        <v>1.4029241483397099</v>
      </c>
      <c r="Q10" s="22">
        <f t="shared" si="2"/>
        <v>8.5829984321267663</v>
      </c>
      <c r="R10" s="62">
        <f t="shared" si="0"/>
        <v>273.805220654349</v>
      </c>
      <c r="S10" s="62">
        <f ca="1">AVERAGE(OFFSET($R$3,0,0,'Données projet'!$E$9+1,1))-AVERAGE(OFFSET($H$3,0,0,'Données projet'!$E$9+1,1))</f>
        <v>323.98185264074681</v>
      </c>
      <c r="T10" s="62">
        <f t="shared" si="34"/>
        <v>301.22207291854005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2.3805128205128203</v>
      </c>
      <c r="AI10" s="14">
        <f>IF('Données projet'!$A$62&gt;35,AI9+AH10-AQ9,IF(A10&lt;'Données projet'!$A$62,$AF$205^A10,IF(A10='Données projet'!$A$62,'Données projet'!$B$62,AI9+AH10-AQ9)))</f>
        <v>5.304227780361269</v>
      </c>
      <c r="AJ10" s="14">
        <f>AI10*VLOOKUP('Données projet'!$B$10,Paramètres!$A$1:$I$89,3,0)*VLOOKUP('Données projet'!$B$10,Paramètres!$A$1:$I$89,5,0)</f>
        <v>3.1719282126560389</v>
      </c>
      <c r="AK10" s="14">
        <f t="shared" si="35"/>
        <v>1.2779721120125676</v>
      </c>
      <c r="AL10" s="22">
        <f t="shared" si="4"/>
        <v>7.7502430654644883</v>
      </c>
      <c r="AM10" s="62">
        <f t="shared" si="5"/>
        <v>272.9724652876867</v>
      </c>
      <c r="AN10" s="62">
        <f ca="1">AVERAGE(OFFSET($AM$3,0,0,'Données projet'!$E$10+1,1))-AVERAGE(OFFSET($H$3,0,0,'Données projet'!$E$10+1,1))</f>
        <v>289.12367833861299</v>
      </c>
      <c r="AO10" s="62">
        <f t="shared" si="36"/>
        <v>229.06617320689003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6.2222222222222223</v>
      </c>
      <c r="BD10" s="13">
        <f>IF('Données projet'!$A$88&gt;35,BD9+BC10-BL9,IF(A10&lt;'Données projet'!$A$88,$BA$205^A10,IF(A10='Données projet'!$A$88,'Données projet'!$B$88,BD9+BC10-BL9)))</f>
        <v>6.2649573664027773</v>
      </c>
      <c r="BE10" s="14">
        <f>BD10*VLOOKUP('Données projet'!$B$11,Paramètres!$A$1:$I$89,3,0)*VLOOKUP('Données projet'!$B$11,Paramètres!$A$1:$I$89,5,0)</f>
        <v>3.9093333966353332</v>
      </c>
      <c r="BF10" s="14">
        <f t="shared" si="37"/>
        <v>1.5372128955964925</v>
      </c>
      <c r="BG10" s="22">
        <f t="shared" si="7"/>
        <v>9.4860681256370967</v>
      </c>
      <c r="BH10" s="62">
        <f t="shared" si="8"/>
        <v>274.7082903478593</v>
      </c>
      <c r="BI10" s="62">
        <f ca="1">AVERAGE(OFFSET($BH$3,0,0,'Données projet'!$E$11+1,1))-AVERAGE(OFFSET($H$3,0,0,'Données projet'!$E$11+1,1))</f>
        <v>240.22884864766218</v>
      </c>
      <c r="BJ10" s="62">
        <f t="shared" si="38"/>
        <v>343.23776884143166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2.1</v>
      </c>
      <c r="BY10" s="13">
        <f>IF('Données projet'!$A$114&gt;35,BY9+BX10-CG9,IF(A10&lt;'Données projet'!$A$114,$BV$205^A10,IF(A10='Données projet'!$A$114,'Données projet'!$B$114,BY9+BX10-CG9)))</f>
        <v>3.6994507637402658</v>
      </c>
      <c r="BZ10" s="14">
        <f>BY10*VLOOKUP('Données projet'!$B$12,Paramètres!$A$1:$I$89,3,0)*VLOOKUP('Données projet'!$B$12,Paramètres!$A$1:$I$89,5,0)</f>
        <v>3.3472630510321921</v>
      </c>
      <c r="CA10" s="14">
        <f t="shared" si="39"/>
        <v>1.34019505338418</v>
      </c>
      <c r="CB10" s="22">
        <f t="shared" si="10"/>
        <v>8.1639895318585136</v>
      </c>
      <c r="CC10" s="62">
        <f t="shared" si="11"/>
        <v>273.38621175408076</v>
      </c>
      <c r="CD10" s="62">
        <f ca="1">AVERAGE(OFFSET($CC$3,0,0,'Données projet'!$E$12+1,1))-AVERAGE(OFFSET($H$3,0,0,'Données projet'!$E$12+1,1))</f>
        <v>428.8489304403459</v>
      </c>
      <c r="CE10" s="62">
        <f t="shared" si="40"/>
        <v>247.01165577562966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2.4666666666666668</v>
      </c>
      <c r="CT10" s="13">
        <f>IF('Données projet'!$A$140&gt;35,CT9+CS10-DB9,IF(A10&lt;'Données projet'!$A$140,$CQ$205^A10,IF(A10='Données projet'!$A$140,'Données projet'!$B$140,CT9+CS10-DB9)))</f>
        <v>5.3929633792034757</v>
      </c>
      <c r="CU10" s="18">
        <f>CT10*VLOOKUP('Données projet'!$B$13,Paramètres!$A$1:$I$89,3,0)*VLOOKUP('Données projet'!$B$13,Paramètres!$A$1:$I$89,5,0)</f>
        <v>4.2906416644942853</v>
      </c>
      <c r="CV10" s="14">
        <f t="shared" si="41"/>
        <v>1.6689707336887791</v>
      </c>
      <c r="CW10" s="22">
        <f t="shared" si="13"/>
        <v>10.379658260168837</v>
      </c>
      <c r="CX10" s="62">
        <f t="shared" si="14"/>
        <v>275.60188048239104</v>
      </c>
      <c r="CY10" s="62">
        <f ca="1">AVERAGE(OFFSET($CX$3,0,0,'Données projet'!$E$13+1,1))-AVERAGE(OFFSET($H$3,0,0,'Données projet'!$E$13+1,1))</f>
        <v>312.53381881960331</v>
      </c>
      <c r="CZ10" s="62">
        <f t="shared" si="42"/>
        <v>342.06887933351783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2.4666666666666668</v>
      </c>
      <c r="DO10" s="13">
        <f>IF('Données projet'!$A$166&gt;35,DO9+DN10-DW9,IF(A10&lt;'Données projet'!$A$166,$DL$205^A10,IF(A10='Données projet'!$A$166,'Données projet'!$B$166,DO9+DN10-DW9)))</f>
        <v>5.3929633792034757</v>
      </c>
      <c r="DP10" s="18">
        <f>DO10*VLOOKUP('Données projet'!$B$14,Paramètres!$A$1:$I$89,3,0)*VLOOKUP('Données projet'!$B$14,Paramètres!$A$1:$I$89,5,0)</f>
        <v>3.9541207496319881</v>
      </c>
      <c r="DQ10" s="14">
        <f t="shared" si="43"/>
        <v>1.5527637397664751</v>
      </c>
      <c r="DR10" s="22">
        <f t="shared" si="16"/>
        <v>9.5911571523689911</v>
      </c>
      <c r="DS10" s="62">
        <f t="shared" si="17"/>
        <v>274.81337937459119</v>
      </c>
      <c r="DT10" s="62">
        <f ca="1">AVERAGE(OFFSET($DS$3,0,0,'Données projet'!$E$14+1,1))-AVERAGE(OFFSET($H$3,0,0,'Données projet'!$E$14+1,1))</f>
        <v>290.85271051443431</v>
      </c>
      <c r="DU10" s="62">
        <f t="shared" si="44"/>
        <v>318.66958823451142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1.6</v>
      </c>
      <c r="EJ10" s="13">
        <f>IF('Données projet'!$A$192&gt;35,EJ9+EI10-ER9,IF(A10&lt;'Données projet'!$A$192,$EG$205^A10,IF(A10='Données projet'!$A$192,'Données projet'!$B$192,EJ9+EI10-ER9)))</f>
        <v>2.8091620812506162</v>
      </c>
      <c r="EK10" s="18">
        <f>EJ10*VLOOKUP('Données projet'!$B$15,Paramètres!$A$1:$I$89,3,0)*VLOOKUP('Données projet'!$B$15,Paramètres!$A$1:$I$89,5,0)</f>
        <v>2.410261065713029</v>
      </c>
      <c r="EL10" s="14">
        <f t="shared" si="45"/>
        <v>1.0026373775596455</v>
      </c>
      <c r="EM10" s="22">
        <f t="shared" si="19"/>
        <v>5.9441314553665761</v>
      </c>
      <c r="EN10" s="62">
        <f t="shared" si="20"/>
        <v>271.1663536775888</v>
      </c>
      <c r="EO10" s="62">
        <f ca="1">AVERAGE(OFFSET($EN$3,0,0,'Données projet'!$E$15+1,1))-AVERAGE(OFFSET($H$3,0,0,'Données projet'!$E$15+1,1))</f>
        <v>438.65317358403996</v>
      </c>
      <c r="EP10" s="62">
        <f t="shared" si="46"/>
        <v>176.81257896138806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7.7987854251012134</v>
      </c>
      <c r="N11" s="14">
        <f>IF('Données projet'!$A$36&gt;35,N10+M11-V10,IF(A11&lt;'Données projet'!$A$36,$K$205^A11,IF(A11='Données projet'!$A$36,'Données projet'!$B$36,N10+M11-V10)))</f>
        <v>8.2037586004457506</v>
      </c>
      <c r="O11" s="14">
        <f>N11*VLOOKUP('Données projet'!$B$9,Paramètres!$A$1:$I$89,3,0)*VLOOKUP('Données projet'!$B$9,Paramètres!$A$1:$I$89,5,0)</f>
        <v>4.5859010576491741</v>
      </c>
      <c r="P11" s="14">
        <f t="shared" si="33"/>
        <v>1.770055616789747</v>
      </c>
      <c r="Q11" s="22">
        <f t="shared" si="2"/>
        <v>11.069957874647789</v>
      </c>
      <c r="R11" s="62">
        <f t="shared" si="0"/>
        <v>277.51440231909226</v>
      </c>
      <c r="S11" s="62">
        <f ca="1">AVERAGE(OFFSET($R$3,0,0,'Données projet'!$E$9+1,1))-AVERAGE(OFFSET($H$3,0,0,'Données projet'!$E$9+1,1))</f>
        <v>323.98185264074681</v>
      </c>
      <c r="T11" s="62">
        <f t="shared" si="34"/>
        <v>301.22207291854005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2.3805128205128203</v>
      </c>
      <c r="AI11" s="14">
        <f>IF('Données projet'!$A$62&gt;35,AI10+AH11-AQ10,IF(A11&lt;'Données projet'!$A$62,$AF$205^A11,IF(A11='Données projet'!$A$62,'Données projet'!$B$62,AI10+AH11-AQ10)))</f>
        <v>6.7319304121702404</v>
      </c>
      <c r="AJ11" s="14">
        <f>AI11*VLOOKUP('Données projet'!$B$10,Paramètres!$A$1:$I$89,3,0)*VLOOKUP('Données projet'!$B$10,Paramètres!$A$1:$I$89,5,0)</f>
        <v>4.0256943864778041</v>
      </c>
      <c r="AK11" s="14">
        <f t="shared" si="35"/>
        <v>1.5775727558271786</v>
      </c>
      <c r="AL11" s="22">
        <f t="shared" si="4"/>
        <v>9.759023606181179</v>
      </c>
      <c r="AM11" s="62">
        <f t="shared" si="5"/>
        <v>276.20346805062564</v>
      </c>
      <c r="AN11" s="62">
        <f ca="1">AVERAGE(OFFSET($AM$3,0,0,'Données projet'!$E$10+1,1))-AVERAGE(OFFSET($H$3,0,0,'Données projet'!$E$10+1,1))</f>
        <v>289.12367833861299</v>
      </c>
      <c r="AO11" s="62">
        <f t="shared" si="36"/>
        <v>229.06617320689003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6.2222222222222223</v>
      </c>
      <c r="BD11" s="13">
        <f>IF('Données projet'!$A$88&gt;35,BD10+BC11-BL10,IF(A11&lt;'Données projet'!$A$88,$BA$205^A11,IF(A11='Données projet'!$A$88,'Données projet'!$B$88,BD10+BC11-BL10)))</f>
        <v>8.1426087136553278</v>
      </c>
      <c r="BE11" s="14">
        <f>BD11*VLOOKUP('Données projet'!$B$11,Paramètres!$A$1:$I$89,3,0)*VLOOKUP('Données projet'!$B$11,Paramètres!$A$1:$I$89,5,0)</f>
        <v>5.080987837320925</v>
      </c>
      <c r="BF11" s="14">
        <f t="shared" si="37"/>
        <v>1.9378843475584122</v>
      </c>
      <c r="BG11" s="22">
        <f t="shared" si="7"/>
        <v>12.224535721998178</v>
      </c>
      <c r="BH11" s="62">
        <f t="shared" si="8"/>
        <v>278.66898016644262</v>
      </c>
      <c r="BI11" s="62">
        <f ca="1">AVERAGE(OFFSET($BH$3,0,0,'Données projet'!$E$11+1,1))-AVERAGE(OFFSET($H$3,0,0,'Données projet'!$E$11+1,1))</f>
        <v>240.22884864766218</v>
      </c>
      <c r="BJ11" s="62">
        <f t="shared" si="38"/>
        <v>343.23776884143166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2.1</v>
      </c>
      <c r="BY11" s="13">
        <f>IF('Données projet'!$A$114&gt;35,BY10+BX11-CG10,IF(A11&lt;'Données projet'!$A$114,$BV$205^A11,IF(A11='Données projet'!$A$114,'Données projet'!$B$114,BY10+BX11-CG10)))</f>
        <v>4.4596391171162209</v>
      </c>
      <c r="BZ11" s="14">
        <f>BY11*VLOOKUP('Données projet'!$B$12,Paramètres!$A$1:$I$89,3,0)*VLOOKUP('Données projet'!$B$12,Paramètres!$A$1:$I$89,5,0)</f>
        <v>4.0350814731667564</v>
      </c>
      <c r="CA11" s="14">
        <f t="shared" si="39"/>
        <v>1.5808227025391921</v>
      </c>
      <c r="CB11" s="22">
        <f t="shared" si="10"/>
        <v>9.7810331060211926</v>
      </c>
      <c r="CC11" s="62">
        <f t="shared" si="11"/>
        <v>276.22547755046565</v>
      </c>
      <c r="CD11" s="62">
        <f ca="1">AVERAGE(OFFSET($CC$3,0,0,'Données projet'!$E$12+1,1))-AVERAGE(OFFSET($H$3,0,0,'Données projet'!$E$12+1,1))</f>
        <v>428.8489304403459</v>
      </c>
      <c r="CE11" s="62">
        <f t="shared" si="40"/>
        <v>247.01165577562966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2.4666666666666668</v>
      </c>
      <c r="CT11" s="13">
        <f>IF('Données projet'!$A$140&gt;35,CT10+CS11-DB10,IF(A11&lt;'Données projet'!$A$140,$CQ$205^A11,IF(A11='Données projet'!$A$140,'Données projet'!$B$140,CT10+CS11-DB10)))</f>
        <v>6.8607919984549888</v>
      </c>
      <c r="CU11" s="18">
        <f>CT11*VLOOKUP('Données projet'!$B$13,Paramètres!$A$1:$I$89,3,0)*VLOOKUP('Données projet'!$B$13,Paramètres!$A$1:$I$89,5,0)</f>
        <v>5.4584461139707896</v>
      </c>
      <c r="CV11" s="14">
        <f t="shared" si="41"/>
        <v>2.0645540509389519</v>
      </c>
      <c r="CW11" s="22">
        <f t="shared" si="13"/>
        <v>13.102558620551131</v>
      </c>
      <c r="CX11" s="62">
        <f t="shared" si="14"/>
        <v>279.54700306499558</v>
      </c>
      <c r="CY11" s="62">
        <f ca="1">AVERAGE(OFFSET($CX$3,0,0,'Données projet'!$E$13+1,1))-AVERAGE(OFFSET($H$3,0,0,'Données projet'!$E$13+1,1))</f>
        <v>312.53381881960331</v>
      </c>
      <c r="CZ11" s="62">
        <f t="shared" si="42"/>
        <v>342.06887933351783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2.4666666666666668</v>
      </c>
      <c r="DO11" s="13">
        <f>IF('Données projet'!$A$166&gt;35,DO10+DN11-DW10,IF(A11&lt;'Données projet'!$A$166,$DL$205^A11,IF(A11='Données projet'!$A$166,'Données projet'!$B$166,DO10+DN11-DW10)))</f>
        <v>6.8607919984549888</v>
      </c>
      <c r="DP11" s="18">
        <f>DO11*VLOOKUP('Données projet'!$B$14,Paramètres!$A$1:$I$89,3,0)*VLOOKUP('Données projet'!$B$14,Paramètres!$A$1:$I$89,5,0)</f>
        <v>5.0303326932671979</v>
      </c>
      <c r="DQ11" s="14">
        <f t="shared" si="43"/>
        <v>1.9208034055819379</v>
      </c>
      <c r="DR11" s="22">
        <f t="shared" si="16"/>
        <v>12.106562038828912</v>
      </c>
      <c r="DS11" s="62">
        <f t="shared" si="17"/>
        <v>278.55100648327334</v>
      </c>
      <c r="DT11" s="62">
        <f ca="1">AVERAGE(OFFSET($DS$3,0,0,'Données projet'!$E$14+1,1))-AVERAGE(OFFSET($H$3,0,0,'Données projet'!$E$14+1,1))</f>
        <v>290.85271051443431</v>
      </c>
      <c r="DU11" s="62">
        <f t="shared" si="44"/>
        <v>318.66958823451142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1.6</v>
      </c>
      <c r="EJ11" s="13">
        <f>IF('Données projet'!$A$192&gt;35,EJ10+EI11-ER10,IF(A11&lt;'Données projet'!$A$192,$EG$205^A11,IF(A11='Données projet'!$A$192,'Données projet'!$B$192,EJ10+EI11-ER10)))</f>
        <v>3.2558110831663929</v>
      </c>
      <c r="EK11" s="18">
        <f>EJ11*VLOOKUP('Données projet'!$B$15,Paramètres!$A$1:$I$89,3,0)*VLOOKUP('Données projet'!$B$15,Paramètres!$A$1:$I$89,5,0)</f>
        <v>2.7934859093567654</v>
      </c>
      <c r="EL11" s="14">
        <f t="shared" si="45"/>
        <v>1.1422656029529505</v>
      </c>
      <c r="EM11" s="22">
        <f t="shared" si="19"/>
        <v>6.8547672172727552</v>
      </c>
      <c r="EN11" s="62">
        <f t="shared" si="20"/>
        <v>273.29921166171721</v>
      </c>
      <c r="EO11" s="62">
        <f ca="1">AVERAGE(OFFSET($EN$3,0,0,'Données projet'!$E$15+1,1))-AVERAGE(OFFSET($H$3,0,0,'Données projet'!$E$15+1,1))</f>
        <v>438.65317358403996</v>
      </c>
      <c r="EP11" s="62">
        <f t="shared" si="46"/>
        <v>176.81257896138806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7.7987854251012134</v>
      </c>
      <c r="N12" s="14">
        <f>IF('Données projet'!$A$36&gt;35,N11+M12-V11,IF(A12&lt;'Données projet'!$A$36,$K$205^A12,IF(A12='Données projet'!$A$36,'Données projet'!$B$36,N11+M12-V11)))</f>
        <v>10.672458669818059</v>
      </c>
      <c r="O12" s="14">
        <f>N12*VLOOKUP('Données projet'!$B$9,Paramètres!$A$1:$I$89,3,0)*VLOOKUP('Données projet'!$B$9,Paramètres!$A$1:$I$89,5,0)</f>
        <v>5.9659043964282947</v>
      </c>
      <c r="P12" s="14">
        <f t="shared" si="33"/>
        <v>2.2332617841362223</v>
      </c>
      <c r="Q12" s="22">
        <f t="shared" si="2"/>
        <v>14.280214431149867</v>
      </c>
      <c r="R12" s="62">
        <f t="shared" si="0"/>
        <v>281.94688109781657</v>
      </c>
      <c r="S12" s="62">
        <f ca="1">AVERAGE(OFFSET($R$3,0,0,'Données projet'!$E$9+1,1))-AVERAGE(OFFSET($H$3,0,0,'Données projet'!$E$9+1,1))</f>
        <v>323.98185264074681</v>
      </c>
      <c r="T12" s="62">
        <f t="shared" si="34"/>
        <v>301.22207291854005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2.3805128205128203</v>
      </c>
      <c r="AI12" s="14">
        <f>IF('Données projet'!$A$62&gt;35,AI11+AH12-AQ11,IF(A12&lt;'Données projet'!$A$62,$AF$205^A12,IF(A12='Données projet'!$A$62,'Données projet'!$B$62,AI11+AH12-AQ11)))</f>
        <v>8.5439179746567984</v>
      </c>
      <c r="AJ12" s="14">
        <f>AI12*VLOOKUP('Données projet'!$B$10,Paramètres!$A$1:$I$89,3,0)*VLOOKUP('Données projet'!$B$10,Paramètres!$A$1:$I$89,5,0)</f>
        <v>5.1092629488447656</v>
      </c>
      <c r="AK12" s="14">
        <f t="shared" si="35"/>
        <v>1.9474101011553873</v>
      </c>
      <c r="AL12" s="22">
        <f t="shared" si="4"/>
        <v>12.290372228750266</v>
      </c>
      <c r="AM12" s="62">
        <f t="shared" si="5"/>
        <v>279.95703889541693</v>
      </c>
      <c r="AN12" s="62">
        <f ca="1">AVERAGE(OFFSET($AM$3,0,0,'Données projet'!$E$10+1,1))-AVERAGE(OFFSET($H$3,0,0,'Données projet'!$E$10+1,1))</f>
        <v>289.12367833861299</v>
      </c>
      <c r="AO12" s="62">
        <f t="shared" si="36"/>
        <v>229.06617320689003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6.2222222222222223</v>
      </c>
      <c r="BD12" s="13">
        <f>IF('Données projet'!$A$88&gt;35,BD11+BC12-BL11,IF(A12&lt;'Données projet'!$A$88,$BA$205^A12,IF(A12='Données projet'!$A$88,'Données projet'!$B$88,BD11+BC12-BL11)))</f>
        <v>10.583005244258365</v>
      </c>
      <c r="BE12" s="14">
        <f>BD12*VLOOKUP('Données projet'!$B$11,Paramètres!$A$1:$I$89,3,0)*VLOOKUP('Données projet'!$B$11,Paramètres!$A$1:$I$89,5,0)</f>
        <v>6.6037952724172193</v>
      </c>
      <c r="BF12" s="14">
        <f t="shared" si="37"/>
        <v>2.4429900082608067</v>
      </c>
      <c r="BG12" s="22">
        <f t="shared" si="7"/>
        <v>15.75648436384756</v>
      </c>
      <c r="BH12" s="62">
        <f t="shared" si="8"/>
        <v>283.42315103051425</v>
      </c>
      <c r="BI12" s="62">
        <f ca="1">AVERAGE(OFFSET($BH$3,0,0,'Données projet'!$E$11+1,1))-AVERAGE(OFFSET($H$3,0,0,'Données projet'!$E$11+1,1))</f>
        <v>240.22884864766218</v>
      </c>
      <c r="BJ12" s="62">
        <f t="shared" si="38"/>
        <v>343.23776884143166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2.1</v>
      </c>
      <c r="BY12" s="13">
        <f>IF('Données projet'!$A$114&gt;35,BY11+BX12-CG11,IF(A12&lt;'Données projet'!$A$114,$BV$205^A12,IF(A12='Données projet'!$A$114,'Données projet'!$B$114,BY11+BX12-CG11)))</f>
        <v>5.3760361537574148</v>
      </c>
      <c r="BZ12" s="14">
        <f>BY12*VLOOKUP('Données projet'!$B$12,Paramètres!$A$1:$I$89,3,0)*VLOOKUP('Données projet'!$B$12,Paramètres!$A$1:$I$89,5,0)</f>
        <v>4.8642375119197085</v>
      </c>
      <c r="CA12" s="14">
        <f t="shared" si="39"/>
        <v>1.8646542609995393</v>
      </c>
      <c r="CB12" s="22">
        <f t="shared" si="10"/>
        <v>11.719486504501022</v>
      </c>
      <c r="CC12" s="62">
        <f t="shared" si="11"/>
        <v>279.38615317116773</v>
      </c>
      <c r="CD12" s="62">
        <f ca="1">AVERAGE(OFFSET($CC$3,0,0,'Données projet'!$E$12+1,1))-AVERAGE(OFFSET($H$3,0,0,'Données projet'!$E$12+1,1))</f>
        <v>428.8489304403459</v>
      </c>
      <c r="CE12" s="62">
        <f t="shared" si="40"/>
        <v>247.01165577562966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2.4666666666666668</v>
      </c>
      <c r="CT12" s="13">
        <f>IF('Données projet'!$A$140&gt;35,CT11+CS12-DB11,IF(A12&lt;'Données projet'!$A$140,$CQ$205^A12,IF(A12='Données projet'!$A$140,'Données projet'!$B$140,CT11+CS12-DB11)))</f>
        <v>8.7281265486761299</v>
      </c>
      <c r="CU12" s="18">
        <f>CT12*VLOOKUP('Données projet'!$B$13,Paramètres!$A$1:$I$89,3,0)*VLOOKUP('Données projet'!$B$13,Paramètres!$A$1:$I$89,5,0)</f>
        <v>6.9440974821267289</v>
      </c>
      <c r="CV12" s="14">
        <f t="shared" si="41"/>
        <v>2.5538994442566798</v>
      </c>
      <c r="CW12" s="22">
        <f t="shared" si="13"/>
        <v>16.542344646784436</v>
      </c>
      <c r="CX12" s="62">
        <f t="shared" si="14"/>
        <v>284.20901131345113</v>
      </c>
      <c r="CY12" s="62">
        <f ca="1">AVERAGE(OFFSET($CX$3,0,0,'Données projet'!$E$13+1,1))-AVERAGE(OFFSET($H$3,0,0,'Données projet'!$E$13+1,1))</f>
        <v>312.53381881960331</v>
      </c>
      <c r="CZ12" s="62">
        <f t="shared" si="42"/>
        <v>342.06887933351783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2.4666666666666668</v>
      </c>
      <c r="DO12" s="13">
        <f>IF('Données projet'!$A$166&gt;35,DO11+DN12-DW11,IF(A12&lt;'Données projet'!$A$166,$DL$205^A12,IF(A12='Données projet'!$A$166,'Données projet'!$B$166,DO11+DN12-DW11)))</f>
        <v>8.7281265486761299</v>
      </c>
      <c r="DP12" s="18">
        <f>DO12*VLOOKUP('Données projet'!$B$14,Paramètres!$A$1:$I$89,3,0)*VLOOKUP('Données projet'!$B$14,Paramètres!$A$1:$I$89,5,0)</f>
        <v>6.399462385489338</v>
      </c>
      <c r="DQ12" s="14">
        <f t="shared" si="43"/>
        <v>2.3760766872686268</v>
      </c>
      <c r="DR12" s="22">
        <f t="shared" si="16"/>
        <v>15.284063885053456</v>
      </c>
      <c r="DS12" s="62">
        <f t="shared" si="17"/>
        <v>282.95073055172014</v>
      </c>
      <c r="DT12" s="62">
        <f ca="1">AVERAGE(OFFSET($DS$3,0,0,'Données projet'!$E$14+1,1))-AVERAGE(OFFSET($H$3,0,0,'Données projet'!$E$14+1,1))</f>
        <v>290.85271051443431</v>
      </c>
      <c r="DU12" s="62">
        <f t="shared" si="44"/>
        <v>318.66958823451142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1.6</v>
      </c>
      <c r="EJ12" s="13">
        <f>IF('Données projet'!$A$192&gt;35,EJ11+EI12-ER11,IF(A12&lt;'Données projet'!$A$192,$EG$205^A12,IF(A12='Données projet'!$A$192,'Données projet'!$B$192,EJ11+EI12-ER11)))</f>
        <v>3.7734760411367758</v>
      </c>
      <c r="EK12" s="18">
        <f>EJ12*VLOOKUP('Données projet'!$B$15,Paramètres!$A$1:$I$89,3,0)*VLOOKUP('Données projet'!$B$15,Paramètres!$A$1:$I$89,5,0)</f>
        <v>3.2376424432953543</v>
      </c>
      <c r="EL12" s="14">
        <f t="shared" si="45"/>
        <v>1.3013385865039213</v>
      </c>
      <c r="EM12" s="22">
        <f t="shared" si="19"/>
        <v>7.9053919602337386</v>
      </c>
      <c r="EN12" s="62">
        <f t="shared" si="20"/>
        <v>275.5720586269004</v>
      </c>
      <c r="EO12" s="62">
        <f ca="1">AVERAGE(OFFSET($EN$3,0,0,'Données projet'!$E$15+1,1))-AVERAGE(OFFSET($H$3,0,0,'Données projet'!$E$15+1,1))</f>
        <v>438.65317358403996</v>
      </c>
      <c r="EP12" s="62">
        <f t="shared" si="46"/>
        <v>176.81257896138806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7.7987854251012134</v>
      </c>
      <c r="N13" s="14">
        <f>IF('Données projet'!$A$36&gt;35,N12+M13-V12,IF(A13&lt;'Données projet'!$A$36,$K$205^A13,IF(A13='Données projet'!$A$36,'Données projet'!$B$36,N12+M13-V12)))</f>
        <v>13.884047496568932</v>
      </c>
      <c r="O13" s="14">
        <f>N13*VLOOKUP('Données projet'!$B$9,Paramètres!$A$1:$I$89,3,0)*VLOOKUP('Données projet'!$B$9,Paramètres!$A$1:$I$89,5,0)</f>
        <v>7.7611825505820331</v>
      </c>
      <c r="P13" s="14">
        <f t="shared" si="33"/>
        <v>2.8176844553216833</v>
      </c>
      <c r="Q13" s="22">
        <f t="shared" si="2"/>
        <v>18.424860035282308</v>
      </c>
      <c r="R13" s="62">
        <f t="shared" si="0"/>
        <v>287.31374892417114</v>
      </c>
      <c r="S13" s="62">
        <f ca="1">AVERAGE(OFFSET($R$3,0,0,'Données projet'!$E$9+1,1))-AVERAGE(OFFSET($H$3,0,0,'Données projet'!$E$9+1,1))</f>
        <v>323.98185264074681</v>
      </c>
      <c r="T13" s="62">
        <f t="shared" si="34"/>
        <v>301.22207291854005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2.3805128205128203</v>
      </c>
      <c r="AI13" s="14">
        <f>IF('Données projet'!$A$62&gt;35,AI12+AH13-AQ12,IF(A13&lt;'Données projet'!$A$62,$AF$205^A13,IF(A13='Données projet'!$A$62,'Données projet'!$B$62,AI12+AH13-AQ12)))</f>
        <v>10.843625808385362</v>
      </c>
      <c r="AJ13" s="14">
        <f>AI13*VLOOKUP('Données projet'!$B$10,Paramètres!$A$1:$I$89,3,0)*VLOOKUP('Données projet'!$B$10,Paramètres!$A$1:$I$89,5,0)</f>
        <v>6.4844882334144467</v>
      </c>
      <c r="AK13" s="14">
        <f t="shared" si="35"/>
        <v>2.4039500479922649</v>
      </c>
      <c r="AL13" s="22">
        <f t="shared" si="4"/>
        <v>15.480696673450021</v>
      </c>
      <c r="AM13" s="62">
        <f t="shared" si="5"/>
        <v>284.3695855623389</v>
      </c>
      <c r="AN13" s="62">
        <f ca="1">AVERAGE(OFFSET($AM$3,0,0,'Données projet'!$E$10+1,1))-AVERAGE(OFFSET($H$3,0,0,'Données projet'!$E$10+1,1))</f>
        <v>289.12367833861299</v>
      </c>
      <c r="AO13" s="62">
        <f t="shared" si="36"/>
        <v>229.06617320689003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6.2222222222222223</v>
      </c>
      <c r="BD13" s="13">
        <f>IF('Données projet'!$A$88&gt;35,BD12+BC13-BL12,IF(A13&lt;'Données projet'!$A$88,$BA$205^A13,IF(A13='Données projet'!$A$88,'Données projet'!$B$88,BD12+BC13-BL12)))</f>
        <v>13.754805608204368</v>
      </c>
      <c r="BE13" s="14">
        <f>BD13*VLOOKUP('Données projet'!$B$11,Paramètres!$A$1:$I$89,3,0)*VLOOKUP('Données projet'!$B$11,Paramètres!$A$1:$I$89,5,0)</f>
        <v>8.5829986995195267</v>
      </c>
      <c r="BF13" s="14">
        <f t="shared" si="37"/>
        <v>3.0797504443346257</v>
      </c>
      <c r="BG13" s="22">
        <f t="shared" si="7"/>
        <v>20.312621425545984</v>
      </c>
      <c r="BH13" s="62">
        <f t="shared" si="8"/>
        <v>289.20151031443481</v>
      </c>
      <c r="BI13" s="62">
        <f ca="1">AVERAGE(OFFSET($BH$3,0,0,'Données projet'!$E$11+1,1))-AVERAGE(OFFSET($H$3,0,0,'Données projet'!$E$11+1,1))</f>
        <v>240.22884864766218</v>
      </c>
      <c r="BJ13" s="62">
        <f t="shared" si="38"/>
        <v>343.23776884143166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2.1</v>
      </c>
      <c r="BY13" s="13">
        <f>IF('Données projet'!$A$114&gt;35,BY12+BX13-CG12,IF(A13&lt;'Données projet'!$A$114,$BV$205^A13,IF(A13='Données projet'!$A$114,'Données projet'!$B$114,BY12+BX13-CG12)))</f>
        <v>6.4807406984078657</v>
      </c>
      <c r="BZ13" s="14">
        <f>BY13*VLOOKUP('Données projet'!$B$12,Paramètres!$A$1:$I$89,3,0)*VLOOKUP('Données projet'!$B$12,Paramètres!$A$1:$I$89,5,0)</f>
        <v>5.8637741839194364</v>
      </c>
      <c r="CA13" s="14">
        <f t="shared" si="39"/>
        <v>2.1994468497187687</v>
      </c>
      <c r="CB13" s="22">
        <f t="shared" si="10"/>
        <v>14.043443300253207</v>
      </c>
      <c r="CC13" s="62">
        <f t="shared" si="11"/>
        <v>282.93233218914207</v>
      </c>
      <c r="CD13" s="62">
        <f ca="1">AVERAGE(OFFSET($CC$3,0,0,'Données projet'!$E$12+1,1))-AVERAGE(OFFSET($H$3,0,0,'Données projet'!$E$12+1,1))</f>
        <v>428.8489304403459</v>
      </c>
      <c r="CE13" s="62">
        <f t="shared" si="40"/>
        <v>247.01165577562966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2.4666666666666668</v>
      </c>
      <c r="CT13" s="13">
        <f>IF('Données projet'!$A$140&gt;35,CT12+CS13-DB12,IF(A13&lt;'Données projet'!$A$140,$CQ$205^A13,IF(A13='Données projet'!$A$140,'Données projet'!$B$140,CT12+CS13-DB12)))</f>
        <v>11.103702468586782</v>
      </c>
      <c r="CU13" s="18">
        <f>CT13*VLOOKUP('Données projet'!$B$13,Paramètres!$A$1:$I$89,3,0)*VLOOKUP('Données projet'!$B$13,Paramètres!$A$1:$I$89,5,0)</f>
        <v>8.8341056840076444</v>
      </c>
      <c r="CV13" s="14">
        <f t="shared" si="41"/>
        <v>3.1592306185484516</v>
      </c>
      <c r="CW13" s="22">
        <f t="shared" si="13"/>
        <v>20.888394060285197</v>
      </c>
      <c r="CX13" s="62">
        <f t="shared" si="14"/>
        <v>289.77728294917404</v>
      </c>
      <c r="CY13" s="62">
        <f ca="1">AVERAGE(OFFSET($CX$3,0,0,'Données projet'!$E$13+1,1))-AVERAGE(OFFSET($H$3,0,0,'Données projet'!$E$13+1,1))</f>
        <v>312.53381881960331</v>
      </c>
      <c r="CZ13" s="62">
        <f t="shared" si="42"/>
        <v>342.06887933351783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2.4666666666666668</v>
      </c>
      <c r="DO13" s="13">
        <f>IF('Données projet'!$A$166&gt;35,DO12+DN13-DW12,IF(A13&lt;'Données projet'!$A$166,$DL$205^A13,IF(A13='Données projet'!$A$166,'Données projet'!$B$166,DO12+DN13-DW12)))</f>
        <v>11.103702468586782</v>
      </c>
      <c r="DP13" s="18">
        <f>DO13*VLOOKUP('Données projet'!$B$14,Paramètres!$A$1:$I$89,3,0)*VLOOKUP('Données projet'!$B$14,Paramètres!$A$1:$I$89,5,0)</f>
        <v>8.1412346499678296</v>
      </c>
      <c r="DQ13" s="14">
        <f t="shared" si="43"/>
        <v>2.9392598989436851</v>
      </c>
      <c r="DR13" s="22">
        <f t="shared" si="16"/>
        <v>19.298528006020888</v>
      </c>
      <c r="DS13" s="62">
        <f t="shared" si="17"/>
        <v>288.18741689490975</v>
      </c>
      <c r="DT13" s="62">
        <f ca="1">AVERAGE(OFFSET($DS$3,0,0,'Données projet'!$E$14+1,1))-AVERAGE(OFFSET($H$3,0,0,'Données projet'!$E$14+1,1))</f>
        <v>290.85271051443431</v>
      </c>
      <c r="DU13" s="62">
        <f t="shared" si="44"/>
        <v>318.66958823451142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1.6</v>
      </c>
      <c r="EJ13" s="13">
        <f>IF('Données projet'!$A$192&gt;35,EJ12+EI13-ER12,IF(A13&lt;'Données projet'!$A$192,$EG$205^A13,IF(A13='Données projet'!$A$192,'Données projet'!$B$192,EJ12+EI13-ER12)))</f>
        <v>4.3734482957731124</v>
      </c>
      <c r="EK13" s="18">
        <f>EJ13*VLOOKUP('Données projet'!$B$15,Paramètres!$A$1:$I$89,3,0)*VLOOKUP('Données projet'!$B$15,Paramètres!$A$1:$I$89,5,0)</f>
        <v>3.7524186377733306</v>
      </c>
      <c r="EL13" s="14">
        <f t="shared" si="45"/>
        <v>1.482564223544931</v>
      </c>
      <c r="EM13" s="22">
        <f t="shared" si="19"/>
        <v>9.117595150129306</v>
      </c>
      <c r="EN13" s="62">
        <f t="shared" si="20"/>
        <v>278.00648403901818</v>
      </c>
      <c r="EO13" s="62">
        <f ca="1">AVERAGE(OFFSET($EN$3,0,0,'Données projet'!$E$15+1,1))-AVERAGE(OFFSET($H$3,0,0,'Données projet'!$E$15+1,1))</f>
        <v>438.65317358403996</v>
      </c>
      <c r="EP13" s="62">
        <f t="shared" si="46"/>
        <v>176.81257896138806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7.7987854251012134</v>
      </c>
      <c r="N14" s="14">
        <f>IF('Données projet'!$A$36&gt;35,N13+M14-V13,IF(A14&lt;'Données projet'!$A$36,$K$205^A14,IF(A14='Données projet'!$A$36,'Données projet'!$B$36,N13+M14-V13)))</f>
        <v>18.062077432272524</v>
      </c>
      <c r="O14" s="14">
        <f>N14*VLOOKUP('Données projet'!$B$9,Paramètres!$A$1:$I$89,3,0)*VLOOKUP('Données projet'!$B$9,Paramètres!$A$1:$I$89,5,0)</f>
        <v>10.096701284640341</v>
      </c>
      <c r="P14" s="14">
        <f t="shared" si="33"/>
        <v>3.5550447986697691</v>
      </c>
      <c r="Q14" s="22">
        <f t="shared" si="2"/>
        <v>23.776791095098442</v>
      </c>
      <c r="R14" s="62">
        <f t="shared" si="0"/>
        <v>293.88790220620956</v>
      </c>
      <c r="S14" s="62">
        <f ca="1">AVERAGE(OFFSET($R$3,0,0,'Données projet'!$E$9+1,1))-AVERAGE(OFFSET($H$3,0,0,'Données projet'!$E$9+1,1))</f>
        <v>323.98185264074681</v>
      </c>
      <c r="T14" s="62">
        <f t="shared" si="34"/>
        <v>301.22207291854005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2.3805128205128203</v>
      </c>
      <c r="AI14" s="14">
        <f>IF('Données projet'!$A$62&gt;35,AI13+AH14-AQ13,IF(A14&lt;'Données projet'!$A$62,$AF$205^A14,IF(A14='Données projet'!$A$62,'Données projet'!$B$62,AI13+AH14-AQ13)))</f>
        <v>13.762330235503498</v>
      </c>
      <c r="AJ14" s="14">
        <f>AI14*VLOOKUP('Données projet'!$B$10,Paramètres!$A$1:$I$89,3,0)*VLOOKUP('Données projet'!$B$10,Paramètres!$A$1:$I$89,5,0)</f>
        <v>8.2298734808310936</v>
      </c>
      <c r="AK14" s="14">
        <f t="shared" si="35"/>
        <v>2.9675186699572826</v>
      </c>
      <c r="AL14" s="22">
        <f t="shared" si="4"/>
        <v>19.502124662623089</v>
      </c>
      <c r="AM14" s="62">
        <f t="shared" si="5"/>
        <v>289.61323577373423</v>
      </c>
      <c r="AN14" s="62">
        <f ca="1">AVERAGE(OFFSET($AM$3,0,0,'Données projet'!$E$10+1,1))-AVERAGE(OFFSET($H$3,0,0,'Données projet'!$E$10+1,1))</f>
        <v>289.12367833861299</v>
      </c>
      <c r="AO14" s="62">
        <f t="shared" si="36"/>
        <v>229.06617320689003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6.2222222222222223</v>
      </c>
      <c r="BD14" s="13">
        <f>IF('Données projet'!$A$88&gt;35,BD13+BC14-BL13,IF(A14&lt;'Données projet'!$A$88,$BA$205^A14,IF(A14='Données projet'!$A$88,'Données projet'!$B$88,BD13+BC14-BL13)))</f>
        <v>17.877216627302985</v>
      </c>
      <c r="BE14" s="14">
        <f>BD14*VLOOKUP('Données projet'!$B$11,Paramètres!$A$1:$I$89,3,0)*VLOOKUP('Données projet'!$B$11,Paramètres!$A$1:$I$89,5,0)</f>
        <v>11.155383175437063</v>
      </c>
      <c r="BF14" s="14">
        <f t="shared" si="37"/>
        <v>3.8824812083990929</v>
      </c>
      <c r="BG14" s="22">
        <f t="shared" si="7"/>
        <v>26.1909471351813</v>
      </c>
      <c r="BH14" s="62">
        <f t="shared" si="8"/>
        <v>296.30205824629246</v>
      </c>
      <c r="BI14" s="62">
        <f ca="1">AVERAGE(OFFSET($BH$3,0,0,'Données projet'!$E$11+1,1))-AVERAGE(OFFSET($H$3,0,0,'Données projet'!$E$11+1,1))</f>
        <v>240.22884864766218</v>
      </c>
      <c r="BJ14" s="62">
        <f t="shared" si="38"/>
        <v>343.23776884143166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2.1</v>
      </c>
      <c r="BY14" s="13">
        <f>IF('Données projet'!$A$114&gt;35,BY13+BX14-CG13,IF(A14&lt;'Données projet'!$A$114,$BV$205^A14,IF(A14='Données projet'!$A$114,'Données projet'!$B$114,BY13+BX14-CG13)))</f>
        <v>7.8124474610620815</v>
      </c>
      <c r="BZ14" s="14">
        <f>BY14*VLOOKUP('Données projet'!$B$12,Paramètres!$A$1:$I$89,3,0)*VLOOKUP('Données projet'!$B$12,Paramètres!$A$1:$I$89,5,0)</f>
        <v>7.0687024627689707</v>
      </c>
      <c r="CA14" s="14">
        <f t="shared" si="39"/>
        <v>2.5943503554083325</v>
      </c>
      <c r="CB14" s="22">
        <f t="shared" si="10"/>
        <v>16.829816991658799</v>
      </c>
      <c r="CC14" s="62">
        <f t="shared" si="11"/>
        <v>286.94092810276993</v>
      </c>
      <c r="CD14" s="62">
        <f ca="1">AVERAGE(OFFSET($CC$3,0,0,'Données projet'!$E$12+1,1))-AVERAGE(OFFSET($H$3,0,0,'Données projet'!$E$12+1,1))</f>
        <v>428.8489304403459</v>
      </c>
      <c r="CE14" s="62">
        <f t="shared" si="40"/>
        <v>247.01165577562966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2.4666666666666668</v>
      </c>
      <c r="CT14" s="13">
        <f>IF('Données projet'!$A$140&gt;35,CT13+CS14-DB13,IF(A14&lt;'Données projet'!$A$140,$CQ$205^A14,IF(A14='Données projet'!$A$140,'Données projet'!$B$140,CT13+CS14-DB13)))</f>
        <v>14.125850240977657</v>
      </c>
      <c r="CU14" s="18">
        <f>CT14*VLOOKUP('Données projet'!$B$13,Paramètres!$A$1:$I$89,3,0)*VLOOKUP('Données projet'!$B$13,Paramètres!$A$1:$I$89,5,0)</f>
        <v>11.238526451721825</v>
      </c>
      <c r="CV14" s="14">
        <f t="shared" si="41"/>
        <v>3.9080387928425129</v>
      </c>
      <c r="CW14" s="22">
        <f t="shared" si="13"/>
        <v>26.380267800949554</v>
      </c>
      <c r="CX14" s="62">
        <f t="shared" si="14"/>
        <v>296.49137891206067</v>
      </c>
      <c r="CY14" s="62">
        <f ca="1">AVERAGE(OFFSET($CX$3,0,0,'Données projet'!$E$13+1,1))-AVERAGE(OFFSET($H$3,0,0,'Données projet'!$E$13+1,1))</f>
        <v>312.53381881960331</v>
      </c>
      <c r="CZ14" s="62">
        <f t="shared" si="42"/>
        <v>342.06887933351783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2.4666666666666668</v>
      </c>
      <c r="DO14" s="13">
        <f>IF('Données projet'!$A$166&gt;35,DO13+DN14-DW13,IF(A14&lt;'Données projet'!$A$166,$DL$205^A14,IF(A14='Données projet'!$A$166,'Données projet'!$B$166,DO13+DN14-DW13)))</f>
        <v>14.125850240977657</v>
      </c>
      <c r="DP14" s="18">
        <f>DO14*VLOOKUP('Données projet'!$B$14,Paramètres!$A$1:$I$89,3,0)*VLOOKUP('Données projet'!$B$14,Paramètres!$A$1:$I$89,5,0)</f>
        <v>10.357073396684818</v>
      </c>
      <c r="DQ14" s="14">
        <f t="shared" si="43"/>
        <v>3.6359301026893722</v>
      </c>
      <c r="DR14" s="22">
        <f t="shared" si="16"/>
        <v>24.371147761410047</v>
      </c>
      <c r="DS14" s="62">
        <f t="shared" si="17"/>
        <v>294.48225887252119</v>
      </c>
      <c r="DT14" s="62">
        <f ca="1">AVERAGE(OFFSET($DS$3,0,0,'Données projet'!$E$14+1,1))-AVERAGE(OFFSET($H$3,0,0,'Données projet'!$E$14+1,1))</f>
        <v>290.85271051443431</v>
      </c>
      <c r="DU14" s="62">
        <f t="shared" si="44"/>
        <v>318.66958823451142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1.6</v>
      </c>
      <c r="EJ14" s="13">
        <f>IF('Données projet'!$A$192&gt;35,EJ13+EI14-ER13,IF(A14&lt;'Données projet'!$A$192,$EG$205^A14,IF(A14='Données projet'!$A$192,'Données projet'!$B$192,EJ13+EI14-ER13)))</f>
        <v>5.0688144796166874</v>
      </c>
      <c r="EK14" s="18">
        <f>EJ14*VLOOKUP('Données projet'!$B$15,Paramètres!$A$1:$I$89,3,0)*VLOOKUP('Données projet'!$B$15,Paramètres!$A$1:$I$89,5,0)</f>
        <v>4.3490428235111187</v>
      </c>
      <c r="EL14" s="14">
        <f t="shared" si="45"/>
        <v>1.6890275134623942</v>
      </c>
      <c r="EM14" s="22">
        <f t="shared" si="19"/>
        <v>10.516305836895535</v>
      </c>
      <c r="EN14" s="62">
        <f t="shared" si="20"/>
        <v>280.62741694800667</v>
      </c>
      <c r="EO14" s="62">
        <f ca="1">AVERAGE(OFFSET($EN$3,0,0,'Données projet'!$E$15+1,1))-AVERAGE(OFFSET($H$3,0,0,'Données projet'!$E$15+1,1))</f>
        <v>438.65317358403996</v>
      </c>
      <c r="EP14" s="62">
        <f t="shared" si="46"/>
        <v>176.81257896138806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7.7987854251012134</v>
      </c>
      <c r="N15" s="14">
        <f>IF('Données projet'!$A$36&gt;35,N14+M15-V14,IF(A15&lt;'Données projet'!$A$36,$K$205^A15,IF(A15='Données projet'!$A$36,'Données projet'!$B$36,N14+M15-V14)))</f>
        <v>23.497372884242115</v>
      </c>
      <c r="O15" s="14">
        <f>N15*VLOOKUP('Données projet'!$B$9,Paramètres!$A$1:$I$89,3,0)*VLOOKUP('Données projet'!$B$9,Paramètres!$A$1:$I$89,5,0)</f>
        <v>13.135031442291343</v>
      </c>
      <c r="P15" s="14">
        <f t="shared" si="33"/>
        <v>4.4853651006518103</v>
      </c>
      <c r="Q15" s="22">
        <f t="shared" si="2"/>
        <v>30.688857312292658</v>
      </c>
      <c r="R15" s="62">
        <f t="shared" si="0"/>
        <v>302.02219064562598</v>
      </c>
      <c r="S15" s="62">
        <f ca="1">AVERAGE(OFFSET($R$3,0,0,'Données projet'!$E$9+1,1))-AVERAGE(OFFSET($H$3,0,0,'Données projet'!$E$9+1,1))</f>
        <v>323.98185264074681</v>
      </c>
      <c r="T15" s="62">
        <f t="shared" si="34"/>
        <v>301.22207291854005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2.3805128205128203</v>
      </c>
      <c r="AI15" s="14">
        <f>IF('Données projet'!$A$62&gt;35,AI14+AH15-AQ14,IF(A15&lt;'Données projet'!$A$62,$AF$205^A15,IF(A15='Données projet'!$A$62,'Données projet'!$B$62,AI14+AH15-AQ14)))</f>
        <v>17.466642325908158</v>
      </c>
      <c r="AJ15" s="14">
        <f>AI15*VLOOKUP('Données projet'!$B$10,Paramètres!$A$1:$I$89,3,0)*VLOOKUP('Données projet'!$B$10,Paramètres!$A$1:$I$89,5,0)</f>
        <v>10.44505211089308</v>
      </c>
      <c r="AK15" s="14">
        <f t="shared" si="35"/>
        <v>3.6632071718377808</v>
      </c>
      <c r="AL15" s="22">
        <f t="shared" si="4"/>
        <v>24.571884917422917</v>
      </c>
      <c r="AM15" s="62">
        <f t="shared" si="5"/>
        <v>295.90521825075621</v>
      </c>
      <c r="AN15" s="62">
        <f ca="1">AVERAGE(OFFSET($AM$3,0,0,'Données projet'!$E$10+1,1))-AVERAGE(OFFSET($H$3,0,0,'Données projet'!$E$10+1,1))</f>
        <v>289.12367833861299</v>
      </c>
      <c r="AO15" s="62">
        <f t="shared" si="36"/>
        <v>229.06617320689003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6.2222222222222223</v>
      </c>
      <c r="BD15" s="13">
        <f>IF('Données projet'!$A$88&gt;35,BD14+BC15-BL14,IF(A15&lt;'Données projet'!$A$88,$BA$205^A15,IF(A15='Données projet'!$A$88,'Données projet'!$B$88,BD14+BC15-BL14)))</f>
        <v>23.235142934254824</v>
      </c>
      <c r="BE15" s="14">
        <f>BD15*VLOOKUP('Données projet'!$B$11,Paramètres!$A$1:$I$89,3,0)*VLOOKUP('Données projet'!$B$11,Paramètres!$A$1:$I$89,5,0)</f>
        <v>14.498729190975009</v>
      </c>
      <c r="BF15" s="14">
        <f t="shared" si="37"/>
        <v>4.8944421329010357</v>
      </c>
      <c r="BG15" s="22">
        <f t="shared" si="7"/>
        <v>33.776440055750776</v>
      </c>
      <c r="BH15" s="62">
        <f t="shared" si="8"/>
        <v>305.10977338908407</v>
      </c>
      <c r="BI15" s="62">
        <f ca="1">AVERAGE(OFFSET($BH$3,0,0,'Données projet'!$E$11+1,1))-AVERAGE(OFFSET($H$3,0,0,'Données projet'!$E$11+1,1))</f>
        <v>240.22884864766218</v>
      </c>
      <c r="BJ15" s="62">
        <f t="shared" si="38"/>
        <v>343.23776884143166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2.1</v>
      </c>
      <c r="BY15" s="13">
        <f>IF('Données projet'!$A$114&gt;35,BY14+BX15-CG14,IF(A15&lt;'Données projet'!$A$114,$BV$205^A15,IF(A15='Données projet'!$A$114,'Données projet'!$B$114,BY14+BX15-CG14)))</f>
        <v>9.4178024044149407</v>
      </c>
      <c r="BZ15" s="14">
        <f>BY15*VLOOKUP('Données projet'!$B$12,Paramètres!$A$1:$I$89,3,0)*VLOOKUP('Données projet'!$B$12,Paramètres!$A$1:$I$89,5,0)</f>
        <v>8.521227615514638</v>
      </c>
      <c r="CA15" s="14">
        <f t="shared" si="39"/>
        <v>3.0601574970852128</v>
      </c>
      <c r="CB15" s="22">
        <f t="shared" si="10"/>
        <v>20.170912404444739</v>
      </c>
      <c r="CC15" s="62">
        <f t="shared" si="11"/>
        <v>291.50424573777804</v>
      </c>
      <c r="CD15" s="62">
        <f ca="1">AVERAGE(OFFSET($CC$3,0,0,'Données projet'!$E$12+1,1))-AVERAGE(OFFSET($H$3,0,0,'Données projet'!$E$12+1,1))</f>
        <v>428.8489304403459</v>
      </c>
      <c r="CE15" s="62">
        <f t="shared" si="40"/>
        <v>247.01165577562966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2.4666666666666668</v>
      </c>
      <c r="CT15" s="13">
        <f>IF('Données projet'!$A$140&gt;35,CT14+CS15-DB14,IF(A15&lt;'Données projet'!$A$140,$CQ$205^A15,IF(A15='Données projet'!$A$140,'Données projet'!$B$140,CT14+CS15-DB14)))</f>
        <v>17.970550417308221</v>
      </c>
      <c r="CU15" s="18">
        <f>CT15*VLOOKUP('Données projet'!$B$13,Paramètres!$A$1:$I$89,3,0)*VLOOKUP('Données projet'!$B$13,Paramètres!$A$1:$I$89,5,0)</f>
        <v>14.297369912010421</v>
      </c>
      <c r="CV15" s="14">
        <f t="shared" si="41"/>
        <v>4.8343312187127445</v>
      </c>
      <c r="CW15" s="22">
        <f t="shared" si="13"/>
        <v>33.321046136009507</v>
      </c>
      <c r="CX15" s="62">
        <f t="shared" si="14"/>
        <v>304.65437946934281</v>
      </c>
      <c r="CY15" s="62">
        <f ca="1">AVERAGE(OFFSET($CX$3,0,0,'Données projet'!$E$13+1,1))-AVERAGE(OFFSET($H$3,0,0,'Données projet'!$E$13+1,1))</f>
        <v>312.53381881960331</v>
      </c>
      <c r="CZ15" s="62">
        <f t="shared" si="42"/>
        <v>342.06887933351783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2.4666666666666668</v>
      </c>
      <c r="DO15" s="13">
        <f>IF('Données projet'!$A$166&gt;35,DO14+DN15-DW14,IF(A15&lt;'Données projet'!$A$166,$DL$205^A15,IF(A15='Données projet'!$A$166,'Données projet'!$B$166,DO14+DN15-DW14)))</f>
        <v>17.970550417308221</v>
      </c>
      <c r="DP15" s="18">
        <f>DO15*VLOOKUP('Données projet'!$B$14,Paramètres!$A$1:$I$89,3,0)*VLOOKUP('Données projet'!$B$14,Paramètres!$A$1:$I$89,5,0)</f>
        <v>13.176007565970389</v>
      </c>
      <c r="DQ15" s="14">
        <f t="shared" si="43"/>
        <v>4.4977266952111856</v>
      </c>
      <c r="DR15" s="22">
        <f t="shared" si="16"/>
        <v>30.781753838224574</v>
      </c>
      <c r="DS15" s="62">
        <f t="shared" si="17"/>
        <v>302.11508717155789</v>
      </c>
      <c r="DT15" s="62">
        <f ca="1">AVERAGE(OFFSET($DS$3,0,0,'Données projet'!$E$14+1,1))-AVERAGE(OFFSET($H$3,0,0,'Données projet'!$E$14+1,1))</f>
        <v>290.85271051443431</v>
      </c>
      <c r="DU15" s="62">
        <f t="shared" si="44"/>
        <v>318.66958823451142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1.6</v>
      </c>
      <c r="EJ15" s="13">
        <f>IF('Données projet'!$A$192&gt;35,EJ14+EI15-ER14,IF(A15&lt;'Données projet'!$A$192,$EG$205^A15,IF(A15='Données projet'!$A$192,'Données projet'!$B$192,EJ14+EI15-ER14)))</f>
        <v>5.8747419635905285</v>
      </c>
      <c r="EK15" s="18">
        <f>EJ15*VLOOKUP('Données projet'!$B$15,Paramètres!$A$1:$I$89,3,0)*VLOOKUP('Données projet'!$B$15,Paramètres!$A$1:$I$89,5,0)</f>
        <v>5.0405286047606745</v>
      </c>
      <c r="EL15" s="14">
        <f t="shared" si="45"/>
        <v>1.9242430755624527</v>
      </c>
      <c r="EM15" s="22">
        <f t="shared" si="19"/>
        <v>12.130310676562779</v>
      </c>
      <c r="EN15" s="62">
        <f t="shared" si="20"/>
        <v>283.46364400989609</v>
      </c>
      <c r="EO15" s="62">
        <f ca="1">AVERAGE(OFFSET($EN$3,0,0,'Données projet'!$E$15+1,1))-AVERAGE(OFFSET($H$3,0,0,'Données projet'!$E$15+1,1))</f>
        <v>438.65317358403996</v>
      </c>
      <c r="EP15" s="62">
        <f t="shared" si="46"/>
        <v>176.81257896138806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7.7987854251012134</v>
      </c>
      <c r="N16" s="14">
        <f>IF('Données projet'!$A$36&gt;35,N15+M16-V15,IF(A16&lt;'Données projet'!$A$36,$K$205^A16,IF(A16='Données projet'!$A$36,'Données projet'!$B$36,N15+M16-V15)))</f>
        <v>30.56827402780376</v>
      </c>
      <c r="O16" s="14">
        <f>N16*VLOOKUP('Données projet'!$B$9,Paramètres!$A$1:$I$89,3,0)*VLOOKUP('Données projet'!$B$9,Paramètres!$A$1:$I$89,5,0)</f>
        <v>17.087665181542302</v>
      </c>
      <c r="P16" s="14">
        <f t="shared" si="33"/>
        <v>5.6591410869627277</v>
      </c>
      <c r="Q16" s="22">
        <f t="shared" si="2"/>
        <v>39.617354250979595</v>
      </c>
      <c r="R16" s="62">
        <f t="shared" si="0"/>
        <v>312.17290980653513</v>
      </c>
      <c r="S16" s="62">
        <f ca="1">AVERAGE(OFFSET($R$3,0,0,'Données projet'!$E$9+1,1))-AVERAGE(OFFSET($H$3,0,0,'Données projet'!$E$9+1,1))</f>
        <v>323.98185264074681</v>
      </c>
      <c r="T16" s="62">
        <f t="shared" si="34"/>
        <v>301.22207291854005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2.3805128205128203</v>
      </c>
      <c r="AI16" s="14">
        <f>IF('Données projet'!$A$62&gt;35,AI15+AH16-AQ15,IF(A16&lt;'Données projet'!$A$62,$AF$205^A16,IF(A16='Données projet'!$A$62,'Données projet'!$B$62,AI15+AH16-AQ15)))</f>
        <v>22.168018709081991</v>
      </c>
      <c r="AJ16" s="14">
        <f>AI16*VLOOKUP('Données projet'!$B$10,Paramètres!$A$1:$I$89,3,0)*VLOOKUP('Données projet'!$B$10,Paramètres!$A$1:$I$89,5,0)</f>
        <v>13.256475188031033</v>
      </c>
      <c r="AK16" s="14">
        <f t="shared" si="35"/>
        <v>4.5219890003242735</v>
      </c>
      <c r="AL16" s="22">
        <f t="shared" si="4"/>
        <v>30.964158461385495</v>
      </c>
      <c r="AM16" s="62">
        <f t="shared" si="5"/>
        <v>303.51971401694107</v>
      </c>
      <c r="AN16" s="62">
        <f ca="1">AVERAGE(OFFSET($AM$3,0,0,'Données projet'!$E$10+1,1))-AVERAGE(OFFSET($H$3,0,0,'Données projet'!$E$10+1,1))</f>
        <v>289.12367833861299</v>
      </c>
      <c r="AO16" s="62">
        <f t="shared" si="36"/>
        <v>229.06617320689003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6.2222222222222223</v>
      </c>
      <c r="BD16" s="13">
        <f>IF('Données projet'!$A$88&gt;35,BD15+BC16-BL15,IF(A16&lt;'Données projet'!$A$88,$BA$205^A16,IF(A16='Données projet'!$A$88,'Données projet'!$B$88,BD15+BC16-BL15)))</f>
        <v>30.19887706404656</v>
      </c>
      <c r="BE16" s="14">
        <f>BD16*VLOOKUP('Données projet'!$B$11,Paramètres!$A$1:$I$89,3,0)*VLOOKUP('Données projet'!$B$11,Paramètres!$A$1:$I$89,5,0)</f>
        <v>18.844099287965054</v>
      </c>
      <c r="BF16" s="14">
        <f t="shared" si="37"/>
        <v>6.1701686386769925</v>
      </c>
      <c r="BG16" s="22">
        <f t="shared" si="7"/>
        <v>43.566516638901568</v>
      </c>
      <c r="BH16" s="62">
        <f t="shared" si="8"/>
        <v>316.12207219445713</v>
      </c>
      <c r="BI16" s="62">
        <f ca="1">AVERAGE(OFFSET($BH$3,0,0,'Données projet'!$E$11+1,1))-AVERAGE(OFFSET($H$3,0,0,'Données projet'!$E$11+1,1))</f>
        <v>240.22884864766218</v>
      </c>
      <c r="BJ16" s="62">
        <f t="shared" si="38"/>
        <v>343.23776884143166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2.1</v>
      </c>
      <c r="BY16" s="13">
        <f>IF('Données projet'!$A$114&gt;35,BY15+BX16-CG15,IF(A16&lt;'Données projet'!$A$114,$BV$205^A16,IF(A16='Données projet'!$A$114,'Données projet'!$B$114,BY15+BX16-CG15)))</f>
        <v>11.35303662145153</v>
      </c>
      <c r="BZ16" s="14">
        <f>BY16*VLOOKUP('Données projet'!$B$12,Paramètres!$A$1:$I$89,3,0)*VLOOKUP('Données projet'!$B$12,Paramètres!$A$1:$I$89,5,0)</f>
        <v>10.272227535089344</v>
      </c>
      <c r="CA16" s="14">
        <f t="shared" si="39"/>
        <v>3.6095987912522753</v>
      </c>
      <c r="CB16" s="22">
        <f t="shared" si="10"/>
        <v>24.177514185044988</v>
      </c>
      <c r="CC16" s="62">
        <f t="shared" si="11"/>
        <v>296.73306974060051</v>
      </c>
      <c r="CD16" s="62">
        <f ca="1">AVERAGE(OFFSET($CC$3,0,0,'Données projet'!$E$12+1,1))-AVERAGE(OFFSET($H$3,0,0,'Données projet'!$E$12+1,1))</f>
        <v>428.8489304403459</v>
      </c>
      <c r="CE16" s="62">
        <f t="shared" si="40"/>
        <v>247.01165577562966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2.4666666666666668</v>
      </c>
      <c r="CT16" s="13">
        <f>IF('Données projet'!$A$140&gt;35,CT15+CS16-DB15,IF(A16&lt;'Données projet'!$A$140,$CQ$205^A16,IF(A16='Données projet'!$A$140,'Données projet'!$B$140,CT15+CS16-DB15)))</f>
        <v>22.86168101684942</v>
      </c>
      <c r="CU16" s="18">
        <f>CT16*VLOOKUP('Données projet'!$B$13,Paramètres!$A$1:$I$89,3,0)*VLOOKUP('Données projet'!$B$13,Paramètres!$A$1:$I$89,5,0)</f>
        <v>18.188753417005401</v>
      </c>
      <c r="CV16" s="14">
        <f t="shared" si="41"/>
        <v>5.9801756254374139</v>
      </c>
      <c r="CW16" s="22">
        <f t="shared" si="13"/>
        <v>42.094218082254564</v>
      </c>
      <c r="CX16" s="62">
        <f t="shared" si="14"/>
        <v>314.64977363781009</v>
      </c>
      <c r="CY16" s="62">
        <f ca="1">AVERAGE(OFFSET($CX$3,0,0,'Données projet'!$E$13+1,1))-AVERAGE(OFFSET($H$3,0,0,'Données projet'!$E$13+1,1))</f>
        <v>312.53381881960331</v>
      </c>
      <c r="CZ16" s="62">
        <f t="shared" si="42"/>
        <v>342.06887933351783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2.4666666666666668</v>
      </c>
      <c r="DO16" s="13">
        <f>IF('Données projet'!$A$166&gt;35,DO15+DN16-DW15,IF(A16&lt;'Données projet'!$A$166,$DL$205^A16,IF(A16='Données projet'!$A$166,'Données projet'!$B$166,DO15+DN16-DW15)))</f>
        <v>22.86168101684942</v>
      </c>
      <c r="DP16" s="18">
        <f>DO16*VLOOKUP('Données projet'!$B$14,Paramètres!$A$1:$I$89,3,0)*VLOOKUP('Données projet'!$B$14,Paramètres!$A$1:$I$89,5,0)</f>
        <v>16.762184521553994</v>
      </c>
      <c r="DQ16" s="14">
        <f t="shared" si="43"/>
        <v>5.5637883164619248</v>
      </c>
      <c r="DR16" s="22">
        <f t="shared" si="16"/>
        <v>38.884402692877721</v>
      </c>
      <c r="DS16" s="62">
        <f t="shared" si="17"/>
        <v>311.43995824843324</v>
      </c>
      <c r="DT16" s="62">
        <f ca="1">AVERAGE(OFFSET($DS$3,0,0,'Données projet'!$E$14+1,1))-AVERAGE(OFFSET($H$3,0,0,'Données projet'!$E$14+1,1))</f>
        <v>290.85271051443431</v>
      </c>
      <c r="DU16" s="62">
        <f t="shared" si="44"/>
        <v>318.66958823451142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1.6</v>
      </c>
      <c r="EJ16" s="13">
        <f>IF('Données projet'!$A$192&gt;35,EJ15+EI16-ER15,IF(A16&lt;'Données projet'!$A$192,$EG$205^A16,IF(A16='Données projet'!$A$192,'Données projet'!$B$192,EJ15+EI16-ER15)))</f>
        <v>6.8088096886476315</v>
      </c>
      <c r="EK16" s="18">
        <f>EJ16*VLOOKUP('Données projet'!$B$15,Paramètres!$A$1:$I$89,3,0)*VLOOKUP('Données projet'!$B$15,Paramètres!$A$1:$I$89,5,0)</f>
        <v>5.8419587128596682</v>
      </c>
      <c r="EL16" s="14">
        <f t="shared" si="45"/>
        <v>2.1922149783455773</v>
      </c>
      <c r="EM16" s="22">
        <f t="shared" si="19"/>
        <v>13.992852512182466</v>
      </c>
      <c r="EN16" s="62">
        <f t="shared" si="20"/>
        <v>286.54840806773802</v>
      </c>
      <c r="EO16" s="62">
        <f ca="1">AVERAGE(OFFSET($EN$3,0,0,'Données projet'!$E$15+1,1))-AVERAGE(OFFSET($H$3,0,0,'Données projet'!$E$15+1,1))</f>
        <v>438.65317358403996</v>
      </c>
      <c r="EP16" s="62">
        <f t="shared" si="46"/>
        <v>176.81257896138806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</v>
      </c>
      <c r="EY16" s="24">
        <f t="shared" si="21"/>
        <v>0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7.7987854251012134</v>
      </c>
      <c r="N17" s="14">
        <f>IF('Données projet'!$A$36&gt;35,N16+M17-V16,IF(A17&lt;'Données projet'!$A$36,$K$205^A17,IF(A17='Données projet'!$A$36,'Données projet'!$B$36,N16+M17-V16)))</f>
        <v>39.766972318234998</v>
      </c>
      <c r="O17" s="14">
        <f>N17*VLOOKUP('Données projet'!$B$9,Paramètres!$A$1:$I$89,3,0)*VLOOKUP('Données projet'!$B$9,Paramètres!$A$1:$I$89,5,0)</f>
        <v>22.229737525893363</v>
      </c>
      <c r="P17" s="14">
        <f t="shared" si="33"/>
        <v>7.1400827186834128</v>
      </c>
      <c r="Q17" s="22">
        <f t="shared" si="2"/>
        <v>51.152436925971216</v>
      </c>
      <c r="R17" s="62">
        <f t="shared" si="0"/>
        <v>324.93021470374902</v>
      </c>
      <c r="S17" s="62">
        <f ca="1">AVERAGE(OFFSET($R$3,0,0,'Données projet'!$E$9+1,1))-AVERAGE(OFFSET($H$3,0,0,'Données projet'!$E$9+1,1))</f>
        <v>323.98185264074681</v>
      </c>
      <c r="T17" s="62">
        <f t="shared" si="34"/>
        <v>301.22207291854005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2.3805128205128203</v>
      </c>
      <c r="AI17" s="14">
        <f>IF('Données projet'!$A$62&gt;35,AI16+AH17-AQ16,IF(A17&lt;'Données projet'!$A$62,$AF$205^A17,IF(A17='Données projet'!$A$62,'Données projet'!$B$62,AI16+AH17-AQ16)))</f>
        <v>28.134832345956244</v>
      </c>
      <c r="AJ17" s="14">
        <f>AI17*VLOOKUP('Données projet'!$B$10,Paramètres!$A$1:$I$89,3,0)*VLOOKUP('Données projet'!$B$10,Paramètres!$A$1:$I$89,5,0)</f>
        <v>16.824629742881836</v>
      </c>
      <c r="AK17" s="14">
        <f t="shared" si="35"/>
        <v>5.5820988439469144</v>
      </c>
      <c r="AL17" s="22">
        <f t="shared" si="4"/>
        <v>39.025052288726734</v>
      </c>
      <c r="AM17" s="62">
        <f t="shared" si="5"/>
        <v>312.8028300665045</v>
      </c>
      <c r="AN17" s="62">
        <f ca="1">AVERAGE(OFFSET($AM$3,0,0,'Données projet'!$E$10+1,1))-AVERAGE(OFFSET($H$3,0,0,'Données projet'!$E$10+1,1))</f>
        <v>289.12367833861299</v>
      </c>
      <c r="AO17" s="62">
        <f t="shared" si="36"/>
        <v>229.06617320689003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6.2222222222222223</v>
      </c>
      <c r="BD17" s="13">
        <f>IF('Données projet'!$A$88&gt;35,BD16+BC17-BL16,IF(A17&lt;'Données projet'!$A$88,$BA$205^A17,IF(A17='Données projet'!$A$88,'Données projet'!$B$88,BD16+BC17-BL16)))</f>
        <v>39.249690802844427</v>
      </c>
      <c r="BE17" s="14">
        <f>BD17*VLOOKUP('Données projet'!$B$11,Paramètres!$A$1:$I$89,3,0)*VLOOKUP('Données projet'!$B$11,Paramètres!$A$1:$I$89,5,0)</f>
        <v>24.491807060974921</v>
      </c>
      <c r="BF17" s="14">
        <f t="shared" si="37"/>
        <v>7.7784106944068903</v>
      </c>
      <c r="BG17" s="22">
        <f t="shared" si="7"/>
        <v>56.203962590623313</v>
      </c>
      <c r="BH17" s="62">
        <f t="shared" si="8"/>
        <v>329.98174036840106</v>
      </c>
      <c r="BI17" s="62">
        <f ca="1">AVERAGE(OFFSET($BH$3,0,0,'Données projet'!$E$11+1,1))-AVERAGE(OFFSET($H$3,0,0,'Données projet'!$E$11+1,1))</f>
        <v>240.22884864766218</v>
      </c>
      <c r="BJ17" s="62">
        <f t="shared" si="38"/>
        <v>343.23776884143166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2.1</v>
      </c>
      <c r="BY17" s="13">
        <f>IF('Données projet'!$A$114&gt;35,BY16+BX17-CG16,IF(A17&lt;'Données projet'!$A$114,$BV$205^A17,IF(A17='Données projet'!$A$114,'Données projet'!$B$114,BY16+BX17-CG16)))</f>
        <v>13.685935953338433</v>
      </c>
      <c r="BZ17" s="14">
        <f>BY17*VLOOKUP('Données projet'!$B$12,Paramètres!$A$1:$I$89,3,0)*VLOOKUP('Données projet'!$B$12,Paramètres!$A$1:$I$89,5,0)</f>
        <v>12.383034850580612</v>
      </c>
      <c r="CA17" s="14">
        <f t="shared" si="39"/>
        <v>4.2576904771143838</v>
      </c>
      <c r="CB17" s="22">
        <f t="shared" si="10"/>
        <v>28.982596612402116</v>
      </c>
      <c r="CC17" s="62">
        <f t="shared" si="11"/>
        <v>302.76037439017989</v>
      </c>
      <c r="CD17" s="62">
        <f ca="1">AVERAGE(OFFSET($CC$3,0,0,'Données projet'!$E$12+1,1))-AVERAGE(OFFSET($H$3,0,0,'Données projet'!$E$12+1,1))</f>
        <v>428.8489304403459</v>
      </c>
      <c r="CE17" s="62">
        <f t="shared" si="40"/>
        <v>247.01165577562966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2.4666666666666668</v>
      </c>
      <c r="CT17" s="13">
        <f>IF('Données projet'!$A$140&gt;35,CT16+CS17-DB16,IF(A17&lt;'Données projet'!$A$140,$CQ$205^A17,IF(A17='Données projet'!$A$140,'Données projet'!$B$140,CT16+CS17-DB16)))</f>
        <v>29.084054009429774</v>
      </c>
      <c r="CU17" s="18">
        <f>CT17*VLOOKUP('Données projet'!$B$13,Paramètres!$A$1:$I$89,3,0)*VLOOKUP('Données projet'!$B$13,Paramètres!$A$1:$I$89,5,0)</f>
        <v>23.13927336990233</v>
      </c>
      <c r="CV17" s="14">
        <f t="shared" si="41"/>
        <v>7.3976107331343286</v>
      </c>
      <c r="CW17" s="22">
        <f t="shared" si="13"/>
        <v>53.185073146122171</v>
      </c>
      <c r="CX17" s="62">
        <f t="shared" si="14"/>
        <v>326.96285092389996</v>
      </c>
      <c r="CY17" s="62">
        <f ca="1">AVERAGE(OFFSET($CX$3,0,0,'Données projet'!$E$13+1,1))-AVERAGE(OFFSET($H$3,0,0,'Données projet'!$E$13+1,1))</f>
        <v>312.53381881960331</v>
      </c>
      <c r="CZ17" s="62">
        <f t="shared" si="42"/>
        <v>342.06887933351783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2.4666666666666668</v>
      </c>
      <c r="DO17" s="13">
        <f>IF('Données projet'!$A$166&gt;35,DO16+DN17-DW16,IF(A17&lt;'Données projet'!$A$166,$DL$205^A17,IF(A17='Données projet'!$A$166,'Données projet'!$B$166,DO16+DN17-DW16)))</f>
        <v>29.084054009429774</v>
      </c>
      <c r="DP17" s="18">
        <f>DO17*VLOOKUP('Données projet'!$B$14,Paramètres!$A$1:$I$89,3,0)*VLOOKUP('Données projet'!$B$14,Paramètres!$A$1:$I$89,5,0)</f>
        <v>21.324428399713909</v>
      </c>
      <c r="DQ17" s="14">
        <f t="shared" si="43"/>
        <v>6.8825303376831179</v>
      </c>
      <c r="DR17" s="22">
        <f t="shared" si="16"/>
        <v>49.127119800966483</v>
      </c>
      <c r="DS17" s="62">
        <f t="shared" si="17"/>
        <v>322.90489757874423</v>
      </c>
      <c r="DT17" s="62">
        <f ca="1">AVERAGE(OFFSET($DS$3,0,0,'Données projet'!$E$14+1,1))-AVERAGE(OFFSET($H$3,0,0,'Données projet'!$E$14+1,1))</f>
        <v>290.85271051443431</v>
      </c>
      <c r="DU17" s="62">
        <f t="shared" si="44"/>
        <v>318.66958823451142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1.6</v>
      </c>
      <c r="EJ17" s="13">
        <f>IF('Données projet'!$A$192&gt;35,EJ16+EI17-ER16,IF(A17&lt;'Données projet'!$A$192,$EG$205^A17,IF(A17='Données projet'!$A$192,'Données projet'!$B$192,EJ16+EI17-ER16)))</f>
        <v>7.891391598736293</v>
      </c>
      <c r="EK17" s="18">
        <f>EJ17*VLOOKUP('Données projet'!$B$15,Paramètres!$A$1:$I$89,3,0)*VLOOKUP('Données projet'!$B$15,Paramètres!$A$1:$I$89,5,0)</f>
        <v>6.7708139917157402</v>
      </c>
      <c r="EL17" s="14">
        <f t="shared" si="45"/>
        <v>2.4975049006622885</v>
      </c>
      <c r="EM17" s="22">
        <f t="shared" si="19"/>
        <v>16.142322070891733</v>
      </c>
      <c r="EN17" s="62">
        <f t="shared" si="20"/>
        <v>289.92009984866951</v>
      </c>
      <c r="EO17" s="62">
        <f ca="1">AVERAGE(OFFSET($EN$3,0,0,'Données projet'!$E$15+1,1))-AVERAGE(OFFSET($H$3,0,0,'Données projet'!$E$15+1,1))</f>
        <v>438.65317358403996</v>
      </c>
      <c r="EP17" s="62">
        <f t="shared" si="46"/>
        <v>176.81257896138806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0</v>
      </c>
      <c r="EY17" s="24">
        <f t="shared" si="21"/>
        <v>0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7.7987854251012134</v>
      </c>
      <c r="N18" s="14">
        <f>IF('Données projet'!$A$36&gt;35,N17+M18-V17,IF(A18&lt;'Données projet'!$A$36,$K$205^A18,IF(A18='Données projet'!$A$36,'Données projet'!$B$36,N17+M18-V17)))</f>
        <v>51.73377096531113</v>
      </c>
      <c r="O18" s="14">
        <f>N18*VLOOKUP('Données projet'!$B$9,Paramètres!$A$1:$I$89,3,0)*VLOOKUP('Données projet'!$B$9,Paramètres!$A$1:$I$89,5,0)</f>
        <v>28.919177969608924</v>
      </c>
      <c r="P18" s="14">
        <f t="shared" si="33"/>
        <v>9.0085722278754812</v>
      </c>
      <c r="Q18" s="22">
        <f t="shared" si="2"/>
        <v>66.057498260618672</v>
      </c>
      <c r="R18" s="62">
        <f t="shared" si="0"/>
        <v>341.05749826061867</v>
      </c>
      <c r="S18" s="62">
        <f ca="1">AVERAGE(OFFSET($R$3,0,0,'Données projet'!$E$9+1,1))-AVERAGE(OFFSET($H$3,0,0,'Données projet'!$E$9+1,1))</f>
        <v>323.98185264074681</v>
      </c>
      <c r="T18" s="62">
        <f t="shared" si="34"/>
        <v>301.22207291854005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>
        <f>VLOOKUP(A18,'Données projet'!$A$61:$I$81,2,0)</f>
        <v>35.707692307692305</v>
      </c>
      <c r="AG18" s="13">
        <f>VLOOKUP(A18,'Données projet'!$A$61:$I$81,9,0)</f>
        <v>2.3805128205128203</v>
      </c>
      <c r="AH18" s="13">
        <f t="array" ref="AH18">INDEX(AG:AG,MIN(IF(ISNUMBER(AG18:AG214),ROW(AG18:AG214),"")))</f>
        <v>2.3805128205128203</v>
      </c>
      <c r="AI18" s="14">
        <f>IF('Données projet'!$A$62&gt;35,AI17+AH18-AQ17,IF(A18&lt;'Données projet'!$A$62,$AF$205^A18,IF(A18='Données projet'!$A$62,'Données projet'!$B$62,AI17+AH18-AQ17)))</f>
        <v>35.707692307692305</v>
      </c>
      <c r="AJ18" s="14">
        <f>AI18*VLOOKUP('Données projet'!$B$10,Paramètres!$A$1:$I$89,3,0)*VLOOKUP('Données projet'!$B$10,Paramètres!$A$1:$I$89,5,0)</f>
        <v>21.353200000000001</v>
      </c>
      <c r="AK18" s="14">
        <f t="shared" si="35"/>
        <v>6.8907349180546449</v>
      </c>
      <c r="AL18" s="22">
        <f t="shared" si="4"/>
        <v>49.1915199822785</v>
      </c>
      <c r="AM18" s="62">
        <f t="shared" si="5"/>
        <v>324.19151998227852</v>
      </c>
      <c r="AN18" s="62">
        <f ca="1">AVERAGE(OFFSET($AM$3,0,0,'Données projet'!$E$10+1,1))-AVERAGE(OFFSET($H$3,0,0,'Données projet'!$E$10+1,1))</f>
        <v>289.12367833861299</v>
      </c>
      <c r="AO18" s="62">
        <f t="shared" si="36"/>
        <v>229.06617320689003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6.2222222222222223</v>
      </c>
      <c r="BD18" s="13">
        <f>IF('Données projet'!$A$88&gt;35,BD17+BC18-BL17,IF(A18&lt;'Données projet'!$A$88,$BA$205^A18,IF(A18='Données projet'!$A$88,'Données projet'!$B$88,BD17+BC18-BL17)))</f>
        <v>51.013096442350388</v>
      </c>
      <c r="BE18" s="14">
        <f>BD18*VLOOKUP('Données projet'!$B$11,Paramètres!$A$1:$I$89,3,0)*VLOOKUP('Données projet'!$B$11,Paramètres!$A$1:$I$89,5,0)</f>
        <v>31.832172180026642</v>
      </c>
      <c r="BF18" s="14">
        <f t="shared" si="37"/>
        <v>9.8058378099430179</v>
      </c>
      <c r="BG18" s="22">
        <f t="shared" si="7"/>
        <v>72.519534065863823</v>
      </c>
      <c r="BH18" s="62">
        <f t="shared" si="8"/>
        <v>347.51953406586381</v>
      </c>
      <c r="BI18" s="62">
        <f ca="1">AVERAGE(OFFSET($BH$3,0,0,'Données projet'!$E$11+1,1))-AVERAGE(OFFSET($H$3,0,0,'Données projet'!$E$11+1,1))</f>
        <v>240.22884864766218</v>
      </c>
      <c r="BJ18" s="62">
        <f t="shared" si="38"/>
        <v>343.23776884143166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2.1</v>
      </c>
      <c r="BY18" s="13">
        <f>IF('Données projet'!$A$114&gt;35,BY17+BX18-CG17,IF(A18&lt;'Données projet'!$A$114,$BV$205^A18,IF(A18='Données projet'!$A$114,'Données projet'!$B$114,BY17+BX18-CG17)))</f>
        <v>16.498215337821566</v>
      </c>
      <c r="BZ18" s="14">
        <f>BY18*VLOOKUP('Données projet'!$B$12,Paramètres!$A$1:$I$89,3,0)*VLOOKUP('Données projet'!$B$12,Paramètres!$A$1:$I$89,5,0)</f>
        <v>14.927585237660953</v>
      </c>
      <c r="CA18" s="14">
        <f t="shared" si="39"/>
        <v>5.0221449106318534</v>
      </c>
      <c r="CB18" s="22">
        <f t="shared" si="10"/>
        <v>34.745780008276633</v>
      </c>
      <c r="CC18" s="62">
        <f t="shared" si="11"/>
        <v>309.74578000827665</v>
      </c>
      <c r="CD18" s="62">
        <f ca="1">AVERAGE(OFFSET($CC$3,0,0,'Données projet'!$E$12+1,1))-AVERAGE(OFFSET($H$3,0,0,'Données projet'!$E$12+1,1))</f>
        <v>428.8489304403459</v>
      </c>
      <c r="CE18" s="62">
        <f t="shared" si="40"/>
        <v>247.01165577562966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>
        <f>VLOOKUP(A18,'Données projet'!$A$139:$I$159,2,0)</f>
        <v>37</v>
      </c>
      <c r="CR18" s="13">
        <f>VLOOKUP(A18,'Données projet'!$A$139:$I$159,9,0)</f>
        <v>2.4666666666666668</v>
      </c>
      <c r="CS18" s="13">
        <f t="array" ref="CS18">INDEX(CR:CR,MIN(IF(ISNUMBER(CR18:CR214),ROW(CR18:CR214),"")))</f>
        <v>2.4666666666666668</v>
      </c>
      <c r="CT18" s="13">
        <f>IF('Données projet'!$A$140&gt;35,CT17+CS18-DB17,IF(A18&lt;'Données projet'!$A$140,$CQ$205^A18,IF(A18='Données projet'!$A$140,'Données projet'!$B$140,CT17+CS18-DB17)))</f>
        <v>37</v>
      </c>
      <c r="CU18" s="18">
        <f>CT18*VLOOKUP('Données projet'!$B$13,Paramètres!$A$1:$I$89,3,0)*VLOOKUP('Données projet'!$B$13,Paramètres!$A$1:$I$89,5,0)</f>
        <v>29.437200000000004</v>
      </c>
      <c r="CV18" s="14">
        <f t="shared" si="41"/>
        <v>9.1510096001539196</v>
      </c>
      <c r="CW18" s="22">
        <f t="shared" si="13"/>
        <v>67.207798386934755</v>
      </c>
      <c r="CX18" s="62">
        <f t="shared" si="14"/>
        <v>342.20779838693477</v>
      </c>
      <c r="CY18" s="62">
        <f ca="1">AVERAGE(OFFSET($CX$3,0,0,'Données projet'!$E$13+1,1))-AVERAGE(OFFSET($H$3,0,0,'Données projet'!$E$13+1,1))</f>
        <v>312.53381881960331</v>
      </c>
      <c r="CZ18" s="62">
        <f t="shared" si="42"/>
        <v>342.06887933351783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>
        <f>VLOOKUP(A18,'Données projet'!$A$165:$I$185,2,0)</f>
        <v>37</v>
      </c>
      <c r="DM18" s="13">
        <f>VLOOKUP(A18,'Données projet'!$A$165:$I$185,9,0)</f>
        <v>2.4666666666666668</v>
      </c>
      <c r="DN18" s="13">
        <f t="array" ref="DN18">INDEX(DM:DM,MIN(IF(ISNUMBER(DM18:DM214),ROW(DM18:DM214),"")))</f>
        <v>2.4666666666666668</v>
      </c>
      <c r="DO18" s="13">
        <f>IF('Données projet'!$A$166&gt;35,DO17+DN18-DW17,IF(A18&lt;'Données projet'!$A$166,$DL$205^A18,IF(A18='Données projet'!$A$166,'Données projet'!$B$166,DO17+DN18-DW17)))</f>
        <v>37</v>
      </c>
      <c r="DP18" s="18">
        <f>DO18*VLOOKUP('Données projet'!$B$14,Paramètres!$A$1:$I$89,3,0)*VLOOKUP('Données projet'!$B$14,Paramètres!$A$1:$I$89,5,0)</f>
        <v>27.128400000000003</v>
      </c>
      <c r="DQ18" s="14">
        <f t="shared" si="43"/>
        <v>8.5138436537878839</v>
      </c>
      <c r="DR18" s="22">
        <f t="shared" si="16"/>
        <v>62.076907697013901</v>
      </c>
      <c r="DS18" s="62">
        <f t="shared" si="17"/>
        <v>337.07690769701389</v>
      </c>
      <c r="DT18" s="62">
        <f ca="1">AVERAGE(OFFSET($DS$3,0,0,'Données projet'!$E$14+1,1))-AVERAGE(OFFSET($H$3,0,0,'Données projet'!$E$14+1,1))</f>
        <v>290.85271051443431</v>
      </c>
      <c r="DU18" s="62">
        <f t="shared" si="44"/>
        <v>318.66958823451142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1.6</v>
      </c>
      <c r="EJ18" s="13">
        <f>IF('Données projet'!$A$192&gt;35,EJ17+EI18-ER17,IF(A18&lt;'Données projet'!$A$192,$EG$205^A18,IF(A18='Données projet'!$A$192,'Données projet'!$B$192,EJ17+EI18-ER17)))</f>
        <v>9.1461010385465276</v>
      </c>
      <c r="EK18" s="18">
        <f>EJ18*VLOOKUP('Données projet'!$B$15,Paramètres!$A$1:$I$89,3,0)*VLOOKUP('Données projet'!$B$15,Paramètres!$A$1:$I$89,5,0)</f>
        <v>7.8473546910729226</v>
      </c>
      <c r="EL18" s="14">
        <f t="shared" si="45"/>
        <v>2.8453097850556128</v>
      </c>
      <c r="EM18" s="22">
        <f t="shared" si="19"/>
        <v>18.623057295923864</v>
      </c>
      <c r="EN18" s="62">
        <f t="shared" si="20"/>
        <v>293.62305729592384</v>
      </c>
      <c r="EO18" s="62">
        <f ca="1">AVERAGE(OFFSET($EN$3,0,0,'Données projet'!$E$15+1,1))-AVERAGE(OFFSET($H$3,0,0,'Données projet'!$E$15+1,1))</f>
        <v>438.65317358403996</v>
      </c>
      <c r="EP18" s="62">
        <f t="shared" si="46"/>
        <v>176.81257896138806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projet'!$B$15,Paramètres!$A$1:$I$89,3,0)*0.475*44/12</f>
        <v>0</v>
      </c>
      <c r="EW18" s="23">
        <f>EXP(-LN(2)/25)*EW17+(1-EXP(-LN(2)/25))/(LN(2)/25)*Calculateur!ER18*Calculateur!ET18*VLOOKUP('Données projet'!$B$15,Paramètres!$A$1:$I$89,3,0)*0.475*44/12</f>
        <v>0</v>
      </c>
      <c r="EX18" s="23">
        <f>EXP(-LN(2)/2)*EX17+(1-EXP(-LN(2)/2))/(LN(2)/2)*ER18*EU18*VLOOKUP('Données projet'!$B$15,Paramètres!$A$1:$I$89,3,0)*0.475*44/12</f>
        <v>0</v>
      </c>
      <c r="EY18" s="24">
        <f t="shared" si="21"/>
        <v>0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7.7987854251012134</v>
      </c>
      <c r="N19" s="14">
        <f>IF('Données projet'!$A$36&gt;35,N18+M19-V18,IF(A19&lt;'Données projet'!$A$36,$K$205^A19,IF(A19='Données projet'!$A$36,'Données projet'!$B$36,N18+M19-V18)))</f>
        <v>67.301655174387619</v>
      </c>
      <c r="O19" s="14">
        <f>N19*VLOOKUP('Données projet'!$B$9,Paramètres!$A$1:$I$89,3,0)*VLOOKUP('Données projet'!$B$9,Paramètres!$A$1:$I$89,5,0)</f>
        <v>37.621625242482679</v>
      </c>
      <c r="P19" s="14">
        <f t="shared" si="33"/>
        <v>11.366027087122298</v>
      </c>
      <c r="Q19" s="22">
        <f t="shared" si="2"/>
        <v>85.320161140728672</v>
      </c>
      <c r="R19" s="62">
        <f t="shared" si="0"/>
        <v>361.54238336295089</v>
      </c>
      <c r="S19" s="62">
        <f ca="1">AVERAGE(OFFSET($R$3,0,0,'Données projet'!$E$9+1,1))-AVERAGE(OFFSET($H$3,0,0,'Données projet'!$E$9+1,1))</f>
        <v>323.98185264074681</v>
      </c>
      <c r="T19" s="62">
        <f t="shared" si="34"/>
        <v>301.22207291854005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13.103846153846154</v>
      </c>
      <c r="AI19" s="14">
        <f>IF('Données projet'!$A$62&gt;35,AI18+AH19-AQ18,IF(A19&lt;'Données projet'!$A$62,$AF$205^A19,IF(A19='Données projet'!$A$62,'Données projet'!$B$62,AI18+AH19-AQ18)))</f>
        <v>48.811538461538461</v>
      </c>
      <c r="AJ19" s="14">
        <f>AI19*VLOOKUP('Données projet'!$B$10,Paramètres!$A$1:$I$89,3,0)*VLOOKUP('Données projet'!$B$10,Paramètres!$A$1:$I$89,5,0)</f>
        <v>29.189300000000003</v>
      </c>
      <c r="AK19" s="14">
        <f t="shared" si="35"/>
        <v>9.0828827639780165</v>
      </c>
      <c r="AL19" s="22">
        <f t="shared" si="4"/>
        <v>66.657384980595054</v>
      </c>
      <c r="AM19" s="62">
        <f t="shared" si="5"/>
        <v>342.87960720281728</v>
      </c>
      <c r="AN19" s="62">
        <f ca="1">AVERAGE(OFFSET($AM$3,0,0,'Données projet'!$E$10+1,1))-AVERAGE(OFFSET($H$3,0,0,'Données projet'!$E$10+1,1))</f>
        <v>289.12367833861299</v>
      </c>
      <c r="AO19" s="62">
        <f t="shared" si="36"/>
        <v>229.06617320689003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6.2222222222222223</v>
      </c>
      <c r="BD19" s="13">
        <f>IF('Données projet'!$A$88&gt;35,BD18+BC19-BL18,IF(A19&lt;'Données projet'!$A$88,$BA$205^A19,IF(A19='Données projet'!$A$88,'Données projet'!$B$88,BD18+BC19-BL18)))</f>
        <v>66.302076663695672</v>
      </c>
      <c r="BE19" s="14">
        <f>BD19*VLOOKUP('Données projet'!$B$11,Paramètres!$A$1:$I$89,3,0)*VLOOKUP('Données projet'!$B$11,Paramètres!$A$1:$I$89,5,0)</f>
        <v>41.372495838146101</v>
      </c>
      <c r="BF19" s="14">
        <f t="shared" si="37"/>
        <v>12.361709728704412</v>
      </c>
      <c r="BG19" s="22">
        <f t="shared" si="7"/>
        <v>93.587074695597963</v>
      </c>
      <c r="BH19" s="62">
        <f t="shared" si="8"/>
        <v>369.80929691782018</v>
      </c>
      <c r="BI19" s="62">
        <f ca="1">AVERAGE(OFFSET($BH$3,0,0,'Données projet'!$E$11+1,1))-AVERAGE(OFFSET($H$3,0,0,'Données projet'!$E$11+1,1))</f>
        <v>240.22884864766218</v>
      </c>
      <c r="BJ19" s="62">
        <f t="shared" si="38"/>
        <v>343.23776884143166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2.1</v>
      </c>
      <c r="BY19" s="13">
        <f>IF('Données projet'!$A$114&gt;35,BY18+BX19-CG18,IF(A19&lt;'Données projet'!$A$114,$BV$205^A19,IF(A19='Données projet'!$A$114,'Données projet'!$B$114,BY18+BX19-CG18)))</f>
        <v>19.888381054913147</v>
      </c>
      <c r="BZ19" s="14">
        <f>BY19*VLOOKUP('Données projet'!$B$12,Paramètres!$A$1:$I$89,3,0)*VLOOKUP('Données projet'!$B$12,Paramètres!$A$1:$I$89,5,0)</f>
        <v>17.995007178485412</v>
      </c>
      <c r="CA19" s="14">
        <f t="shared" si="39"/>
        <v>5.9238546434872337</v>
      </c>
      <c r="CB19" s="22">
        <f t="shared" si="10"/>
        <v>41.658684339935689</v>
      </c>
      <c r="CC19" s="62">
        <f t="shared" si="11"/>
        <v>317.88090656215792</v>
      </c>
      <c r="CD19" s="62">
        <f ca="1">AVERAGE(OFFSET($CC$3,0,0,'Données projet'!$E$12+1,1))-AVERAGE(OFFSET($H$3,0,0,'Données projet'!$E$12+1,1))</f>
        <v>428.8489304403459</v>
      </c>
      <c r="CE19" s="62">
        <f t="shared" si="40"/>
        <v>247.01165577562966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11.6</v>
      </c>
      <c r="CT19" s="13">
        <f>IF('Données projet'!$A$140&gt;35,CT18+CS19-DB18,IF(A19&lt;'Données projet'!$A$140,$CQ$205^A19,IF(A19='Données projet'!$A$140,'Données projet'!$B$140,CT18+CS19-DB18)))</f>
        <v>48.6</v>
      </c>
      <c r="CU19" s="18">
        <f>CT19*VLOOKUP('Données projet'!$B$13,Paramètres!$A$1:$I$89,3,0)*VLOOKUP('Données projet'!$B$13,Paramètres!$A$1:$I$89,5,0)</f>
        <v>38.666160000000005</v>
      </c>
      <c r="CV19" s="14">
        <f t="shared" si="41"/>
        <v>11.644417682758437</v>
      </c>
      <c r="CW19" s="22">
        <f t="shared" si="13"/>
        <v>87.624256130804284</v>
      </c>
      <c r="CX19" s="62">
        <f t="shared" si="14"/>
        <v>363.8464783530265</v>
      </c>
      <c r="CY19" s="62">
        <f ca="1">AVERAGE(OFFSET($CX$3,0,0,'Données projet'!$E$13+1,1))-AVERAGE(OFFSET($H$3,0,0,'Données projet'!$E$13+1,1))</f>
        <v>312.53381881960331</v>
      </c>
      <c r="CZ19" s="62">
        <f t="shared" si="42"/>
        <v>342.06887933351783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11.6</v>
      </c>
      <c r="DO19" s="13">
        <f>IF('Données projet'!$A$166&gt;35,DO18+DN19-DW18,IF(A19&lt;'Données projet'!$A$166,$DL$205^A19,IF(A19='Données projet'!$A$166,'Données projet'!$B$166,DO18+DN19-DW18)))</f>
        <v>48.6</v>
      </c>
      <c r="DP19" s="18">
        <f>DO19*VLOOKUP('Données projet'!$B$14,Paramètres!$A$1:$I$89,3,0)*VLOOKUP('Données projet'!$B$14,Paramètres!$A$1:$I$89,5,0)</f>
        <v>35.633519999999997</v>
      </c>
      <c r="DQ19" s="14">
        <f t="shared" si="43"/>
        <v>10.833640868297282</v>
      </c>
      <c r="DR19" s="22">
        <f t="shared" si="16"/>
        <v>80.930305178951087</v>
      </c>
      <c r="DS19" s="62">
        <f t="shared" si="17"/>
        <v>357.1525274011733</v>
      </c>
      <c r="DT19" s="62">
        <f ca="1">AVERAGE(OFFSET($DS$3,0,0,'Données projet'!$E$14+1,1))-AVERAGE(OFFSET($H$3,0,0,'Données projet'!$E$14+1,1))</f>
        <v>290.85271051443431</v>
      </c>
      <c r="DU19" s="62">
        <f t="shared" si="44"/>
        <v>318.66958823451142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1.6</v>
      </c>
      <c r="EJ19" s="13">
        <f>IF('Données projet'!$A$192&gt;35,EJ18+EI19-ER18,IF(A19&lt;'Données projet'!$A$192,$EG$205^A19,IF(A19='Données projet'!$A$192,'Données projet'!$B$192,EJ18+EI19-ER18)))</f>
        <v>10.60030580926912</v>
      </c>
      <c r="EK19" s="18">
        <f>EJ19*VLOOKUP('Données projet'!$B$15,Paramètres!$A$1:$I$89,3,0)*VLOOKUP('Données projet'!$B$15,Paramètres!$A$1:$I$89,5,0)</f>
        <v>9.0950623843529055</v>
      </c>
      <c r="EL19" s="14">
        <f t="shared" si="45"/>
        <v>3.2415503051811316</v>
      </c>
      <c r="EM19" s="22">
        <f t="shared" si="19"/>
        <v>21.486267100938448</v>
      </c>
      <c r="EN19" s="62">
        <f t="shared" si="20"/>
        <v>297.70848932316068</v>
      </c>
      <c r="EO19" s="62">
        <f ca="1">AVERAGE(OFFSET($EN$3,0,0,'Données projet'!$E$15+1,1))-AVERAGE(OFFSET($H$3,0,0,'Données projet'!$E$15+1,1))</f>
        <v>438.65317358403996</v>
      </c>
      <c r="EP19" s="62">
        <f t="shared" si="46"/>
        <v>176.81257896138806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0</v>
      </c>
      <c r="EW19" s="23">
        <f>EXP(-LN(2)/25)*EW18+(1-EXP(-LN(2)/25))/(LN(2)/25)*Calculateur!ER19*Calculateur!ET19*VLOOKUP('Données projet'!$B$15,Paramètres!$A$1:$I$89,3,0)*0.475*44/12</f>
        <v>0</v>
      </c>
      <c r="EX19" s="23">
        <f>EXP(-LN(2)/2)*EX18+(1-EXP(-LN(2)/2))/(LN(2)/2)*ER19*EU19*VLOOKUP('Données projet'!$B$15,Paramètres!$A$1:$I$89,3,0)*0.475*44/12</f>
        <v>0</v>
      </c>
      <c r="EY19" s="24">
        <f t="shared" si="21"/>
        <v>0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7.7987854251012134</v>
      </c>
      <c r="N20" s="14">
        <f>IF('Données projet'!$A$36&gt;35,N19+M20-V19,IF(A20&lt;'Données projet'!$A$36,$K$205^A20,IF(A20='Données projet'!$A$36,'Données projet'!$B$36,N19+M20-V19)))</f>
        <v>87.554274600421721</v>
      </c>
      <c r="O20" s="14">
        <f>N20*VLOOKUP('Données projet'!$B$9,Paramètres!$A$1:$I$89,3,0)*VLOOKUP('Données projet'!$B$9,Paramètres!$A$1:$I$89,5,0)</f>
        <v>48.942839501635746</v>
      </c>
      <c r="P20" s="14">
        <f t="shared" si="33"/>
        <v>14.340404725340607</v>
      </c>
      <c r="Q20" s="22">
        <f t="shared" si="2"/>
        <v>110.21831702865047</v>
      </c>
      <c r="R20" s="62">
        <f t="shared" si="0"/>
        <v>387.66276147309492</v>
      </c>
      <c r="S20" s="62">
        <f ca="1">AVERAGE(OFFSET($R$3,0,0,'Données projet'!$E$9+1,1))-AVERAGE(OFFSET($H$3,0,0,'Données projet'!$E$9+1,1))</f>
        <v>323.98185264074681</v>
      </c>
      <c r="T20" s="62">
        <f t="shared" si="34"/>
        <v>301.22207291854005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13.103846153846154</v>
      </c>
      <c r="AI20" s="14">
        <f>IF('Données projet'!$A$62&gt;35,AI19+AH20-AQ19,IF(A20&lt;'Données projet'!$A$62,$AF$205^A20,IF(A20='Données projet'!$A$62,'Données projet'!$B$62,AI19+AH20-AQ19)))</f>
        <v>61.915384615384617</v>
      </c>
      <c r="AJ20" s="14">
        <f>AI20*VLOOKUP('Données projet'!$B$10,Paramètres!$A$1:$I$89,3,0)*VLOOKUP('Données projet'!$B$10,Paramètres!$A$1:$I$89,5,0)</f>
        <v>37.025400000000005</v>
      </c>
      <c r="AK20" s="14">
        <f t="shared" si="35"/>
        <v>11.206718213534849</v>
      </c>
      <c r="AL20" s="22">
        <f t="shared" si="4"/>
        <v>84.004272555239865</v>
      </c>
      <c r="AM20" s="62">
        <f t="shared" si="5"/>
        <v>361.44871699968434</v>
      </c>
      <c r="AN20" s="62">
        <f ca="1">AVERAGE(OFFSET($AM$3,0,0,'Données projet'!$E$10+1,1))-AVERAGE(OFFSET($H$3,0,0,'Données projet'!$E$10+1,1))</f>
        <v>289.12367833861299</v>
      </c>
      <c r="AO20" s="62">
        <f t="shared" si="36"/>
        <v>229.06617320689003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6.2222222222222223</v>
      </c>
      <c r="BD20" s="13">
        <f>IF('Données projet'!$A$88&gt;35,BD19+BC20-BL19,IF(A20&lt;'Données projet'!$A$88,$BA$205^A20,IF(A20='Données projet'!$A$88,'Données projet'!$B$88,BD19+BC20-BL19)))</f>
        <v>86.1732707185582</v>
      </c>
      <c r="BE20" s="14">
        <f>BD20*VLOOKUP('Données projet'!$B$11,Paramètres!$A$1:$I$89,3,0)*VLOOKUP('Données projet'!$B$11,Paramètres!$A$1:$I$89,5,0)</f>
        <v>53.772120928380318</v>
      </c>
      <c r="BF20" s="14">
        <f t="shared" si="37"/>
        <v>15.583764526657339</v>
      </c>
      <c r="BG20" s="22">
        <f t="shared" si="7"/>
        <v>120.79483383419057</v>
      </c>
      <c r="BH20" s="62">
        <f t="shared" si="8"/>
        <v>398.23927827863503</v>
      </c>
      <c r="BI20" s="62">
        <f ca="1">AVERAGE(OFFSET($BH$3,0,0,'Données projet'!$E$11+1,1))-AVERAGE(OFFSET($H$3,0,0,'Données projet'!$E$11+1,1))</f>
        <v>240.22884864766218</v>
      </c>
      <c r="BJ20" s="62">
        <f t="shared" si="38"/>
        <v>343.23776884143166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2.1</v>
      </c>
      <c r="BY20" s="13">
        <f>IF('Données projet'!$A$114&gt;35,BY19+BX20-CG19,IF(A20&lt;'Données projet'!$A$114,$BV$205^A20,IF(A20='Données projet'!$A$114,'Données projet'!$B$114,BY19+BX20-CG19)))</f>
        <v>23.975181126327602</v>
      </c>
      <c r="BZ20" s="14">
        <f>BY20*VLOOKUP('Données projet'!$B$12,Paramètres!$A$1:$I$89,3,0)*VLOOKUP('Données projet'!$B$12,Paramètres!$A$1:$I$89,5,0)</f>
        <v>21.692743883101215</v>
      </c>
      <c r="CA20" s="14">
        <f t="shared" si="39"/>
        <v>6.98746341685115</v>
      </c>
      <c r="CB20" s="22">
        <f t="shared" si="10"/>
        <v>49.951361047417038</v>
      </c>
      <c r="CC20" s="62">
        <f t="shared" si="11"/>
        <v>327.39580549186149</v>
      </c>
      <c r="CD20" s="62">
        <f ca="1">AVERAGE(OFFSET($CC$3,0,0,'Données projet'!$E$12+1,1))-AVERAGE(OFFSET($H$3,0,0,'Données projet'!$E$12+1,1))</f>
        <v>428.8489304403459</v>
      </c>
      <c r="CE20" s="62">
        <f t="shared" si="40"/>
        <v>247.01165577562966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11.6</v>
      </c>
      <c r="CT20" s="13">
        <f>IF('Données projet'!$A$140&gt;35,CT19+CS20-DB19,IF(A20&lt;'Données projet'!$A$140,$CQ$205^A20,IF(A20='Données projet'!$A$140,'Données projet'!$B$140,CT19+CS20-DB19)))</f>
        <v>60.2</v>
      </c>
      <c r="CU20" s="18">
        <f>CT20*VLOOKUP('Données projet'!$B$13,Paramètres!$A$1:$I$89,3,0)*VLOOKUP('Données projet'!$B$13,Paramètres!$A$1:$I$89,5,0)</f>
        <v>47.895120000000006</v>
      </c>
      <c r="CV20" s="14">
        <f t="shared" si="41"/>
        <v>14.068812032564205</v>
      </c>
      <c r="CW20" s="22">
        <f t="shared" si="13"/>
        <v>107.92051495671599</v>
      </c>
      <c r="CX20" s="62">
        <f t="shared" si="14"/>
        <v>385.36495940116043</v>
      </c>
      <c r="CY20" s="62">
        <f ca="1">AVERAGE(OFFSET($CX$3,0,0,'Données projet'!$E$13+1,1))-AVERAGE(OFFSET($H$3,0,0,'Données projet'!$E$13+1,1))</f>
        <v>312.53381881960331</v>
      </c>
      <c r="CZ20" s="62">
        <f t="shared" si="42"/>
        <v>342.06887933351783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11.6</v>
      </c>
      <c r="DO20" s="13">
        <f>IF('Données projet'!$A$166&gt;35,DO19+DN20-DW19,IF(A20&lt;'Données projet'!$A$166,$DL$205^A20,IF(A20='Données projet'!$A$166,'Données projet'!$B$166,DO19+DN20-DW19)))</f>
        <v>60.2</v>
      </c>
      <c r="DP20" s="18">
        <f>DO20*VLOOKUP('Données projet'!$B$14,Paramètres!$A$1:$I$89,3,0)*VLOOKUP('Données projet'!$B$14,Paramètres!$A$1:$I$89,5,0)</f>
        <v>44.138640000000002</v>
      </c>
      <c r="DQ20" s="14">
        <f t="shared" si="43"/>
        <v>13.089229634046784</v>
      </c>
      <c r="DR20" s="22">
        <f t="shared" si="16"/>
        <v>99.671872945964807</v>
      </c>
      <c r="DS20" s="62">
        <f t="shared" si="17"/>
        <v>377.11631739040928</v>
      </c>
      <c r="DT20" s="62">
        <f ca="1">AVERAGE(OFFSET($DS$3,0,0,'Données projet'!$E$14+1,1))-AVERAGE(OFFSET($H$3,0,0,'Données projet'!$E$14+1,1))</f>
        <v>290.85271051443431</v>
      </c>
      <c r="DU20" s="62">
        <f t="shared" si="44"/>
        <v>318.66958823451142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1.6</v>
      </c>
      <c r="EJ20" s="13">
        <f>IF('Données projet'!$A$192&gt;35,EJ19+EI20-ER19,IF(A20&lt;'Données projet'!$A$192,$EG$205^A20,IF(A20='Données projet'!$A$192,'Données projet'!$B$192,EJ19+EI20-ER19)))</f>
        <v>12.285725116795957</v>
      </c>
      <c r="EK20" s="18">
        <f>EJ20*VLOOKUP('Données projet'!$B$15,Paramètres!$A$1:$I$89,3,0)*VLOOKUP('Données projet'!$B$15,Paramètres!$A$1:$I$89,5,0)</f>
        <v>10.541152150210932</v>
      </c>
      <c r="EL20" s="14">
        <f t="shared" si="45"/>
        <v>3.6929716532832697</v>
      </c>
      <c r="EM20" s="22">
        <f t="shared" si="19"/>
        <v>24.7910989577524</v>
      </c>
      <c r="EN20" s="62">
        <f t="shared" si="20"/>
        <v>302.23554340219687</v>
      </c>
      <c r="EO20" s="62">
        <f ca="1">AVERAGE(OFFSET($EN$3,0,0,'Données projet'!$E$15+1,1))-AVERAGE(OFFSET($H$3,0,0,'Données projet'!$E$15+1,1))</f>
        <v>438.65317358403996</v>
      </c>
      <c r="EP20" s="62">
        <f t="shared" si="46"/>
        <v>176.81257896138806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0</v>
      </c>
      <c r="EW20" s="23">
        <f>EXP(-LN(2)/25)*EW19+(1-EXP(-LN(2)/25))/(LN(2)/25)*Calculateur!ER20*Calculateur!ET20*VLOOKUP('Données projet'!$B$15,Paramètres!$A$1:$I$89,3,0)*0.475*44/12</f>
        <v>0</v>
      </c>
      <c r="EX20" s="23">
        <f>EXP(-LN(2)/2)*EX19+(1-EXP(-LN(2)/2))/(LN(2)/2)*ER20*EU20*VLOOKUP('Données projet'!$B$15,Paramètres!$A$1:$I$89,3,0)*0.475*44/12</f>
        <v>0</v>
      </c>
      <c r="EY20" s="24">
        <f t="shared" si="21"/>
        <v>0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7.7987854251012134</v>
      </c>
      <c r="N21" s="14">
        <f>IF('Données projet'!$A$36&gt;35,N20+M21-V20,IF(A21&lt;'Données projet'!$A$36,$K$205^A21,IF(A21='Données projet'!$A$36,'Données projet'!$B$36,N20+M21-V20)))</f>
        <v>113.90137405897467</v>
      </c>
      <c r="O21" s="14">
        <f>N21*VLOOKUP('Données projet'!$B$9,Paramètres!$A$1:$I$89,3,0)*VLOOKUP('Données projet'!$B$9,Paramètres!$A$1:$I$89,5,0)</f>
        <v>63.670868098966835</v>
      </c>
      <c r="P21" s="14">
        <f t="shared" si="33"/>
        <v>18.093147773646375</v>
      </c>
      <c r="Q21" s="22">
        <f t="shared" si="2"/>
        <v>142.40566097813468</v>
      </c>
      <c r="R21" s="62">
        <f t="shared" si="0"/>
        <v>421.07232764480136</v>
      </c>
      <c r="S21" s="62">
        <f ca="1">AVERAGE(OFFSET($R$3,0,0,'Données projet'!$E$9+1,1))-AVERAGE(OFFSET($H$3,0,0,'Données projet'!$E$9+1,1))</f>
        <v>323.98185264074681</v>
      </c>
      <c r="T21" s="62">
        <f t="shared" si="34"/>
        <v>301.22207291854005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13.103846153846154</v>
      </c>
      <c r="AI21" s="14">
        <f>IF('Données projet'!$A$62&gt;35,AI20+AH21-AQ20,IF(A21&lt;'Données projet'!$A$62,$AF$205^A21,IF(A21='Données projet'!$A$62,'Données projet'!$B$62,AI20+AH21-AQ20)))</f>
        <v>75.019230769230774</v>
      </c>
      <c r="AJ21" s="14">
        <f>AI21*VLOOKUP('Données projet'!$B$10,Paramètres!$A$1:$I$89,3,0)*VLOOKUP('Données projet'!$B$10,Paramètres!$A$1:$I$89,5,0)</f>
        <v>44.861500000000007</v>
      </c>
      <c r="AK21" s="14">
        <f t="shared" si="35"/>
        <v>13.278461120637754</v>
      </c>
      <c r="AL21" s="22">
        <f t="shared" si="4"/>
        <v>101.26043228511077</v>
      </c>
      <c r="AM21" s="62">
        <f t="shared" si="5"/>
        <v>379.92709895177745</v>
      </c>
      <c r="AN21" s="62">
        <f ca="1">AVERAGE(OFFSET($AM$3,0,0,'Données projet'!$E$10+1,1))-AVERAGE(OFFSET($H$3,0,0,'Données projet'!$E$10+1,1))</f>
        <v>289.12367833861299</v>
      </c>
      <c r="AO21" s="62">
        <f t="shared" si="36"/>
        <v>229.06617320689003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>
        <f>VLOOKUP(A21,'Données projet'!$A$87:$I$107,2,0)</f>
        <v>112</v>
      </c>
      <c r="BB21" s="13">
        <f>VLOOKUP(A21,'Données projet'!$A$87:$I$107,9,0)</f>
        <v>6.2222222222222223</v>
      </c>
      <c r="BC21" s="13">
        <f t="array" ref="BC21">INDEX(BB:BB,MIN(IF(ISNUMBER(BB21:BB217),ROW(BB21:BB217),"")))</f>
        <v>6.2222222222222223</v>
      </c>
      <c r="BD21" s="13">
        <f>IF('Données projet'!$A$88&gt;35,BD20+BC21-BL20,IF(A21&lt;'Données projet'!$A$88,$BA$205^A21,IF(A21='Données projet'!$A$88,'Données projet'!$B$88,BD20+BC21-BL20)))</f>
        <v>112</v>
      </c>
      <c r="BE21" s="14">
        <f>BD21*VLOOKUP('Données projet'!$B$11,Paramètres!$A$1:$I$89,3,0)*VLOOKUP('Données projet'!$B$11,Paramètres!$A$1:$I$89,5,0)</f>
        <v>69.888000000000005</v>
      </c>
      <c r="BF21" s="14">
        <f t="shared" si="37"/>
        <v>19.645641432461961</v>
      </c>
      <c r="BG21" s="22">
        <f t="shared" si="7"/>
        <v>155.93775882820458</v>
      </c>
      <c r="BH21" s="62">
        <f t="shared" si="8"/>
        <v>434.60442549487129</v>
      </c>
      <c r="BI21" s="62">
        <f ca="1">AVERAGE(OFFSET($BH$3,0,0,'Données projet'!$E$11+1,1))-AVERAGE(OFFSET($H$3,0,0,'Données projet'!$E$11+1,1))</f>
        <v>240.22884864766218</v>
      </c>
      <c r="BJ21" s="62">
        <f t="shared" si="38"/>
        <v>343.23776884143166</v>
      </c>
      <c r="BK21" s="16">
        <f>IF(ISNA(VLOOKUP(A21,'Données projet'!$A$87:$I$107,3,0)),0,VLOOKUP(A21,'Données projet'!$A$87:$I$107,3,0))</f>
        <v>1</v>
      </c>
      <c r="BL21" s="16">
        <f>IF(ISNA(VLOOKUP(A21,'Données projet'!$A$87:$I$107,4,0)),0,VLOOKUP(A21,'Données projet'!$A$87:$I$107,4,0))</f>
        <v>20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0.5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7.0651295365651476</v>
      </c>
      <c r="BS21" s="24">
        <f t="shared" si="9"/>
        <v>7.0651295365651476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2.1</v>
      </c>
      <c r="BY21" s="13">
        <f>IF('Données projet'!$A$114&gt;35,BY20+BX21-CG20,IF(A21&lt;'Données projet'!$A$114,$BV$205^A21,IF(A21='Données projet'!$A$114,'Données projet'!$B$114,BY20+BX21-CG20)))</f>
        <v>28.901764726506816</v>
      </c>
      <c r="BZ21" s="14">
        <f>BY21*VLOOKUP('Données projet'!$B$12,Paramètres!$A$1:$I$89,3,0)*VLOOKUP('Données projet'!$B$12,Paramètres!$A$1:$I$89,5,0)</f>
        <v>26.150316724543362</v>
      </c>
      <c r="CA21" s="14">
        <f t="shared" si="39"/>
        <v>8.2420396752158016</v>
      </c>
      <c r="CB21" s="22">
        <f t="shared" si="10"/>
        <v>59.900020729580547</v>
      </c>
      <c r="CC21" s="62">
        <f t="shared" si="11"/>
        <v>338.56668739624723</v>
      </c>
      <c r="CD21" s="62">
        <f ca="1">AVERAGE(OFFSET($CC$3,0,0,'Données projet'!$E$12+1,1))-AVERAGE(OFFSET($H$3,0,0,'Données projet'!$E$12+1,1))</f>
        <v>428.8489304403459</v>
      </c>
      <c r="CE21" s="62">
        <f t="shared" si="40"/>
        <v>247.01165577562966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11.6</v>
      </c>
      <c r="CT21" s="13">
        <f>IF('Données projet'!$A$140&gt;35,CT20+CS21-DB20,IF(A21&lt;'Données projet'!$A$140,$CQ$205^A21,IF(A21='Données projet'!$A$140,'Données projet'!$B$140,CT20+CS21-DB20)))</f>
        <v>71.8</v>
      </c>
      <c r="CU21" s="18">
        <f>CT21*VLOOKUP('Données projet'!$B$13,Paramètres!$A$1:$I$89,3,0)*VLOOKUP('Données projet'!$B$13,Paramètres!$A$1:$I$89,5,0)</f>
        <v>57.124080000000006</v>
      </c>
      <c r="CV21" s="14">
        <f t="shared" si="41"/>
        <v>16.439080665003988</v>
      </c>
      <c r="CW21" s="22">
        <f t="shared" si="13"/>
        <v>128.12250482488196</v>
      </c>
      <c r="CX21" s="62">
        <f t="shared" si="14"/>
        <v>406.78917149154864</v>
      </c>
      <c r="CY21" s="62">
        <f ca="1">AVERAGE(OFFSET($CX$3,0,0,'Données projet'!$E$13+1,1))-AVERAGE(OFFSET($H$3,0,0,'Données projet'!$E$13+1,1))</f>
        <v>312.53381881960331</v>
      </c>
      <c r="CZ21" s="62">
        <f t="shared" si="42"/>
        <v>342.06887933351783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11.6</v>
      </c>
      <c r="DO21" s="13">
        <f>IF('Données projet'!$A$166&gt;35,DO20+DN21-DW20,IF(A21&lt;'Données projet'!$A$166,$DL$205^A21,IF(A21='Données projet'!$A$166,'Données projet'!$B$166,DO20+DN21-DW20)))</f>
        <v>71.8</v>
      </c>
      <c r="DP21" s="18">
        <f>DO21*VLOOKUP('Données projet'!$B$14,Paramètres!$A$1:$I$89,3,0)*VLOOKUP('Données projet'!$B$14,Paramètres!$A$1:$I$89,5,0)</f>
        <v>52.643759999999993</v>
      </c>
      <c r="DQ21" s="14">
        <f t="shared" si="43"/>
        <v>15.294461344625528</v>
      </c>
      <c r="DR21" s="22">
        <f t="shared" si="16"/>
        <v>118.32573550855612</v>
      </c>
      <c r="DS21" s="62">
        <f t="shared" si="17"/>
        <v>396.99240217522282</v>
      </c>
      <c r="DT21" s="62">
        <f ca="1">AVERAGE(OFFSET($DS$3,0,0,'Données projet'!$E$14+1,1))-AVERAGE(OFFSET($H$3,0,0,'Données projet'!$E$14+1,1))</f>
        <v>290.85271051443431</v>
      </c>
      <c r="DU21" s="62">
        <f t="shared" si="44"/>
        <v>318.66958823451142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1.6</v>
      </c>
      <c r="EJ21" s="13">
        <f>IF('Données projet'!$A$192&gt;35,EJ20+EI21-ER20,IF(A21&lt;'Données projet'!$A$192,$EG$205^A21,IF(A21='Données projet'!$A$192,'Données projet'!$B$192,EJ20+EI21-ER20)))</f>
        <v>14.23912143303327</v>
      </c>
      <c r="EK21" s="18">
        <f>EJ21*VLOOKUP('Données projet'!$B$15,Paramètres!$A$1:$I$89,3,0)*VLOOKUP('Données projet'!$B$15,Paramètres!$A$1:$I$89,5,0)</f>
        <v>12.217166189542548</v>
      </c>
      <c r="EL21" s="14">
        <f t="shared" si="45"/>
        <v>4.2072583634304257</v>
      </c>
      <c r="EM21" s="22">
        <f t="shared" si="19"/>
        <v>28.605872763094592</v>
      </c>
      <c r="EN21" s="62">
        <f t="shared" si="20"/>
        <v>307.27253942976125</v>
      </c>
      <c r="EO21" s="62">
        <f ca="1">AVERAGE(OFFSET($EN$3,0,0,'Données projet'!$E$15+1,1))-AVERAGE(OFFSET($H$3,0,0,'Données projet'!$E$15+1,1))</f>
        <v>438.65317358403996</v>
      </c>
      <c r="EP21" s="62">
        <f t="shared" si="46"/>
        <v>176.81257896138806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projet'!$B$15,Paramètres!$A$1:$I$89,3,0)*0.475*44/12</f>
        <v>0</v>
      </c>
      <c r="EW21" s="23">
        <f>EXP(-LN(2)/25)*EW20+(1-EXP(-LN(2)/25))/(LN(2)/25)*Calculateur!ER21*Calculateur!ET21*VLOOKUP('Données projet'!$B$15,Paramètres!$A$1:$I$89,3,0)*0.475*44/12</f>
        <v>0</v>
      </c>
      <c r="EX21" s="23">
        <f>EXP(-LN(2)/2)*EX20+(1-EXP(-LN(2)/2))/(LN(2)/2)*ER21*EU21*VLOOKUP('Données projet'!$B$15,Paramètres!$A$1:$I$89,3,0)*0.475*44/12</f>
        <v>0</v>
      </c>
      <c r="EY21" s="24">
        <f t="shared" si="21"/>
        <v>0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>
        <f>VLOOKUP(A22,'Données projet'!$A$35:$I$55,2,0)</f>
        <v>148.17692307692306</v>
      </c>
      <c r="L22" s="13">
        <f>VLOOKUP(A22,'Données projet'!$A$35:$I$55,9,0)</f>
        <v>7.7987854251012134</v>
      </c>
      <c r="M22" s="13">
        <f t="array" ref="M22">INDEX(L:L,MIN(IF(ISNUMBER(L22:L218),ROW(L22:L218),"")))</f>
        <v>7.7987854251012134</v>
      </c>
      <c r="N22" s="14">
        <f>IF('Données projet'!$A$36&gt;35,N21+M22-V21,IF(A22&lt;'Données projet'!$A$36,$K$205^A22,IF(A22='Données projet'!$A$36,'Données projet'!$B$36,N21+M22-V21)))</f>
        <v>148.17692307692306</v>
      </c>
      <c r="O22" s="14">
        <f>N22*VLOOKUP('Données projet'!$B$9,Paramètres!$A$1:$I$89,3,0)*VLOOKUP('Données projet'!$B$9,Paramètres!$A$1:$I$89,5,0)</f>
        <v>82.830899999999986</v>
      </c>
      <c r="P22" s="14">
        <f t="shared" si="33"/>
        <v>22.827946813839315</v>
      </c>
      <c r="Q22" s="22">
        <f t="shared" si="2"/>
        <v>184.02249153410344</v>
      </c>
      <c r="R22" s="62">
        <f t="shared" si="0"/>
        <v>463.91138042299229</v>
      </c>
      <c r="S22" s="62">
        <f ca="1">AVERAGE(OFFSET($R$3,0,0,'Données projet'!$E$9+1,1))-AVERAGE(OFFSET($H$3,0,0,'Données projet'!$E$9+1,1))</f>
        <v>323.98185264074681</v>
      </c>
      <c r="T22" s="62">
        <f t="shared" si="34"/>
        <v>301.22207291854005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13.103846153846154</v>
      </c>
      <c r="AI22" s="14">
        <f>IF('Données projet'!$A$62&gt;35,AI21+AH22-AQ21,IF(A22&lt;'Données projet'!$A$62,$AF$205^A22,IF(A22='Données projet'!$A$62,'Données projet'!$B$62,AI21+AH22-AQ21)))</f>
        <v>88.123076923076923</v>
      </c>
      <c r="AJ22" s="14">
        <f>AI22*VLOOKUP('Données projet'!$B$10,Paramètres!$A$1:$I$89,3,0)*VLOOKUP('Données projet'!$B$10,Paramètres!$A$1:$I$89,5,0)</f>
        <v>52.697600000000008</v>
      </c>
      <c r="AK22" s="14">
        <f t="shared" si="35"/>
        <v>15.30828179522207</v>
      </c>
      <c r="AL22" s="22">
        <f t="shared" si="4"/>
        <v>118.4435774600118</v>
      </c>
      <c r="AM22" s="62">
        <f t="shared" si="5"/>
        <v>398.33246634890065</v>
      </c>
      <c r="AN22" s="62">
        <f ca="1">AVERAGE(OFFSET($AM$3,0,0,'Données projet'!$E$10+1,1))-AVERAGE(OFFSET($H$3,0,0,'Données projet'!$E$10+1,1))</f>
        <v>289.12367833861299</v>
      </c>
      <c r="AO22" s="62">
        <f t="shared" si="36"/>
        <v>229.06617320689003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18</v>
      </c>
      <c r="BD22" s="13">
        <f>IF('Données projet'!$A$88&gt;35,BD21+BC22-BL21,IF(A22&lt;'Données projet'!$A$88,$BA$205^A22,IF(A22='Données projet'!$A$88,'Données projet'!$B$88,BD21+BC22-BL21)))</f>
        <v>110</v>
      </c>
      <c r="BE22" s="14">
        <f>BD22*VLOOKUP('Données projet'!$B$11,Paramètres!$A$1:$I$89,3,0)*VLOOKUP('Données projet'!$B$11,Paramètres!$A$1:$I$89,5,0)</f>
        <v>68.64</v>
      </c>
      <c r="BF22" s="14">
        <f t="shared" si="37"/>
        <v>19.335336956640202</v>
      </c>
      <c r="BG22" s="22">
        <f t="shared" si="7"/>
        <v>153.22371186614836</v>
      </c>
      <c r="BH22" s="62">
        <f t="shared" si="8"/>
        <v>433.11260075503719</v>
      </c>
      <c r="BI22" s="62">
        <f ca="1">AVERAGE(OFFSET($BH$3,0,0,'Données projet'!$E$11+1,1))-AVERAGE(OFFSET($H$3,0,0,'Données projet'!$E$11+1,1))</f>
        <v>240.22884864766218</v>
      </c>
      <c r="BJ22" s="62">
        <f t="shared" si="38"/>
        <v>343.23776884143166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4.9958010052665864</v>
      </c>
      <c r="BS22" s="24">
        <f t="shared" si="9"/>
        <v>4.9958010052665864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2.1</v>
      </c>
      <c r="BY22" s="13">
        <f>IF('Données projet'!$A$114&gt;35,BY21+BX22-CG21,IF(A22&lt;'Données projet'!$A$114,$BV$205^A22,IF(A22='Données projet'!$A$114,'Données projet'!$B$114,BY21+BX22-CG21)))</f>
        <v>34.840696297767764</v>
      </c>
      <c r="BZ22" s="14">
        <f>BY22*VLOOKUP('Données projet'!$B$12,Paramètres!$A$1:$I$89,3,0)*VLOOKUP('Données projet'!$B$12,Paramètres!$A$1:$I$89,5,0)</f>
        <v>31.52386201022027</v>
      </c>
      <c r="CA22" s="14">
        <f t="shared" si="39"/>
        <v>9.7218710074397983</v>
      </c>
      <c r="CB22" s="22">
        <f t="shared" si="10"/>
        <v>71.836318339091292</v>
      </c>
      <c r="CC22" s="62">
        <f t="shared" si="11"/>
        <v>351.72520722798015</v>
      </c>
      <c r="CD22" s="62">
        <f ca="1">AVERAGE(OFFSET($CC$3,0,0,'Données projet'!$E$12+1,1))-AVERAGE(OFFSET($H$3,0,0,'Données projet'!$E$12+1,1))</f>
        <v>428.8489304403459</v>
      </c>
      <c r="CE22" s="62">
        <f t="shared" si="40"/>
        <v>247.01165577562966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11.6</v>
      </c>
      <c r="CT22" s="13">
        <f>IF('Données projet'!$A$140&gt;35,CT21+CS22-DB21,IF(A22&lt;'Données projet'!$A$140,$CQ$205^A22,IF(A22='Données projet'!$A$140,'Données projet'!$B$140,CT21+CS22-DB21)))</f>
        <v>83.399999999999991</v>
      </c>
      <c r="CU22" s="18">
        <f>CT22*VLOOKUP('Données projet'!$B$13,Paramètres!$A$1:$I$89,3,0)*VLOOKUP('Données projet'!$B$13,Paramètres!$A$1:$I$89,5,0)</f>
        <v>66.353040000000007</v>
      </c>
      <c r="CV22" s="14">
        <f t="shared" si="41"/>
        <v>18.76498795231873</v>
      </c>
      <c r="CW22" s="22">
        <f t="shared" si="13"/>
        <v>148.24723201695511</v>
      </c>
      <c r="CX22" s="62">
        <f t="shared" si="14"/>
        <v>428.136120905844</v>
      </c>
      <c r="CY22" s="62">
        <f ca="1">AVERAGE(OFFSET($CX$3,0,0,'Données projet'!$E$13+1,1))-AVERAGE(OFFSET($H$3,0,0,'Données projet'!$E$13+1,1))</f>
        <v>312.53381881960331</v>
      </c>
      <c r="CZ22" s="62">
        <f t="shared" si="42"/>
        <v>342.06887933351783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11.6</v>
      </c>
      <c r="DO22" s="13">
        <f>IF('Données projet'!$A$166&gt;35,DO21+DN22-DW21,IF(A22&lt;'Données projet'!$A$166,$DL$205^A22,IF(A22='Données projet'!$A$166,'Données projet'!$B$166,DO21+DN22-DW21)))</f>
        <v>83.399999999999991</v>
      </c>
      <c r="DP22" s="18">
        <f>DO22*VLOOKUP('Données projet'!$B$14,Paramètres!$A$1:$I$89,3,0)*VLOOKUP('Données projet'!$B$14,Paramètres!$A$1:$I$89,5,0)</f>
        <v>61.148879999999991</v>
      </c>
      <c r="DQ22" s="14">
        <f t="shared" si="43"/>
        <v>17.458420499151</v>
      </c>
      <c r="DR22" s="22">
        <f t="shared" si="16"/>
        <v>136.9077150360213</v>
      </c>
      <c r="DS22" s="62">
        <f t="shared" si="17"/>
        <v>416.79660392491019</v>
      </c>
      <c r="DT22" s="62">
        <f ca="1">AVERAGE(OFFSET($DS$3,0,0,'Données projet'!$E$14+1,1))-AVERAGE(OFFSET($H$3,0,0,'Données projet'!$E$14+1,1))</f>
        <v>290.85271051443431</v>
      </c>
      <c r="DU22" s="62">
        <f t="shared" si="44"/>
        <v>318.66958823451142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1.6</v>
      </c>
      <c r="EJ22" s="13">
        <f>IF('Données projet'!$A$192&gt;35,EJ21+EI22-ER21,IF(A22&lt;'Données projet'!$A$192,$EG$205^A22,IF(A22='Données projet'!$A$192,'Données projet'!$B$192,EJ21+EI22-ER21)))</f>
        <v>16.503102361250299</v>
      </c>
      <c r="EK22" s="18">
        <f>EJ22*VLOOKUP('Données projet'!$B$15,Paramètres!$A$1:$I$89,3,0)*VLOOKUP('Données projet'!$B$15,Paramètres!$A$1:$I$89,5,0)</f>
        <v>14.159661825952757</v>
      </c>
      <c r="EL22" s="14">
        <f t="shared" si="45"/>
        <v>4.7931651251419742</v>
      </c>
      <c r="EM22" s="22">
        <f t="shared" si="19"/>
        <v>33.009506939823325</v>
      </c>
      <c r="EN22" s="62">
        <f t="shared" si="20"/>
        <v>312.89839582871218</v>
      </c>
      <c r="EO22" s="62">
        <f ca="1">AVERAGE(OFFSET($EN$3,0,0,'Données projet'!$E$15+1,1))-AVERAGE(OFFSET($H$3,0,0,'Données projet'!$E$15+1,1))</f>
        <v>438.65317358403996</v>
      </c>
      <c r="EP22" s="62">
        <f t="shared" si="46"/>
        <v>176.81257896138806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projet'!$B$15,Paramètres!$A$1:$I$89,3,0)*0.475*44/12</f>
        <v>0</v>
      </c>
      <c r="EW22" s="23">
        <f>EXP(-LN(2)/25)*EW21+(1-EXP(-LN(2)/25))/(LN(2)/25)*Calculateur!ER22*Calculateur!ET22*VLOOKUP('Données projet'!$B$15,Paramètres!$A$1:$I$89,3,0)*0.475*44/12</f>
        <v>0</v>
      </c>
      <c r="EX22" s="23">
        <f>EXP(-LN(2)/2)*EX21+(1-EXP(-LN(2)/2))/(LN(2)/2)*ER22*EU22*VLOOKUP('Données projet'!$B$15,Paramètres!$A$1:$I$89,3,0)*0.475*44/12</f>
        <v>0</v>
      </c>
      <c r="EY22" s="24">
        <f t="shared" si="21"/>
        <v>0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15.942307692307708</v>
      </c>
      <c r="N23" s="14">
        <f>IF('Données projet'!$A$36&gt;35,N22+M23-V22,IF(A23&lt;'Données projet'!$A$36,$K$205^A23,IF(A23='Données projet'!$A$36,'Données projet'!$B$36,N22+M23-V22)))</f>
        <v>164.11923076923077</v>
      </c>
      <c r="O23" s="14">
        <f>N23*VLOOKUP('Données projet'!$B$9,Paramètres!$A$1:$I$89,3,0)*VLOOKUP('Données projet'!$B$9,Paramètres!$A$1:$I$89,5,0)</f>
        <v>91.742650000000012</v>
      </c>
      <c r="P23" s="14">
        <f t="shared" si="33"/>
        <v>24.985039964008102</v>
      </c>
      <c r="Q23" s="22">
        <f t="shared" si="2"/>
        <v>203.3007266873141</v>
      </c>
      <c r="R23" s="62">
        <f t="shared" si="0"/>
        <v>484.41183779842527</v>
      </c>
      <c r="S23" s="62">
        <f ca="1">AVERAGE(OFFSET($R$3,0,0,'Données projet'!$E$9+1,1))-AVERAGE(OFFSET($H$3,0,0,'Données projet'!$E$9+1,1))</f>
        <v>323.98185264074681</v>
      </c>
      <c r="T23" s="62">
        <f t="shared" si="34"/>
        <v>301.22207291854005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13.103846153846154</v>
      </c>
      <c r="AI23" s="14">
        <f>IF('Données projet'!$A$62&gt;35,AI22+AH23-AQ22,IF(A23&lt;'Données projet'!$A$62,$AF$205^A23,IF(A23='Données projet'!$A$62,'Données projet'!$B$62,AI22+AH23-AQ22)))</f>
        <v>101.22692307692307</v>
      </c>
      <c r="AJ23" s="14">
        <f>AI23*VLOOKUP('Données projet'!$B$10,Paramètres!$A$1:$I$89,3,0)*VLOOKUP('Données projet'!$B$10,Paramètres!$A$1:$I$89,5,0)</f>
        <v>60.533700000000003</v>
      </c>
      <c r="AK23" s="14">
        <f t="shared" si="35"/>
        <v>17.303135492539088</v>
      </c>
      <c r="AL23" s="22">
        <f t="shared" si="4"/>
        <v>135.56582181617225</v>
      </c>
      <c r="AM23" s="62">
        <f t="shared" si="5"/>
        <v>416.67693292728336</v>
      </c>
      <c r="AN23" s="62">
        <f ca="1">AVERAGE(OFFSET($AM$3,0,0,'Données projet'!$E$10+1,1))-AVERAGE(OFFSET($H$3,0,0,'Données projet'!$E$10+1,1))</f>
        <v>289.12367833861299</v>
      </c>
      <c r="AO23" s="62">
        <f t="shared" si="36"/>
        <v>229.06617320689003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18</v>
      </c>
      <c r="BD23" s="13">
        <f>IF('Données projet'!$A$88&gt;35,BD22+BC23-BL22,IF(A23&lt;'Données projet'!$A$88,$BA$205^A23,IF(A23='Données projet'!$A$88,'Données projet'!$B$88,BD22+BC23-BL22)))</f>
        <v>128</v>
      </c>
      <c r="BE23" s="14">
        <f>BD23*VLOOKUP('Données projet'!$B$11,Paramètres!$A$1:$I$89,3,0)*VLOOKUP('Données projet'!$B$11,Paramètres!$A$1:$I$89,5,0)</f>
        <v>79.872</v>
      </c>
      <c r="BF23" s="14">
        <f t="shared" si="37"/>
        <v>22.105884547145418</v>
      </c>
      <c r="BG23" s="22">
        <f t="shared" si="7"/>
        <v>177.61148225294494</v>
      </c>
      <c r="BH23" s="62">
        <f t="shared" si="8"/>
        <v>458.72259336405608</v>
      </c>
      <c r="BI23" s="62">
        <f ca="1">AVERAGE(OFFSET($BH$3,0,0,'Données projet'!$E$11+1,1))-AVERAGE(OFFSET($H$3,0,0,'Données projet'!$E$11+1,1))</f>
        <v>240.22884864766218</v>
      </c>
      <c r="BJ23" s="62">
        <f t="shared" si="38"/>
        <v>343.23776884143166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3.5325647682825747</v>
      </c>
      <c r="BS23" s="24">
        <f t="shared" si="9"/>
        <v>3.5325647682825747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42</v>
      </c>
      <c r="BW23" s="13">
        <f>VLOOKUP(A23,'Données projet'!$A$113:$I$133,9,0)</f>
        <v>2.1</v>
      </c>
      <c r="BX23" s="13">
        <f t="array" ref="BX23">INDEX(BW:BW,MIN(IF(ISNUMBER(BW23:BW219),ROW(BW23:BW219),"")))</f>
        <v>2.1</v>
      </c>
      <c r="BY23" s="13">
        <f>IF('Données projet'!$A$114&gt;35,BY22+BX23-CG22,IF(A23&lt;'Données projet'!$A$114,$BV$205^A23,IF(A23='Données projet'!$A$114,'Données projet'!$B$114,BY22+BX23-CG22)))</f>
        <v>42</v>
      </c>
      <c r="BZ23" s="14">
        <f>BY23*VLOOKUP('Données projet'!$B$12,Paramètres!$A$1:$I$89,3,0)*VLOOKUP('Données projet'!$B$12,Paramètres!$A$1:$I$89,5,0)</f>
        <v>38.001600000000003</v>
      </c>
      <c r="CA23" s="14">
        <f t="shared" si="39"/>
        <v>11.467401227090512</v>
      </c>
      <c r="CB23" s="22">
        <f t="shared" si="10"/>
        <v>86.158510470515978</v>
      </c>
      <c r="CC23" s="62">
        <f t="shared" si="11"/>
        <v>367.26962158162712</v>
      </c>
      <c r="CD23" s="62">
        <f ca="1">AVERAGE(OFFSET($CC$3,0,0,'Données projet'!$E$12+1,1))-AVERAGE(OFFSET($H$3,0,0,'Données projet'!$E$12+1,1))</f>
        <v>428.8489304403459</v>
      </c>
      <c r="CE23" s="62">
        <f t="shared" si="40"/>
        <v>247.01165577562966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95</v>
      </c>
      <c r="CR23" s="13">
        <f>VLOOKUP(A23,'Données projet'!$A$139:$I$159,9,0)</f>
        <v>11.6</v>
      </c>
      <c r="CS23" s="13">
        <f t="array" ref="CS23">INDEX(CR:CR,MIN(IF(ISNUMBER(CR23:CR219),ROW(CR23:CR219),"")))</f>
        <v>11.6</v>
      </c>
      <c r="CT23" s="13">
        <f>IF('Données projet'!$A$140&gt;35,CT22+CS23-DB22,IF(A23&lt;'Données projet'!$A$140,$CQ$205^A23,IF(A23='Données projet'!$A$140,'Données projet'!$B$140,CT22+CS23-DB22)))</f>
        <v>94.999999999999986</v>
      </c>
      <c r="CU23" s="18">
        <f>CT23*VLOOKUP('Données projet'!$B$13,Paramètres!$A$1:$I$89,3,0)*VLOOKUP('Données projet'!$B$13,Paramètres!$A$1:$I$89,5,0)</f>
        <v>75.581999999999994</v>
      </c>
      <c r="CV23" s="14">
        <f t="shared" si="41"/>
        <v>21.053414706764119</v>
      </c>
      <c r="CW23" s="22">
        <f t="shared" si="13"/>
        <v>168.30668061428082</v>
      </c>
      <c r="CX23" s="62">
        <f t="shared" si="14"/>
        <v>449.41779172539196</v>
      </c>
      <c r="CY23" s="62">
        <f ca="1">AVERAGE(OFFSET($CX$3,0,0,'Données projet'!$E$13+1,1))-AVERAGE(OFFSET($H$3,0,0,'Données projet'!$E$13+1,1))</f>
        <v>312.53381881960331</v>
      </c>
      <c r="CZ23" s="62">
        <f t="shared" si="42"/>
        <v>342.06887933351783</v>
      </c>
      <c r="DA23" s="16">
        <f>IF(ISNA(VLOOKUP(A23,'Données projet'!$A$139:$I$159,3,0)),0,VLOOKUP(A23,'Données projet'!$A$139:$I$159,3,0))</f>
        <v>1</v>
      </c>
      <c r="DB23" s="16">
        <f>IF(ISNA(VLOOKUP(A23,'Données projet'!$A$139:$I$159,4,0)),0,VLOOKUP(A23,'Données projet'!$A$139:$I$159,4,0))</f>
        <v>43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>
        <f>VLOOKUP(A23,'Données projet'!$A$165:$I$185,2,0)</f>
        <v>95</v>
      </c>
      <c r="DM23" s="13">
        <f>VLOOKUP(A23,'Données projet'!$A$165:$I$185,9,0)</f>
        <v>11.6</v>
      </c>
      <c r="DN23" s="13">
        <f t="array" ref="DN23">INDEX(DM:DM,MIN(IF(ISNUMBER(DM23:DM219),ROW(DM23:DM219),"")))</f>
        <v>11.6</v>
      </c>
      <c r="DO23" s="13">
        <f>IF('Données projet'!$A$166&gt;35,DO22+DN23-DW22,IF(A23&lt;'Données projet'!$A$166,$DL$205^A23,IF(A23='Données projet'!$A$166,'Données projet'!$B$166,DO22+DN23-DW22)))</f>
        <v>94.999999999999986</v>
      </c>
      <c r="DP23" s="18">
        <f>DO23*VLOOKUP('Données projet'!$B$14,Paramètres!$A$1:$I$89,3,0)*VLOOKUP('Données projet'!$B$14,Paramètres!$A$1:$I$89,5,0)</f>
        <v>69.653999999999982</v>
      </c>
      <c r="DQ23" s="14">
        <f t="shared" si="43"/>
        <v>19.587508813096782</v>
      </c>
      <c r="DR23" s="22">
        <f t="shared" si="16"/>
        <v>155.42896118281021</v>
      </c>
      <c r="DS23" s="62">
        <f t="shared" si="17"/>
        <v>436.54007229392136</v>
      </c>
      <c r="DT23" s="62">
        <f ca="1">AVERAGE(OFFSET($DS$3,0,0,'Données projet'!$E$14+1,1))-AVERAGE(OFFSET($H$3,0,0,'Données projet'!$E$14+1,1))</f>
        <v>290.85271051443431</v>
      </c>
      <c r="DU23" s="62">
        <f t="shared" si="44"/>
        <v>318.66958823451142</v>
      </c>
      <c r="DV23" s="16">
        <f>IF(ISNA(VLOOKUP(A23,'Données projet'!$A$165:$I$185,3,0)),0,VLOOKUP(A23,'Données projet'!$A$165:$I$185,3,0))</f>
        <v>1</v>
      </c>
      <c r="DW23" s="16">
        <f>IF(ISNA(VLOOKUP(A23,'Données projet'!$A$165:$I$185,4,0)),0,VLOOKUP(A23,'Données projet'!$A$165:$I$185,4,0))</f>
        <v>43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1.6</v>
      </c>
      <c r="EJ23" s="13">
        <f>IF('Données projet'!$A$192&gt;35,EJ22+EI23-ER22,IF(A23&lt;'Données projet'!$A$192,$EG$205^A23,IF(A23='Données projet'!$A$192,'Données projet'!$B$192,EJ22+EI23-ER22)))</f>
        <v>19.127049995800739</v>
      </c>
      <c r="EK23" s="18">
        <f>EJ23*VLOOKUP('Données projet'!$B$15,Paramètres!$A$1:$I$89,3,0)*VLOOKUP('Données projet'!$B$15,Paramètres!$A$1:$I$89,5,0)</f>
        <v>16.411008896397036</v>
      </c>
      <c r="EL23" s="14">
        <f t="shared" si="45"/>
        <v>5.4606658142441402</v>
      </c>
      <c r="EM23" s="22">
        <f t="shared" si="19"/>
        <v>38.093166787700049</v>
      </c>
      <c r="EN23" s="62">
        <f t="shared" si="20"/>
        <v>319.2042778988112</v>
      </c>
      <c r="EO23" s="62">
        <f ca="1">AVERAGE(OFFSET($EN$3,0,0,'Données projet'!$E$15+1,1))-AVERAGE(OFFSET($H$3,0,0,'Données projet'!$E$15+1,1))</f>
        <v>438.65317358403996</v>
      </c>
      <c r="EP23" s="62">
        <f t="shared" si="46"/>
        <v>176.81257896138806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projet'!$B$15,Paramètres!$A$1:$I$89,3,0)*0.475*44/12</f>
        <v>0</v>
      </c>
      <c r="EW23" s="23">
        <f>EXP(-LN(2)/25)*EW22+(1-EXP(-LN(2)/25))/(LN(2)/25)*Calculateur!ER23*Calculateur!ET23*VLOOKUP('Données projet'!$B$15,Paramètres!$A$1:$I$89,3,0)*0.475*44/12</f>
        <v>0</v>
      </c>
      <c r="EX23" s="23">
        <f>EXP(-LN(2)/2)*EX22+(1-EXP(-LN(2)/2))/(LN(2)/2)*ER23*EU23*VLOOKUP('Données projet'!$B$15,Paramètres!$A$1:$I$89,3,0)*0.475*44/12</f>
        <v>0</v>
      </c>
      <c r="EY23" s="24">
        <f t="shared" si="21"/>
        <v>0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>
        <f>VLOOKUP(A24,'Données projet'!$A$35:$I$55,2,0)</f>
        <v>180.06153846153848</v>
      </c>
      <c r="L24" s="13">
        <f>VLOOKUP(A24,'Données projet'!$A$35:$I$55,9,0)</f>
        <v>15.942307692307708</v>
      </c>
      <c r="M24" s="13">
        <f t="array" ref="M24">INDEX(L:L,MIN(IF(ISNUMBER(L24:L220),ROW(L24:L220),"")))</f>
        <v>15.942307692307708</v>
      </c>
      <c r="N24" s="14">
        <f>IF('Données projet'!$A$36&gt;35,N23+M24-V23,IF(A24&lt;'Données projet'!$A$36,$K$205^A24,IF(A24='Données projet'!$A$36,'Données projet'!$B$36,N23+M24-V23)))</f>
        <v>180.06153846153848</v>
      </c>
      <c r="O24" s="14">
        <f>N24*VLOOKUP('Données projet'!$B$9,Paramètres!$A$1:$I$89,3,0)*VLOOKUP('Données projet'!$B$9,Paramètres!$A$1:$I$89,5,0)</f>
        <v>100.65440000000001</v>
      </c>
      <c r="P24" s="14">
        <f t="shared" si="33"/>
        <v>27.117840091618859</v>
      </c>
      <c r="Q24" s="22">
        <f t="shared" si="2"/>
        <v>222.53665149290285</v>
      </c>
      <c r="R24" s="62">
        <f t="shared" si="0"/>
        <v>504.86998482623619</v>
      </c>
      <c r="S24" s="62">
        <f ca="1">AVERAGE(OFFSET($R$3,0,0,'Données projet'!$E$9+1,1))-AVERAGE(OFFSET($H$3,0,0,'Données projet'!$E$9+1,1))</f>
        <v>323.98185264074681</v>
      </c>
      <c r="T24" s="62">
        <f t="shared" si="34"/>
        <v>301.22207291854005</v>
      </c>
      <c r="U24" s="16">
        <f>IF(ISNA(VLOOKUP(A24,'Données projet'!$A$35:$I$55,3,0)),0,VLOOKUP(A24,'Données projet'!$A$35:$I$55,3,0))</f>
        <v>1</v>
      </c>
      <c r="V24" s="16">
        <f>IF(ISNA(VLOOKUP(A24,'Données projet'!$A$35:$I$55,4,0)),0,VLOOKUP(A24,'Données projet'!$A$35:$I$55,4,0))</f>
        <v>61.169230769230765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0.11000000000000001</v>
      </c>
      <c r="Y24" s="17">
        <f>IF(ISNA(VLOOKUP(A24,'Données projet'!$A$35:$I$55,7,0)),0%,VLOOKUP(A24,'Données projet'!$A$35:$I$55,7,0))</f>
        <v>0.4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4.9699556173792603</v>
      </c>
      <c r="AB24" s="23">
        <f>EXP(-LN(2)/2)*AB23+(1-EXP(-LN(2)/2))/(LN(2)/2)*V24*Y24*VLOOKUP('Données projet'!$B$9,Paramètres!$A$1:$I$89,3,0)*0.475*44/12</f>
        <v>15.486039315480385</v>
      </c>
      <c r="AC24" s="24">
        <f t="shared" si="3"/>
        <v>20.455994932859646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>
        <f>VLOOKUP(A24,'Données projet'!$A$61:$I$81,2,0)</f>
        <v>114.33076923076922</v>
      </c>
      <c r="AG24" s="13">
        <f>VLOOKUP(A24,'Données projet'!$A$61:$I$81,9,0)</f>
        <v>13.103846153846154</v>
      </c>
      <c r="AH24" s="13">
        <f t="array" ref="AH24">INDEX(AG:AG,MIN(IF(ISNUMBER(AG24:AG220),ROW(AG24:AG220),"")))</f>
        <v>13.103846153846154</v>
      </c>
      <c r="AI24" s="14">
        <f>IF('Données projet'!$A$62&gt;35,AI23+AH24-AQ23,IF(A24&lt;'Données projet'!$A$62,$AF$205^A24,IF(A24='Données projet'!$A$62,'Données projet'!$B$62,AI23+AH24-AQ23)))</f>
        <v>114.33076923076922</v>
      </c>
      <c r="AJ24" s="14">
        <f>AI24*VLOOKUP('Données projet'!$B$10,Paramètres!$A$1:$I$89,3,0)*VLOOKUP('Données projet'!$B$10,Paramètres!$A$1:$I$89,5,0)</f>
        <v>68.369799999999998</v>
      </c>
      <c r="AK24" s="14">
        <f t="shared" si="35"/>
        <v>19.268067928266802</v>
      </c>
      <c r="AL24" s="22">
        <f t="shared" si="4"/>
        <v>152.635953308398</v>
      </c>
      <c r="AM24" s="62">
        <f t="shared" si="5"/>
        <v>434.96928664173129</v>
      </c>
      <c r="AN24" s="62">
        <f ca="1">AVERAGE(OFFSET($AM$3,0,0,'Données projet'!$E$10+1,1))-AVERAGE(OFFSET($H$3,0,0,'Données projet'!$E$10+1,1))</f>
        <v>289.12367833861299</v>
      </c>
      <c r="AO24" s="62">
        <f t="shared" si="36"/>
        <v>229.06617320689003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>
        <f>VLOOKUP(A24,'Données projet'!$A$87:$I$107,2,0)</f>
        <v>146</v>
      </c>
      <c r="BB24" s="13">
        <f>VLOOKUP(A24,'Données projet'!$A$87:$I$107,9,0)</f>
        <v>18</v>
      </c>
      <c r="BC24" s="13">
        <f t="array" ref="BC24">INDEX(BB:BB,MIN(IF(ISNUMBER(BB24:BB220),ROW(BB24:BB220),"")))</f>
        <v>18</v>
      </c>
      <c r="BD24" s="13">
        <f>IF('Données projet'!$A$88&gt;35,BD23+BC24-BL23,IF(A24&lt;'Données projet'!$A$88,$BA$205^A24,IF(A24='Données projet'!$A$88,'Données projet'!$B$88,BD23+BC24-BL23)))</f>
        <v>146</v>
      </c>
      <c r="BE24" s="14">
        <f>BD24*VLOOKUP('Données projet'!$B$11,Paramètres!$A$1:$I$89,3,0)*VLOOKUP('Données projet'!$B$11,Paramètres!$A$1:$I$89,5,0)</f>
        <v>91.103999999999999</v>
      </c>
      <c r="BF24" s="14">
        <f t="shared" si="37"/>
        <v>24.831293984707884</v>
      </c>
      <c r="BG24" s="22">
        <f t="shared" si="7"/>
        <v>201.92063702336623</v>
      </c>
      <c r="BH24" s="62">
        <f t="shared" si="8"/>
        <v>484.25397035669954</v>
      </c>
      <c r="BI24" s="62">
        <f ca="1">AVERAGE(OFFSET($BH$3,0,0,'Données projet'!$E$11+1,1))-AVERAGE(OFFSET($H$3,0,0,'Données projet'!$E$11+1,1))</f>
        <v>240.22884864766218</v>
      </c>
      <c r="BJ24" s="62">
        <f t="shared" si="38"/>
        <v>343.23776884143166</v>
      </c>
      <c r="BK24" s="16">
        <f>IF(ISNA(VLOOKUP(A24,'Données projet'!$A$87:$I$107,3,0)),0,VLOOKUP(A24,'Données projet'!$A$87:$I$107,3,0))</f>
        <v>2</v>
      </c>
      <c r="BL24" s="16">
        <f>IF(ISNA(VLOOKUP(A24,'Données projet'!$A$87:$I$107,4,0)),0,VLOOKUP(A24,'Données projet'!$A$87:$I$107,4,0))</f>
        <v>26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0.5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11.682568900167986</v>
      </c>
      <c r="BS24" s="24">
        <f t="shared" si="9"/>
        <v>11.682568900167986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5.6</v>
      </c>
      <c r="BY24" s="13">
        <f>IF('Données projet'!$A$114&gt;35,BY23+BX24-CG23,IF(A24&lt;'Données projet'!$A$114,$BV$205^A24,IF(A24='Données projet'!$A$114,'Données projet'!$B$114,BY23+BX24-CG23)))</f>
        <v>47.6</v>
      </c>
      <c r="BZ24" s="14">
        <f>BY24*VLOOKUP('Données projet'!$B$12,Paramètres!$A$1:$I$89,3,0)*VLOOKUP('Données projet'!$B$12,Paramètres!$A$1:$I$89,5,0)</f>
        <v>43.068480000000001</v>
      </c>
      <c r="CA24" s="14">
        <f t="shared" si="39"/>
        <v>12.808416415102187</v>
      </c>
      <c r="CB24" s="22">
        <f t="shared" si="10"/>
        <v>97.318927922969635</v>
      </c>
      <c r="CC24" s="62">
        <f t="shared" si="11"/>
        <v>379.65226125630295</v>
      </c>
      <c r="CD24" s="62">
        <f ca="1">AVERAGE(OFFSET($CC$3,0,0,'Données projet'!$E$12+1,1))-AVERAGE(OFFSET($H$3,0,0,'Données projet'!$E$12+1,1))</f>
        <v>428.8489304403459</v>
      </c>
      <c r="CE24" s="62">
        <f t="shared" si="40"/>
        <v>247.01165577562966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12.6</v>
      </c>
      <c r="CT24" s="13">
        <f>IF('Données projet'!$A$140&gt;35,CT23+CS24-DB23,IF(A24&lt;'Données projet'!$A$140,$CQ$205^A24,IF(A24='Données projet'!$A$140,'Données projet'!$B$140,CT23+CS24-DB23)))</f>
        <v>64.59999999999998</v>
      </c>
      <c r="CU24" s="18">
        <f>CT24*VLOOKUP('Données projet'!$B$13,Paramètres!$A$1:$I$89,3,0)*VLOOKUP('Données projet'!$B$13,Paramètres!$A$1:$I$89,5,0)</f>
        <v>51.395759999999989</v>
      </c>
      <c r="CV24" s="14">
        <f t="shared" si="41"/>
        <v>14.973641136922506</v>
      </c>
      <c r="CW24" s="22">
        <f t="shared" si="13"/>
        <v>115.59337364680665</v>
      </c>
      <c r="CX24" s="62">
        <f t="shared" si="14"/>
        <v>397.92670698013995</v>
      </c>
      <c r="CY24" s="62">
        <f ca="1">AVERAGE(OFFSET($CX$3,0,0,'Données projet'!$E$13+1,1))-AVERAGE(OFFSET($H$3,0,0,'Données projet'!$E$13+1,1))</f>
        <v>312.53381881960331</v>
      </c>
      <c r="CZ24" s="62">
        <f t="shared" si="42"/>
        <v>342.06887933351783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12.6</v>
      </c>
      <c r="DO24" s="13">
        <f>IF('Données projet'!$A$166&gt;35,DO23+DN24-DW23,IF(A24&lt;'Données projet'!$A$166,$DL$205^A24,IF(A24='Données projet'!$A$166,'Données projet'!$B$166,DO23+DN24-DW23)))</f>
        <v>64.59999999999998</v>
      </c>
      <c r="DP24" s="18">
        <f>DO24*VLOOKUP('Données projet'!$B$14,Paramètres!$A$1:$I$89,3,0)*VLOOKUP('Données projet'!$B$14,Paramètres!$A$1:$I$89,5,0)</f>
        <v>47.364719999999984</v>
      </c>
      <c r="DQ24" s="14">
        <f t="shared" si="43"/>
        <v>13.931057351916726</v>
      </c>
      <c r="DR24" s="22">
        <f t="shared" si="16"/>
        <v>106.75681222125495</v>
      </c>
      <c r="DS24" s="62">
        <f t="shared" si="17"/>
        <v>389.09014555458828</v>
      </c>
      <c r="DT24" s="62">
        <f ca="1">AVERAGE(OFFSET($DS$3,0,0,'Données projet'!$E$14+1,1))-AVERAGE(OFFSET($H$3,0,0,'Données projet'!$E$14+1,1))</f>
        <v>290.85271051443431</v>
      </c>
      <c r="DU24" s="62">
        <f t="shared" si="44"/>
        <v>318.66958823451142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1.6</v>
      </c>
      <c r="EJ24" s="13">
        <f>IF('Données projet'!$A$192&gt;35,EJ23+EI24-ER23,IF(A24&lt;'Données projet'!$A$192,$EG$205^A24,IF(A24='Données projet'!$A$192,'Données projet'!$B$192,EJ23+EI24-ER23)))</f>
        <v>22.168198047469673</v>
      </c>
      <c r="EK24" s="18">
        <f>EJ24*VLOOKUP('Données projet'!$B$15,Paramètres!$A$1:$I$89,3,0)*VLOOKUP('Données projet'!$B$15,Paramètres!$A$1:$I$89,5,0)</f>
        <v>19.020313924728981</v>
      </c>
      <c r="EL24" s="14">
        <f t="shared" si="45"/>
        <v>6.2211232779032164</v>
      </c>
      <c r="EM24" s="22">
        <f t="shared" si="19"/>
        <v>43.962169794584405</v>
      </c>
      <c r="EN24" s="62">
        <f t="shared" si="20"/>
        <v>326.2955031279177</v>
      </c>
      <c r="EO24" s="62">
        <f ca="1">AVERAGE(OFFSET($EN$3,0,0,'Données projet'!$E$15+1,1))-AVERAGE(OFFSET($H$3,0,0,'Données projet'!$E$15+1,1))</f>
        <v>438.65317358403996</v>
      </c>
      <c r="EP24" s="62">
        <f t="shared" si="46"/>
        <v>176.81257896138806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projet'!$B$15,Paramètres!$A$1:$I$89,3,0)*0.475*44/12</f>
        <v>0</v>
      </c>
      <c r="EW24" s="23">
        <f>EXP(-LN(2)/25)*EW23+(1-EXP(-LN(2)/25))/(LN(2)/25)*Calculateur!ER24*Calculateur!ET24*VLOOKUP('Données projet'!$B$15,Paramètres!$A$1:$I$89,3,0)*0.475*44/12</f>
        <v>0</v>
      </c>
      <c r="EX24" s="23">
        <f>EXP(-LN(2)/2)*EX23+(1-EXP(-LN(2)/2))/(LN(2)/2)*ER24*EU24*VLOOKUP('Données projet'!$B$15,Paramètres!$A$1:$I$89,3,0)*0.475*44/12</f>
        <v>0</v>
      </c>
      <c r="EY24" s="24">
        <f t="shared" si="21"/>
        <v>0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16.687912087912085</v>
      </c>
      <c r="N25" s="14">
        <f>IF('Données projet'!$A$36&gt;35,N24+M25-V24,IF(A25&lt;'Données projet'!$A$36,$K$205^A25,IF(A25='Données projet'!$A$36,'Données projet'!$B$36,N24+M25-V24)))</f>
        <v>135.58021978021981</v>
      </c>
      <c r="O25" s="14">
        <f>N25*VLOOKUP('Données projet'!$B$9,Paramètres!$A$1:$I$89,3,0)*VLOOKUP('Données projet'!$B$9,Paramètres!$A$1:$I$89,5,0)</f>
        <v>75.78934285714287</v>
      </c>
      <c r="P25" s="14">
        <f t="shared" si="33"/>
        <v>21.104439314832948</v>
      </c>
      <c r="Q25" s="22">
        <f t="shared" si="2"/>
        <v>168.7566706161912</v>
      </c>
      <c r="R25" s="62">
        <f t="shared" si="0"/>
        <v>452.31222617174672</v>
      </c>
      <c r="S25" s="62">
        <f ca="1">AVERAGE(OFFSET($R$3,0,0,'Données projet'!$E$9+1,1))-AVERAGE(OFFSET($H$3,0,0,'Données projet'!$E$9+1,1))</f>
        <v>323.98185264074681</v>
      </c>
      <c r="T25" s="62">
        <f t="shared" si="34"/>
        <v>301.22207291854005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4.8340519196634171</v>
      </c>
      <c r="AB25" s="23">
        <f>EXP(-LN(2)/2)*AB24+(1-EXP(-LN(2)/2))/(LN(2)/2)*V25*Y25*VLOOKUP('Données projet'!$B$9,Paramètres!$A$1:$I$89,3,0)*0.475*44/12</f>
        <v>10.950283413697662</v>
      </c>
      <c r="AC25" s="24">
        <f t="shared" si="3"/>
        <v>15.784335333361078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>
        <f>VLOOKUP(A25,'Données projet'!$A$61:$I$81,2,0)</f>
        <v>129.98461538461538</v>
      </c>
      <c r="AG25" s="13">
        <f>VLOOKUP(A25,'Données projet'!$A$61:$I$81,9,0)</f>
        <v>15.65384615384616</v>
      </c>
      <c r="AH25" s="13">
        <f t="array" ref="AH25">INDEX(AG:AG,MIN(IF(ISNUMBER(AG25:AG221),ROW(AG25:AG221),"")))</f>
        <v>15.65384615384616</v>
      </c>
      <c r="AI25" s="14">
        <f>IF('Données projet'!$A$62&gt;35,AI24+AH25-AQ24,IF(A25&lt;'Données projet'!$A$62,$AF$205^A25,IF(A25='Données projet'!$A$62,'Données projet'!$B$62,AI24+AH25-AQ24)))</f>
        <v>129.98461538461538</v>
      </c>
      <c r="AJ25" s="14">
        <f>AI25*VLOOKUP('Données projet'!$B$10,Paramètres!$A$1:$I$89,3,0)*VLOOKUP('Données projet'!$B$10,Paramètres!$A$1:$I$89,5,0)</f>
        <v>77.730800000000002</v>
      </c>
      <c r="AK25" s="14">
        <f t="shared" si="35"/>
        <v>21.581427176601697</v>
      </c>
      <c r="AL25" s="22">
        <f t="shared" si="4"/>
        <v>172.96879566591463</v>
      </c>
      <c r="AM25" s="62">
        <f t="shared" si="5"/>
        <v>456.52435122147017</v>
      </c>
      <c r="AN25" s="62">
        <f ca="1">AVERAGE(OFFSET($AM$3,0,0,'Données projet'!$E$10+1,1))-AVERAGE(OFFSET($H$3,0,0,'Données projet'!$E$10+1,1))</f>
        <v>289.12367833861299</v>
      </c>
      <c r="AO25" s="62">
        <f t="shared" si="36"/>
        <v>229.06617320689003</v>
      </c>
      <c r="AP25" s="16">
        <f>IF(ISNA(VLOOKUP(A25,'Données projet'!$A$61:$I$81,3,0)),0,VLOOKUP(A25,'Données projet'!$A$61:$I$81,3,0))</f>
        <v>1</v>
      </c>
      <c r="AQ25" s="16">
        <f>IF(ISNA(VLOOKUP(A25,'Données projet'!$A$61:$I$81,4,0)),0,VLOOKUP(A25,'Données projet'!$A$61:$I$81,4,0))</f>
        <v>52.746153846153838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16</v>
      </c>
      <c r="BD25" s="13">
        <f>IF('Données projet'!$A$88&gt;35,BD24+BC25-BL24,IF(A25&lt;'Données projet'!$A$88,$BA$205^A25,IF(A25='Données projet'!$A$88,'Données projet'!$B$88,BD24+BC25-BL24)))</f>
        <v>136</v>
      </c>
      <c r="BE25" s="14">
        <f>BD25*VLOOKUP('Données projet'!$B$11,Paramètres!$A$1:$I$89,3,0)*VLOOKUP('Données projet'!$B$11,Paramètres!$A$1:$I$89,5,0)</f>
        <v>84.864000000000004</v>
      </c>
      <c r="BF25" s="14">
        <f t="shared" si="37"/>
        <v>23.322341364766192</v>
      </c>
      <c r="BG25" s="22">
        <f t="shared" si="7"/>
        <v>188.42454454363443</v>
      </c>
      <c r="BH25" s="62">
        <f t="shared" si="8"/>
        <v>471.98010009918994</v>
      </c>
      <c r="BI25" s="62">
        <f ca="1">AVERAGE(OFFSET($BH$3,0,0,'Données projet'!$E$11+1,1))-AVERAGE(OFFSET($H$3,0,0,'Données projet'!$E$11+1,1))</f>
        <v>240.22884864766218</v>
      </c>
      <c r="BJ25" s="62">
        <f t="shared" si="38"/>
        <v>343.23776884143166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8.2608236909878503</v>
      </c>
      <c r="BS25" s="24">
        <f t="shared" si="9"/>
        <v>8.2608236909878503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5.6</v>
      </c>
      <c r="BY25" s="13">
        <f>IF('Données projet'!$A$114&gt;35,BY24+BX25-CG24,IF(A25&lt;'Données projet'!$A$114,$BV$205^A25,IF(A25='Données projet'!$A$114,'Données projet'!$B$114,BY24+BX25-CG24)))</f>
        <v>53.2</v>
      </c>
      <c r="BZ25" s="14">
        <f>BY25*VLOOKUP('Données projet'!$B$12,Paramètres!$A$1:$I$89,3,0)*VLOOKUP('Données projet'!$B$12,Paramètres!$A$1:$I$89,5,0)</f>
        <v>48.135359999999999</v>
      </c>
      <c r="CA25" s="14">
        <f t="shared" si="39"/>
        <v>14.131148275361113</v>
      </c>
      <c r="CB25" s="22">
        <f t="shared" si="10"/>
        <v>108.4475019129206</v>
      </c>
      <c r="CC25" s="62">
        <f t="shared" si="11"/>
        <v>392.00305746847613</v>
      </c>
      <c r="CD25" s="62">
        <f ca="1">AVERAGE(OFFSET($CC$3,0,0,'Données projet'!$E$12+1,1))-AVERAGE(OFFSET($H$3,0,0,'Données projet'!$E$12+1,1))</f>
        <v>428.8489304403459</v>
      </c>
      <c r="CE25" s="62">
        <f t="shared" si="40"/>
        <v>247.01165577562966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12.6</v>
      </c>
      <c r="CT25" s="13">
        <f>IF('Données projet'!$A$140&gt;35,CT24+CS25-DB24,IF(A25&lt;'Données projet'!$A$140,$CQ$205^A25,IF(A25='Données projet'!$A$140,'Données projet'!$B$140,CT24+CS25-DB24)))</f>
        <v>77.199999999999974</v>
      </c>
      <c r="CU25" s="18">
        <f>CT25*VLOOKUP('Données projet'!$B$13,Paramètres!$A$1:$I$89,3,0)*VLOOKUP('Données projet'!$B$13,Paramètres!$A$1:$I$89,5,0)</f>
        <v>61.420319999999982</v>
      </c>
      <c r="CV25" s="14">
        <f t="shared" si="41"/>
        <v>17.526880037631354</v>
      </c>
      <c r="CW25" s="22">
        <f t="shared" si="13"/>
        <v>137.4997067322079</v>
      </c>
      <c r="CX25" s="62">
        <f t="shared" si="14"/>
        <v>421.05526228776341</v>
      </c>
      <c r="CY25" s="62">
        <f ca="1">AVERAGE(OFFSET($CX$3,0,0,'Données projet'!$E$13+1,1))-AVERAGE(OFFSET($H$3,0,0,'Données projet'!$E$13+1,1))</f>
        <v>312.53381881960331</v>
      </c>
      <c r="CZ25" s="62">
        <f t="shared" si="42"/>
        <v>342.06887933351783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12.6</v>
      </c>
      <c r="DO25" s="13">
        <f>IF('Données projet'!$A$166&gt;35,DO24+DN25-DW24,IF(A25&lt;'Données projet'!$A$166,$DL$205^A25,IF(A25='Données projet'!$A$166,'Données projet'!$B$166,DO24+DN25-DW24)))</f>
        <v>77.199999999999974</v>
      </c>
      <c r="DP25" s="18">
        <f>DO25*VLOOKUP('Données projet'!$B$14,Paramètres!$A$1:$I$89,3,0)*VLOOKUP('Données projet'!$B$14,Paramètres!$A$1:$I$89,5,0)</f>
        <v>56.603039999999979</v>
      </c>
      <c r="DQ25" s="14">
        <f t="shared" si="43"/>
        <v>16.306519487923971</v>
      </c>
      <c r="DR25" s="22">
        <f t="shared" si="16"/>
        <v>126.98414944146755</v>
      </c>
      <c r="DS25" s="62">
        <f t="shared" si="17"/>
        <v>410.53970499702308</v>
      </c>
      <c r="DT25" s="62">
        <f ca="1">AVERAGE(OFFSET($DS$3,0,0,'Données projet'!$E$14+1,1))-AVERAGE(OFFSET($H$3,0,0,'Données projet'!$E$14+1,1))</f>
        <v>290.85271051443431</v>
      </c>
      <c r="DU25" s="62">
        <f t="shared" si="44"/>
        <v>318.66958823451142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1.6</v>
      </c>
      <c r="EJ25" s="13">
        <f>IF('Données projet'!$A$192&gt;35,EJ24+EI25-ER24,IF(A25&lt;'Données projet'!$A$192,$EG$205^A25,IF(A25='Données projet'!$A$192,'Données projet'!$B$192,EJ24+EI25-ER24)))</f>
        <v>25.692880228771781</v>
      </c>
      <c r="EK25" s="18">
        <f>EJ25*VLOOKUP('Données projet'!$B$15,Paramètres!$A$1:$I$89,3,0)*VLOOKUP('Données projet'!$B$15,Paramètres!$A$1:$I$89,5,0)</f>
        <v>22.044491236286191</v>
      </c>
      <c r="EL25" s="14">
        <f t="shared" si="45"/>
        <v>7.0874827640823872</v>
      </c>
      <c r="EM25" s="22">
        <f t="shared" si="19"/>
        <v>50.738188050641945</v>
      </c>
      <c r="EN25" s="62">
        <f t="shared" si="20"/>
        <v>334.29374360619749</v>
      </c>
      <c r="EO25" s="62">
        <f ca="1">AVERAGE(OFFSET($EN$3,0,0,'Données projet'!$E$15+1,1))-AVERAGE(OFFSET($H$3,0,0,'Données projet'!$E$15+1,1))</f>
        <v>438.65317358403996</v>
      </c>
      <c r="EP25" s="62">
        <f t="shared" si="46"/>
        <v>176.81257896138806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projet'!$B$15,Paramètres!$A$1:$I$89,3,0)*0.475*44/12</f>
        <v>0</v>
      </c>
      <c r="EW25" s="23">
        <f>EXP(-LN(2)/25)*EW24+(1-EXP(-LN(2)/25))/(LN(2)/25)*Calculateur!ER25*Calculateur!ET25*VLOOKUP('Données projet'!$B$15,Paramètres!$A$1:$I$89,3,0)*0.475*44/12</f>
        <v>0</v>
      </c>
      <c r="EX25" s="23">
        <f>EXP(-LN(2)/2)*EX24+(1-EXP(-LN(2)/2))/(LN(2)/2)*ER25*EU25*VLOOKUP('Données projet'!$B$15,Paramètres!$A$1:$I$89,3,0)*0.475*44/12</f>
        <v>0</v>
      </c>
      <c r="EY25" s="24">
        <f t="shared" si="21"/>
        <v>0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16.687912087912085</v>
      </c>
      <c r="N26" s="14">
        <f>IF('Données projet'!$A$36&gt;35,N25+M26-V25,IF(A26&lt;'Données projet'!$A$36,$K$205^A26,IF(A26='Données projet'!$A$36,'Données projet'!$B$36,N25+M26-V25)))</f>
        <v>152.26813186813189</v>
      </c>
      <c r="O26" s="14">
        <f>N26*VLOOKUP('Données projet'!$B$9,Paramètres!$A$1:$I$89,3,0)*VLOOKUP('Données projet'!$B$9,Paramètres!$A$1:$I$89,5,0)</f>
        <v>85.11788571428572</v>
      </c>
      <c r="P26" s="14">
        <f t="shared" si="33"/>
        <v>23.383981996566973</v>
      </c>
      <c r="Q26" s="22">
        <f t="shared" si="2"/>
        <v>188.97408626306844</v>
      </c>
      <c r="R26" s="62">
        <f t="shared" si="0"/>
        <v>473.75186404084621</v>
      </c>
      <c r="S26" s="62">
        <f ca="1">AVERAGE(OFFSET($R$3,0,0,'Données projet'!$E$9+1,1))-AVERAGE(OFFSET($H$3,0,0,'Données projet'!$E$9+1,1))</f>
        <v>323.98185264074681</v>
      </c>
      <c r="T26" s="62">
        <f t="shared" si="34"/>
        <v>301.22207291854005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4.7018645157084791</v>
      </c>
      <c r="AB26" s="23">
        <f>EXP(-LN(2)/2)*AB25+(1-EXP(-LN(2)/2))/(LN(2)/2)*V26*Y26*VLOOKUP('Données projet'!$B$9,Paramètres!$A$1:$I$89,3,0)*0.475*44/12</f>
        <v>7.7430196577401933</v>
      </c>
      <c r="AC26" s="24">
        <f t="shared" si="3"/>
        <v>12.444884173448672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11.242307692307683</v>
      </c>
      <c r="AI26" s="14">
        <f>IF('Données projet'!$A$62&gt;35,AI25+AH26-AQ25,IF(A26&lt;'Données projet'!$A$62,$AF$205^A26,IF(A26='Données projet'!$A$62,'Données projet'!$B$62,AI25+AH26-AQ25)))</f>
        <v>88.480769230769226</v>
      </c>
      <c r="AJ26" s="14">
        <f>AI26*VLOOKUP('Données projet'!$B$10,Paramètres!$A$1:$I$89,3,0)*VLOOKUP('Données projet'!$B$10,Paramètres!$A$1:$I$89,5,0)</f>
        <v>52.911499999999997</v>
      </c>
      <c r="AK26" s="14">
        <f t="shared" si="35"/>
        <v>15.363172606616901</v>
      </c>
      <c r="AL26" s="22">
        <f t="shared" si="4"/>
        <v>118.91172145652443</v>
      </c>
      <c r="AM26" s="62">
        <f t="shared" si="5"/>
        <v>403.68949923430222</v>
      </c>
      <c r="AN26" s="62">
        <f ca="1">AVERAGE(OFFSET($AM$3,0,0,'Données projet'!$E$10+1,1))-AVERAGE(OFFSET($H$3,0,0,'Données projet'!$E$10+1,1))</f>
        <v>289.12367833861299</v>
      </c>
      <c r="AO26" s="62">
        <f t="shared" si="36"/>
        <v>229.06617320689003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16</v>
      </c>
      <c r="BD26" s="13">
        <f>IF('Données projet'!$A$88&gt;35,BD25+BC26-BL25,IF(A26&lt;'Données projet'!$A$88,$BA$205^A26,IF(A26='Données projet'!$A$88,'Données projet'!$B$88,BD25+BC26-BL25)))</f>
        <v>152</v>
      </c>
      <c r="BE26" s="14">
        <f>BD26*VLOOKUP('Données projet'!$B$11,Paramètres!$A$1:$I$89,3,0)*VLOOKUP('Données projet'!$B$11,Paramètres!$A$1:$I$89,5,0)</f>
        <v>94.847999999999999</v>
      </c>
      <c r="BF26" s="14">
        <f t="shared" si="37"/>
        <v>25.730851751939202</v>
      </c>
      <c r="BG26" s="22">
        <f t="shared" si="7"/>
        <v>210.0081668012941</v>
      </c>
      <c r="BH26" s="62">
        <f t="shared" si="8"/>
        <v>494.78594457907184</v>
      </c>
      <c r="BI26" s="62">
        <f ca="1">AVERAGE(OFFSET($BH$3,0,0,'Données projet'!$E$11+1,1))-AVERAGE(OFFSET($H$3,0,0,'Données projet'!$E$11+1,1))</f>
        <v>240.22884864766218</v>
      </c>
      <c r="BJ26" s="62">
        <f t="shared" si="38"/>
        <v>343.23776884143166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5.841284450083994</v>
      </c>
      <c r="BS26" s="24">
        <f t="shared" si="9"/>
        <v>5.841284450083994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5.6</v>
      </c>
      <c r="BY26" s="13">
        <f>IF('Données projet'!$A$114&gt;35,BY25+BX26-CG25,IF(A26&lt;'Données projet'!$A$114,$BV$205^A26,IF(A26='Données projet'!$A$114,'Données projet'!$B$114,BY25+BX26-CG25)))</f>
        <v>58.800000000000004</v>
      </c>
      <c r="BZ26" s="14">
        <f>BY26*VLOOKUP('Données projet'!$B$12,Paramètres!$A$1:$I$89,3,0)*VLOOKUP('Données projet'!$B$12,Paramètres!$A$1:$I$89,5,0)</f>
        <v>53.202240000000003</v>
      </c>
      <c r="CA26" s="14">
        <f t="shared" si="39"/>
        <v>15.437740642425908</v>
      </c>
      <c r="CB26" s="22">
        <f t="shared" si="10"/>
        <v>119.54796628555846</v>
      </c>
      <c r="CC26" s="62">
        <f t="shared" si="11"/>
        <v>404.32574406333623</v>
      </c>
      <c r="CD26" s="62">
        <f ca="1">AVERAGE(OFFSET($CC$3,0,0,'Données projet'!$E$12+1,1))-AVERAGE(OFFSET($H$3,0,0,'Données projet'!$E$12+1,1))</f>
        <v>428.8489304403459</v>
      </c>
      <c r="CE26" s="62">
        <f t="shared" si="40"/>
        <v>247.01165577562966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12.6</v>
      </c>
      <c r="CT26" s="13">
        <f>IF('Données projet'!$A$140&gt;35,CT25+CS26-DB25,IF(A26&lt;'Données projet'!$A$140,$CQ$205^A26,IF(A26='Données projet'!$A$140,'Données projet'!$B$140,CT25+CS26-DB25)))</f>
        <v>89.799999999999969</v>
      </c>
      <c r="CU26" s="18">
        <f>CT26*VLOOKUP('Données projet'!$B$13,Paramètres!$A$1:$I$89,3,0)*VLOOKUP('Données projet'!$B$13,Paramètres!$A$1:$I$89,5,0)</f>
        <v>71.444879999999984</v>
      </c>
      <c r="CV26" s="14">
        <f t="shared" si="41"/>
        <v>20.03184442542841</v>
      </c>
      <c r="CW26" s="22">
        <f t="shared" si="13"/>
        <v>159.32196170762111</v>
      </c>
      <c r="CX26" s="62">
        <f t="shared" si="14"/>
        <v>444.09973948539891</v>
      </c>
      <c r="CY26" s="62">
        <f ca="1">AVERAGE(OFFSET($CX$3,0,0,'Données projet'!$E$13+1,1))-AVERAGE(OFFSET($H$3,0,0,'Données projet'!$E$13+1,1))</f>
        <v>312.53381881960331</v>
      </c>
      <c r="CZ26" s="62">
        <f t="shared" si="42"/>
        <v>342.06887933351783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12.6</v>
      </c>
      <c r="DO26" s="13">
        <f>IF('Données projet'!$A$166&gt;35,DO25+DN26-DW25,IF(A26&lt;'Données projet'!$A$166,$DL$205^A26,IF(A26='Données projet'!$A$166,'Données projet'!$B$166,DO25+DN26-DW25)))</f>
        <v>89.799999999999969</v>
      </c>
      <c r="DP26" s="18">
        <f>DO26*VLOOKUP('Données projet'!$B$14,Paramètres!$A$1:$I$89,3,0)*VLOOKUP('Données projet'!$B$14,Paramètres!$A$1:$I$89,5,0)</f>
        <v>65.84135999999998</v>
      </c>
      <c r="DQ26" s="14">
        <f t="shared" si="43"/>
        <v>18.637068365902625</v>
      </c>
      <c r="DR26" s="22">
        <f t="shared" si="16"/>
        <v>147.13326273728035</v>
      </c>
      <c r="DS26" s="62">
        <f t="shared" si="17"/>
        <v>431.91104051505812</v>
      </c>
      <c r="DT26" s="62">
        <f ca="1">AVERAGE(OFFSET($DS$3,0,0,'Données projet'!$E$14+1,1))-AVERAGE(OFFSET($H$3,0,0,'Données projet'!$E$14+1,1))</f>
        <v>290.85271051443431</v>
      </c>
      <c r="DU26" s="62">
        <f t="shared" si="44"/>
        <v>318.66958823451142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1.6</v>
      </c>
      <c r="EJ26" s="13">
        <f>IF('Données projet'!$A$192&gt;35,EJ25+EI26-ER25,IF(A26&lt;'Données projet'!$A$192,$EG$205^A26,IF(A26='Données projet'!$A$192,'Données projet'!$B$192,EJ25+EI26-ER25)))</f>
        <v>29.777977129059437</v>
      </c>
      <c r="EK26" s="18">
        <f>EJ26*VLOOKUP('Données projet'!$B$15,Paramètres!$A$1:$I$89,3,0)*VLOOKUP('Données projet'!$B$15,Paramètres!$A$1:$I$89,5,0)</f>
        <v>25.549504376733001</v>
      </c>
      <c r="EL26" s="14">
        <f t="shared" si="45"/>
        <v>8.074492288166871</v>
      </c>
      <c r="EM26" s="22">
        <f t="shared" si="19"/>
        <v>58.561794191367277</v>
      </c>
      <c r="EN26" s="62">
        <f t="shared" si="20"/>
        <v>343.33957196914503</v>
      </c>
      <c r="EO26" s="62">
        <f ca="1">AVERAGE(OFFSET($EN$3,0,0,'Données projet'!$E$15+1,1))-AVERAGE(OFFSET($H$3,0,0,'Données projet'!$E$15+1,1))</f>
        <v>438.65317358403996</v>
      </c>
      <c r="EP26" s="62">
        <f t="shared" si="46"/>
        <v>176.81257896138806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projet'!$B$15,Paramètres!$A$1:$I$89,3,0)*0.475*44/12</f>
        <v>0</v>
      </c>
      <c r="EW26" s="23">
        <f>EXP(-LN(2)/25)*EW25+(1-EXP(-LN(2)/25))/(LN(2)/25)*Calculateur!ER26*Calculateur!ET26*VLOOKUP('Données projet'!$B$15,Paramètres!$A$1:$I$89,3,0)*0.475*44/12</f>
        <v>0</v>
      </c>
      <c r="EX26" s="23">
        <f>EXP(-LN(2)/2)*EX25+(1-EXP(-LN(2)/2))/(LN(2)/2)*ER26*EU26*VLOOKUP('Données projet'!$B$15,Paramètres!$A$1:$I$89,3,0)*0.475*44/12</f>
        <v>0</v>
      </c>
      <c r="EY26" s="24">
        <f t="shared" si="21"/>
        <v>0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16.687912087912085</v>
      </c>
      <c r="N27" s="14">
        <f>IF('Données projet'!$A$36&gt;35,N26+M27-V26,IF(A27&lt;'Données projet'!$A$36,$K$205^A27,IF(A27='Données projet'!$A$36,'Données projet'!$B$36,N26+M27-V26)))</f>
        <v>168.95604395604397</v>
      </c>
      <c r="O27" s="14">
        <f>N27*VLOOKUP('Données projet'!$B$9,Paramètres!$A$1:$I$89,3,0)*VLOOKUP('Données projet'!$B$9,Paramètres!$A$1:$I$89,5,0)</f>
        <v>94.446428571428584</v>
      </c>
      <c r="P27" s="14">
        <f t="shared" si="33"/>
        <v>25.634568296511581</v>
      </c>
      <c r="Q27" s="22">
        <f t="shared" si="2"/>
        <v>209.14106954499582</v>
      </c>
      <c r="R27" s="62">
        <f t="shared" si="0"/>
        <v>495.14106954499584</v>
      </c>
      <c r="S27" s="62">
        <f ca="1">AVERAGE(OFFSET($R$3,0,0,'Données projet'!$E$9+1,1))-AVERAGE(OFFSET($H$3,0,0,'Données projet'!$E$9+1,1))</f>
        <v>323.98185264074681</v>
      </c>
      <c r="T27" s="62">
        <f t="shared" si="34"/>
        <v>301.22207291854005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4.5732917832661224</v>
      </c>
      <c r="AB27" s="23">
        <f>EXP(-LN(2)/2)*AB26+(1-EXP(-LN(2)/2))/(LN(2)/2)*V27*Y27*VLOOKUP('Données projet'!$B$9,Paramètres!$A$1:$I$89,3,0)*0.475*44/12</f>
        <v>5.4751417068488317</v>
      </c>
      <c r="AC27" s="24">
        <f t="shared" si="3"/>
        <v>10.048433490114954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>
        <f>VLOOKUP(A27,'Données projet'!$A$61:$I$81,2,0)</f>
        <v>99.723076923076903</v>
      </c>
      <c r="AG27" s="13">
        <f>VLOOKUP(A27,'Données projet'!$A$61:$I$81,9,0)</f>
        <v>11.242307692307683</v>
      </c>
      <c r="AH27" s="13">
        <f t="array" ref="AH27">INDEX(AG:AG,MIN(IF(ISNUMBER(AG27:AG223),ROW(AG27:AG223),"")))</f>
        <v>11.242307692307683</v>
      </c>
      <c r="AI27" s="14">
        <f>IF('Données projet'!$A$62&gt;35,AI26+AH27-AQ26,IF(A27&lt;'Données projet'!$A$62,$AF$205^A27,IF(A27='Données projet'!$A$62,'Données projet'!$B$62,AI26+AH27-AQ26)))</f>
        <v>99.723076923076917</v>
      </c>
      <c r="AJ27" s="14">
        <f>AI27*VLOOKUP('Données projet'!$B$10,Paramètres!$A$1:$I$89,3,0)*VLOOKUP('Données projet'!$B$10,Paramètres!$A$1:$I$89,5,0)</f>
        <v>59.634400000000007</v>
      </c>
      <c r="AK27" s="14">
        <f t="shared" si="35"/>
        <v>17.075801006767037</v>
      </c>
      <c r="AL27" s="22">
        <f t="shared" si="4"/>
        <v>133.60360008678595</v>
      </c>
      <c r="AM27" s="62">
        <f t="shared" si="5"/>
        <v>419.60360008678595</v>
      </c>
      <c r="AN27" s="62">
        <f ca="1">AVERAGE(OFFSET($AM$3,0,0,'Données projet'!$E$10+1,1))-AVERAGE(OFFSET($H$3,0,0,'Données projet'!$E$10+1,1))</f>
        <v>289.12367833861299</v>
      </c>
      <c r="AO27" s="62">
        <f t="shared" si="36"/>
        <v>229.06617320689003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>
        <f>VLOOKUP(A27,'Données projet'!$A$87:$I$107,2,0)</f>
        <v>168</v>
      </c>
      <c r="BB27" s="13">
        <f>VLOOKUP(A27,'Données projet'!$A$87:$I$107,9,0)</f>
        <v>16</v>
      </c>
      <c r="BC27" s="13">
        <f t="array" ref="BC27">INDEX(BB:BB,MIN(IF(ISNUMBER(BB27:BB223),ROW(BB27:BB223),"")))</f>
        <v>16</v>
      </c>
      <c r="BD27" s="13">
        <f>IF('Données projet'!$A$88&gt;35,BD26+BC27-BL26,IF(A27&lt;'Données projet'!$A$88,$BA$205^A27,IF(A27='Données projet'!$A$88,'Données projet'!$B$88,BD26+BC27-BL26)))</f>
        <v>168</v>
      </c>
      <c r="BE27" s="14">
        <f>BD27*VLOOKUP('Données projet'!$B$11,Paramètres!$A$1:$I$89,3,0)*VLOOKUP('Données projet'!$B$11,Paramètres!$A$1:$I$89,5,0)</f>
        <v>104.83200000000001</v>
      </c>
      <c r="BF27" s="14">
        <f t="shared" si="37"/>
        <v>28.109974371137717</v>
      </c>
      <c r="BG27" s="22">
        <f t="shared" si="7"/>
        <v>231.54060536306486</v>
      </c>
      <c r="BH27" s="62">
        <f t="shared" si="8"/>
        <v>517.54060536306486</v>
      </c>
      <c r="BI27" s="62">
        <f ca="1">AVERAGE(OFFSET($BH$3,0,0,'Données projet'!$E$11+1,1))-AVERAGE(OFFSET($H$3,0,0,'Données projet'!$E$11+1,1))</f>
        <v>240.22884864766218</v>
      </c>
      <c r="BJ27" s="62">
        <f t="shared" si="38"/>
        <v>343.23776884143166</v>
      </c>
      <c r="BK27" s="16">
        <f>IF(ISNA(VLOOKUP(A27,'Données projet'!$A$87:$I$107,3,0)),0,VLOOKUP(A27,'Données projet'!$A$87:$I$107,3,0))</f>
        <v>3</v>
      </c>
      <c r="BL27" s="16">
        <f>IF(ISNA(VLOOKUP(A27,'Données projet'!$A$87:$I$107,4,0)),0,VLOOKUP(A27,'Données projet'!$A$87:$I$107,4,0))</f>
        <v>29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0.12</v>
      </c>
      <c r="BO27" s="17">
        <f>IF(ISNA(VLOOKUP(A27,'Données projet'!$A$87:$I$107,7,0)),0%,VLOOKUP(A27,'Données projet'!$A$87:$I$107,7,0))</f>
        <v>0.4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2.8693189853314944</v>
      </c>
      <c r="BR27" s="23">
        <f>EXP(-LN(2)/2)*BR26+(1-EXP(-LN(2)/2))/(LN(2)/2)*BL27*BO27*VLOOKUP('Données projet'!$B$11,Paramètres!$A$1:$I$89,3,0)*0.475*44/12</f>
        <v>12.325962107909497</v>
      </c>
      <c r="BS27" s="24">
        <f t="shared" si="9"/>
        <v>15.195281093240991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5.6</v>
      </c>
      <c r="BY27" s="13">
        <f>IF('Données projet'!$A$114&gt;35,BY26+BX27-CG26,IF(A27&lt;'Données projet'!$A$114,$BV$205^A27,IF(A27='Données projet'!$A$114,'Données projet'!$B$114,BY26+BX27-CG26)))</f>
        <v>64.400000000000006</v>
      </c>
      <c r="BZ27" s="14">
        <f>BY27*VLOOKUP('Données projet'!$B$12,Paramètres!$A$1:$I$89,3,0)*VLOOKUP('Données projet'!$B$12,Paramètres!$A$1:$I$89,5,0)</f>
        <v>58.269120000000008</v>
      </c>
      <c r="CA27" s="14">
        <f t="shared" si="39"/>
        <v>16.729905486873804</v>
      </c>
      <c r="CB27" s="22">
        <f t="shared" si="10"/>
        <v>130.62330272297189</v>
      </c>
      <c r="CC27" s="62">
        <f t="shared" si="11"/>
        <v>416.62330272297186</v>
      </c>
      <c r="CD27" s="62">
        <f ca="1">AVERAGE(OFFSET($CC$3,0,0,'Données projet'!$E$12+1,1))-AVERAGE(OFFSET($H$3,0,0,'Données projet'!$E$12+1,1))</f>
        <v>428.8489304403459</v>
      </c>
      <c r="CE27" s="62">
        <f t="shared" si="40"/>
        <v>247.01165577562966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12.6</v>
      </c>
      <c r="CT27" s="13">
        <f>IF('Données projet'!$A$140&gt;35,CT26+CS27-DB26,IF(A27&lt;'Données projet'!$A$140,$CQ$205^A27,IF(A27='Données projet'!$A$140,'Données projet'!$B$140,CT26+CS27-DB26)))</f>
        <v>102.39999999999996</v>
      </c>
      <c r="CU27" s="18">
        <f>CT27*VLOOKUP('Données projet'!$B$13,Paramètres!$A$1:$I$89,3,0)*VLOOKUP('Données projet'!$B$13,Paramètres!$A$1:$I$89,5,0)</f>
        <v>81.469439999999977</v>
      </c>
      <c r="CV27" s="14">
        <f t="shared" si="41"/>
        <v>22.496088365195671</v>
      </c>
      <c r="CW27" s="22">
        <f t="shared" si="13"/>
        <v>181.07329523604912</v>
      </c>
      <c r="CX27" s="62">
        <f t="shared" si="14"/>
        <v>467.07329523604915</v>
      </c>
      <c r="CY27" s="62">
        <f ca="1">AVERAGE(OFFSET($CX$3,0,0,'Données projet'!$E$13+1,1))-AVERAGE(OFFSET($H$3,0,0,'Données projet'!$E$13+1,1))</f>
        <v>312.53381881960331</v>
      </c>
      <c r="CZ27" s="62">
        <f t="shared" si="42"/>
        <v>342.06887933351783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12.6</v>
      </c>
      <c r="DO27" s="13">
        <f>IF('Données projet'!$A$166&gt;35,DO26+DN27-DW26,IF(A27&lt;'Données projet'!$A$166,$DL$205^A27,IF(A27='Données projet'!$A$166,'Données projet'!$B$166,DO26+DN27-DW26)))</f>
        <v>102.39999999999996</v>
      </c>
      <c r="DP27" s="18">
        <f>DO27*VLOOKUP('Données projet'!$B$14,Paramètres!$A$1:$I$89,3,0)*VLOOKUP('Données projet'!$B$14,Paramètres!$A$1:$I$89,5,0)</f>
        <v>75.079679999999968</v>
      </c>
      <c r="DQ27" s="14">
        <f t="shared" si="43"/>
        <v>20.929732076759169</v>
      </c>
      <c r="DR27" s="22">
        <f t="shared" si="16"/>
        <v>167.21639270035547</v>
      </c>
      <c r="DS27" s="62">
        <f t="shared" si="17"/>
        <v>453.21639270035547</v>
      </c>
      <c r="DT27" s="62">
        <f ca="1">AVERAGE(OFFSET($DS$3,0,0,'Données projet'!$E$14+1,1))-AVERAGE(OFFSET($H$3,0,0,'Données projet'!$E$14+1,1))</f>
        <v>290.85271051443431</v>
      </c>
      <c r="DU27" s="62">
        <f t="shared" si="44"/>
        <v>318.66958823451142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1.6</v>
      </c>
      <c r="EJ27" s="13">
        <f>IF('Données projet'!$A$192&gt;35,EJ26+EI27-ER26,IF(A27&lt;'Données projet'!$A$192,$EG$205^A27,IF(A27='Données projet'!$A$192,'Données projet'!$B$192,EJ26+EI27-ER26)))</f>
        <v>34.5125931387715</v>
      </c>
      <c r="EK27" s="18">
        <f>EJ27*VLOOKUP('Données projet'!$B$15,Paramètres!$A$1:$I$89,3,0)*VLOOKUP('Données projet'!$B$15,Paramètres!$A$1:$I$89,5,0)</f>
        <v>29.611804913065949</v>
      </c>
      <c r="EL27" s="14">
        <f t="shared" si="45"/>
        <v>9.1989536880527911</v>
      </c>
      <c r="EM27" s="22">
        <f t="shared" si="19"/>
        <v>67.595404563615133</v>
      </c>
      <c r="EN27" s="62">
        <f t="shared" si="20"/>
        <v>353.59540456361515</v>
      </c>
      <c r="EO27" s="62">
        <f ca="1">AVERAGE(OFFSET($EN$3,0,0,'Données projet'!$E$15+1,1))-AVERAGE(OFFSET($H$3,0,0,'Données projet'!$E$15+1,1))</f>
        <v>438.65317358403996</v>
      </c>
      <c r="EP27" s="62">
        <f t="shared" si="46"/>
        <v>176.81257896138806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projet'!$B$15,Paramètres!$A$1:$I$89,3,0)*0.475*44/12</f>
        <v>0</v>
      </c>
      <c r="EW27" s="23">
        <f>EXP(-LN(2)/25)*EW26+(1-EXP(-LN(2)/25))/(LN(2)/25)*Calculateur!ER27*Calculateur!ET27*VLOOKUP('Données projet'!$B$15,Paramètres!$A$1:$I$89,3,0)*0.475*44/12</f>
        <v>0</v>
      </c>
      <c r="EX27" s="23">
        <f>EXP(-LN(2)/2)*EX26+(1-EXP(-LN(2)/2))/(LN(2)/2)*ER27*EU27*VLOOKUP('Données projet'!$B$15,Paramètres!$A$1:$I$89,3,0)*0.475*44/12</f>
        <v>0</v>
      </c>
      <c r="EY27" s="24">
        <f t="shared" si="21"/>
        <v>0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16.687912087912085</v>
      </c>
      <c r="N28" s="14">
        <f>IF('Données projet'!$A$36&gt;35,N27+M28-V27,IF(A28&lt;'Données projet'!$A$36,$K$205^A28,IF(A28='Données projet'!$A$36,'Données projet'!$B$36,N27+M28-V27)))</f>
        <v>185.64395604395605</v>
      </c>
      <c r="O28" s="14">
        <f>N28*VLOOKUP('Données projet'!$B$9,Paramètres!$A$1:$I$89,3,0)*VLOOKUP('Données projet'!$B$9,Paramètres!$A$1:$I$89,5,0)</f>
        <v>103.77497142857143</v>
      </c>
      <c r="P28" s="14">
        <f t="shared" si="33"/>
        <v>27.859383782043167</v>
      </c>
      <c r="Q28" s="22">
        <f t="shared" si="2"/>
        <v>229.2631686584871</v>
      </c>
      <c r="R28" s="62">
        <f t="shared" si="0"/>
        <v>516.48539088070936</v>
      </c>
      <c r="S28" s="62">
        <f ca="1">AVERAGE(OFFSET($R$3,0,0,'Données projet'!$E$9+1,1))-AVERAGE(OFFSET($H$3,0,0,'Données projet'!$E$9+1,1))</f>
        <v>323.98185264074681</v>
      </c>
      <c r="T28" s="62">
        <f t="shared" si="34"/>
        <v>301.22207291854005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4.4482348789537474</v>
      </c>
      <c r="AB28" s="23">
        <f>EXP(-LN(2)/2)*AB27+(1-EXP(-LN(2)/2))/(LN(2)/2)*V28*Y28*VLOOKUP('Données projet'!$B$9,Paramètres!$A$1:$I$89,3,0)*0.475*44/12</f>
        <v>3.8715098288700975</v>
      </c>
      <c r="AC28" s="24">
        <f t="shared" si="3"/>
        <v>8.319744707823844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13.664102564102569</v>
      </c>
      <c r="AI28" s="14">
        <f>IF('Données projet'!$A$62&gt;35,AI27+AH28-AQ27,IF(A28&lt;'Données projet'!$A$62,$AF$205^A28,IF(A28='Données projet'!$A$62,'Données projet'!$B$62,AI27+AH28-AQ27)))</f>
        <v>113.38717948717948</v>
      </c>
      <c r="AJ28" s="14">
        <f>AI28*VLOOKUP('Données projet'!$B$10,Paramètres!$A$1:$I$89,3,0)*VLOOKUP('Données projet'!$B$10,Paramètres!$A$1:$I$89,5,0)</f>
        <v>67.805533333333329</v>
      </c>
      <c r="AK28" s="14">
        <f t="shared" si="35"/>
        <v>19.12748805046628</v>
      </c>
      <c r="AL28" s="22">
        <f t="shared" si="4"/>
        <v>151.40834557678431</v>
      </c>
      <c r="AM28" s="62">
        <f t="shared" si="5"/>
        <v>438.63056779900654</v>
      </c>
      <c r="AN28" s="62">
        <f ca="1">AVERAGE(OFFSET($AM$3,0,0,'Données projet'!$E$10+1,1))-AVERAGE(OFFSET($H$3,0,0,'Données projet'!$E$10+1,1))</f>
        <v>289.12367833861299</v>
      </c>
      <c r="AO28" s="62">
        <f t="shared" si="36"/>
        <v>229.06617320689003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14.166666666666666</v>
      </c>
      <c r="BD28" s="13">
        <f>IF('Données projet'!$A$88&gt;35,BD27+BC28-BL27,IF(A28&lt;'Données projet'!$A$88,$BA$205^A28,IF(A28='Données projet'!$A$88,'Données projet'!$B$88,BD27+BC28-BL27)))</f>
        <v>153.16666666666666</v>
      </c>
      <c r="BE28" s="14">
        <f>BD28*VLOOKUP('Données projet'!$B$11,Paramètres!$A$1:$I$89,3,0)*VLOOKUP('Données projet'!$B$11,Paramètres!$A$1:$I$89,5,0)</f>
        <v>95.575999999999993</v>
      </c>
      <c r="BF28" s="14">
        <f t="shared" si="37"/>
        <v>25.905281107545633</v>
      </c>
      <c r="BG28" s="22">
        <f t="shared" si="7"/>
        <v>211.57989792897527</v>
      </c>
      <c r="BH28" s="62">
        <f t="shared" si="8"/>
        <v>498.80212015119753</v>
      </c>
      <c r="BI28" s="62">
        <f ca="1">AVERAGE(OFFSET($BH$3,0,0,'Données projet'!$E$11+1,1))-AVERAGE(OFFSET($H$3,0,0,'Données projet'!$E$11+1,1))</f>
        <v>240.22884864766218</v>
      </c>
      <c r="BJ28" s="62">
        <f t="shared" si="38"/>
        <v>343.23776884143166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2.7908573067866773</v>
      </c>
      <c r="BR28" s="23">
        <f>EXP(-LN(2)/2)*BR27+(1-EXP(-LN(2)/2))/(LN(2)/2)*BL28*BO28*VLOOKUP('Données projet'!$B$11,Paramètres!$A$1:$I$89,3,0)*0.475*44/12</f>
        <v>8.7157713911512378</v>
      </c>
      <c r="BS28" s="24">
        <f t="shared" si="9"/>
        <v>11.506628697937915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70</v>
      </c>
      <c r="BW28" s="13">
        <f>VLOOKUP(A28,'Données projet'!$A$113:$I$133,9,0)</f>
        <v>5.6</v>
      </c>
      <c r="BX28" s="13">
        <f t="array" ref="BX28">INDEX(BW:BW,MIN(IF(ISNUMBER(BW28:BW224),ROW(BW28:BW224),"")))</f>
        <v>5.6</v>
      </c>
      <c r="BY28" s="13">
        <f>IF('Données projet'!$A$114&gt;35,BY27+BX28-CG27,IF(A28&lt;'Données projet'!$A$114,$BV$205^A28,IF(A28='Données projet'!$A$114,'Données projet'!$B$114,BY27+BX28-CG27)))</f>
        <v>70</v>
      </c>
      <c r="BZ28" s="14">
        <f>BY28*VLOOKUP('Données projet'!$B$12,Paramètres!$A$1:$I$89,3,0)*VLOOKUP('Données projet'!$B$12,Paramètres!$A$1:$I$89,5,0)</f>
        <v>63.335999999999991</v>
      </c>
      <c r="CA28" s="14">
        <f t="shared" si="39"/>
        <v>18.009040022946227</v>
      </c>
      <c r="CB28" s="22">
        <f t="shared" si="10"/>
        <v>141.67594470663133</v>
      </c>
      <c r="CC28" s="62">
        <f t="shared" si="11"/>
        <v>428.89816692885358</v>
      </c>
      <c r="CD28" s="62">
        <f ca="1">AVERAGE(OFFSET($CC$3,0,0,'Données projet'!$E$12+1,1))-AVERAGE(OFFSET($H$3,0,0,'Données projet'!$E$12+1,1))</f>
        <v>428.8489304403459</v>
      </c>
      <c r="CE28" s="62">
        <f t="shared" si="40"/>
        <v>247.01165577562966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115</v>
      </c>
      <c r="CR28" s="13">
        <f>VLOOKUP(A28,'Données projet'!$A$139:$I$159,9,0)</f>
        <v>12.6</v>
      </c>
      <c r="CS28" s="13">
        <f t="array" ref="CS28">INDEX(CR:CR,MIN(IF(ISNUMBER(CR28:CR224),ROW(CR28:CR224),"")))</f>
        <v>12.6</v>
      </c>
      <c r="CT28" s="13">
        <f>IF('Données projet'!$A$140&gt;35,CT27+CS28-DB27,IF(A28&lt;'Données projet'!$A$140,$CQ$205^A28,IF(A28='Données projet'!$A$140,'Données projet'!$B$140,CT27+CS28-DB27)))</f>
        <v>114.99999999999996</v>
      </c>
      <c r="CU28" s="18">
        <f>CT28*VLOOKUP('Données projet'!$B$13,Paramètres!$A$1:$I$89,3,0)*VLOOKUP('Données projet'!$B$13,Paramètres!$A$1:$I$89,5,0)</f>
        <v>91.493999999999971</v>
      </c>
      <c r="CV28" s="14">
        <f t="shared" si="41"/>
        <v>24.925195840896517</v>
      </c>
      <c r="CW28" s="22">
        <f t="shared" si="13"/>
        <v>202.76343275622807</v>
      </c>
      <c r="CX28" s="62">
        <f t="shared" si="14"/>
        <v>489.98565497845027</v>
      </c>
      <c r="CY28" s="62">
        <f ca="1">AVERAGE(OFFSET($CX$3,0,0,'Données projet'!$E$13+1,1))-AVERAGE(OFFSET($H$3,0,0,'Données projet'!$E$13+1,1))</f>
        <v>312.53381881960331</v>
      </c>
      <c r="CZ28" s="62">
        <f t="shared" si="42"/>
        <v>342.06887933351783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projet'!$A$165:$I$185,2,0)</f>
        <v>115</v>
      </c>
      <c r="DM28" s="13">
        <f>VLOOKUP(A28,'Données projet'!$A$165:$I$185,9,0)</f>
        <v>12.6</v>
      </c>
      <c r="DN28" s="13">
        <f t="array" ref="DN28">INDEX(DM:DM,MIN(IF(ISNUMBER(DM28:DM224),ROW(DM28:DM224),"")))</f>
        <v>12.6</v>
      </c>
      <c r="DO28" s="13">
        <f>IF('Données projet'!$A$166&gt;35,DO27+DN28-DW27,IF(A28&lt;'Données projet'!$A$166,$DL$205^A28,IF(A28='Données projet'!$A$166,'Données projet'!$B$166,DO27+DN28-DW27)))</f>
        <v>114.99999999999996</v>
      </c>
      <c r="DP28" s="18">
        <f>DO28*VLOOKUP('Données projet'!$B$14,Paramètres!$A$1:$I$89,3,0)*VLOOKUP('Données projet'!$B$14,Paramètres!$A$1:$I$89,5,0)</f>
        <v>84.317999999999969</v>
      </c>
      <c r="DQ28" s="14">
        <f t="shared" si="43"/>
        <v>23.189705803157239</v>
      </c>
      <c r="DR28" s="22">
        <f t="shared" si="16"/>
        <v>187.24258760716546</v>
      </c>
      <c r="DS28" s="62">
        <f t="shared" si="17"/>
        <v>474.46480982938772</v>
      </c>
      <c r="DT28" s="62">
        <f ca="1">AVERAGE(OFFSET($DS$3,0,0,'Données projet'!$E$14+1,1))-AVERAGE(OFFSET($H$3,0,0,'Données projet'!$E$14+1,1))</f>
        <v>290.85271051443431</v>
      </c>
      <c r="DU28" s="62">
        <f t="shared" si="44"/>
        <v>318.66958823451142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>
        <f>VLOOKUP(A28,'Données projet'!$A$191:$I$211,2,0)</f>
        <v>40</v>
      </c>
      <c r="EH28" s="13">
        <f>VLOOKUP(A28,'Données projet'!$A$191:$I$211,9,0)</f>
        <v>1.6</v>
      </c>
      <c r="EI28" s="13">
        <f t="array" ref="EI28">INDEX(EH:EH,MIN(IF(ISNUMBER(EH28:EH224),ROW(EH28:EH224),"")))</f>
        <v>1.6</v>
      </c>
      <c r="EJ28" s="13">
        <f>IF('Données projet'!$A$192&gt;35,EJ27+EI28-ER27,IF(A28&lt;'Données projet'!$A$192,$EG$205^A28,IF(A28='Données projet'!$A$192,'Données projet'!$B$192,EJ27+EI28-ER27)))</f>
        <v>40</v>
      </c>
      <c r="EK28" s="18">
        <f>EJ28*VLOOKUP('Données projet'!$B$15,Paramètres!$A$1:$I$89,3,0)*VLOOKUP('Données projet'!$B$15,Paramètres!$A$1:$I$89,5,0)</f>
        <v>34.32</v>
      </c>
      <c r="EL28" s="14">
        <f t="shared" si="45"/>
        <v>10.480008641404153</v>
      </c>
      <c r="EM28" s="22">
        <f t="shared" si="19"/>
        <v>78.026681717112226</v>
      </c>
      <c r="EN28" s="62">
        <f t="shared" si="20"/>
        <v>365.24890393933447</v>
      </c>
      <c r="EO28" s="62">
        <f ca="1">AVERAGE(OFFSET($EN$3,0,0,'Données projet'!$E$15+1,1))-AVERAGE(OFFSET($H$3,0,0,'Données projet'!$E$15+1,1))</f>
        <v>438.65317358403996</v>
      </c>
      <c r="EP28" s="62">
        <f t="shared" si="46"/>
        <v>176.81257896138806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projet'!$B$15,Paramètres!$A$1:$I$89,3,0)*0.475*44/12</f>
        <v>0</v>
      </c>
      <c r="EW28" s="23">
        <f>EXP(-LN(2)/25)*EW27+(1-EXP(-LN(2)/25))/(LN(2)/25)*Calculateur!ER28*Calculateur!ET28*VLOOKUP('Données projet'!$B$15,Paramètres!$A$1:$I$89,3,0)*0.475*44/12</f>
        <v>0</v>
      </c>
      <c r="EX28" s="23">
        <f>EXP(-LN(2)/2)*EX27+(1-EXP(-LN(2)/2))/(LN(2)/2)*ER28*EU28*VLOOKUP('Données projet'!$B$15,Paramètres!$A$1:$I$89,3,0)*0.475*44/12</f>
        <v>0</v>
      </c>
      <c r="EY28" s="24">
        <f t="shared" si="21"/>
        <v>0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16.687912087912085</v>
      </c>
      <c r="N29" s="14">
        <f>IF('Données projet'!$A$36&gt;35,N28+M29-V28,IF(A29&lt;'Données projet'!$A$36,$K$205^A29,IF(A29='Données projet'!$A$36,'Données projet'!$B$36,N28+M29-V28)))</f>
        <v>202.33186813186813</v>
      </c>
      <c r="O29" s="14">
        <f>N29*VLOOKUP('Données projet'!$B$9,Paramètres!$A$1:$I$89,3,0)*VLOOKUP('Données projet'!$B$9,Paramètres!$A$1:$I$89,5,0)</f>
        <v>113.1035142857143</v>
      </c>
      <c r="P29" s="14">
        <f t="shared" si="33"/>
        <v>30.061008485627202</v>
      </c>
      <c r="Q29" s="22">
        <f t="shared" si="2"/>
        <v>249.34487716008644</v>
      </c>
      <c r="R29" s="62">
        <f t="shared" si="0"/>
        <v>537.78932160453087</v>
      </c>
      <c r="S29" s="62">
        <f ca="1">AVERAGE(OFFSET($R$3,0,0,'Données projet'!$E$9+1,1))-AVERAGE(OFFSET($H$3,0,0,'Données projet'!$E$9+1,1))</f>
        <v>323.98185264074681</v>
      </c>
      <c r="T29" s="62">
        <f t="shared" si="34"/>
        <v>301.22207291854005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4.3265976622662512</v>
      </c>
      <c r="AB29" s="23">
        <f>EXP(-LN(2)/2)*AB28+(1-EXP(-LN(2)/2))/(LN(2)/2)*V29*Y29*VLOOKUP('Données projet'!$B$9,Paramètres!$A$1:$I$89,3,0)*0.475*44/12</f>
        <v>2.7375708534244163</v>
      </c>
      <c r="AC29" s="24">
        <f t="shared" si="3"/>
        <v>7.0641685156906675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13.664102564102569</v>
      </c>
      <c r="AI29" s="14">
        <f>IF('Données projet'!$A$62&gt;35,AI28+AH29-AQ28,IF(A29&lt;'Données projet'!$A$62,$AF$205^A29,IF(A29='Données projet'!$A$62,'Données projet'!$B$62,AI28+AH29-AQ28)))</f>
        <v>127.05128205128204</v>
      </c>
      <c r="AJ29" s="14">
        <f>AI29*VLOOKUP('Données projet'!$B$10,Paramètres!$A$1:$I$89,3,0)*VLOOKUP('Données projet'!$B$10,Paramètres!$A$1:$I$89,5,0)</f>
        <v>75.976666666666659</v>
      </c>
      <c r="AK29" s="14">
        <f t="shared" si="35"/>
        <v>21.150523503463145</v>
      </c>
      <c r="AL29" s="22">
        <f t="shared" si="4"/>
        <v>169.16318954630938</v>
      </c>
      <c r="AM29" s="62">
        <f t="shared" si="5"/>
        <v>457.60763399075381</v>
      </c>
      <c r="AN29" s="62">
        <f ca="1">AVERAGE(OFFSET($AM$3,0,0,'Données projet'!$E$10+1,1))-AVERAGE(OFFSET($H$3,0,0,'Données projet'!$E$10+1,1))</f>
        <v>289.12367833861299</v>
      </c>
      <c r="AO29" s="62">
        <f t="shared" si="36"/>
        <v>229.06617320689003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14.166666666666666</v>
      </c>
      <c r="BD29" s="13">
        <f>IF('Données projet'!$A$88&gt;35,BD28+BC29-BL28,IF(A29&lt;'Données projet'!$A$88,$BA$205^A29,IF(A29='Données projet'!$A$88,'Données projet'!$B$88,BD28+BC29-BL28)))</f>
        <v>167.33333333333331</v>
      </c>
      <c r="BE29" s="14">
        <f>BD29*VLOOKUP('Données projet'!$B$11,Paramètres!$A$1:$I$89,3,0)*VLOOKUP('Données projet'!$B$11,Paramètres!$A$1:$I$89,5,0)</f>
        <v>104.416</v>
      </c>
      <c r="BF29" s="14">
        <f t="shared" si="37"/>
        <v>28.01138818767625</v>
      </c>
      <c r="BG29" s="22">
        <f t="shared" si="7"/>
        <v>230.64436776020281</v>
      </c>
      <c r="BH29" s="62">
        <f t="shared" si="8"/>
        <v>519.0888122046473</v>
      </c>
      <c r="BI29" s="62">
        <f ca="1">AVERAGE(OFFSET($BH$3,0,0,'Données projet'!$E$11+1,1))-AVERAGE(OFFSET($H$3,0,0,'Données projet'!$E$11+1,1))</f>
        <v>240.22884864766218</v>
      </c>
      <c r="BJ29" s="62">
        <f t="shared" si="38"/>
        <v>343.23776884143166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2.7145411669677886</v>
      </c>
      <c r="BR29" s="23">
        <f>EXP(-LN(2)/2)*BR28+(1-EXP(-LN(2)/2))/(LN(2)/2)*BL29*BO29*VLOOKUP('Données projet'!$B$11,Paramètres!$A$1:$I$89,3,0)*0.475*44/12</f>
        <v>6.1629810539547494</v>
      </c>
      <c r="BS29" s="24">
        <f t="shared" si="9"/>
        <v>8.877522220922538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7</v>
      </c>
      <c r="BY29" s="13">
        <f>IF('Données projet'!$A$114&gt;35,BY28+BX29-CG28,IF(A29&lt;'Données projet'!$A$114,$BV$205^A29,IF(A29='Données projet'!$A$114,'Données projet'!$B$114,BY28+BX29-CG28)))</f>
        <v>77</v>
      </c>
      <c r="BZ29" s="14">
        <f>BY29*VLOOKUP('Données projet'!$B$12,Paramètres!$A$1:$I$89,3,0)*VLOOKUP('Données projet'!$B$12,Paramètres!$A$1:$I$89,5,0)</f>
        <v>69.669600000000003</v>
      </c>
      <c r="CA29" s="14">
        <f t="shared" si="39"/>
        <v>19.591385027476957</v>
      </c>
      <c r="CB29" s="22">
        <f t="shared" si="10"/>
        <v>155.46288225618903</v>
      </c>
      <c r="CC29" s="62">
        <f t="shared" si="11"/>
        <v>443.90732670063346</v>
      </c>
      <c r="CD29" s="62">
        <f ca="1">AVERAGE(OFFSET($CC$3,0,0,'Données projet'!$E$12+1,1))-AVERAGE(OFFSET($H$3,0,0,'Données projet'!$E$12+1,1))</f>
        <v>428.8489304403459</v>
      </c>
      <c r="CE29" s="62">
        <f t="shared" si="40"/>
        <v>247.01165577562966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12</v>
      </c>
      <c r="CT29" s="13">
        <f>IF('Données projet'!$A$140&gt;35,CT28+CS29-DB28,IF(A29&lt;'Données projet'!$A$140,$CQ$205^A29,IF(A29='Données projet'!$A$140,'Données projet'!$B$140,CT28+CS29-DB28)))</f>
        <v>126.99999999999996</v>
      </c>
      <c r="CU29" s="18">
        <f>CT29*VLOOKUP('Données projet'!$B$13,Paramètres!$A$1:$I$89,3,0)*VLOOKUP('Données projet'!$B$13,Paramètres!$A$1:$I$89,5,0)</f>
        <v>101.04119999999998</v>
      </c>
      <c r="CV29" s="14">
        <f t="shared" si="41"/>
        <v>27.209899355903595</v>
      </c>
      <c r="CW29" s="22">
        <f t="shared" si="13"/>
        <v>223.37066471153204</v>
      </c>
      <c r="CX29" s="62">
        <f t="shared" si="14"/>
        <v>511.81510915597653</v>
      </c>
      <c r="CY29" s="62">
        <f ca="1">AVERAGE(OFFSET($CX$3,0,0,'Données projet'!$E$13+1,1))-AVERAGE(OFFSET($H$3,0,0,'Données projet'!$E$13+1,1))</f>
        <v>312.53381881960331</v>
      </c>
      <c r="CZ29" s="62">
        <f t="shared" si="42"/>
        <v>342.06887933351783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12</v>
      </c>
      <c r="DO29" s="13">
        <f>IF('Données projet'!$A$166&gt;35,DO28+DN29-DW28,IF(A29&lt;'Données projet'!$A$166,$DL$205^A29,IF(A29='Données projet'!$A$166,'Données projet'!$B$166,DO28+DN29-DW28)))</f>
        <v>126.99999999999996</v>
      </c>
      <c r="DP29" s="18">
        <f>DO29*VLOOKUP('Données projet'!$B$14,Paramètres!$A$1:$I$89,3,0)*VLOOKUP('Données projet'!$B$14,Paramètres!$A$1:$I$89,5,0)</f>
        <v>93.11639999999997</v>
      </c>
      <c r="DQ29" s="14">
        <f t="shared" si="43"/>
        <v>25.315330119156503</v>
      </c>
      <c r="DR29" s="22">
        <f t="shared" si="16"/>
        <v>206.2685966241975</v>
      </c>
      <c r="DS29" s="62">
        <f t="shared" si="17"/>
        <v>494.71304106864193</v>
      </c>
      <c r="DT29" s="62">
        <f ca="1">AVERAGE(OFFSET($DS$3,0,0,'Données projet'!$E$14+1,1))-AVERAGE(OFFSET($H$3,0,0,'Données projet'!$E$14+1,1))</f>
        <v>290.85271051443431</v>
      </c>
      <c r="DU29" s="62">
        <f t="shared" si="44"/>
        <v>318.66958823451142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6.6</v>
      </c>
      <c r="EJ29" s="13">
        <f>IF('Données projet'!$A$192&gt;35,EJ28+EI29-ER28,IF(A29&lt;'Données projet'!$A$192,$EG$205^A29,IF(A29='Données projet'!$A$192,'Données projet'!$B$192,EJ28+EI29-ER28)))</f>
        <v>46.6</v>
      </c>
      <c r="EK29" s="18">
        <f>EJ29*VLOOKUP('Données projet'!$B$15,Paramètres!$A$1:$I$89,3,0)*VLOOKUP('Données projet'!$B$15,Paramètres!$A$1:$I$89,5,0)</f>
        <v>39.982800000000005</v>
      </c>
      <c r="EL29" s="14">
        <f t="shared" si="45"/>
        <v>11.994087930693277</v>
      </c>
      <c r="EM29" s="22">
        <f t="shared" si="19"/>
        <v>90.526413145957463</v>
      </c>
      <c r="EN29" s="62">
        <f t="shared" si="20"/>
        <v>378.97085759040192</v>
      </c>
      <c r="EO29" s="62">
        <f ca="1">AVERAGE(OFFSET($EN$3,0,0,'Données projet'!$E$15+1,1))-AVERAGE(OFFSET($H$3,0,0,'Données projet'!$E$15+1,1))</f>
        <v>438.65317358403996</v>
      </c>
      <c r="EP29" s="62">
        <f t="shared" si="46"/>
        <v>176.81257896138806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0</v>
      </c>
      <c r="EW29" s="23">
        <f>EXP(-LN(2)/25)*EW28+(1-EXP(-LN(2)/25))/(LN(2)/25)*Calculateur!ER29*Calculateur!ET29*VLOOKUP('Données projet'!$B$15,Paramètres!$A$1:$I$89,3,0)*0.475*44/12</f>
        <v>0</v>
      </c>
      <c r="EX29" s="23">
        <f>EXP(-LN(2)/2)*EX28+(1-EXP(-LN(2)/2))/(LN(2)/2)*ER29*EU29*VLOOKUP('Données projet'!$B$15,Paramètres!$A$1:$I$89,3,0)*0.475*44/12</f>
        <v>0</v>
      </c>
      <c r="EY29" s="24">
        <f t="shared" si="21"/>
        <v>0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16.687912087912085</v>
      </c>
      <c r="N30" s="14">
        <f>IF('Données projet'!$A$36&gt;35,N29+M30-V29,IF(A30&lt;'Données projet'!$A$36,$K$205^A30,IF(A30='Données projet'!$A$36,'Données projet'!$B$36,N29+M30-V29)))</f>
        <v>219.01978021978022</v>
      </c>
      <c r="O30" s="14">
        <f>N30*VLOOKUP('Données projet'!$B$9,Paramètres!$A$1:$I$89,3,0)*VLOOKUP('Données projet'!$B$9,Paramètres!$A$1:$I$89,5,0)</f>
        <v>122.43205714285713</v>
      </c>
      <c r="P30" s="14">
        <f t="shared" si="33"/>
        <v>32.241572593058322</v>
      </c>
      <c r="Q30" s="22">
        <f t="shared" si="2"/>
        <v>269.38990512338609</v>
      </c>
      <c r="R30" s="62">
        <f t="shared" si="0"/>
        <v>559.05657179005277</v>
      </c>
      <c r="S30" s="62">
        <f ca="1">AVERAGE(OFFSET($R$3,0,0,'Données projet'!$E$9+1,1))-AVERAGE(OFFSET($H$3,0,0,'Données projet'!$E$9+1,1))</f>
        <v>323.98185264074681</v>
      </c>
      <c r="T30" s="62">
        <f t="shared" si="34"/>
        <v>301.22207291854005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4.2082866216656978</v>
      </c>
      <c r="AB30" s="23">
        <f>EXP(-LN(2)/2)*AB29+(1-EXP(-LN(2)/2))/(LN(2)/2)*V30*Y30*VLOOKUP('Données projet'!$B$9,Paramètres!$A$1:$I$89,3,0)*0.475*44/12</f>
        <v>1.935754914435049</v>
      </c>
      <c r="AC30" s="24">
        <f t="shared" si="3"/>
        <v>6.1440415361007465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>
        <f>VLOOKUP(A30,'Données projet'!$A$61:$I$81,2,0)</f>
        <v>140.71538461538461</v>
      </c>
      <c r="AG30" s="13">
        <f>VLOOKUP(A30,'Données projet'!$A$61:$I$81,9,0)</f>
        <v>13.664102564102569</v>
      </c>
      <c r="AH30" s="13">
        <f t="array" ref="AH30">INDEX(AG:AG,MIN(IF(ISNUMBER(AG30:AG226),ROW(AG30:AG226),"")))</f>
        <v>13.664102564102569</v>
      </c>
      <c r="AI30" s="14">
        <f>IF('Données projet'!$A$62&gt;35,AI29+AH30-AQ29,IF(A30&lt;'Données projet'!$A$62,$AF$205^A30,IF(A30='Données projet'!$A$62,'Données projet'!$B$62,AI29+AH30-AQ29)))</f>
        <v>140.71538461538461</v>
      </c>
      <c r="AJ30" s="14">
        <f>AI30*VLOOKUP('Données projet'!$B$10,Paramètres!$A$1:$I$89,3,0)*VLOOKUP('Données projet'!$B$10,Paramètres!$A$1:$I$89,5,0)</f>
        <v>84.147799999999989</v>
      </c>
      <c r="AK30" s="14">
        <f t="shared" si="35"/>
        <v>23.148340019013887</v>
      </c>
      <c r="AL30" s="22">
        <f t="shared" si="4"/>
        <v>186.87411053311584</v>
      </c>
      <c r="AM30" s="62">
        <f t="shared" si="5"/>
        <v>476.5407771997825</v>
      </c>
      <c r="AN30" s="62">
        <f ca="1">AVERAGE(OFFSET($AM$3,0,0,'Données projet'!$E$10+1,1))-AVERAGE(OFFSET($H$3,0,0,'Données projet'!$E$10+1,1))</f>
        <v>289.12367833861299</v>
      </c>
      <c r="AO30" s="62">
        <f t="shared" si="36"/>
        <v>229.06617320689003</v>
      </c>
      <c r="AP30" s="16">
        <f>IF(ISNA(VLOOKUP(A30,'Données projet'!$A$61:$I$81,3,0)),0,VLOOKUP(A30,'Données projet'!$A$61:$I$81,3,0))</f>
        <v>2</v>
      </c>
      <c r="AQ30" s="16">
        <f>IF(ISNA(VLOOKUP(A30,'Données projet'!$A$61:$I$81,4,0)),0,VLOOKUP(A30,'Données projet'!$A$61:$I$81,4,0))</f>
        <v>34.646153846153844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0.5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11.729020816536163</v>
      </c>
      <c r="AX30" s="23">
        <f t="shared" si="6"/>
        <v>11.729020816536163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14.166666666666666</v>
      </c>
      <c r="BD30" s="13">
        <f>IF('Données projet'!$A$88&gt;35,BD29+BC30-BL29,IF(A30&lt;'Données projet'!$A$88,$BA$205^A30,IF(A30='Données projet'!$A$88,'Données projet'!$B$88,BD29+BC30-BL29)))</f>
        <v>181.49999999999997</v>
      </c>
      <c r="BE30" s="14">
        <f>BD30*VLOOKUP('Données projet'!$B$11,Paramètres!$A$1:$I$89,3,0)*VLOOKUP('Données projet'!$B$11,Paramètres!$A$1:$I$89,5,0)</f>
        <v>113.25599999999997</v>
      </c>
      <c r="BF30" s="14">
        <f t="shared" si="37"/>
        <v>30.096816336106439</v>
      </c>
      <c r="BG30" s="22">
        <f t="shared" si="7"/>
        <v>249.67282178538531</v>
      </c>
      <c r="BH30" s="62">
        <f t="shared" si="8"/>
        <v>539.33948845205202</v>
      </c>
      <c r="BI30" s="62">
        <f ca="1">AVERAGE(OFFSET($BH$3,0,0,'Données projet'!$E$11+1,1))-AVERAGE(OFFSET($H$3,0,0,'Données projet'!$E$11+1,1))</f>
        <v>240.22884864766218</v>
      </c>
      <c r="BJ30" s="62">
        <f t="shared" si="38"/>
        <v>343.23776884143166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2.6403118960055387</v>
      </c>
      <c r="BR30" s="23">
        <f>EXP(-LN(2)/2)*BR29+(1-EXP(-LN(2)/2))/(LN(2)/2)*BL30*BO30*VLOOKUP('Données projet'!$B$11,Paramètres!$A$1:$I$89,3,0)*0.475*44/12</f>
        <v>4.3578856955756189</v>
      </c>
      <c r="BS30" s="24">
        <f t="shared" si="9"/>
        <v>6.9981975915811576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7</v>
      </c>
      <c r="BY30" s="13">
        <f>IF('Données projet'!$A$114&gt;35,BY29+BX30-CG29,IF(A30&lt;'Données projet'!$A$114,$BV$205^A30,IF(A30='Données projet'!$A$114,'Données projet'!$B$114,BY29+BX30-CG29)))</f>
        <v>84</v>
      </c>
      <c r="BZ30" s="14">
        <f>BY30*VLOOKUP('Données projet'!$B$12,Paramètres!$A$1:$I$89,3,0)*VLOOKUP('Données projet'!$B$12,Paramètres!$A$1:$I$89,5,0)</f>
        <v>76.003200000000007</v>
      </c>
      <c r="CA30" s="14">
        <f t="shared" si="39"/>
        <v>21.157049992000456</v>
      </c>
      <c r="CB30" s="22">
        <f t="shared" si="10"/>
        <v>169.22076873606747</v>
      </c>
      <c r="CC30" s="62">
        <f t="shared" si="11"/>
        <v>458.88743540273413</v>
      </c>
      <c r="CD30" s="62">
        <f ca="1">AVERAGE(OFFSET($CC$3,0,0,'Données projet'!$E$12+1,1))-AVERAGE(OFFSET($H$3,0,0,'Données projet'!$E$12+1,1))</f>
        <v>428.8489304403459</v>
      </c>
      <c r="CE30" s="62">
        <f t="shared" si="40"/>
        <v>247.01165577562966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12</v>
      </c>
      <c r="CT30" s="13">
        <f>IF('Données projet'!$A$140&gt;35,CT29+CS30-DB29,IF(A30&lt;'Données projet'!$A$140,$CQ$205^A30,IF(A30='Données projet'!$A$140,'Données projet'!$B$140,CT29+CS30-DB29)))</f>
        <v>138.99999999999994</v>
      </c>
      <c r="CU30" s="18">
        <f>CT30*VLOOKUP('Données projet'!$B$13,Paramètres!$A$1:$I$89,3,0)*VLOOKUP('Données projet'!$B$13,Paramètres!$A$1:$I$89,5,0)</f>
        <v>110.58839999999996</v>
      </c>
      <c r="CV30" s="14">
        <f t="shared" si="41"/>
        <v>29.469573129181644</v>
      </c>
      <c r="CW30" s="22">
        <f t="shared" si="13"/>
        <v>243.93430319999132</v>
      </c>
      <c r="CX30" s="62">
        <f t="shared" si="14"/>
        <v>533.60096986665803</v>
      </c>
      <c r="CY30" s="62">
        <f ca="1">AVERAGE(OFFSET($CX$3,0,0,'Données projet'!$E$13+1,1))-AVERAGE(OFFSET($H$3,0,0,'Données projet'!$E$13+1,1))</f>
        <v>312.53381881960331</v>
      </c>
      <c r="CZ30" s="62">
        <f t="shared" si="42"/>
        <v>342.06887933351783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12</v>
      </c>
      <c r="DO30" s="13">
        <f>IF('Données projet'!$A$166&gt;35,DO29+DN30-DW29,IF(A30&lt;'Données projet'!$A$166,$DL$205^A30,IF(A30='Données projet'!$A$166,'Données projet'!$B$166,DO29+DN30-DW29)))</f>
        <v>138.99999999999994</v>
      </c>
      <c r="DP30" s="18">
        <f>DO30*VLOOKUP('Données projet'!$B$14,Paramètres!$A$1:$I$89,3,0)*VLOOKUP('Données projet'!$B$14,Paramètres!$A$1:$I$89,5,0)</f>
        <v>101.91479999999996</v>
      </c>
      <c r="DQ30" s="14">
        <f t="shared" si="43"/>
        <v>27.417667462779292</v>
      </c>
      <c r="DR30" s="22">
        <f t="shared" si="16"/>
        <v>225.25404749767384</v>
      </c>
      <c r="DS30" s="62">
        <f t="shared" si="17"/>
        <v>514.92071416434055</v>
      </c>
      <c r="DT30" s="62">
        <f ca="1">AVERAGE(OFFSET($DS$3,0,0,'Données projet'!$E$14+1,1))-AVERAGE(OFFSET($H$3,0,0,'Données projet'!$E$14+1,1))</f>
        <v>290.85271051443431</v>
      </c>
      <c r="DU30" s="62">
        <f t="shared" si="44"/>
        <v>318.66958823451142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6.6</v>
      </c>
      <c r="EJ30" s="13">
        <f>IF('Données projet'!$A$192&gt;35,EJ29+EI30-ER29,IF(A30&lt;'Données projet'!$A$192,$EG$205^A30,IF(A30='Données projet'!$A$192,'Données projet'!$B$192,EJ29+EI30-ER29)))</f>
        <v>53.2</v>
      </c>
      <c r="EK30" s="18">
        <f>EJ30*VLOOKUP('Données projet'!$B$15,Paramètres!$A$1:$I$89,3,0)*VLOOKUP('Données projet'!$B$15,Paramètres!$A$1:$I$89,5,0)</f>
        <v>45.645600000000009</v>
      </c>
      <c r="EL30" s="14">
        <f t="shared" si="45"/>
        <v>13.483323382303894</v>
      </c>
      <c r="EM30" s="22">
        <f t="shared" si="19"/>
        <v>102.98287489084596</v>
      </c>
      <c r="EN30" s="62">
        <f t="shared" si="20"/>
        <v>392.64954155751263</v>
      </c>
      <c r="EO30" s="62">
        <f ca="1">AVERAGE(OFFSET($EN$3,0,0,'Données projet'!$E$15+1,1))-AVERAGE(OFFSET($H$3,0,0,'Données projet'!$E$15+1,1))</f>
        <v>438.65317358403996</v>
      </c>
      <c r="EP30" s="62">
        <f t="shared" si="46"/>
        <v>176.81257896138806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projet'!$B$15,Paramètres!$A$1:$I$89,3,0)*0.475*44/12</f>
        <v>0</v>
      </c>
      <c r="EW30" s="23">
        <f>EXP(-LN(2)/25)*EW29+(1-EXP(-LN(2)/25))/(LN(2)/25)*Calculateur!ER30*Calculateur!ET30*VLOOKUP('Données projet'!$B$15,Paramètres!$A$1:$I$89,3,0)*0.475*44/12</f>
        <v>0</v>
      </c>
      <c r="EX30" s="23">
        <f>EXP(-LN(2)/2)*EX29+(1-EXP(-LN(2)/2))/(LN(2)/2)*ER30*EU30*VLOOKUP('Données projet'!$B$15,Paramètres!$A$1:$I$89,3,0)*0.475*44/12</f>
        <v>0</v>
      </c>
      <c r="EY30" s="24">
        <f t="shared" si="21"/>
        <v>0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>
        <f>VLOOKUP(A31,'Données projet'!$A$35:$I$55,2,0)</f>
        <v>235.7076923076923</v>
      </c>
      <c r="L31" s="13">
        <f>VLOOKUP(A31,'Données projet'!$A$35:$I$55,9,0)</f>
        <v>16.687912087912085</v>
      </c>
      <c r="M31" s="13">
        <f t="array" ref="M31">INDEX(L:L,MIN(IF(ISNUMBER(L31:L227),ROW(L31:L227),"")))</f>
        <v>16.687912087912085</v>
      </c>
      <c r="N31" s="14">
        <f>IF('Données projet'!$A$36&gt;35,N30+M31-V30,IF(A31&lt;'Données projet'!$A$36,$K$205^A31,IF(A31='Données projet'!$A$36,'Données projet'!$B$36,N30+M31-V30)))</f>
        <v>235.7076923076923</v>
      </c>
      <c r="O31" s="14">
        <f>N31*VLOOKUP('Données projet'!$B$9,Paramètres!$A$1:$I$89,3,0)*VLOOKUP('Données projet'!$B$9,Paramètres!$A$1:$I$89,5,0)</f>
        <v>131.76059999999998</v>
      </c>
      <c r="P31" s="14">
        <f t="shared" si="33"/>
        <v>34.402863243711892</v>
      </c>
      <c r="Q31" s="22">
        <f t="shared" si="2"/>
        <v>289.40136514946488</v>
      </c>
      <c r="R31" s="62">
        <f t="shared" si="0"/>
        <v>580.29025403835374</v>
      </c>
      <c r="S31" s="62">
        <f ca="1">AVERAGE(OFFSET($R$3,0,0,'Données projet'!$E$9+1,1))-AVERAGE(OFFSET($H$3,0,0,'Données projet'!$E$9+1,1))</f>
        <v>323.98185264074681</v>
      </c>
      <c r="T31" s="62">
        <f t="shared" si="34"/>
        <v>301.22207291854005</v>
      </c>
      <c r="U31" s="16">
        <f>IF(ISNA(VLOOKUP(A31,'Données projet'!$A$35:$I$55,3,0)),0,VLOOKUP(A31,'Données projet'!$A$35:$I$55,3,0))</f>
        <v>2</v>
      </c>
      <c r="V31" s="16">
        <f>IF(ISNA(VLOOKUP(A31,'Données projet'!$A$35:$I$55,4,0)),0,VLOOKUP(A31,'Données projet'!$A$35:$I$55,4,0))</f>
        <v>56.91538461538461</v>
      </c>
      <c r="W31" s="17">
        <f>IF(ISNA(VLOOKUP(A31,'Données projet'!$A$35:$I$55,5,0)),0%,VLOOKUP(A31,'Données projet'!$A$35:$I$55,5,0)*VLOOKUP('Données projet'!$B$9,Paramètres!$A$1:$I$89,7,0))</f>
        <v>0.11000000000000001</v>
      </c>
      <c r="X31" s="17">
        <f>IF(ISNA(VLOOKUP(A31,'Données projet'!$A$35:$I$55,6,0)),0%,VLOOKUP(A31,'Données projet'!$A$35:$I$55,6,0)*VLOOKUP('Données projet'!$B$9,Paramètres!$A$1:$I$89,7,0))</f>
        <v>0.11000000000000001</v>
      </c>
      <c r="Y31" s="17">
        <f>IF(ISNA(VLOOKUP(A31,'Données projet'!$A$35:$I$55,7,0)),0%,VLOOKUP(A31,'Données projet'!$A$35:$I$55,7,0))</f>
        <v>0.3</v>
      </c>
      <c r="Z31" s="23">
        <f>EXP(-LN(2)/35)*Z30+(1-EXP(-LN(2)/35))/(LN(2)/35)*V31*W31*VLOOKUP('Données projet'!$B$9,Paramètres!$A$1:$I$89,3,0)*0.475*44/12</f>
        <v>4.6426134419420562</v>
      </c>
      <c r="AA31" s="23">
        <f>EXP(-LN(2)/25)*AA30+(1-EXP(-LN(2)/25))/(LN(2)/25)*Calculateur!V31*Calculateur!X31*VLOOKUP('Données projet'!$B$9,Paramètres!$A$1:$I$89,3,0)*0.475*44/12</f>
        <v>8.7175445065387969</v>
      </c>
      <c r="AB31" s="23">
        <f>EXP(-LN(2)/2)*AB30+(1-EXP(-LN(2)/2))/(LN(2)/2)*V31*Y31*VLOOKUP('Données projet'!$B$9,Paramètres!$A$1:$I$89,3,0)*0.475*44/12</f>
        <v>12.175614359236038</v>
      </c>
      <c r="AC31" s="24">
        <f t="shared" si="3"/>
        <v>25.53577230771689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12.971794871794875</v>
      </c>
      <c r="AI31" s="14">
        <f>IF('Données projet'!$A$62&gt;35,AI30+AH31-AQ30,IF(A31&lt;'Données projet'!$A$62,$AF$205^A31,IF(A31='Données projet'!$A$62,'Données projet'!$B$62,AI30+AH31-AQ30)))</f>
        <v>119.04102564102564</v>
      </c>
      <c r="AJ31" s="14">
        <f>AI31*VLOOKUP('Données projet'!$B$10,Paramètres!$A$1:$I$89,3,0)*VLOOKUP('Données projet'!$B$10,Paramètres!$A$1:$I$89,5,0)</f>
        <v>71.18653333333333</v>
      </c>
      <c r="AK31" s="14">
        <f t="shared" si="35"/>
        <v>19.967826748678</v>
      </c>
      <c r="AL31" s="22">
        <f t="shared" si="4"/>
        <v>158.76051047616974</v>
      </c>
      <c r="AM31" s="62">
        <f t="shared" si="5"/>
        <v>449.64939936505857</v>
      </c>
      <c r="AN31" s="62">
        <f ca="1">AVERAGE(OFFSET($AM$3,0,0,'Données projet'!$E$10+1,1))-AVERAGE(OFFSET($H$3,0,0,'Données projet'!$E$10+1,1))</f>
        <v>289.12367833861299</v>
      </c>
      <c r="AO31" s="62">
        <f t="shared" si="36"/>
        <v>229.06617320689003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8.293670156050899</v>
      </c>
      <c r="AX31" s="23">
        <f t="shared" si="6"/>
        <v>8.293670156050899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14.166666666666666</v>
      </c>
      <c r="BD31" s="13">
        <f>IF('Données projet'!$A$88&gt;35,BD30+BC31-BL30,IF(A31&lt;'Données projet'!$A$88,$BA$205^A31,IF(A31='Données projet'!$A$88,'Données projet'!$B$88,BD30+BC31-BL30)))</f>
        <v>195.66666666666663</v>
      </c>
      <c r="BE31" s="14">
        <f>BD31*VLOOKUP('Données projet'!$B$11,Paramètres!$A$1:$I$89,3,0)*VLOOKUP('Données projet'!$B$11,Paramètres!$A$1:$I$89,5,0)</f>
        <v>122.09599999999998</v>
      </c>
      <c r="BF31" s="14">
        <f t="shared" si="37"/>
        <v>32.163363121463028</v>
      </c>
      <c r="BG31" s="22">
        <f t="shared" si="7"/>
        <v>268.6683907698814</v>
      </c>
      <c r="BH31" s="62">
        <f t="shared" si="8"/>
        <v>559.55727965877031</v>
      </c>
      <c r="BI31" s="62">
        <f ca="1">AVERAGE(OFFSET($BH$3,0,0,'Données projet'!$E$11+1,1))-AVERAGE(OFFSET($H$3,0,0,'Données projet'!$E$11+1,1))</f>
        <v>240.22884864766218</v>
      </c>
      <c r="BJ31" s="62">
        <f t="shared" si="38"/>
        <v>343.23776884143166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2.568112428361299</v>
      </c>
      <c r="BR31" s="23">
        <f>EXP(-LN(2)/2)*BR30+(1-EXP(-LN(2)/2))/(LN(2)/2)*BL31*BO31*VLOOKUP('Données projet'!$B$11,Paramètres!$A$1:$I$89,3,0)*0.475*44/12</f>
        <v>3.0814905269773747</v>
      </c>
      <c r="BS31" s="24">
        <f t="shared" si="9"/>
        <v>5.6496029553386737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7</v>
      </c>
      <c r="BY31" s="13">
        <f>IF('Données projet'!$A$114&gt;35,BY30+BX31-CG30,IF(A31&lt;'Données projet'!$A$114,$BV$205^A31,IF(A31='Données projet'!$A$114,'Données projet'!$B$114,BY30+BX31-CG30)))</f>
        <v>91</v>
      </c>
      <c r="BZ31" s="14">
        <f>BY31*VLOOKUP('Données projet'!$B$12,Paramètres!$A$1:$I$89,3,0)*VLOOKUP('Données projet'!$B$12,Paramètres!$A$1:$I$89,5,0)</f>
        <v>82.336799999999997</v>
      </c>
      <c r="CA31" s="14">
        <f t="shared" si="39"/>
        <v>22.707582950885364</v>
      </c>
      <c r="CB31" s="22">
        <f t="shared" si="10"/>
        <v>182.95230030612535</v>
      </c>
      <c r="CC31" s="62">
        <f t="shared" si="11"/>
        <v>473.84118919501418</v>
      </c>
      <c r="CD31" s="62">
        <f ca="1">AVERAGE(OFFSET($CC$3,0,0,'Données projet'!$E$12+1,1))-AVERAGE(OFFSET($H$3,0,0,'Données projet'!$E$12+1,1))</f>
        <v>428.8489304403459</v>
      </c>
      <c r="CE31" s="62">
        <f t="shared" si="40"/>
        <v>247.01165577562966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12</v>
      </c>
      <c r="CT31" s="13">
        <f>IF('Données projet'!$A$140&gt;35,CT30+CS31-DB30,IF(A31&lt;'Données projet'!$A$140,$CQ$205^A31,IF(A31='Données projet'!$A$140,'Données projet'!$B$140,CT30+CS31-DB30)))</f>
        <v>150.99999999999994</v>
      </c>
      <c r="CU31" s="18">
        <f>CT31*VLOOKUP('Données projet'!$B$13,Paramètres!$A$1:$I$89,3,0)*VLOOKUP('Données projet'!$B$13,Paramètres!$A$1:$I$89,5,0)</f>
        <v>120.13559999999997</v>
      </c>
      <c r="CV31" s="14">
        <f t="shared" si="41"/>
        <v>31.70662368824571</v>
      </c>
      <c r="CW31" s="22">
        <f t="shared" si="13"/>
        <v>264.45853959036123</v>
      </c>
      <c r="CX31" s="62">
        <f t="shared" si="14"/>
        <v>555.34742847925008</v>
      </c>
      <c r="CY31" s="62">
        <f ca="1">AVERAGE(OFFSET($CX$3,0,0,'Données projet'!$E$13+1,1))-AVERAGE(OFFSET($H$3,0,0,'Données projet'!$E$13+1,1))</f>
        <v>312.53381881960331</v>
      </c>
      <c r="CZ31" s="62">
        <f t="shared" si="42"/>
        <v>342.06887933351783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12</v>
      </c>
      <c r="DO31" s="13">
        <f>IF('Données projet'!$A$166&gt;35,DO30+DN31-DW30,IF(A31&lt;'Données projet'!$A$166,$DL$205^A31,IF(A31='Données projet'!$A$166,'Données projet'!$B$166,DO30+DN31-DW30)))</f>
        <v>150.99999999999994</v>
      </c>
      <c r="DP31" s="18">
        <f>DO31*VLOOKUP('Données projet'!$B$14,Paramètres!$A$1:$I$89,3,0)*VLOOKUP('Données projet'!$B$14,Paramètres!$A$1:$I$89,5,0)</f>
        <v>110.71319999999996</v>
      </c>
      <c r="DQ31" s="14">
        <f t="shared" si="43"/>
        <v>29.498956799987518</v>
      </c>
      <c r="DR31" s="22">
        <f t="shared" si="16"/>
        <v>244.20283975997816</v>
      </c>
      <c r="DS31" s="62">
        <f t="shared" si="17"/>
        <v>535.09172864886705</v>
      </c>
      <c r="DT31" s="62">
        <f ca="1">AVERAGE(OFFSET($DS$3,0,0,'Données projet'!$E$14+1,1))-AVERAGE(OFFSET($H$3,0,0,'Données projet'!$E$14+1,1))</f>
        <v>290.85271051443431</v>
      </c>
      <c r="DU31" s="62">
        <f t="shared" si="44"/>
        <v>318.66958823451142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6.6</v>
      </c>
      <c r="EJ31" s="13">
        <f>IF('Données projet'!$A$192&gt;35,EJ30+EI31-ER30,IF(A31&lt;'Données projet'!$A$192,$EG$205^A31,IF(A31='Données projet'!$A$192,'Données projet'!$B$192,EJ30+EI31-ER30)))</f>
        <v>59.800000000000004</v>
      </c>
      <c r="EK31" s="18">
        <f>EJ31*VLOOKUP('Données projet'!$B$15,Paramètres!$A$1:$I$89,3,0)*VLOOKUP('Données projet'!$B$15,Paramètres!$A$1:$I$89,5,0)</f>
        <v>51.308400000000013</v>
      </c>
      <c r="EL31" s="14">
        <f t="shared" si="45"/>
        <v>14.95114999798154</v>
      </c>
      <c r="EM31" s="22">
        <f t="shared" si="19"/>
        <v>115.40204957981786</v>
      </c>
      <c r="EN31" s="62">
        <f t="shared" si="20"/>
        <v>406.29093846870671</v>
      </c>
      <c r="EO31" s="62">
        <f ca="1">AVERAGE(OFFSET($EN$3,0,0,'Données projet'!$E$15+1,1))-AVERAGE(OFFSET($H$3,0,0,'Données projet'!$E$15+1,1))</f>
        <v>438.65317358403996</v>
      </c>
      <c r="EP31" s="62">
        <f t="shared" si="46"/>
        <v>176.81257896138806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projet'!$B$15,Paramètres!$A$1:$I$89,3,0)*0.475*44/12</f>
        <v>0</v>
      </c>
      <c r="EW31" s="23">
        <f>EXP(-LN(2)/25)*EW30+(1-EXP(-LN(2)/25))/(LN(2)/25)*Calculateur!ER31*Calculateur!ET31*VLOOKUP('Données projet'!$B$15,Paramètres!$A$1:$I$89,3,0)*0.475*44/12</f>
        <v>0</v>
      </c>
      <c r="EX31" s="23">
        <f>EXP(-LN(2)/2)*EX30+(1-EXP(-LN(2)/2))/(LN(2)/2)*ER31*EU31*VLOOKUP('Données projet'!$B$15,Paramètres!$A$1:$I$89,3,0)*0.475*44/12</f>
        <v>0</v>
      </c>
      <c r="EY31" s="24">
        <f t="shared" si="21"/>
        <v>0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18.099999999999994</v>
      </c>
      <c r="N32" s="14">
        <f>IF('Données projet'!$A$36&gt;35,N31+M32-V31,IF(A32&lt;'Données projet'!$A$36,$K$205^A32,IF(A32='Données projet'!$A$36,'Données projet'!$B$36,N31+M32-V31)))</f>
        <v>196.89230769230767</v>
      </c>
      <c r="O32" s="14">
        <f>N32*VLOOKUP('Données projet'!$B$9,Paramètres!$A$1:$I$89,3,0)*VLOOKUP('Données projet'!$B$9,Paramètres!$A$1:$I$89,5,0)</f>
        <v>110.0628</v>
      </c>
      <c r="P32" s="14">
        <f t="shared" si="33"/>
        <v>29.345780250854382</v>
      </c>
      <c r="Q32" s="22">
        <f t="shared" si="2"/>
        <v>242.80327727023806</v>
      </c>
      <c r="R32" s="62">
        <f t="shared" si="0"/>
        <v>534.91438838134923</v>
      </c>
      <c r="S32" s="62">
        <f ca="1">AVERAGE(OFFSET($R$3,0,0,'Données projet'!$E$9+1,1))-AVERAGE(OFFSET($H$3,0,0,'Données projet'!$E$9+1,1))</f>
        <v>323.98185264074681</v>
      </c>
      <c r="T32" s="62">
        <f t="shared" si="34"/>
        <v>301.22207291854005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4.5515746240601631</v>
      </c>
      <c r="AA32" s="23">
        <f>EXP(-LN(2)/25)*AA31+(1-EXP(-LN(2)/25))/(LN(2)/25)*Calculateur!V32*Calculateur!X32*VLOOKUP('Données projet'!$B$9,Paramètres!$A$1:$I$89,3,0)*0.475*44/12</f>
        <v>8.4791627935717528</v>
      </c>
      <c r="AB32" s="23">
        <f>EXP(-LN(2)/2)*AB31+(1-EXP(-LN(2)/2))/(LN(2)/2)*V32*Y32*VLOOKUP('Données projet'!$B$9,Paramètres!$A$1:$I$89,3,0)*0.475*44/12</f>
        <v>8.6094594785281036</v>
      </c>
      <c r="AC32" s="24">
        <f t="shared" si="3"/>
        <v>21.64019689616002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12.971794871794875</v>
      </c>
      <c r="AI32" s="14">
        <f>IF('Données projet'!$A$62&gt;35,AI31+AH32-AQ31,IF(A32&lt;'Données projet'!$A$62,$AF$205^A32,IF(A32='Données projet'!$A$62,'Données projet'!$B$62,AI31+AH32-AQ31)))</f>
        <v>132.01282051282053</v>
      </c>
      <c r="AJ32" s="14">
        <f>AI32*VLOOKUP('Données projet'!$B$10,Paramètres!$A$1:$I$89,3,0)*VLOOKUP('Données projet'!$B$10,Paramètres!$A$1:$I$89,5,0)</f>
        <v>78.943666666666687</v>
      </c>
      <c r="AK32" s="14">
        <f t="shared" si="35"/>
        <v>21.878705672057283</v>
      </c>
      <c r="AL32" s="22">
        <f t="shared" si="4"/>
        <v>175.59896515661092</v>
      </c>
      <c r="AM32" s="62">
        <f t="shared" si="5"/>
        <v>467.71007626772206</v>
      </c>
      <c r="AN32" s="62">
        <f ca="1">AVERAGE(OFFSET($AM$3,0,0,'Données projet'!$E$10+1,1))-AVERAGE(OFFSET($H$3,0,0,'Données projet'!$E$10+1,1))</f>
        <v>289.12367833861299</v>
      </c>
      <c r="AO32" s="62">
        <f t="shared" si="36"/>
        <v>229.06617320689003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5.8645104082680826</v>
      </c>
      <c r="AX32" s="23">
        <f t="shared" si="6"/>
        <v>5.8645104082680826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14.166666666666666</v>
      </c>
      <c r="BD32" s="13">
        <f>IF('Données projet'!$A$88&gt;35,BD31+BC32-BL31,IF(A32&lt;'Données projet'!$A$88,$BA$205^A32,IF(A32='Données projet'!$A$88,'Données projet'!$B$88,BD31+BC32-BL31)))</f>
        <v>209.83333333333329</v>
      </c>
      <c r="BE32" s="14">
        <f>BD32*VLOOKUP('Données projet'!$B$11,Paramètres!$A$1:$I$89,3,0)*VLOOKUP('Données projet'!$B$11,Paramètres!$A$1:$I$89,5,0)</f>
        <v>130.93599999999998</v>
      </c>
      <c r="BF32" s="14">
        <f t="shared" si="37"/>
        <v>34.21255106176632</v>
      </c>
      <c r="BG32" s="22">
        <f t="shared" si="7"/>
        <v>287.63372643257628</v>
      </c>
      <c r="BH32" s="62">
        <f t="shared" si="8"/>
        <v>579.74483754368748</v>
      </c>
      <c r="BI32" s="62">
        <f ca="1">AVERAGE(OFFSET($BH$3,0,0,'Données projet'!$E$11+1,1))-AVERAGE(OFFSET($H$3,0,0,'Données projet'!$E$11+1,1))</f>
        <v>240.22884864766218</v>
      </c>
      <c r="BJ32" s="62">
        <f t="shared" si="38"/>
        <v>343.23776884143166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2.4978872589565961</v>
      </c>
      <c r="BR32" s="23">
        <f>EXP(-LN(2)/2)*BR31+(1-EXP(-LN(2)/2))/(LN(2)/2)*BL32*BO32*VLOOKUP('Données projet'!$B$11,Paramètres!$A$1:$I$89,3,0)*0.475*44/12</f>
        <v>2.1789428477878094</v>
      </c>
      <c r="BS32" s="24">
        <f t="shared" si="9"/>
        <v>4.676830106744406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7</v>
      </c>
      <c r="BY32" s="13">
        <f>IF('Données projet'!$A$114&gt;35,BY31+BX32-CG31,IF(A32&lt;'Données projet'!$A$114,$BV$205^A32,IF(A32='Données projet'!$A$114,'Données projet'!$B$114,BY31+BX32-CG31)))</f>
        <v>98</v>
      </c>
      <c r="BZ32" s="14">
        <f>BY32*VLOOKUP('Données projet'!$B$12,Paramètres!$A$1:$I$89,3,0)*VLOOKUP('Données projet'!$B$12,Paramètres!$A$1:$I$89,5,0)</f>
        <v>88.670400000000001</v>
      </c>
      <c r="CA32" s="14">
        <f t="shared" si="39"/>
        <v>24.244280250395512</v>
      </c>
      <c r="CB32" s="22">
        <f t="shared" si="10"/>
        <v>196.65973476943884</v>
      </c>
      <c r="CC32" s="62">
        <f t="shared" si="11"/>
        <v>488.77084588054998</v>
      </c>
      <c r="CD32" s="62">
        <f ca="1">AVERAGE(OFFSET($CC$3,0,0,'Données projet'!$E$12+1,1))-AVERAGE(OFFSET($H$3,0,0,'Données projet'!$E$12+1,1))</f>
        <v>428.8489304403459</v>
      </c>
      <c r="CE32" s="62">
        <f t="shared" si="40"/>
        <v>247.01165577562966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12</v>
      </c>
      <c r="CT32" s="13">
        <f>IF('Données projet'!$A$140&gt;35,CT31+CS32-DB31,IF(A32&lt;'Données projet'!$A$140,$CQ$205^A32,IF(A32='Données projet'!$A$140,'Données projet'!$B$140,CT31+CS32-DB31)))</f>
        <v>162.99999999999994</v>
      </c>
      <c r="CU32" s="18">
        <f>CT32*VLOOKUP('Données projet'!$B$13,Paramètres!$A$1:$I$89,3,0)*VLOOKUP('Données projet'!$B$13,Paramètres!$A$1:$I$89,5,0)</f>
        <v>129.68279999999996</v>
      </c>
      <c r="CV32" s="14">
        <f t="shared" si="41"/>
        <v>33.923053307545167</v>
      </c>
      <c r="CW32" s="22">
        <f t="shared" si="13"/>
        <v>284.94686117730771</v>
      </c>
      <c r="CX32" s="62">
        <f t="shared" si="14"/>
        <v>577.0579722884188</v>
      </c>
      <c r="CY32" s="62">
        <f ca="1">AVERAGE(OFFSET($CX$3,0,0,'Données projet'!$E$13+1,1))-AVERAGE(OFFSET($H$3,0,0,'Données projet'!$E$13+1,1))</f>
        <v>312.53381881960331</v>
      </c>
      <c r="CZ32" s="62">
        <f t="shared" si="42"/>
        <v>342.06887933351783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12</v>
      </c>
      <c r="DO32" s="13">
        <f>IF('Données projet'!$A$166&gt;35,DO31+DN32-DW31,IF(A32&lt;'Données projet'!$A$166,$DL$205^A32,IF(A32='Données projet'!$A$166,'Données projet'!$B$166,DO31+DN32-DW31)))</f>
        <v>162.99999999999994</v>
      </c>
      <c r="DP32" s="18">
        <f>DO32*VLOOKUP('Données projet'!$B$14,Paramètres!$A$1:$I$89,3,0)*VLOOKUP('Données projet'!$B$14,Paramètres!$A$1:$I$89,5,0)</f>
        <v>119.51159999999996</v>
      </c>
      <c r="DQ32" s="14">
        <f t="shared" si="43"/>
        <v>31.561060990985474</v>
      </c>
      <c r="DR32" s="22">
        <f t="shared" si="16"/>
        <v>263.11821789263291</v>
      </c>
      <c r="DS32" s="62">
        <f t="shared" si="17"/>
        <v>555.22932900374406</v>
      </c>
      <c r="DT32" s="62">
        <f ca="1">AVERAGE(OFFSET($DS$3,0,0,'Données projet'!$E$14+1,1))-AVERAGE(OFFSET($H$3,0,0,'Données projet'!$E$14+1,1))</f>
        <v>290.85271051443431</v>
      </c>
      <c r="DU32" s="62">
        <f t="shared" si="44"/>
        <v>318.66958823451142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6.6</v>
      </c>
      <c r="EJ32" s="13">
        <f>IF('Données projet'!$A$192&gt;35,EJ31+EI32-ER31,IF(A32&lt;'Données projet'!$A$192,$EG$205^A32,IF(A32='Données projet'!$A$192,'Données projet'!$B$192,EJ31+EI32-ER31)))</f>
        <v>66.400000000000006</v>
      </c>
      <c r="EK32" s="18">
        <f>EJ32*VLOOKUP('Données projet'!$B$15,Paramètres!$A$1:$I$89,3,0)*VLOOKUP('Données projet'!$B$15,Paramètres!$A$1:$I$89,5,0)</f>
        <v>56.97120000000001</v>
      </c>
      <c r="EL32" s="14">
        <f t="shared" si="45"/>
        <v>16.400200115277677</v>
      </c>
      <c r="EM32" s="22">
        <f t="shared" si="19"/>
        <v>127.78852186744196</v>
      </c>
      <c r="EN32" s="62">
        <f t="shared" si="20"/>
        <v>419.89963297855309</v>
      </c>
      <c r="EO32" s="62">
        <f ca="1">AVERAGE(OFFSET($EN$3,0,0,'Données projet'!$E$15+1,1))-AVERAGE(OFFSET($H$3,0,0,'Données projet'!$E$15+1,1))</f>
        <v>438.65317358403996</v>
      </c>
      <c r="EP32" s="62">
        <f t="shared" si="46"/>
        <v>176.81257896138806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projet'!$B$15,Paramètres!$A$1:$I$89,3,0)*0.475*44/12</f>
        <v>0</v>
      </c>
      <c r="EW32" s="23">
        <f>EXP(-LN(2)/25)*EW31+(1-EXP(-LN(2)/25))/(LN(2)/25)*Calculateur!ER32*Calculateur!ET32*VLOOKUP('Données projet'!$B$15,Paramètres!$A$1:$I$89,3,0)*0.475*44/12</f>
        <v>0</v>
      </c>
      <c r="EX32" s="23">
        <f>EXP(-LN(2)/2)*EX31+(1-EXP(-LN(2)/2))/(LN(2)/2)*ER32*EU32*VLOOKUP('Données projet'!$B$15,Paramètres!$A$1:$I$89,3,0)*0.475*44/12</f>
        <v>0</v>
      </c>
      <c r="EY32" s="24">
        <f t="shared" si="21"/>
        <v>0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214.99230769230769</v>
      </c>
      <c r="L33" s="13">
        <f>VLOOKUP(A33,'Données projet'!$A$35:$I$55,9,0)</f>
        <v>18.099999999999994</v>
      </c>
      <c r="M33" s="13">
        <f t="array" ref="M33">INDEX(L:L,MIN(IF(ISNUMBER(L33:L229),ROW(L33:L229),"")))</f>
        <v>18.099999999999994</v>
      </c>
      <c r="N33" s="14">
        <f>IF('Données projet'!$A$36&gt;35,N32+M33-V32,IF(A33&lt;'Données projet'!$A$36,$K$205^A33,IF(A33='Données projet'!$A$36,'Données projet'!$B$36,N32+M33-V32)))</f>
        <v>214.99230769230766</v>
      </c>
      <c r="O33" s="14">
        <f>N33*VLOOKUP('Données projet'!$B$9,Paramètres!$A$1:$I$89,3,0)*VLOOKUP('Données projet'!$B$9,Paramètres!$A$1:$I$89,5,0)</f>
        <v>120.18069999999997</v>
      </c>
      <c r="P33" s="14">
        <f t="shared" si="33"/>
        <v>31.717140910166616</v>
      </c>
      <c r="Q33" s="22">
        <f t="shared" si="2"/>
        <v>264.55540625187342</v>
      </c>
      <c r="R33" s="62">
        <f t="shared" si="0"/>
        <v>557.88873958520674</v>
      </c>
      <c r="S33" s="62">
        <f ca="1">AVERAGE(OFFSET($R$3,0,0,'Données projet'!$E$9+1,1))-AVERAGE(OFFSET($H$3,0,0,'Données projet'!$E$9+1,1))</f>
        <v>323.98185264074681</v>
      </c>
      <c r="T33" s="62">
        <f t="shared" si="34"/>
        <v>301.22207291854005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4.4623210218687381</v>
      </c>
      <c r="AA33" s="23">
        <f>EXP(-LN(2)/25)*AA32+(1-EXP(-LN(2)/25))/(LN(2)/25)*Calculateur!V33*Calculateur!X33*VLOOKUP('Données projet'!$B$9,Paramètres!$A$1:$I$89,3,0)*0.475*44/12</f>
        <v>8.2472996410817405</v>
      </c>
      <c r="AB33" s="23">
        <f>EXP(-LN(2)/2)*AB32+(1-EXP(-LN(2)/2))/(LN(2)/2)*V33*Y33*VLOOKUP('Données projet'!$B$9,Paramètres!$A$1:$I$89,3,0)*0.475*44/12</f>
        <v>6.0878071796180198</v>
      </c>
      <c r="AC33" s="24">
        <f t="shared" si="3"/>
        <v>18.797427842568496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144.98461538461538</v>
      </c>
      <c r="AG33" s="13">
        <f>VLOOKUP(A33,'Données projet'!$A$61:$I$81,9,0)</f>
        <v>12.971794871794875</v>
      </c>
      <c r="AH33" s="13">
        <f t="array" ref="AH33">INDEX(AG:AG,MIN(IF(ISNUMBER(AG33:AG229),ROW(AG33:AG229),"")))</f>
        <v>12.971794871794875</v>
      </c>
      <c r="AI33" s="14">
        <f>IF('Données projet'!$A$62&gt;35,AI32+AH33-AQ32,IF(A33&lt;'Données projet'!$A$62,$AF$205^A33,IF(A33='Données projet'!$A$62,'Données projet'!$B$62,AI32+AH33-AQ32)))</f>
        <v>144.98461538461541</v>
      </c>
      <c r="AJ33" s="14">
        <f>AI33*VLOOKUP('Données projet'!$B$10,Paramètres!$A$1:$I$89,3,0)*VLOOKUP('Données projet'!$B$10,Paramètres!$A$1:$I$89,5,0)</f>
        <v>86.700800000000029</v>
      </c>
      <c r="AK33" s="14">
        <f t="shared" si="35"/>
        <v>23.767816195343574</v>
      </c>
      <c r="AL33" s="22">
        <f t="shared" si="4"/>
        <v>192.39950654022343</v>
      </c>
      <c r="AM33" s="62">
        <f t="shared" si="5"/>
        <v>485.73283987355671</v>
      </c>
      <c r="AN33" s="62">
        <f ca="1">AVERAGE(OFFSET($AM$3,0,0,'Données projet'!$E$10+1,1))-AVERAGE(OFFSET($H$3,0,0,'Données projet'!$E$10+1,1))</f>
        <v>289.12367833861299</v>
      </c>
      <c r="AO33" s="62">
        <f t="shared" si="36"/>
        <v>229.06617320689003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4.1468350780254495</v>
      </c>
      <c r="AX33" s="23">
        <f t="shared" si="6"/>
        <v>4.1468350780254495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224</v>
      </c>
      <c r="BB33" s="13">
        <f>VLOOKUP(A33,'Données projet'!$A$87:$I$107,9,0)</f>
        <v>14.166666666666666</v>
      </c>
      <c r="BC33" s="13">
        <f t="array" ref="BC33">INDEX(BB:BB,MIN(IF(ISNUMBER(BB33:BB229),ROW(BB33:BB229),"")))</f>
        <v>14.166666666666666</v>
      </c>
      <c r="BD33" s="13">
        <f>IF('Données projet'!$A$88&gt;35,BD32+BC33-BL32,IF(A33&lt;'Données projet'!$A$88,$BA$205^A33,IF(A33='Données projet'!$A$88,'Données projet'!$B$88,BD32+BC33-BL32)))</f>
        <v>223.99999999999994</v>
      </c>
      <c r="BE33" s="14">
        <f>BD33*VLOOKUP('Données projet'!$B$11,Paramètres!$A$1:$I$89,3,0)*VLOOKUP('Données projet'!$B$11,Paramètres!$A$1:$I$89,5,0)</f>
        <v>139.77599999999995</v>
      </c>
      <c r="BF33" s="14">
        <f t="shared" si="37"/>
        <v>36.245685459195258</v>
      </c>
      <c r="BG33" s="22">
        <f t="shared" si="7"/>
        <v>306.57110217476503</v>
      </c>
      <c r="BH33" s="62">
        <f t="shared" si="8"/>
        <v>599.90443550809835</v>
      </c>
      <c r="BI33" s="62">
        <f ca="1">AVERAGE(OFFSET($BH$3,0,0,'Données projet'!$E$11+1,1))-AVERAGE(OFFSET($H$3,0,0,'Données projet'!$E$11+1,1))</f>
        <v>240.22884864766218</v>
      </c>
      <c r="BJ33" s="62">
        <f t="shared" si="38"/>
        <v>343.23776884143166</v>
      </c>
      <c r="BK33" s="16">
        <f>IF(ISNA(VLOOKUP(A33,'Données projet'!$A$87:$I$107,3,0)),0,VLOOKUP(A33,'Données projet'!$A$87:$I$107,3,0))</f>
        <v>4</v>
      </c>
      <c r="BL33" s="16">
        <f>IF(ISNA(VLOOKUP(A33,'Données projet'!$A$87:$I$107,4,0)),0,VLOOKUP(A33,'Données projet'!$A$87:$I$107,4,0))</f>
        <v>53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0.18</v>
      </c>
      <c r="BO33" s="17">
        <f>IF(ISNA(VLOOKUP(A33,'Données projet'!$A$87:$I$107,7,0)),0%,VLOOKUP(A33,'Données projet'!$A$87:$I$107,7,0))</f>
        <v>0.4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10.295474101669621</v>
      </c>
      <c r="BR33" s="23">
        <f>EXP(-LN(2)/2)*BR32+(1-EXP(-LN(2)/2))/(LN(2)/2)*BL33*BO33*VLOOKUP('Données projet'!$B$11,Paramètres!$A$1:$I$89,3,0)*0.475*44/12</f>
        <v>16.518819881006799</v>
      </c>
      <c r="BS33" s="24">
        <f t="shared" si="9"/>
        <v>26.814293982676418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105</v>
      </c>
      <c r="BW33" s="13">
        <f>VLOOKUP(A33,'Données projet'!$A$113:$I$133,9,0)</f>
        <v>7</v>
      </c>
      <c r="BX33" s="13">
        <f t="array" ref="BX33">INDEX(BW:BW,MIN(IF(ISNUMBER(BW33:BW229),ROW(BW33:BW229),"")))</f>
        <v>7</v>
      </c>
      <c r="BY33" s="13">
        <f>IF('Données projet'!$A$114&gt;35,BY32+BX33-CG32,IF(A33&lt;'Données projet'!$A$114,$BV$205^A33,IF(A33='Données projet'!$A$114,'Données projet'!$B$114,BY32+BX33-CG32)))</f>
        <v>105</v>
      </c>
      <c r="BZ33" s="14">
        <f>BY33*VLOOKUP('Données projet'!$B$12,Paramètres!$A$1:$I$89,3,0)*VLOOKUP('Données projet'!$B$12,Paramètres!$A$1:$I$89,5,0)</f>
        <v>95.004000000000005</v>
      </c>
      <c r="CA33" s="14">
        <f t="shared" si="39"/>
        <v>25.768242550600785</v>
      </c>
      <c r="CB33" s="22">
        <f t="shared" si="10"/>
        <v>210.34498910896306</v>
      </c>
      <c r="CC33" s="62">
        <f t="shared" si="11"/>
        <v>503.67832244229635</v>
      </c>
      <c r="CD33" s="62">
        <f ca="1">AVERAGE(OFFSET($CC$3,0,0,'Données projet'!$E$12+1,1))-AVERAGE(OFFSET($H$3,0,0,'Données projet'!$E$12+1,1))</f>
        <v>428.8489304403459</v>
      </c>
      <c r="CE33" s="62">
        <f t="shared" si="40"/>
        <v>247.01165577562966</v>
      </c>
      <c r="CF33" s="16">
        <f>IF(ISNA(VLOOKUP(A33,'Données projet'!$A$113:$I$133,3,0)),0,VLOOKUP(A33,'Données projet'!$A$113:$I$133,3,0))</f>
        <v>1</v>
      </c>
      <c r="CG33" s="16">
        <f>IF(ISNA(VLOOKUP(A33,'Données projet'!$A$113:$I$133,4,0)),0,VLOOKUP(A33,'Données projet'!$A$113:$I$133,4,0))</f>
        <v>29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175</v>
      </c>
      <c r="CR33" s="13">
        <f>VLOOKUP(A33,'Données projet'!$A$139:$I$159,9,0)</f>
        <v>12</v>
      </c>
      <c r="CS33" s="13">
        <f t="array" ref="CS33">INDEX(CR:CR,MIN(IF(ISNUMBER(CR33:CR229),ROW(CR33:CR229),"")))</f>
        <v>12</v>
      </c>
      <c r="CT33" s="13">
        <f>IF('Données projet'!$A$140&gt;35,CT32+CS33-DB32,IF(A33&lt;'Données projet'!$A$140,$CQ$205^A33,IF(A33='Données projet'!$A$140,'Données projet'!$B$140,CT32+CS33-DB32)))</f>
        <v>174.99999999999994</v>
      </c>
      <c r="CU33" s="18">
        <f>CT33*VLOOKUP('Données projet'!$B$13,Paramètres!$A$1:$I$89,3,0)*VLOOKUP('Données projet'!$B$13,Paramètres!$A$1:$I$89,5,0)</f>
        <v>139.22999999999996</v>
      </c>
      <c r="CV33" s="14">
        <f t="shared" si="41"/>
        <v>36.120552727378737</v>
      </c>
      <c r="CW33" s="22">
        <f t="shared" si="13"/>
        <v>305.4022126668512</v>
      </c>
      <c r="CX33" s="62">
        <f t="shared" si="14"/>
        <v>598.73554600018451</v>
      </c>
      <c r="CY33" s="62">
        <f ca="1">AVERAGE(OFFSET($CX$3,0,0,'Données projet'!$E$13+1,1))-AVERAGE(OFFSET($H$3,0,0,'Données projet'!$E$13+1,1))</f>
        <v>312.53381881960331</v>
      </c>
      <c r="CZ33" s="62">
        <f t="shared" si="42"/>
        <v>342.06887933351783</v>
      </c>
      <c r="DA33" s="16">
        <f>IF(ISNA(VLOOKUP(A33,'Données projet'!$A$139:$I$159,3,0)),0,VLOOKUP(A33,'Données projet'!$A$139:$I$159,3,0))</f>
        <v>2</v>
      </c>
      <c r="DB33" s="16">
        <f>IF(ISNA(VLOOKUP(A33,'Données projet'!$A$139:$I$159,4,0)),0,VLOOKUP(A33,'Données projet'!$A$139:$I$159,4,0))</f>
        <v>56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175</v>
      </c>
      <c r="DM33" s="13">
        <f>VLOOKUP(A33,'Données projet'!$A$165:$I$185,9,0)</f>
        <v>12</v>
      </c>
      <c r="DN33" s="13">
        <f t="array" ref="DN33">INDEX(DM:DM,MIN(IF(ISNUMBER(DM33:DM229),ROW(DM33:DM229),"")))</f>
        <v>12</v>
      </c>
      <c r="DO33" s="13">
        <f>IF('Données projet'!$A$166&gt;35,DO32+DN33-DW32,IF(A33&lt;'Données projet'!$A$166,$DL$205^A33,IF(A33='Données projet'!$A$166,'Données projet'!$B$166,DO32+DN33-DW32)))</f>
        <v>174.99999999999994</v>
      </c>
      <c r="DP33" s="18">
        <f>DO33*VLOOKUP('Données projet'!$B$14,Paramètres!$A$1:$I$89,3,0)*VLOOKUP('Données projet'!$B$14,Paramètres!$A$1:$I$89,5,0)</f>
        <v>128.30999999999997</v>
      </c>
      <c r="DQ33" s="14">
        <f t="shared" si="43"/>
        <v>33.605553053308043</v>
      </c>
      <c r="DR33" s="22">
        <f t="shared" si="16"/>
        <v>282.00292156784479</v>
      </c>
      <c r="DS33" s="62">
        <f t="shared" si="17"/>
        <v>575.33625490117811</v>
      </c>
      <c r="DT33" s="62">
        <f ca="1">AVERAGE(OFFSET($DS$3,0,0,'Données projet'!$E$14+1,1))-AVERAGE(OFFSET($H$3,0,0,'Données projet'!$E$14+1,1))</f>
        <v>290.85271051443431</v>
      </c>
      <c r="DU33" s="62">
        <f t="shared" si="44"/>
        <v>318.66958823451142</v>
      </c>
      <c r="DV33" s="16">
        <f>IF(ISNA(VLOOKUP(A33,'Données projet'!$A$165:$I$185,3,0)),0,VLOOKUP(A33,'Données projet'!$A$165:$I$185,3,0))</f>
        <v>2</v>
      </c>
      <c r="DW33" s="16">
        <f>IF(ISNA(VLOOKUP(A33,'Données projet'!$A$165:$I$185,4,0)),0,VLOOKUP(A33,'Données projet'!$A$165:$I$185,4,0))</f>
        <v>56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>
        <f>VLOOKUP(A33,'Données projet'!$A$191:$I$211,2,0)</f>
        <v>73</v>
      </c>
      <c r="EH33" s="13">
        <f>VLOOKUP(A33,'Données projet'!$A$191:$I$211,9,0)</f>
        <v>6.6</v>
      </c>
      <c r="EI33" s="13">
        <f t="array" ref="EI33">INDEX(EH:EH,MIN(IF(ISNUMBER(EH33:EH229),ROW(EH33:EH229),"")))</f>
        <v>6.6</v>
      </c>
      <c r="EJ33" s="13">
        <f>IF('Données projet'!$A$192&gt;35,EJ32+EI33-ER32,IF(A33&lt;'Données projet'!$A$192,$EG$205^A33,IF(A33='Données projet'!$A$192,'Données projet'!$B$192,EJ32+EI33-ER32)))</f>
        <v>73</v>
      </c>
      <c r="EK33" s="18">
        <f>EJ33*VLOOKUP('Données projet'!$B$15,Paramètres!$A$1:$I$89,3,0)*VLOOKUP('Données projet'!$B$15,Paramètres!$A$1:$I$89,5,0)</f>
        <v>62.634000000000015</v>
      </c>
      <c r="EL33" s="14">
        <f t="shared" si="45"/>
        <v>17.832552513715669</v>
      </c>
      <c r="EM33" s="22">
        <f t="shared" si="19"/>
        <v>140.14591229472146</v>
      </c>
      <c r="EN33" s="62">
        <f t="shared" si="20"/>
        <v>433.47924562805474</v>
      </c>
      <c r="EO33" s="62">
        <f ca="1">AVERAGE(OFFSET($EN$3,0,0,'Données projet'!$E$15+1,1))-AVERAGE(OFFSET($H$3,0,0,'Données projet'!$E$15+1,1))</f>
        <v>438.65317358403996</v>
      </c>
      <c r="EP33" s="62">
        <f t="shared" si="46"/>
        <v>176.81257896138806</v>
      </c>
      <c r="EQ33" s="16">
        <f>IF(ISNA(VLOOKUP(A33,'Données projet'!$A$191:$I$211,3,0)),0,VLOOKUP(A33,'Données projet'!$A$191:$I$211,3,0))</f>
        <v>1</v>
      </c>
      <c r="ER33" s="16">
        <f>IF(ISNA(VLOOKUP(A33,'Données projet'!$A$191:$I$211,4,0)),0,VLOOKUP(A33,'Données projet'!$A$191:$I$211,4,0))</f>
        <v>12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projet'!$B$15,Paramètres!$A$1:$I$89,3,0)*0.475*44/12</f>
        <v>0</v>
      </c>
      <c r="EW33" s="23">
        <f>EXP(-LN(2)/25)*EW32+(1-EXP(-LN(2)/25))/(LN(2)/25)*Calculateur!ER33*Calculateur!ET33*VLOOKUP('Données projet'!$B$15,Paramètres!$A$1:$I$89,3,0)*0.475*44/12</f>
        <v>0</v>
      </c>
      <c r="EX33" s="23">
        <f>EXP(-LN(2)/2)*EX32+(1-EXP(-LN(2)/2))/(LN(2)/2)*ER33*EU33*VLOOKUP('Données projet'!$B$15,Paramètres!$A$1:$I$89,3,0)*0.475*44/12</f>
        <v>0</v>
      </c>
      <c r="EY33" s="24">
        <f t="shared" si="21"/>
        <v>0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18.100000000000001</v>
      </c>
      <c r="N34" s="14">
        <f>IF('Données projet'!$A$36&gt;35,N33+M34-V33,IF(A34&lt;'Données projet'!$A$36,$K$205^A34,IF(A34='Données projet'!$A$36,'Données projet'!$B$36,N33+M34-V33)))</f>
        <v>233.09230769230766</v>
      </c>
      <c r="O34" s="14">
        <f>N34*VLOOKUP('Données projet'!$B$9,Paramètres!$A$1:$I$89,3,0)*VLOOKUP('Données projet'!$B$9,Paramètres!$A$1:$I$89,5,0)</f>
        <v>130.29859999999999</v>
      </c>
      <c r="P34" s="14">
        <f t="shared" si="33"/>
        <v>34.065347809437199</v>
      </c>
      <c r="Q34" s="22">
        <f t="shared" si="2"/>
        <v>286.26720910143649</v>
      </c>
      <c r="R34" s="62">
        <f t="shared" si="0"/>
        <v>579.60054243476975</v>
      </c>
      <c r="S34" s="62">
        <f ca="1">AVERAGE(OFFSET($R$3,0,0,'Données projet'!$E$9+1,1))-AVERAGE(OFFSET($H$3,0,0,'Données projet'!$E$9+1,1))</f>
        <v>323.98185264074681</v>
      </c>
      <c r="T34" s="62">
        <f t="shared" si="34"/>
        <v>301.22207291854005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4.3748176283769658</v>
      </c>
      <c r="AA34" s="23">
        <f>EXP(-LN(2)/25)*AA33+(1-EXP(-LN(2)/25))/(LN(2)/25)*Calculateur!V34*Calculateur!X34*VLOOKUP('Données projet'!$B$9,Paramètres!$A$1:$I$89,3,0)*0.475*44/12</f>
        <v>8.0217767986897215</v>
      </c>
      <c r="AB34" s="23">
        <f>EXP(-LN(2)/2)*AB33+(1-EXP(-LN(2)/2))/(LN(2)/2)*V34*Y34*VLOOKUP('Données projet'!$B$9,Paramètres!$A$1:$I$89,3,0)*0.475*44/12</f>
        <v>4.3047297392640527</v>
      </c>
      <c r="AC34" s="24">
        <f t="shared" si="3"/>
        <v>16.701324166330743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12.971794871794865</v>
      </c>
      <c r="AI34" s="14">
        <f>IF('Données projet'!$A$62&gt;35,AI33+AH34-AQ33,IF(A34&lt;'Données projet'!$A$62,$AF$205^A34,IF(A34='Données projet'!$A$62,'Données projet'!$B$62,AI33+AH34-AQ33)))</f>
        <v>157.95641025641027</v>
      </c>
      <c r="AJ34" s="14">
        <f>AI34*VLOOKUP('Données projet'!$B$10,Paramètres!$A$1:$I$89,3,0)*VLOOKUP('Données projet'!$B$10,Paramètres!$A$1:$I$89,5,0)</f>
        <v>94.457933333333344</v>
      </c>
      <c r="AK34" s="14">
        <f t="shared" si="35"/>
        <v>25.637327417415943</v>
      </c>
      <c r="AL34" s="22">
        <f t="shared" si="4"/>
        <v>209.16591247422164</v>
      </c>
      <c r="AM34" s="62">
        <f t="shared" si="5"/>
        <v>502.49924580755498</v>
      </c>
      <c r="AN34" s="62">
        <f ca="1">AVERAGE(OFFSET($AM$3,0,0,'Données projet'!$E$10+1,1))-AVERAGE(OFFSET($H$3,0,0,'Données projet'!$E$10+1,1))</f>
        <v>289.12367833861299</v>
      </c>
      <c r="AO34" s="62">
        <f t="shared" si="36"/>
        <v>229.06617320689003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2.9322552041340413</v>
      </c>
      <c r="AX34" s="23">
        <f t="shared" si="6"/>
        <v>2.9322552041340413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12.833333333333334</v>
      </c>
      <c r="BD34" s="13">
        <f>IF('Données projet'!$A$88&gt;35,BD33+BC34-BL33,IF(A34&lt;'Données projet'!$A$88,$BA$205^A34,IF(A34='Données projet'!$A$88,'Données projet'!$B$88,BD33+BC34-BL33)))</f>
        <v>183.83333333333329</v>
      </c>
      <c r="BE34" s="14">
        <f>BD34*VLOOKUP('Données projet'!$B$11,Paramètres!$A$1:$I$89,3,0)*VLOOKUP('Données projet'!$B$11,Paramètres!$A$1:$I$89,5,0)</f>
        <v>114.71199999999997</v>
      </c>
      <c r="BF34" s="14">
        <f t="shared" si="37"/>
        <v>30.438443898016164</v>
      </c>
      <c r="BG34" s="22">
        <f t="shared" si="7"/>
        <v>252.80368978904474</v>
      </c>
      <c r="BH34" s="62">
        <f t="shared" si="8"/>
        <v>546.13702312237808</v>
      </c>
      <c r="BI34" s="62">
        <f ca="1">AVERAGE(OFFSET($BH$3,0,0,'Données projet'!$E$11+1,1))-AVERAGE(OFFSET($H$3,0,0,'Données projet'!$E$11+1,1))</f>
        <v>240.22884864766218</v>
      </c>
      <c r="BJ34" s="62">
        <f t="shared" si="38"/>
        <v>343.23776884143166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10.013943820944013</v>
      </c>
      <c r="BR34" s="23">
        <f>EXP(-LN(2)/2)*BR33+(1-EXP(-LN(2)/2))/(LN(2)/2)*BL34*BO34*VLOOKUP('Données projet'!$B$11,Paramètres!$A$1:$I$89,3,0)*0.475*44/12</f>
        <v>11.680569555059066</v>
      </c>
      <c r="BS34" s="24">
        <f t="shared" si="9"/>
        <v>21.69451337600308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8</v>
      </c>
      <c r="BY34" s="13">
        <f>IF('Données projet'!$A$114&gt;35,BY33+BX34-CG33,IF(A34&lt;'Données projet'!$A$114,$BV$205^A34,IF(A34='Données projet'!$A$114,'Données projet'!$B$114,BY33+BX34-CG33)))</f>
        <v>84</v>
      </c>
      <c r="BZ34" s="14">
        <f>BY34*VLOOKUP('Données projet'!$B$12,Paramètres!$A$1:$I$89,3,0)*VLOOKUP('Données projet'!$B$12,Paramètres!$A$1:$I$89,5,0)</f>
        <v>76.003200000000007</v>
      </c>
      <c r="CA34" s="14">
        <f t="shared" si="39"/>
        <v>21.157049992000456</v>
      </c>
      <c r="CB34" s="22">
        <f t="shared" si="10"/>
        <v>169.22076873606747</v>
      </c>
      <c r="CC34" s="62">
        <f t="shared" si="11"/>
        <v>462.55410206940076</v>
      </c>
      <c r="CD34" s="62">
        <f ca="1">AVERAGE(OFFSET($CC$3,0,0,'Données projet'!$E$12+1,1))-AVERAGE(OFFSET($H$3,0,0,'Données projet'!$E$12+1,1))</f>
        <v>428.8489304403459</v>
      </c>
      <c r="CE34" s="62">
        <f t="shared" si="40"/>
        <v>247.01165577562966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10.6</v>
      </c>
      <c r="CT34" s="13">
        <f>IF('Données projet'!$A$140&gt;35,CT33+CS34-DB33,IF(A34&lt;'Données projet'!$A$140,$CQ$205^A34,IF(A34='Données projet'!$A$140,'Données projet'!$B$140,CT33+CS34-DB33)))</f>
        <v>129.59999999999994</v>
      </c>
      <c r="CU34" s="18">
        <f>CT34*VLOOKUP('Données projet'!$B$13,Paramètres!$A$1:$I$89,3,0)*VLOOKUP('Données projet'!$B$13,Paramètres!$A$1:$I$89,5,0)</f>
        <v>103.10975999999997</v>
      </c>
      <c r="CV34" s="14">
        <f t="shared" si="41"/>
        <v>27.701529389122925</v>
      </c>
      <c r="CW34" s="22">
        <f t="shared" si="13"/>
        <v>227.82966235272235</v>
      </c>
      <c r="CX34" s="62">
        <f t="shared" si="14"/>
        <v>521.16299568605564</v>
      </c>
      <c r="CY34" s="62">
        <f ca="1">AVERAGE(OFFSET($CX$3,0,0,'Données projet'!$E$13+1,1))-AVERAGE(OFFSET($H$3,0,0,'Données projet'!$E$13+1,1))</f>
        <v>312.53381881960331</v>
      </c>
      <c r="CZ34" s="62">
        <f t="shared" si="42"/>
        <v>342.06887933351783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10.6</v>
      </c>
      <c r="DO34" s="13">
        <f>IF('Données projet'!$A$166&gt;35,DO33+DN34-DW33,IF(A34&lt;'Données projet'!$A$166,$DL$205^A34,IF(A34='Données projet'!$A$166,'Données projet'!$B$166,DO33+DN34-DW33)))</f>
        <v>129.59999999999994</v>
      </c>
      <c r="DP34" s="18">
        <f>DO34*VLOOKUP('Données projet'!$B$14,Paramètres!$A$1:$I$89,3,0)*VLOOKUP('Données projet'!$B$14,Paramètres!$A$1:$I$89,5,0)</f>
        <v>95.022719999999964</v>
      </c>
      <c r="DQ34" s="14">
        <f t="shared" si="43"/>
        <v>25.772728965975034</v>
      </c>
      <c r="DR34" s="22">
        <f t="shared" si="16"/>
        <v>210.38540694907314</v>
      </c>
      <c r="DS34" s="62">
        <f t="shared" si="17"/>
        <v>503.71874028240643</v>
      </c>
      <c r="DT34" s="62">
        <f ca="1">AVERAGE(OFFSET($DS$3,0,0,'Données projet'!$E$14+1,1))-AVERAGE(OFFSET($H$3,0,0,'Données projet'!$E$14+1,1))</f>
        <v>290.85271051443431</v>
      </c>
      <c r="DU34" s="62">
        <f t="shared" si="44"/>
        <v>318.66958823451142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7.2</v>
      </c>
      <c r="EJ34" s="13">
        <f>IF('Données projet'!$A$192&gt;35,EJ33+EI34-ER33,IF(A34&lt;'Données projet'!$A$192,$EG$205^A34,IF(A34='Données projet'!$A$192,'Données projet'!$B$192,EJ33+EI34-ER33)))</f>
        <v>68.2</v>
      </c>
      <c r="EK34" s="18">
        <f>EJ34*VLOOKUP('Données projet'!$B$15,Paramètres!$A$1:$I$89,3,0)*VLOOKUP('Données projet'!$B$15,Paramètres!$A$1:$I$89,5,0)</f>
        <v>58.515600000000013</v>
      </c>
      <c r="EL34" s="14">
        <f t="shared" si="45"/>
        <v>16.792420691577682</v>
      </c>
      <c r="EM34" s="22">
        <f t="shared" si="19"/>
        <v>131.16146937116449</v>
      </c>
      <c r="EN34" s="62">
        <f t="shared" si="20"/>
        <v>424.49480270449783</v>
      </c>
      <c r="EO34" s="62">
        <f ca="1">AVERAGE(OFFSET($EN$3,0,0,'Données projet'!$E$15+1,1))-AVERAGE(OFFSET($H$3,0,0,'Données projet'!$E$15+1,1))</f>
        <v>438.65317358403996</v>
      </c>
      <c r="EP34" s="62">
        <f t="shared" si="46"/>
        <v>176.81257896138806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0</v>
      </c>
      <c r="EW34" s="23">
        <f>EXP(-LN(2)/25)*EW33+(1-EXP(-LN(2)/25))/(LN(2)/25)*Calculateur!ER34*Calculateur!ET34*VLOOKUP('Données projet'!$B$15,Paramètres!$A$1:$I$89,3,0)*0.475*44/12</f>
        <v>0</v>
      </c>
      <c r="EX34" s="23">
        <f>EXP(-LN(2)/2)*EX33+(1-EXP(-LN(2)/2))/(LN(2)/2)*ER34*EU34*VLOOKUP('Données projet'!$B$15,Paramètres!$A$1:$I$89,3,0)*0.475*44/12</f>
        <v>0</v>
      </c>
      <c r="EY34" s="24">
        <f t="shared" si="21"/>
        <v>0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18.100000000000001</v>
      </c>
      <c r="N35" s="14">
        <f>IF('Données projet'!$A$36&gt;35,N34+M35-V34,IF(A35&lt;'Données projet'!$A$36,$K$205^A35,IF(A35='Données projet'!$A$36,'Données projet'!$B$36,N34+M35-V34)))</f>
        <v>251.19230769230765</v>
      </c>
      <c r="O35" s="14">
        <f>N35*VLOOKUP('Données projet'!$B$9,Paramètres!$A$1:$I$89,3,0)*VLOOKUP('Données projet'!$B$9,Paramètres!$A$1:$I$89,5,0)</f>
        <v>140.41649999999998</v>
      </c>
      <c r="P35" s="14">
        <f t="shared" si="33"/>
        <v>36.392403294074647</v>
      </c>
      <c r="Q35" s="22">
        <f t="shared" ref="Q35:Q66" si="53">(O35+P35)*0.475*44/12</f>
        <v>307.94217323717999</v>
      </c>
      <c r="R35" s="62">
        <f t="shared" si="0"/>
        <v>601.27550657051324</v>
      </c>
      <c r="S35" s="62">
        <f ca="1">AVERAGE(OFFSET($R$3,0,0,'Données projet'!$E$9+1,1))-AVERAGE(OFFSET($H$3,0,0,'Données projet'!$E$9+1,1))</f>
        <v>323.98185264074681</v>
      </c>
      <c r="T35" s="62">
        <f t="shared" si="34"/>
        <v>301.22207291854005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4.2890301230597663</v>
      </c>
      <c r="AA35" s="23">
        <f>EXP(-LN(2)/25)*AA34+(1-EXP(-LN(2)/25))/(LN(2)/25)*Calculateur!V35*Calculateur!X35*VLOOKUP('Données projet'!$B$9,Paramètres!$A$1:$I$89,3,0)*0.475*44/12</f>
        <v>7.8024208902826429</v>
      </c>
      <c r="AB35" s="23">
        <f>EXP(-LN(2)/2)*AB34+(1-EXP(-LN(2)/2))/(LN(2)/2)*V35*Y35*VLOOKUP('Données projet'!$B$9,Paramètres!$A$1:$I$89,3,0)*0.475*44/12</f>
        <v>3.0439035898090103</v>
      </c>
      <c r="AC35" s="24">
        <f t="shared" si="3"/>
        <v>15.13535460315142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12.971794871794865</v>
      </c>
      <c r="AI35" s="14">
        <f>IF('Données projet'!$A$62&gt;35,AI34+AH35-AQ34,IF(A35&lt;'Données projet'!$A$62,$AF$205^A35,IF(A35='Données projet'!$A$62,'Données projet'!$B$62,AI34+AH35-AQ34)))</f>
        <v>170.92820512820512</v>
      </c>
      <c r="AJ35" s="14">
        <f>AI35*VLOOKUP('Données projet'!$B$10,Paramètres!$A$1:$I$89,3,0)*VLOOKUP('Données projet'!$B$10,Paramètres!$A$1:$I$89,5,0)</f>
        <v>102.21506666666667</v>
      </c>
      <c r="AK35" s="14">
        <f t="shared" si="35"/>
        <v>27.489031873505194</v>
      </c>
      <c r="AL35" s="22">
        <f t="shared" si="4"/>
        <v>225.90130495746598</v>
      </c>
      <c r="AM35" s="62">
        <f t="shared" si="5"/>
        <v>519.23463829079924</v>
      </c>
      <c r="AN35" s="62">
        <f ca="1">AVERAGE(OFFSET($AM$3,0,0,'Données projet'!$E$10+1,1))-AVERAGE(OFFSET($H$3,0,0,'Données projet'!$E$10+1,1))</f>
        <v>289.12367833861299</v>
      </c>
      <c r="AO35" s="62">
        <f t="shared" si="36"/>
        <v>229.06617320689003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2.0734175390127247</v>
      </c>
      <c r="AX35" s="23">
        <f t="shared" si="6"/>
        <v>2.0734175390127247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12.833333333333334</v>
      </c>
      <c r="BD35" s="13">
        <f>IF('Données projet'!$A$88&gt;35,BD34+BC35-BL34,IF(A35&lt;'Données projet'!$A$88,$BA$205^A35,IF(A35='Données projet'!$A$88,'Données projet'!$B$88,BD34+BC35-BL34)))</f>
        <v>196.66666666666663</v>
      </c>
      <c r="BE35" s="14">
        <f>BD35*VLOOKUP('Données projet'!$B$11,Paramètres!$A$1:$I$89,3,0)*VLOOKUP('Données projet'!$B$11,Paramètres!$A$1:$I$89,5,0)</f>
        <v>122.71999999999997</v>
      </c>
      <c r="BF35" s="14">
        <f t="shared" si="37"/>
        <v>32.308564708068729</v>
      </c>
      <c r="BG35" s="22">
        <f t="shared" si="7"/>
        <v>270.00808353321963</v>
      </c>
      <c r="BH35" s="62">
        <f t="shared" si="8"/>
        <v>563.34141686655289</v>
      </c>
      <c r="BI35" s="62">
        <f ca="1">AVERAGE(OFFSET($BH$3,0,0,'Données projet'!$E$11+1,1))-AVERAGE(OFFSET($H$3,0,0,'Données projet'!$E$11+1,1))</f>
        <v>240.22884864766218</v>
      </c>
      <c r="BJ35" s="62">
        <f t="shared" si="38"/>
        <v>343.23776884143166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9.74011200054988</v>
      </c>
      <c r="BR35" s="23">
        <f>EXP(-LN(2)/2)*BR34+(1-EXP(-LN(2)/2))/(LN(2)/2)*BL35*BO35*VLOOKUP('Données projet'!$B$11,Paramètres!$A$1:$I$89,3,0)*0.475*44/12</f>
        <v>8.2594099405033994</v>
      </c>
      <c r="BS35" s="24">
        <f t="shared" si="9"/>
        <v>17.999521941053281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8</v>
      </c>
      <c r="BY35" s="13">
        <f>IF('Données projet'!$A$114&gt;35,BY34+BX35-CG34,IF(A35&lt;'Données projet'!$A$114,$BV$205^A35,IF(A35='Données projet'!$A$114,'Données projet'!$B$114,BY34+BX35-CG34)))</f>
        <v>92</v>
      </c>
      <c r="BZ35" s="14">
        <f>BY35*VLOOKUP('Données projet'!$B$12,Paramètres!$A$1:$I$89,3,0)*VLOOKUP('Données projet'!$B$12,Paramètres!$A$1:$I$89,5,0)</f>
        <v>83.241600000000005</v>
      </c>
      <c r="CA35" s="14">
        <f t="shared" si="39"/>
        <v>22.927930643846508</v>
      </c>
      <c r="CB35" s="22">
        <f t="shared" si="10"/>
        <v>184.91193253803269</v>
      </c>
      <c r="CC35" s="62">
        <f t="shared" si="11"/>
        <v>478.24526587136597</v>
      </c>
      <c r="CD35" s="62">
        <f ca="1">AVERAGE(OFFSET($CC$3,0,0,'Données projet'!$E$12+1,1))-AVERAGE(OFFSET($H$3,0,0,'Données projet'!$E$12+1,1))</f>
        <v>428.8489304403459</v>
      </c>
      <c r="CE35" s="62">
        <f t="shared" si="40"/>
        <v>247.01165577562966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10.6</v>
      </c>
      <c r="CT35" s="13">
        <f>IF('Données projet'!$A$140&gt;35,CT34+CS35-DB34,IF(A35&lt;'Données projet'!$A$140,$CQ$205^A35,IF(A35='Données projet'!$A$140,'Données projet'!$B$140,CT34+CS35-DB34)))</f>
        <v>140.19999999999993</v>
      </c>
      <c r="CU35" s="18">
        <f>CT35*VLOOKUP('Données projet'!$B$13,Paramètres!$A$1:$I$89,3,0)*VLOOKUP('Données projet'!$B$13,Paramètres!$A$1:$I$89,5,0)</f>
        <v>111.54311999999996</v>
      </c>
      <c r="CV35" s="14">
        <f t="shared" si="41"/>
        <v>29.6942603807586</v>
      </c>
      <c r="CW35" s="22">
        <f t="shared" si="13"/>
        <v>245.98843749648782</v>
      </c>
      <c r="CX35" s="62">
        <f t="shared" si="14"/>
        <v>539.32177082982116</v>
      </c>
      <c r="CY35" s="62">
        <f ca="1">AVERAGE(OFFSET($CX$3,0,0,'Données projet'!$E$13+1,1))-AVERAGE(OFFSET($H$3,0,0,'Données projet'!$E$13+1,1))</f>
        <v>312.53381881960331</v>
      </c>
      <c r="CZ35" s="62">
        <f t="shared" si="42"/>
        <v>342.06887933351783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10.6</v>
      </c>
      <c r="DO35" s="13">
        <f>IF('Données projet'!$A$166&gt;35,DO34+DN35-DW34,IF(A35&lt;'Données projet'!$A$166,$DL$205^A35,IF(A35='Données projet'!$A$166,'Données projet'!$B$166,DO34+DN35-DW34)))</f>
        <v>140.19999999999993</v>
      </c>
      <c r="DP35" s="18">
        <f>DO35*VLOOKUP('Données projet'!$B$14,Paramètres!$A$1:$I$89,3,0)*VLOOKUP('Données projet'!$B$14,Paramètres!$A$1:$I$89,5,0)</f>
        <v>102.79463999999994</v>
      </c>
      <c r="DQ35" s="14">
        <f t="shared" si="43"/>
        <v>27.62671020390955</v>
      </c>
      <c r="DR35" s="22">
        <f t="shared" si="16"/>
        <v>227.15051827180903</v>
      </c>
      <c r="DS35" s="62">
        <f t="shared" si="17"/>
        <v>520.48385160514238</v>
      </c>
      <c r="DT35" s="62">
        <f ca="1">AVERAGE(OFFSET($DS$3,0,0,'Données projet'!$E$14+1,1))-AVERAGE(OFFSET($H$3,0,0,'Données projet'!$E$14+1,1))</f>
        <v>290.85271051443431</v>
      </c>
      <c r="DU35" s="62">
        <f t="shared" si="44"/>
        <v>318.66958823451142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7.2</v>
      </c>
      <c r="EJ35" s="13">
        <f>IF('Données projet'!$A$192&gt;35,EJ34+EI35-ER34,IF(A35&lt;'Données projet'!$A$192,$EG$205^A35,IF(A35='Données projet'!$A$192,'Données projet'!$B$192,EJ34+EI35-ER34)))</f>
        <v>75.400000000000006</v>
      </c>
      <c r="EK35" s="18">
        <f>EJ35*VLOOKUP('Données projet'!$B$15,Paramètres!$A$1:$I$89,3,0)*VLOOKUP('Données projet'!$B$15,Paramètres!$A$1:$I$89,5,0)</f>
        <v>64.693200000000004</v>
      </c>
      <c r="EL35" s="14">
        <f t="shared" si="45"/>
        <v>18.349606424257921</v>
      </c>
      <c r="EM35" s="22">
        <f t="shared" si="19"/>
        <v>144.63288785558254</v>
      </c>
      <c r="EN35" s="62">
        <f t="shared" si="20"/>
        <v>437.96622118891582</v>
      </c>
      <c r="EO35" s="62">
        <f ca="1">AVERAGE(OFFSET($EN$3,0,0,'Données projet'!$E$15+1,1))-AVERAGE(OFFSET($H$3,0,0,'Données projet'!$E$15+1,1))</f>
        <v>438.65317358403996</v>
      </c>
      <c r="EP35" s="62">
        <f t="shared" si="46"/>
        <v>176.81257896138806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0</v>
      </c>
      <c r="EW35" s="23">
        <f>EXP(-LN(2)/25)*EW34+(1-EXP(-LN(2)/25))/(LN(2)/25)*Calculateur!ER35*Calculateur!ET35*VLOOKUP('Données projet'!$B$15,Paramètres!$A$1:$I$89,3,0)*0.475*44/12</f>
        <v>0</v>
      </c>
      <c r="EX35" s="23">
        <f>EXP(-LN(2)/2)*EX34+(1-EXP(-LN(2)/2))/(LN(2)/2)*ER35*EU35*VLOOKUP('Données projet'!$B$15,Paramètres!$A$1:$I$89,3,0)*0.475*44/12</f>
        <v>0</v>
      </c>
      <c r="EY35" s="24">
        <f t="shared" si="21"/>
        <v>0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18.100000000000001</v>
      </c>
      <c r="N36" s="14">
        <f>IF('Données projet'!$A$36&gt;35,N35+M36-V35,IF(A36&lt;'Données projet'!$A$36,$K$205^A36,IF(A36='Données projet'!$A$36,'Données projet'!$B$36,N35+M36-V35)))</f>
        <v>269.29230769230765</v>
      </c>
      <c r="O36" s="14">
        <f>N36*VLOOKUP('Données projet'!$B$9,Paramètres!$A$1:$I$89,3,0)*VLOOKUP('Données projet'!$B$9,Paramètres!$A$1:$I$89,5,0)</f>
        <v>150.53439999999998</v>
      </c>
      <c r="P36" s="14">
        <f t="shared" si="33"/>
        <v>38.700004790658191</v>
      </c>
      <c r="Q36" s="22">
        <f t="shared" si="53"/>
        <v>329.58325501039627</v>
      </c>
      <c r="R36" s="62">
        <f t="shared" si="0"/>
        <v>622.91658834372959</v>
      </c>
      <c r="S36" s="62">
        <f ca="1">AVERAGE(OFFSET($R$3,0,0,'Données projet'!$E$9+1,1))-AVERAGE(OFFSET($H$3,0,0,'Données projet'!$E$9+1,1))</f>
        <v>323.98185264074681</v>
      </c>
      <c r="T36" s="62">
        <f t="shared" si="34"/>
        <v>301.22207291854005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4.2049248583966259</v>
      </c>
      <c r="AA36" s="23">
        <f>EXP(-LN(2)/25)*AA35+(1-EXP(-LN(2)/25))/(LN(2)/25)*Calculateur!V36*Calculateur!X36*VLOOKUP('Données projet'!$B$9,Paramètres!$A$1:$I$89,3,0)*0.475*44/12</f>
        <v>7.589063280726382</v>
      </c>
      <c r="AB36" s="23">
        <f>EXP(-LN(2)/2)*AB35+(1-EXP(-LN(2)/2))/(LN(2)/2)*V36*Y36*VLOOKUP('Données projet'!$B$9,Paramètres!$A$1:$I$89,3,0)*0.475*44/12</f>
        <v>2.1523648696320263</v>
      </c>
      <c r="AC36" s="24">
        <f t="shared" si="3"/>
        <v>13.946353008755036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>
        <f>VLOOKUP(A36,'Données projet'!$A$61:$I$81,2,0)</f>
        <v>183.89999999999998</v>
      </c>
      <c r="AG36" s="13">
        <f>VLOOKUP(A36,'Données projet'!$A$61:$I$81,9,0)</f>
        <v>12.971794871794865</v>
      </c>
      <c r="AH36" s="13">
        <f t="array" ref="AH36">INDEX(AG:AG,MIN(IF(ISNUMBER(AG36:AG232),ROW(AG36:AG232),"")))</f>
        <v>12.971794871794865</v>
      </c>
      <c r="AI36" s="14">
        <f>IF('Données projet'!$A$62&gt;35,AI35+AH36-AQ35,IF(A36&lt;'Données projet'!$A$62,$AF$205^A36,IF(A36='Données projet'!$A$62,'Données projet'!$B$62,AI35+AH36-AQ35)))</f>
        <v>183.89999999999998</v>
      </c>
      <c r="AJ36" s="14">
        <f>AI36*VLOOKUP('Données projet'!$B$10,Paramètres!$A$1:$I$89,3,0)*VLOOKUP('Données projet'!$B$10,Paramètres!$A$1:$I$89,5,0)</f>
        <v>109.9722</v>
      </c>
      <c r="AK36" s="14">
        <f t="shared" si="35"/>
        <v>29.324434579377328</v>
      </c>
      <c r="AL36" s="22">
        <f t="shared" si="4"/>
        <v>242.60830522574884</v>
      </c>
      <c r="AM36" s="62">
        <f t="shared" si="5"/>
        <v>535.94163855908209</v>
      </c>
      <c r="AN36" s="62">
        <f ca="1">AVERAGE(OFFSET($AM$3,0,0,'Données projet'!$E$10+1,1))-AVERAGE(OFFSET($H$3,0,0,'Données projet'!$E$10+1,1))</f>
        <v>289.12367833861299</v>
      </c>
      <c r="AO36" s="62">
        <f t="shared" si="36"/>
        <v>229.06617320689003</v>
      </c>
      <c r="AP36" s="16">
        <f>IF(ISNA(VLOOKUP(A36,'Données projet'!$A$61:$I$81,3,0)),0,VLOOKUP(A36,'Données projet'!$A$61:$I$81,3,0))</f>
        <v>3</v>
      </c>
      <c r="AQ36" s="16">
        <f>IF(ISNA(VLOOKUP(A36,'Données projet'!$A$61:$I$81,4,0)),0,VLOOKUP(A36,'Données projet'!$A$61:$I$81,4,0))</f>
        <v>43.007692307692302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1.4661276020670206</v>
      </c>
      <c r="AX36" s="23">
        <f t="shared" si="6"/>
        <v>1.4661276020670206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12.833333333333334</v>
      </c>
      <c r="BD36" s="13">
        <f>IF('Données projet'!$A$88&gt;35,BD35+BC36-BL35,IF(A36&lt;'Données projet'!$A$88,$BA$205^A36,IF(A36='Données projet'!$A$88,'Données projet'!$B$88,BD35+BC36-BL35)))</f>
        <v>209.49999999999997</v>
      </c>
      <c r="BE36" s="14">
        <f>BD36*VLOOKUP('Données projet'!$B$11,Paramètres!$A$1:$I$89,3,0)*VLOOKUP('Données projet'!$B$11,Paramètres!$A$1:$I$89,5,0)</f>
        <v>130.72799999999998</v>
      </c>
      <c r="BF36" s="14">
        <f t="shared" si="37"/>
        <v>34.164524045585857</v>
      </c>
      <c r="BG36" s="22">
        <f t="shared" si="7"/>
        <v>287.18781271272866</v>
      </c>
      <c r="BH36" s="62">
        <f t="shared" si="8"/>
        <v>580.52114604606197</v>
      </c>
      <c r="BI36" s="62">
        <f ca="1">AVERAGE(OFFSET($BH$3,0,0,'Données projet'!$E$11+1,1))-AVERAGE(OFFSET($H$3,0,0,'Données projet'!$E$11+1,1))</f>
        <v>240.22884864766218</v>
      </c>
      <c r="BJ36" s="62">
        <f t="shared" si="38"/>
        <v>343.23776884143166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9.4737681256846145</v>
      </c>
      <c r="BR36" s="23">
        <f>EXP(-LN(2)/2)*BR35+(1-EXP(-LN(2)/2))/(LN(2)/2)*BL36*BO36*VLOOKUP('Données projet'!$B$11,Paramètres!$A$1:$I$89,3,0)*0.475*44/12</f>
        <v>5.8402847775295328</v>
      </c>
      <c r="BS36" s="24">
        <f t="shared" si="9"/>
        <v>15.314052903214147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8</v>
      </c>
      <c r="BY36" s="13">
        <f>IF('Données projet'!$A$114&gt;35,BY35+BX36-CG35,IF(A36&lt;'Données projet'!$A$114,$BV$205^A36,IF(A36='Données projet'!$A$114,'Données projet'!$B$114,BY35+BX36-CG35)))</f>
        <v>100</v>
      </c>
      <c r="BZ36" s="14">
        <f>BY36*VLOOKUP('Données projet'!$B$12,Paramètres!$A$1:$I$89,3,0)*VLOOKUP('Données projet'!$B$12,Paramètres!$A$1:$I$89,5,0)</f>
        <v>90.47999999999999</v>
      </c>
      <c r="CA36" s="14">
        <f t="shared" si="39"/>
        <v>24.680953573367994</v>
      </c>
      <c r="CB36" s="22">
        <f t="shared" si="10"/>
        <v>200.57199414028256</v>
      </c>
      <c r="CC36" s="62">
        <f t="shared" si="11"/>
        <v>493.9053274736159</v>
      </c>
      <c r="CD36" s="62">
        <f ca="1">AVERAGE(OFFSET($CC$3,0,0,'Données projet'!$E$12+1,1))-AVERAGE(OFFSET($H$3,0,0,'Données projet'!$E$12+1,1))</f>
        <v>428.8489304403459</v>
      </c>
      <c r="CE36" s="62">
        <f t="shared" si="40"/>
        <v>247.01165577562966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10.6</v>
      </c>
      <c r="CT36" s="13">
        <f>IF('Données projet'!$A$140&gt;35,CT35+CS36-DB35,IF(A36&lt;'Données projet'!$A$140,$CQ$205^A36,IF(A36='Données projet'!$A$140,'Données projet'!$B$140,CT35+CS36-DB35)))</f>
        <v>150.79999999999993</v>
      </c>
      <c r="CU36" s="18">
        <f>CT36*VLOOKUP('Données projet'!$B$13,Paramètres!$A$1:$I$89,3,0)*VLOOKUP('Données projet'!$B$13,Paramètres!$A$1:$I$89,5,0)</f>
        <v>119.97647999999994</v>
      </c>
      <c r="CV36" s="14">
        <f t="shared" si="41"/>
        <v>31.669513577784763</v>
      </c>
      <c r="CW36" s="22">
        <f t="shared" si="13"/>
        <v>264.11677214797504</v>
      </c>
      <c r="CX36" s="62">
        <f t="shared" si="14"/>
        <v>557.45010548130836</v>
      </c>
      <c r="CY36" s="62">
        <f ca="1">AVERAGE(OFFSET($CX$3,0,0,'Données projet'!$E$13+1,1))-AVERAGE(OFFSET($H$3,0,0,'Données projet'!$E$13+1,1))</f>
        <v>312.53381881960331</v>
      </c>
      <c r="CZ36" s="62">
        <f t="shared" si="42"/>
        <v>342.06887933351783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10.6</v>
      </c>
      <c r="DO36" s="13">
        <f>IF('Données projet'!$A$166&gt;35,DO35+DN36-DW35,IF(A36&lt;'Données projet'!$A$166,$DL$205^A36,IF(A36='Données projet'!$A$166,'Données projet'!$B$166,DO35+DN36-DW35)))</f>
        <v>150.79999999999993</v>
      </c>
      <c r="DP36" s="18">
        <f>DO36*VLOOKUP('Données projet'!$B$14,Paramètres!$A$1:$I$89,3,0)*VLOOKUP('Données projet'!$B$14,Paramètres!$A$1:$I$89,5,0)</f>
        <v>110.56655999999994</v>
      </c>
      <c r="DQ36" s="14">
        <f t="shared" si="43"/>
        <v>29.464430590067003</v>
      </c>
      <c r="DR36" s="22">
        <f t="shared" si="16"/>
        <v>243.88730861103326</v>
      </c>
      <c r="DS36" s="62">
        <f t="shared" si="17"/>
        <v>537.22064194436655</v>
      </c>
      <c r="DT36" s="62">
        <f ca="1">AVERAGE(OFFSET($DS$3,0,0,'Données projet'!$E$14+1,1))-AVERAGE(OFFSET($H$3,0,0,'Données projet'!$E$14+1,1))</f>
        <v>290.85271051443431</v>
      </c>
      <c r="DU36" s="62">
        <f t="shared" si="44"/>
        <v>318.66958823451142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7.2</v>
      </c>
      <c r="EJ36" s="13">
        <f>IF('Données projet'!$A$192&gt;35,EJ35+EI36-ER35,IF(A36&lt;'Données projet'!$A$192,$EG$205^A36,IF(A36='Données projet'!$A$192,'Données projet'!$B$192,EJ35+EI36-ER35)))</f>
        <v>82.600000000000009</v>
      </c>
      <c r="EK36" s="18">
        <f>EJ36*VLOOKUP('Données projet'!$B$15,Paramètres!$A$1:$I$89,3,0)*VLOOKUP('Données projet'!$B$15,Paramètres!$A$1:$I$89,5,0)</f>
        <v>70.870800000000017</v>
      </c>
      <c r="EL36" s="14">
        <f t="shared" si="45"/>
        <v>19.88955205532633</v>
      </c>
      <c r="EM36" s="22">
        <f t="shared" si="19"/>
        <v>158.07427982969338</v>
      </c>
      <c r="EN36" s="62">
        <f t="shared" si="20"/>
        <v>451.40761316302667</v>
      </c>
      <c r="EO36" s="62">
        <f ca="1">AVERAGE(OFFSET($EN$3,0,0,'Données projet'!$E$15+1,1))-AVERAGE(OFFSET($H$3,0,0,'Données projet'!$E$15+1,1))</f>
        <v>438.65317358403996</v>
      </c>
      <c r="EP36" s="62">
        <f t="shared" si="46"/>
        <v>176.81257896138806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projet'!$B$15,Paramètres!$A$1:$I$89,3,0)*0.475*44/12</f>
        <v>0</v>
      </c>
      <c r="EW36" s="23">
        <f>EXP(-LN(2)/25)*EW35+(1-EXP(-LN(2)/25))/(LN(2)/25)*Calculateur!ER36*Calculateur!ET36*VLOOKUP('Données projet'!$B$15,Paramètres!$A$1:$I$89,3,0)*0.475*44/12</f>
        <v>0</v>
      </c>
      <c r="EX36" s="23">
        <f>EXP(-LN(2)/2)*EX35+(1-EXP(-LN(2)/2))/(LN(2)/2)*ER36*EU36*VLOOKUP('Données projet'!$B$15,Paramètres!$A$1:$I$89,3,0)*0.475*44/12</f>
        <v>0</v>
      </c>
      <c r="EY36" s="24">
        <f t="shared" si="21"/>
        <v>0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18.100000000000001</v>
      </c>
      <c r="N37" s="14">
        <f>IF('Données projet'!$A$36&gt;35,N36+M37-V36,IF(A37&lt;'Données projet'!$A$36,$K$205^A37,IF(A37='Données projet'!$A$36,'Données projet'!$B$36,N36+M37-V36)))</f>
        <v>287.39230769230767</v>
      </c>
      <c r="O37" s="14">
        <f>N37*VLOOKUP('Données projet'!$B$9,Paramètres!$A$1:$I$89,3,0)*VLOOKUP('Données projet'!$B$9,Paramètres!$A$1:$I$89,5,0)</f>
        <v>160.6523</v>
      </c>
      <c r="P37" s="14">
        <f t="shared" si="33"/>
        <v>40.989608635643826</v>
      </c>
      <c r="Q37" s="22">
        <f t="shared" si="53"/>
        <v>351.19299087374634</v>
      </c>
      <c r="R37" s="62">
        <f t="shared" si="0"/>
        <v>644.5263242070796</v>
      </c>
      <c r="S37" s="62">
        <f ca="1">AVERAGE(OFFSET($R$3,0,0,'Données projet'!$E$9+1,1))-AVERAGE(OFFSET($H$3,0,0,'Données projet'!$E$9+1,1))</f>
        <v>323.98185264074681</v>
      </c>
      <c r="T37" s="62">
        <f t="shared" si="34"/>
        <v>301.22207291854005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4.1224688466743835</v>
      </c>
      <c r="AA37" s="23">
        <f>EXP(-LN(2)/25)*AA36+(1-EXP(-LN(2)/25))/(LN(2)/25)*Calculateur!V37*Calculateur!X37*VLOOKUP('Données projet'!$B$9,Paramètres!$A$1:$I$89,3,0)*0.475*44/12</f>
        <v>7.3815399462234259</v>
      </c>
      <c r="AB37" s="23">
        <f>EXP(-LN(2)/2)*AB36+(1-EXP(-LN(2)/2))/(LN(2)/2)*V37*Y37*VLOOKUP('Données projet'!$B$9,Paramètres!$A$1:$I$89,3,0)*0.475*44/12</f>
        <v>1.5219517949045052</v>
      </c>
      <c r="AC37" s="24">
        <f t="shared" si="3"/>
        <v>13.025960587802315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12.74038461538462</v>
      </c>
      <c r="AI37" s="14">
        <f>IF('Données projet'!$A$62&gt;35,AI36+AH37-AQ36,IF(A37&lt;'Données projet'!$A$62,$AF$205^A37,IF(A37='Données projet'!$A$62,'Données projet'!$B$62,AI36+AH37-AQ36)))</f>
        <v>153.63269230769228</v>
      </c>
      <c r="AJ37" s="14">
        <f>AI37*VLOOKUP('Données projet'!$B$10,Paramètres!$A$1:$I$89,3,0)*VLOOKUP('Données projet'!$B$10,Paramètres!$A$1:$I$89,5,0)</f>
        <v>91.872349999999997</v>
      </c>
      <c r="AK37" s="14">
        <f t="shared" si="35"/>
        <v>25.016248165039102</v>
      </c>
      <c r="AL37" s="22">
        <f t="shared" si="4"/>
        <v>203.58097513744312</v>
      </c>
      <c r="AM37" s="62">
        <f t="shared" si="5"/>
        <v>496.9143084707764</v>
      </c>
      <c r="AN37" s="62">
        <f ca="1">AVERAGE(OFFSET($AM$3,0,0,'Données projet'!$E$10+1,1))-AVERAGE(OFFSET($H$3,0,0,'Données projet'!$E$10+1,1))</f>
        <v>289.12367833861299</v>
      </c>
      <c r="AO37" s="62">
        <f t="shared" si="36"/>
        <v>229.06617320689003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1.0367087695063624</v>
      </c>
      <c r="AX37" s="23">
        <f t="shared" si="6"/>
        <v>1.0367087695063624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12.833333333333334</v>
      </c>
      <c r="BD37" s="13">
        <f>IF('Données projet'!$A$88&gt;35,BD36+BC37-BL36,IF(A37&lt;'Données projet'!$A$88,$BA$205^A37,IF(A37='Données projet'!$A$88,'Données projet'!$B$88,BD36+BC37-BL36)))</f>
        <v>222.33333333333331</v>
      </c>
      <c r="BE37" s="14">
        <f>BD37*VLOOKUP('Données projet'!$B$11,Paramètres!$A$1:$I$89,3,0)*VLOOKUP('Données projet'!$B$11,Paramètres!$A$1:$I$89,5,0)</f>
        <v>138.73599999999999</v>
      </c>
      <c r="BF37" s="14">
        <f t="shared" si="37"/>
        <v>36.007288175538044</v>
      </c>
      <c r="BG37" s="22">
        <f t="shared" si="7"/>
        <v>304.34456023906205</v>
      </c>
      <c r="BH37" s="62">
        <f t="shared" si="8"/>
        <v>597.67789357239531</v>
      </c>
      <c r="BI37" s="62">
        <f ca="1">AVERAGE(OFFSET($BH$3,0,0,'Données projet'!$E$11+1,1))-AVERAGE(OFFSET($H$3,0,0,'Données projet'!$E$11+1,1))</f>
        <v>240.22884864766218</v>
      </c>
      <c r="BJ37" s="62">
        <f t="shared" si="38"/>
        <v>343.23776884143166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9.2147074380839555</v>
      </c>
      <c r="BR37" s="23">
        <f>EXP(-LN(2)/2)*BR36+(1-EXP(-LN(2)/2))/(LN(2)/2)*BL37*BO37*VLOOKUP('Données projet'!$B$11,Paramètres!$A$1:$I$89,3,0)*0.475*44/12</f>
        <v>4.1297049702516997</v>
      </c>
      <c r="BS37" s="24">
        <f t="shared" si="9"/>
        <v>13.344412408335655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8</v>
      </c>
      <c r="BY37" s="13">
        <f>IF('Données projet'!$A$114&gt;35,BY36+BX37-CG36,IF(A37&lt;'Données projet'!$A$114,$BV$205^A37,IF(A37='Données projet'!$A$114,'Données projet'!$B$114,BY36+BX37-CG36)))</f>
        <v>108</v>
      </c>
      <c r="BZ37" s="14">
        <f>BY37*VLOOKUP('Données projet'!$B$12,Paramètres!$A$1:$I$89,3,0)*VLOOKUP('Données projet'!$B$12,Paramètres!$A$1:$I$89,5,0)</f>
        <v>97.718399999999988</v>
      </c>
      <c r="CA37" s="14">
        <f t="shared" si="39"/>
        <v>26.417709819192194</v>
      </c>
      <c r="CB37" s="22">
        <f t="shared" si="10"/>
        <v>216.20372460175972</v>
      </c>
      <c r="CC37" s="62">
        <f t="shared" si="11"/>
        <v>509.537057935093</v>
      </c>
      <c r="CD37" s="62">
        <f ca="1">AVERAGE(OFFSET($CC$3,0,0,'Données projet'!$E$12+1,1))-AVERAGE(OFFSET($H$3,0,0,'Données projet'!$E$12+1,1))</f>
        <v>428.8489304403459</v>
      </c>
      <c r="CE37" s="62">
        <f t="shared" si="40"/>
        <v>247.01165577562966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10.6</v>
      </c>
      <c r="CT37" s="13">
        <f>IF('Données projet'!$A$140&gt;35,CT36+CS37-DB36,IF(A37&lt;'Données projet'!$A$140,$CQ$205^A37,IF(A37='Données projet'!$A$140,'Données projet'!$B$140,CT36+CS37-DB36)))</f>
        <v>161.39999999999992</v>
      </c>
      <c r="CU37" s="18">
        <f>CT37*VLOOKUP('Données projet'!$B$13,Paramètres!$A$1:$I$89,3,0)*VLOOKUP('Données projet'!$B$13,Paramètres!$A$1:$I$89,5,0)</f>
        <v>128.40983999999995</v>
      </c>
      <c r="CV37" s="14">
        <f t="shared" si="41"/>
        <v>33.62865726522088</v>
      </c>
      <c r="CW37" s="22">
        <f t="shared" si="13"/>
        <v>282.21704940359291</v>
      </c>
      <c r="CX37" s="62">
        <f t="shared" si="14"/>
        <v>575.55038273692617</v>
      </c>
      <c r="CY37" s="62">
        <f ca="1">AVERAGE(OFFSET($CX$3,0,0,'Données projet'!$E$13+1,1))-AVERAGE(OFFSET($H$3,0,0,'Données projet'!$E$13+1,1))</f>
        <v>312.53381881960331</v>
      </c>
      <c r="CZ37" s="62">
        <f t="shared" si="42"/>
        <v>342.06887933351783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10.6</v>
      </c>
      <c r="DO37" s="13">
        <f>IF('Données projet'!$A$166&gt;35,DO36+DN37-DW36,IF(A37&lt;'Données projet'!$A$166,$DL$205^A37,IF(A37='Données projet'!$A$166,'Données projet'!$B$166,DO36+DN37-DW36)))</f>
        <v>161.39999999999992</v>
      </c>
      <c r="DP37" s="18">
        <f>DO37*VLOOKUP('Données projet'!$B$14,Paramètres!$A$1:$I$89,3,0)*VLOOKUP('Données projet'!$B$14,Paramètres!$A$1:$I$89,5,0)</f>
        <v>118.33847999999995</v>
      </c>
      <c r="DQ37" s="14">
        <f t="shared" si="43"/>
        <v>31.287163138599794</v>
      </c>
      <c r="DR37" s="22">
        <f t="shared" si="16"/>
        <v>260.59799513306115</v>
      </c>
      <c r="DS37" s="62">
        <f t="shared" si="17"/>
        <v>553.93132846639446</v>
      </c>
      <c r="DT37" s="62">
        <f ca="1">AVERAGE(OFFSET($DS$3,0,0,'Données projet'!$E$14+1,1))-AVERAGE(OFFSET($H$3,0,0,'Données projet'!$E$14+1,1))</f>
        <v>290.85271051443431</v>
      </c>
      <c r="DU37" s="62">
        <f t="shared" si="44"/>
        <v>318.66958823451142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7.2</v>
      </c>
      <c r="EJ37" s="13">
        <f>IF('Données projet'!$A$192&gt;35,EJ36+EI37-ER36,IF(A37&lt;'Données projet'!$A$192,$EG$205^A37,IF(A37='Données projet'!$A$192,'Données projet'!$B$192,EJ36+EI37-ER36)))</f>
        <v>89.800000000000011</v>
      </c>
      <c r="EK37" s="18">
        <f>EJ37*VLOOKUP('Données projet'!$B$15,Paramètres!$A$1:$I$89,3,0)*VLOOKUP('Données projet'!$B$15,Paramètres!$A$1:$I$89,5,0)</f>
        <v>77.048400000000015</v>
      </c>
      <c r="EL37" s="14">
        <f t="shared" si="45"/>
        <v>21.413931223592172</v>
      </c>
      <c r="EM37" s="22">
        <f t="shared" si="19"/>
        <v>171.48856021442305</v>
      </c>
      <c r="EN37" s="62">
        <f t="shared" si="20"/>
        <v>464.82189354775636</v>
      </c>
      <c r="EO37" s="62">
        <f ca="1">AVERAGE(OFFSET($EN$3,0,0,'Données projet'!$E$15+1,1))-AVERAGE(OFFSET($H$3,0,0,'Données projet'!$E$15+1,1))</f>
        <v>438.65317358403996</v>
      </c>
      <c r="EP37" s="62">
        <f t="shared" si="46"/>
        <v>176.81257896138806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projet'!$B$15,Paramètres!$A$1:$I$89,3,0)*0.475*44/12</f>
        <v>0</v>
      </c>
      <c r="EW37" s="23">
        <f>EXP(-LN(2)/25)*EW36+(1-EXP(-LN(2)/25))/(LN(2)/25)*Calculateur!ER37*Calculateur!ET37*VLOOKUP('Données projet'!$B$15,Paramètres!$A$1:$I$89,3,0)*0.475*44/12</f>
        <v>0</v>
      </c>
      <c r="EX37" s="23">
        <f>EXP(-LN(2)/2)*EX36+(1-EXP(-LN(2)/2))/(LN(2)/2)*ER37*EU37*VLOOKUP('Données projet'!$B$15,Paramètres!$A$1:$I$89,3,0)*0.475*44/12</f>
        <v>0</v>
      </c>
      <c r="EY37" s="24">
        <f t="shared" si="21"/>
        <v>0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305.49230769230769</v>
      </c>
      <c r="L38" s="13">
        <f>VLOOKUP(A38,'Données projet'!$A$35:$I$55,9,0)</f>
        <v>18.100000000000001</v>
      </c>
      <c r="M38" s="13">
        <f t="array" ref="M38">INDEX(L:L,MIN(IF(ISNUMBER(L38:L234),ROW(L38:L234),"")))</f>
        <v>18.100000000000001</v>
      </c>
      <c r="N38" s="14">
        <f>IF('Données projet'!$A$36&gt;35,N37+M38-V37,IF(A38&lt;'Données projet'!$A$36,$K$205^A38,IF(A38='Données projet'!$A$36,'Données projet'!$B$36,N37+M38-V37)))</f>
        <v>305.49230769230769</v>
      </c>
      <c r="O38" s="14">
        <f>N38*VLOOKUP('Données projet'!$B$9,Paramètres!$A$1:$I$89,3,0)*VLOOKUP('Données projet'!$B$9,Paramètres!$A$1:$I$89,5,0)</f>
        <v>170.77019999999999</v>
      </c>
      <c r="P38" s="14">
        <f t="shared" si="33"/>
        <v>43.26247735598961</v>
      </c>
      <c r="Q38" s="22">
        <f t="shared" si="53"/>
        <v>372.77357972834852</v>
      </c>
      <c r="R38" s="62">
        <f t="shared" si="0"/>
        <v>666.10691306168178</v>
      </c>
      <c r="S38" s="62">
        <f ca="1">AVERAGE(OFFSET($R$3,0,0,'Données projet'!$E$9+1,1))-AVERAGE(OFFSET($H$3,0,0,'Données projet'!$E$9+1,1))</f>
        <v>323.98185264074681</v>
      </c>
      <c r="T38" s="62">
        <f t="shared" si="34"/>
        <v>301.22207291854005</v>
      </c>
      <c r="U38" s="16">
        <f>IF(ISNA(VLOOKUP(A38,'Données projet'!$A$35:$I$55,3,0)),0,VLOOKUP(A38,'Données projet'!$A$35:$I$55,3,0))</f>
        <v>3</v>
      </c>
      <c r="V38" s="16">
        <f>IF(ISNA(VLOOKUP(A38,'Données projet'!$A$35:$I$55,4,0)),0,VLOOKUP(A38,'Données projet'!$A$35:$I$55,4,0))</f>
        <v>70.5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4.0416297470488134</v>
      </c>
      <c r="AA38" s="23">
        <f>EXP(-LN(2)/25)*AA37+(1-EXP(-LN(2)/25))/(LN(2)/25)*Calculateur!V38*Calculateur!X38*VLOOKUP('Données projet'!$B$9,Paramètres!$A$1:$I$89,3,0)*0.475*44/12</f>
        <v>7.1796913482156315</v>
      </c>
      <c r="AB38" s="23">
        <f>EXP(-LN(2)/2)*AB37+(1-EXP(-LN(2)/2))/(LN(2)/2)*V38*Y38*VLOOKUP('Données projet'!$B$9,Paramètres!$A$1:$I$89,3,0)*0.475*44/12</f>
        <v>1.0761824348160132</v>
      </c>
      <c r="AC38" s="24">
        <f t="shared" si="3"/>
        <v>12.297503530080458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12.74038461538462</v>
      </c>
      <c r="AI38" s="14">
        <f>IF('Données projet'!$A$62&gt;35,AI37+AH38-AQ37,IF(A38&lt;'Données projet'!$A$62,$AF$205^A38,IF(A38='Données projet'!$A$62,'Données projet'!$B$62,AI37+AH38-AQ37)))</f>
        <v>166.37307692307689</v>
      </c>
      <c r="AJ38" s="14">
        <f>AI38*VLOOKUP('Données projet'!$B$10,Paramètres!$A$1:$I$89,3,0)*VLOOKUP('Données projet'!$B$10,Paramètres!$A$1:$I$89,5,0)</f>
        <v>99.491099999999989</v>
      </c>
      <c r="AK38" s="14">
        <f t="shared" si="35"/>
        <v>26.84072316435665</v>
      </c>
      <c r="AL38" s="22">
        <f t="shared" si="4"/>
        <v>220.02792534458783</v>
      </c>
      <c r="AM38" s="62">
        <f t="shared" si="5"/>
        <v>513.36125867792111</v>
      </c>
      <c r="AN38" s="62">
        <f ca="1">AVERAGE(OFFSET($AM$3,0,0,'Données projet'!$E$10+1,1))-AVERAGE(OFFSET($H$3,0,0,'Données projet'!$E$10+1,1))</f>
        <v>289.12367833861299</v>
      </c>
      <c r="AO38" s="62">
        <f t="shared" si="36"/>
        <v>229.06617320689003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0.73306380103351032</v>
      </c>
      <c r="AX38" s="23">
        <f t="shared" si="6"/>
        <v>0.73306380103351032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12.833333333333334</v>
      </c>
      <c r="BD38" s="13">
        <f>IF('Données projet'!$A$88&gt;35,BD37+BC38-BL37,IF(A38&lt;'Données projet'!$A$88,$BA$205^A38,IF(A38='Données projet'!$A$88,'Données projet'!$B$88,BD37+BC38-BL37)))</f>
        <v>235.16666666666666</v>
      </c>
      <c r="BE38" s="14">
        <f>BD38*VLOOKUP('Données projet'!$B$11,Paramètres!$A$1:$I$89,3,0)*VLOOKUP('Données projet'!$B$11,Paramètres!$A$1:$I$89,5,0)</f>
        <v>146.744</v>
      </c>
      <c r="BF38" s="14">
        <f t="shared" si="37"/>
        <v>37.837705514258651</v>
      </c>
      <c r="BG38" s="22">
        <f t="shared" si="7"/>
        <v>321.47980377066716</v>
      </c>
      <c r="BH38" s="62">
        <f t="shared" si="8"/>
        <v>614.81313710400048</v>
      </c>
      <c r="BI38" s="62">
        <f ca="1">AVERAGE(OFFSET($BH$3,0,0,'Données projet'!$E$11+1,1))-AVERAGE(OFFSET($H$3,0,0,'Données projet'!$E$11+1,1))</f>
        <v>240.22884864766218</v>
      </c>
      <c r="BJ38" s="62">
        <f t="shared" si="38"/>
        <v>343.23776884143166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8.9627307786091457</v>
      </c>
      <c r="BR38" s="23">
        <f>EXP(-LN(2)/2)*BR37+(1-EXP(-LN(2)/2))/(LN(2)/2)*BL38*BO38*VLOOKUP('Données projet'!$B$11,Paramètres!$A$1:$I$89,3,0)*0.475*44/12</f>
        <v>2.9201423887647664</v>
      </c>
      <c r="BS38" s="24">
        <f t="shared" si="9"/>
        <v>11.882873167373912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116</v>
      </c>
      <c r="BW38" s="13">
        <f>VLOOKUP(A38,'Données projet'!$A$113:$I$133,9,0)</f>
        <v>8</v>
      </c>
      <c r="BX38" s="13">
        <f t="array" ref="BX38">INDEX(BW:BW,MIN(IF(ISNUMBER(BW38:BW234),ROW(BW38:BW234),"")))</f>
        <v>8</v>
      </c>
      <c r="BY38" s="13">
        <f>IF('Données projet'!$A$114&gt;35,BY37+BX38-CG37,IF(A38&lt;'Données projet'!$A$114,$BV$205^A38,IF(A38='Données projet'!$A$114,'Données projet'!$B$114,BY37+BX38-CG37)))</f>
        <v>116</v>
      </c>
      <c r="BZ38" s="14">
        <f>BY38*VLOOKUP('Données projet'!$B$12,Paramètres!$A$1:$I$89,3,0)*VLOOKUP('Données projet'!$B$12,Paramètres!$A$1:$I$89,5,0)</f>
        <v>104.9568</v>
      </c>
      <c r="CA38" s="14">
        <f t="shared" si="39"/>
        <v>28.139541339232373</v>
      </c>
      <c r="CB38" s="22">
        <f t="shared" si="10"/>
        <v>231.8094611658297</v>
      </c>
      <c r="CC38" s="62">
        <f t="shared" si="11"/>
        <v>525.14279449916307</v>
      </c>
      <c r="CD38" s="62">
        <f ca="1">AVERAGE(OFFSET($CC$3,0,0,'Données projet'!$E$12+1,1))-AVERAGE(OFFSET($H$3,0,0,'Données projet'!$E$12+1,1))</f>
        <v>428.8489304403459</v>
      </c>
      <c r="CE38" s="62">
        <f t="shared" si="40"/>
        <v>247.01165577562966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172</v>
      </c>
      <c r="CR38" s="13">
        <f>VLOOKUP(A38,'Données projet'!$A$139:$I$159,9,0)</f>
        <v>10.6</v>
      </c>
      <c r="CS38" s="13">
        <f t="array" ref="CS38">INDEX(CR:CR,MIN(IF(ISNUMBER(CR38:CR234),ROW(CR38:CR234),"")))</f>
        <v>10.6</v>
      </c>
      <c r="CT38" s="13">
        <f>IF('Données projet'!$A$140&gt;35,CT37+CS38-DB37,IF(A38&lt;'Données projet'!$A$140,$CQ$205^A38,IF(A38='Données projet'!$A$140,'Données projet'!$B$140,CT37+CS38-DB37)))</f>
        <v>171.99999999999991</v>
      </c>
      <c r="CU38" s="18">
        <f>CT38*VLOOKUP('Données projet'!$B$13,Paramètres!$A$1:$I$89,3,0)*VLOOKUP('Données projet'!$B$13,Paramètres!$A$1:$I$89,5,0)</f>
        <v>136.84319999999994</v>
      </c>
      <c r="CV38" s="14">
        <f t="shared" si="41"/>
        <v>35.572869837729613</v>
      </c>
      <c r="CW38" s="22">
        <f t="shared" si="13"/>
        <v>300.29132163404557</v>
      </c>
      <c r="CX38" s="62">
        <f t="shared" si="14"/>
        <v>593.62465496737889</v>
      </c>
      <c r="CY38" s="62">
        <f ca="1">AVERAGE(OFFSET($CX$3,0,0,'Données projet'!$E$13+1,1))-AVERAGE(OFFSET($H$3,0,0,'Données projet'!$E$13+1,1))</f>
        <v>312.53381881960331</v>
      </c>
      <c r="CZ38" s="62">
        <f t="shared" si="42"/>
        <v>342.06887933351783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172</v>
      </c>
      <c r="DM38" s="13">
        <f>VLOOKUP(A38,'Données projet'!$A$165:$I$185,9,0)</f>
        <v>10.6</v>
      </c>
      <c r="DN38" s="13">
        <f t="array" ref="DN38">INDEX(DM:DM,MIN(IF(ISNUMBER(DM38:DM234),ROW(DM38:DM234),"")))</f>
        <v>10.6</v>
      </c>
      <c r="DO38" s="13">
        <f>IF('Données projet'!$A$166&gt;35,DO37+DN38-DW37,IF(A38&lt;'Données projet'!$A$166,$DL$205^A38,IF(A38='Données projet'!$A$166,'Données projet'!$B$166,DO37+DN38-DW37)))</f>
        <v>171.99999999999991</v>
      </c>
      <c r="DP38" s="18">
        <f>DO38*VLOOKUP('Données projet'!$B$14,Paramètres!$A$1:$I$89,3,0)*VLOOKUP('Données projet'!$B$14,Paramètres!$A$1:$I$89,5,0)</f>
        <v>126.11039999999994</v>
      </c>
      <c r="DQ38" s="14">
        <f t="shared" si="43"/>
        <v>33.096004194977844</v>
      </c>
      <c r="DR38" s="22">
        <f t="shared" si="16"/>
        <v>277.28448730625297</v>
      </c>
      <c r="DS38" s="62">
        <f t="shared" si="17"/>
        <v>570.61782063958628</v>
      </c>
      <c r="DT38" s="62">
        <f ca="1">AVERAGE(OFFSET($DS$3,0,0,'Données projet'!$E$14+1,1))-AVERAGE(OFFSET($H$3,0,0,'Données projet'!$E$14+1,1))</f>
        <v>290.85271051443431</v>
      </c>
      <c r="DU38" s="62">
        <f t="shared" si="44"/>
        <v>318.66958823451142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0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>
        <f>VLOOKUP(A38,'Données projet'!$A$191:$I$211,2,0)</f>
        <v>97</v>
      </c>
      <c r="EH38" s="13">
        <f>VLOOKUP(A38,'Données projet'!$A$191:$I$211,9,0)</f>
        <v>7.2</v>
      </c>
      <c r="EI38" s="13">
        <f t="array" ref="EI38">INDEX(EH:EH,MIN(IF(ISNUMBER(EH38:EH234),ROW(EH38:EH234),"")))</f>
        <v>7.2</v>
      </c>
      <c r="EJ38" s="13">
        <f>IF('Données projet'!$A$192&gt;35,EJ37+EI38-ER37,IF(A38&lt;'Données projet'!$A$192,$EG$205^A38,IF(A38='Données projet'!$A$192,'Données projet'!$B$192,EJ37+EI38-ER37)))</f>
        <v>97.000000000000014</v>
      </c>
      <c r="EK38" s="18">
        <f>EJ38*VLOOKUP('Données projet'!$B$15,Paramètres!$A$1:$I$89,3,0)*VLOOKUP('Données projet'!$B$15,Paramètres!$A$1:$I$89,5,0)</f>
        <v>83.226000000000028</v>
      </c>
      <c r="EL38" s="14">
        <f t="shared" si="45"/>
        <v>22.924133915866854</v>
      </c>
      <c r="EM38" s="22">
        <f t="shared" si="19"/>
        <v>184.87814990346817</v>
      </c>
      <c r="EN38" s="62">
        <f t="shared" si="20"/>
        <v>478.21148323680148</v>
      </c>
      <c r="EO38" s="62">
        <f ca="1">AVERAGE(OFFSET($EN$3,0,0,'Données projet'!$E$15+1,1))-AVERAGE(OFFSET($H$3,0,0,'Données projet'!$E$15+1,1))</f>
        <v>438.65317358403996</v>
      </c>
      <c r="EP38" s="62">
        <f t="shared" si="46"/>
        <v>176.81257896138806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projet'!$B$15,Paramètres!$A$1:$I$89,3,0)*0.475*44/12</f>
        <v>0</v>
      </c>
      <c r="EW38" s="23">
        <f>EXP(-LN(2)/25)*EW37+(1-EXP(-LN(2)/25))/(LN(2)/25)*Calculateur!ER38*Calculateur!ET38*VLOOKUP('Données projet'!$B$15,Paramètres!$A$1:$I$89,3,0)*0.475*44/12</f>
        <v>0</v>
      </c>
      <c r="EX38" s="23">
        <f>EXP(-LN(2)/2)*EX37+(1-EXP(-LN(2)/2))/(LN(2)/2)*ER38*EU38*VLOOKUP('Données projet'!$B$15,Paramètres!$A$1:$I$89,3,0)*0.475*44/12</f>
        <v>0</v>
      </c>
      <c r="EY38" s="24">
        <f t="shared" si="21"/>
        <v>0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18.229670329670324</v>
      </c>
      <c r="N39" s="14">
        <f>IF('Données projet'!$A$36&gt;35,N38+M39-V38,IF(A39&lt;'Données projet'!$A$36,$K$205^A39,IF(A39='Données projet'!$A$36,'Données projet'!$B$36,N38+M39-V38)))</f>
        <v>253.22197802197803</v>
      </c>
      <c r="O39" s="14">
        <f>N39*VLOOKUP('Données projet'!$B$9,Paramètres!$A$1:$I$89,3,0)*VLOOKUP('Données projet'!$B$9,Paramètres!$A$1:$I$89,5,0)</f>
        <v>141.55108571428573</v>
      </c>
      <c r="P39" s="14">
        <f t="shared" si="33"/>
        <v>36.652109269178766</v>
      </c>
      <c r="Q39" s="22">
        <f t="shared" si="53"/>
        <v>310.37056459620067</v>
      </c>
      <c r="R39" s="62">
        <f t="shared" si="0"/>
        <v>603.70389792953392</v>
      </c>
      <c r="S39" s="62">
        <f ca="1">AVERAGE(OFFSET($R$3,0,0,'Données projet'!$E$9+1,1))-AVERAGE(OFFSET($H$3,0,0,'Données projet'!$E$9+1,1))</f>
        <v>323.98185264074681</v>
      </c>
      <c r="T39" s="62">
        <f t="shared" si="34"/>
        <v>301.22207291854005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3.9623758528599184</v>
      </c>
      <c r="AA39" s="23">
        <f>EXP(-LN(2)/25)*AA38+(1-EXP(-LN(2)/25))/(LN(2)/25)*Calculateur!V39*Calculateur!X39*VLOOKUP('Données projet'!$B$9,Paramètres!$A$1:$I$89,3,0)*0.475*44/12</f>
        <v>6.9833623107351164</v>
      </c>
      <c r="AB39" s="23">
        <f>EXP(-LN(2)/2)*AB38+(1-EXP(-LN(2)/2))/(LN(2)/2)*V39*Y39*VLOOKUP('Données projet'!$B$9,Paramètres!$A$1:$I$89,3,0)*0.475*44/12</f>
        <v>0.76097589745225258</v>
      </c>
      <c r="AC39" s="24">
        <f t="shared" si="3"/>
        <v>11.706714061047288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12.74038461538462</v>
      </c>
      <c r="AI39" s="14">
        <f>IF('Données projet'!$A$62&gt;35,AI38+AH39-AQ38,IF(A39&lt;'Données projet'!$A$62,$AF$205^A39,IF(A39='Données projet'!$A$62,'Données projet'!$B$62,AI38+AH39-AQ38)))</f>
        <v>179.11346153846151</v>
      </c>
      <c r="AJ39" s="14">
        <f>AI39*VLOOKUP('Données projet'!$B$10,Paramètres!$A$1:$I$89,3,0)*VLOOKUP('Données projet'!$B$10,Paramètres!$A$1:$I$89,5,0)</f>
        <v>107.10984999999999</v>
      </c>
      <c r="AK39" s="14">
        <f t="shared" si="35"/>
        <v>28.648991101707331</v>
      </c>
      <c r="AL39" s="22">
        <f t="shared" si="4"/>
        <v>236.44664825214025</v>
      </c>
      <c r="AM39" s="62">
        <f t="shared" si="5"/>
        <v>529.77998158547359</v>
      </c>
      <c r="AN39" s="62">
        <f ca="1">AVERAGE(OFFSET($AM$3,0,0,'Données projet'!$E$10+1,1))-AVERAGE(OFFSET($H$3,0,0,'Données projet'!$E$10+1,1))</f>
        <v>289.12367833861299</v>
      </c>
      <c r="AO39" s="62">
        <f t="shared" si="36"/>
        <v>229.06617320689003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0.51835438475318119</v>
      </c>
      <c r="AX39" s="23">
        <f t="shared" si="6"/>
        <v>0.51835438475318119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>
        <f>VLOOKUP(A39,'Données projet'!$A$87:$I$107,2,0)</f>
        <v>248</v>
      </c>
      <c r="BB39" s="13">
        <f>VLOOKUP(A39,'Données projet'!$A$87:$I$107,9,0)</f>
        <v>12.833333333333334</v>
      </c>
      <c r="BC39" s="13">
        <f t="array" ref="BC39">INDEX(BB:BB,MIN(IF(ISNUMBER(BB39:BB235),ROW(BB39:BB235),"")))</f>
        <v>12.833333333333334</v>
      </c>
      <c r="BD39" s="13">
        <f>IF('Données projet'!$A$88&gt;35,BD38+BC39-BL38,IF(A39&lt;'Données projet'!$A$88,$BA$205^A39,IF(A39='Données projet'!$A$88,'Données projet'!$B$88,BD38+BC39-BL38)))</f>
        <v>248</v>
      </c>
      <c r="BE39" s="14">
        <f>BD39*VLOOKUP('Données projet'!$B$11,Paramètres!$A$1:$I$89,3,0)*VLOOKUP('Données projet'!$B$11,Paramètres!$A$1:$I$89,5,0)</f>
        <v>154.75199999999998</v>
      </c>
      <c r="BF39" s="14">
        <f t="shared" si="37"/>
        <v>39.656526650076415</v>
      </c>
      <c r="BG39" s="22">
        <f t="shared" si="7"/>
        <v>338.5948505822164</v>
      </c>
      <c r="BH39" s="62">
        <f t="shared" si="8"/>
        <v>631.92818391554965</v>
      </c>
      <c r="BI39" s="62">
        <f ca="1">AVERAGE(OFFSET($BH$3,0,0,'Données projet'!$E$11+1,1))-AVERAGE(OFFSET($H$3,0,0,'Données projet'!$E$11+1,1))</f>
        <v>240.22884864766218</v>
      </c>
      <c r="BJ39" s="62">
        <f t="shared" si="38"/>
        <v>343.23776884143166</v>
      </c>
      <c r="BK39" s="16">
        <f>IF(ISNA(VLOOKUP(A39,'Données projet'!$A$87:$I$107,3,0)),0,VLOOKUP(A39,'Données projet'!$A$87:$I$107,3,0))</f>
        <v>5</v>
      </c>
      <c r="BL39" s="16">
        <f>IF(ISNA(VLOOKUP(A39,'Données projet'!$A$87:$I$107,4,0)),0,VLOOKUP(A39,'Données projet'!$A$87:$I$107,4,0))</f>
        <v>62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8.7176444341385508</v>
      </c>
      <c r="BR39" s="23">
        <f>EXP(-LN(2)/2)*BR38+(1-EXP(-LN(2)/2))/(LN(2)/2)*BL39*BO39*VLOOKUP('Données projet'!$B$11,Paramètres!$A$1:$I$89,3,0)*0.475*44/12</f>
        <v>2.0648524851258498</v>
      </c>
      <c r="BS39" s="24">
        <f t="shared" si="9"/>
        <v>10.7824969192644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8.4</v>
      </c>
      <c r="BY39" s="13">
        <f>IF('Données projet'!$A$114&gt;35,BY38+BX39-CG38,IF(A39&lt;'Données projet'!$A$114,$BV$205^A39,IF(A39='Données projet'!$A$114,'Données projet'!$B$114,BY38+BX39-CG38)))</f>
        <v>124.4</v>
      </c>
      <c r="BZ39" s="14">
        <f>BY39*VLOOKUP('Données projet'!$B$12,Paramètres!$A$1:$I$89,3,0)*VLOOKUP('Données projet'!$B$12,Paramètres!$A$1:$I$89,5,0)</f>
        <v>112.55712000000001</v>
      </c>
      <c r="CA39" s="14">
        <f t="shared" si="39"/>
        <v>29.932653834140599</v>
      </c>
      <c r="CB39" s="22">
        <f t="shared" si="10"/>
        <v>248.16968942779488</v>
      </c>
      <c r="CC39" s="62">
        <f t="shared" si="11"/>
        <v>541.50302276112825</v>
      </c>
      <c r="CD39" s="62">
        <f ca="1">AVERAGE(OFFSET($CC$3,0,0,'Données projet'!$E$12+1,1))-AVERAGE(OFFSET($H$3,0,0,'Données projet'!$E$12+1,1))</f>
        <v>428.8489304403459</v>
      </c>
      <c r="CE39" s="62">
        <f t="shared" si="40"/>
        <v>247.01165577562966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9.6</v>
      </c>
      <c r="CT39" s="13">
        <f>IF('Données projet'!$A$140&gt;35,CT38+CS39-DB38,IF(A39&lt;'Données projet'!$A$140,$CQ$205^A39,IF(A39='Données projet'!$A$140,'Données projet'!$B$140,CT38+CS39-DB38)))</f>
        <v>181.59999999999991</v>
      </c>
      <c r="CU39" s="18">
        <f>CT39*VLOOKUP('Données projet'!$B$13,Paramètres!$A$1:$I$89,3,0)*VLOOKUP('Données projet'!$B$13,Paramètres!$A$1:$I$89,5,0)</f>
        <v>144.48095999999993</v>
      </c>
      <c r="CV39" s="14">
        <f t="shared" si="41"/>
        <v>37.321640695251794</v>
      </c>
      <c r="CW39" s="22">
        <f t="shared" si="13"/>
        <v>316.63952954423013</v>
      </c>
      <c r="CX39" s="62">
        <f t="shared" si="14"/>
        <v>609.97286287756344</v>
      </c>
      <c r="CY39" s="62">
        <f ca="1">AVERAGE(OFFSET($CX$3,0,0,'Données projet'!$E$13+1,1))-AVERAGE(OFFSET($H$3,0,0,'Données projet'!$E$13+1,1))</f>
        <v>312.53381881960331</v>
      </c>
      <c r="CZ39" s="62">
        <f t="shared" si="42"/>
        <v>342.06887933351783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9.6</v>
      </c>
      <c r="DO39" s="13">
        <f>IF('Données projet'!$A$166&gt;35,DO38+DN39-DW38,IF(A39&lt;'Données projet'!$A$166,$DL$205^A39,IF(A39='Données projet'!$A$166,'Données projet'!$B$166,DO38+DN39-DW38)))</f>
        <v>181.59999999999991</v>
      </c>
      <c r="DP39" s="18">
        <f>DO39*VLOOKUP('Données projet'!$B$14,Paramètres!$A$1:$I$89,3,0)*VLOOKUP('Données projet'!$B$14,Paramètres!$A$1:$I$89,5,0)</f>
        <v>133.14911999999993</v>
      </c>
      <c r="DQ39" s="14">
        <f t="shared" si="43"/>
        <v>34.723011740352263</v>
      </c>
      <c r="DR39" s="22">
        <f t="shared" si="16"/>
        <v>292.37729611444672</v>
      </c>
      <c r="DS39" s="62">
        <f t="shared" si="17"/>
        <v>585.71062944778009</v>
      </c>
      <c r="DT39" s="62">
        <f ca="1">AVERAGE(OFFSET($DS$3,0,0,'Données projet'!$E$14+1,1))-AVERAGE(OFFSET($H$3,0,0,'Données projet'!$E$14+1,1))</f>
        <v>290.85271051443431</v>
      </c>
      <c r="DU39" s="62">
        <f t="shared" si="44"/>
        <v>318.66958823451142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0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7.8</v>
      </c>
      <c r="EJ39" s="13">
        <f>IF('Données projet'!$A$192&gt;35,EJ38+EI39-ER38,IF(A39&lt;'Données projet'!$A$192,$EG$205^A39,IF(A39='Données projet'!$A$192,'Données projet'!$B$192,EJ38+EI39-ER38)))</f>
        <v>104.80000000000001</v>
      </c>
      <c r="EK39" s="18">
        <f>EJ39*VLOOKUP('Données projet'!$B$15,Paramètres!$A$1:$I$89,3,0)*VLOOKUP('Données projet'!$B$15,Paramètres!$A$1:$I$89,5,0)</f>
        <v>89.91840000000002</v>
      </c>
      <c r="EL39" s="14">
        <f t="shared" si="45"/>
        <v>24.545544000010828</v>
      </c>
      <c r="EM39" s="22">
        <f t="shared" si="19"/>
        <v>199.35803580001891</v>
      </c>
      <c r="EN39" s="62">
        <f t="shared" si="20"/>
        <v>492.69136913335223</v>
      </c>
      <c r="EO39" s="62">
        <f ca="1">AVERAGE(OFFSET($EN$3,0,0,'Données projet'!$E$15+1,1))-AVERAGE(OFFSET($H$3,0,0,'Données projet'!$E$15+1,1))</f>
        <v>438.65317358403996</v>
      </c>
      <c r="EP39" s="62">
        <f t="shared" si="46"/>
        <v>176.81257896138806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0</v>
      </c>
      <c r="EW39" s="23">
        <f>EXP(-LN(2)/25)*EW38+(1-EXP(-LN(2)/25))/(LN(2)/25)*Calculateur!ER39*Calculateur!ET39*VLOOKUP('Données projet'!$B$15,Paramètres!$A$1:$I$89,3,0)*0.475*44/12</f>
        <v>0</v>
      </c>
      <c r="EX39" s="23">
        <f>EXP(-LN(2)/2)*EX38+(1-EXP(-LN(2)/2))/(LN(2)/2)*ER39*EU39*VLOOKUP('Données projet'!$B$15,Paramètres!$A$1:$I$89,3,0)*0.475*44/12</f>
        <v>0</v>
      </c>
      <c r="EY39" s="24">
        <f t="shared" si="21"/>
        <v>0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18.229670329670324</v>
      </c>
      <c r="N40" s="14">
        <f>IF('Données projet'!$A$36&gt;35,N39+M40-V39,IF(A40&lt;'Données projet'!$A$36,$K$205^A40,IF(A40='Données projet'!$A$36,'Données projet'!$B$36,N39+M40-V39)))</f>
        <v>271.45164835164837</v>
      </c>
      <c r="O40" s="14">
        <f>N40*VLOOKUP('Données projet'!$B$9,Paramètres!$A$1:$I$89,3,0)*VLOOKUP('Données projet'!$B$9,Paramètres!$A$1:$I$89,5,0)</f>
        <v>151.74147142857143</v>
      </c>
      <c r="P40" s="14">
        <f t="shared" si="33"/>
        <v>38.974074991810518</v>
      </c>
      <c r="Q40" s="22">
        <f t="shared" si="53"/>
        <v>332.16291001549854</v>
      </c>
      <c r="R40" s="62">
        <f t="shared" si="0"/>
        <v>625.49624334883185</v>
      </c>
      <c r="S40" s="62">
        <f ca="1">AVERAGE(OFFSET($R$3,0,0,'Données projet'!$E$9+1,1))-AVERAGE(OFFSET($H$3,0,0,'Données projet'!$E$9+1,1))</f>
        <v>323.98185264074681</v>
      </c>
      <c r="T40" s="62">
        <f t="shared" si="34"/>
        <v>301.22207291854005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3.8846760791959656</v>
      </c>
      <c r="AA40" s="23">
        <f>EXP(-LN(2)/25)*AA39+(1-EXP(-LN(2)/25))/(LN(2)/25)*Calculateur!V40*Calculateur!X40*VLOOKUP('Données projet'!$B$9,Paramètres!$A$1:$I$89,3,0)*0.475*44/12</f>
        <v>6.7924019011090015</v>
      </c>
      <c r="AB40" s="23">
        <f>EXP(-LN(2)/2)*AB39+(1-EXP(-LN(2)/2))/(LN(2)/2)*V40*Y40*VLOOKUP('Données projet'!$B$9,Paramètres!$A$1:$I$89,3,0)*0.475*44/12</f>
        <v>0.53809121740800658</v>
      </c>
      <c r="AC40" s="24">
        <f t="shared" si="3"/>
        <v>11.215169197712973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12.74038461538462</v>
      </c>
      <c r="AI40" s="14">
        <f>IF('Données projet'!$A$62&gt;35,AI39+AH40-AQ39,IF(A40&lt;'Données projet'!$A$62,$AF$205^A40,IF(A40='Données projet'!$A$62,'Données projet'!$B$62,AI39+AH40-AQ39)))</f>
        <v>191.85384615384612</v>
      </c>
      <c r="AJ40" s="14">
        <f>AI40*VLOOKUP('Données projet'!$B$10,Paramètres!$A$1:$I$89,3,0)*VLOOKUP('Données projet'!$B$10,Paramètres!$A$1:$I$89,5,0)</f>
        <v>114.72859999999999</v>
      </c>
      <c r="AK40" s="14">
        <f t="shared" si="35"/>
        <v>30.442335906087649</v>
      </c>
      <c r="AL40" s="22">
        <f t="shared" si="4"/>
        <v>252.83938003643593</v>
      </c>
      <c r="AM40" s="62">
        <f t="shared" si="5"/>
        <v>546.17271336976921</v>
      </c>
      <c r="AN40" s="62">
        <f ca="1">AVERAGE(OFFSET($AM$3,0,0,'Données projet'!$E$10+1,1))-AVERAGE(OFFSET($H$3,0,0,'Données projet'!$E$10+1,1))</f>
        <v>289.12367833861299</v>
      </c>
      <c r="AO40" s="62">
        <f t="shared" si="36"/>
        <v>229.06617320689003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0.36653190051675516</v>
      </c>
      <c r="AX40" s="23">
        <f t="shared" si="6"/>
        <v>0.36653190051675516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11.5</v>
      </c>
      <c r="BD40" s="13">
        <f>IF('Données projet'!$A$88&gt;35,BD39+BC40-BL39,IF(A40&lt;'Données projet'!$A$88,$BA$205^A40,IF(A40='Données projet'!$A$88,'Données projet'!$B$88,BD39+BC40-BL39)))</f>
        <v>197.5</v>
      </c>
      <c r="BE40" s="14">
        <f>BD40*VLOOKUP('Données projet'!$B$11,Paramètres!$A$1:$I$89,3,0)*VLOOKUP('Données projet'!$B$11,Paramètres!$A$1:$I$89,5,0)</f>
        <v>123.24</v>
      </c>
      <c r="BF40" s="14">
        <f t="shared" si="37"/>
        <v>32.429500380369056</v>
      </c>
      <c r="BG40" s="22">
        <f t="shared" si="7"/>
        <v>271.12437982914275</v>
      </c>
      <c r="BH40" s="62">
        <f t="shared" si="8"/>
        <v>564.45771316247601</v>
      </c>
      <c r="BI40" s="62">
        <f ca="1">AVERAGE(OFFSET($BH$3,0,0,'Données projet'!$E$11+1,1))-AVERAGE(OFFSET($H$3,0,0,'Données projet'!$E$11+1,1))</f>
        <v>240.22884864766218</v>
      </c>
      <c r="BJ40" s="62">
        <f t="shared" si="38"/>
        <v>343.23776884143166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8.4792599886460351</v>
      </c>
      <c r="BR40" s="23">
        <f>EXP(-LN(2)/2)*BR39+(1-EXP(-LN(2)/2))/(LN(2)/2)*BL40*BO40*VLOOKUP('Données projet'!$B$11,Paramètres!$A$1:$I$89,3,0)*0.475*44/12</f>
        <v>1.4600711943823832</v>
      </c>
      <c r="BS40" s="24">
        <f t="shared" si="9"/>
        <v>9.9393311830284183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8.4</v>
      </c>
      <c r="BY40" s="13">
        <f>IF('Données projet'!$A$114&gt;35,BY39+BX40-CG39,IF(A40&lt;'Données projet'!$A$114,$BV$205^A40,IF(A40='Données projet'!$A$114,'Données projet'!$B$114,BY39+BX40-CG39)))</f>
        <v>132.80000000000001</v>
      </c>
      <c r="BZ40" s="14">
        <f>BY40*VLOOKUP('Données projet'!$B$12,Paramètres!$A$1:$I$89,3,0)*VLOOKUP('Données projet'!$B$12,Paramètres!$A$1:$I$89,5,0)</f>
        <v>120.15744000000001</v>
      </c>
      <c r="CA40" s="14">
        <f t="shared" si="39"/>
        <v>31.711716786129845</v>
      </c>
      <c r="CB40" s="22">
        <f t="shared" si="10"/>
        <v>264.50544806917611</v>
      </c>
      <c r="CC40" s="62">
        <f t="shared" si="11"/>
        <v>557.83878140250943</v>
      </c>
      <c r="CD40" s="62">
        <f ca="1">AVERAGE(OFFSET($CC$3,0,0,'Données projet'!$E$12+1,1))-AVERAGE(OFFSET($H$3,0,0,'Données projet'!$E$12+1,1))</f>
        <v>428.8489304403459</v>
      </c>
      <c r="CE40" s="62">
        <f t="shared" si="40"/>
        <v>247.01165577562966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9.6</v>
      </c>
      <c r="CT40" s="13">
        <f>IF('Données projet'!$A$140&gt;35,CT39+CS40-DB39,IF(A40&lt;'Données projet'!$A$140,$CQ$205^A40,IF(A40='Données projet'!$A$140,'Données projet'!$B$140,CT39+CS40-DB39)))</f>
        <v>191.1999999999999</v>
      </c>
      <c r="CU40" s="18">
        <f>CT40*VLOOKUP('Données projet'!$B$13,Paramètres!$A$1:$I$89,3,0)*VLOOKUP('Données projet'!$B$13,Paramètres!$A$1:$I$89,5,0)</f>
        <v>152.11871999999994</v>
      </c>
      <c r="CV40" s="14">
        <f t="shared" si="41"/>
        <v>39.059678596099225</v>
      </c>
      <c r="CW40" s="22">
        <f t="shared" si="13"/>
        <v>332.96904422153938</v>
      </c>
      <c r="CX40" s="62">
        <f t="shared" si="14"/>
        <v>626.30237755487269</v>
      </c>
      <c r="CY40" s="62">
        <f ca="1">AVERAGE(OFFSET($CX$3,0,0,'Données projet'!$E$13+1,1))-AVERAGE(OFFSET($H$3,0,0,'Données projet'!$E$13+1,1))</f>
        <v>312.53381881960331</v>
      </c>
      <c r="CZ40" s="62">
        <f t="shared" si="42"/>
        <v>342.06887933351783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9.6</v>
      </c>
      <c r="DO40" s="13">
        <f>IF('Données projet'!$A$166&gt;35,DO39+DN40-DW39,IF(A40&lt;'Données projet'!$A$166,$DL$205^A40,IF(A40='Données projet'!$A$166,'Données projet'!$B$166,DO39+DN40-DW39)))</f>
        <v>191.1999999999999</v>
      </c>
      <c r="DP40" s="18">
        <f>DO40*VLOOKUP('Données projet'!$B$14,Paramètres!$A$1:$I$89,3,0)*VLOOKUP('Données projet'!$B$14,Paramètres!$A$1:$I$89,5,0)</f>
        <v>140.18783999999991</v>
      </c>
      <c r="DQ40" s="14">
        <f t="shared" si="43"/>
        <v>36.340033642714133</v>
      </c>
      <c r="DR40" s="22">
        <f t="shared" si="16"/>
        <v>307.4527132610603</v>
      </c>
      <c r="DS40" s="62">
        <f t="shared" si="17"/>
        <v>600.78604659439361</v>
      </c>
      <c r="DT40" s="62">
        <f ca="1">AVERAGE(OFFSET($DS$3,0,0,'Données projet'!$E$14+1,1))-AVERAGE(OFFSET($H$3,0,0,'Données projet'!$E$14+1,1))</f>
        <v>290.85271051443431</v>
      </c>
      <c r="DU40" s="62">
        <f t="shared" si="44"/>
        <v>318.66958823451142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0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7.8</v>
      </c>
      <c r="EJ40" s="13">
        <f>IF('Données projet'!$A$192&gt;35,EJ39+EI40-ER39,IF(A40&lt;'Données projet'!$A$192,$EG$205^A40,IF(A40='Données projet'!$A$192,'Données projet'!$B$192,EJ39+EI40-ER39)))</f>
        <v>112.60000000000001</v>
      </c>
      <c r="EK40" s="18">
        <f>EJ40*VLOOKUP('Données projet'!$B$15,Paramètres!$A$1:$I$89,3,0)*VLOOKUP('Données projet'!$B$15,Paramètres!$A$1:$I$89,5,0)</f>
        <v>96.610800000000012</v>
      </c>
      <c r="EL40" s="14">
        <f t="shared" si="45"/>
        <v>26.152954261379485</v>
      </c>
      <c r="EM40" s="22">
        <f t="shared" si="19"/>
        <v>213.81353867190262</v>
      </c>
      <c r="EN40" s="62">
        <f t="shared" si="20"/>
        <v>507.14687200523593</v>
      </c>
      <c r="EO40" s="62">
        <f ca="1">AVERAGE(OFFSET($EN$3,0,0,'Données projet'!$E$15+1,1))-AVERAGE(OFFSET($H$3,0,0,'Données projet'!$E$15+1,1))</f>
        <v>438.65317358403996</v>
      </c>
      <c r="EP40" s="62">
        <f t="shared" si="46"/>
        <v>176.81257896138806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0</v>
      </c>
      <c r="EW40" s="23">
        <f>EXP(-LN(2)/25)*EW39+(1-EXP(-LN(2)/25))/(LN(2)/25)*Calculateur!ER40*Calculateur!ET40*VLOOKUP('Données projet'!$B$15,Paramètres!$A$1:$I$89,3,0)*0.475*44/12</f>
        <v>0</v>
      </c>
      <c r="EX40" s="23">
        <f>EXP(-LN(2)/2)*EX39+(1-EXP(-LN(2)/2))/(LN(2)/2)*ER40*EU40*VLOOKUP('Données projet'!$B$15,Paramètres!$A$1:$I$89,3,0)*0.475*44/12</f>
        <v>0</v>
      </c>
      <c r="EY40" s="24">
        <f t="shared" si="21"/>
        <v>0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18.229670329670324</v>
      </c>
      <c r="N41" s="14">
        <f>IF('Données projet'!$A$36&gt;35,N40+M41-V40,IF(A41&lt;'Données projet'!$A$36,$K$205^A41,IF(A41='Données projet'!$A$36,'Données projet'!$B$36,N40+M41-V40)))</f>
        <v>289.68131868131871</v>
      </c>
      <c r="O41" s="14">
        <f>N41*VLOOKUP('Données projet'!$B$9,Paramètres!$A$1:$I$89,3,0)*VLOOKUP('Données projet'!$B$9,Paramètres!$A$1:$I$89,5,0)</f>
        <v>161.93185714285718</v>
      </c>
      <c r="P41" s="14">
        <f t="shared" si="33"/>
        <v>41.277946347593272</v>
      </c>
      <c r="Q41" s="22">
        <f t="shared" si="53"/>
        <v>353.92374107920119</v>
      </c>
      <c r="R41" s="62">
        <f t="shared" si="0"/>
        <v>647.25707441253451</v>
      </c>
      <c r="S41" s="62">
        <f ca="1">AVERAGE(OFFSET($R$3,0,0,'Données projet'!$E$9+1,1))-AVERAGE(OFFSET($H$3,0,0,'Données projet'!$E$9+1,1))</f>
        <v>323.98185264074681</v>
      </c>
      <c r="T41" s="62">
        <f t="shared" si="34"/>
        <v>301.22207291854005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3.8084999507013806</v>
      </c>
      <c r="AA41" s="23">
        <f>EXP(-LN(2)/25)*AA40+(1-EXP(-LN(2)/25))/(LN(2)/25)*Calculateur!V41*Calculateur!X41*VLOOKUP('Données projet'!$B$9,Paramètres!$A$1:$I$89,3,0)*0.475*44/12</f>
        <v>6.6066633139262843</v>
      </c>
      <c r="AB41" s="23">
        <f>EXP(-LN(2)/2)*AB40+(1-EXP(-LN(2)/2))/(LN(2)/2)*V41*Y41*VLOOKUP('Données projet'!$B$9,Paramètres!$A$1:$I$89,3,0)*0.475*44/12</f>
        <v>0.38048794872612629</v>
      </c>
      <c r="AC41" s="24">
        <f t="shared" si="3"/>
        <v>10.795651213353791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12.74038461538462</v>
      </c>
      <c r="AI41" s="14">
        <f>IF('Données projet'!$A$62&gt;35,AI40+AH41-AQ40,IF(A41&lt;'Données projet'!$A$62,$AF$205^A41,IF(A41='Données projet'!$A$62,'Données projet'!$B$62,AI40+AH41-AQ40)))</f>
        <v>204.59423076923073</v>
      </c>
      <c r="AJ41" s="14">
        <f>AI41*VLOOKUP('Données projet'!$B$10,Paramètres!$A$1:$I$89,3,0)*VLOOKUP('Données projet'!$B$10,Paramètres!$A$1:$I$89,5,0)</f>
        <v>122.34734999999998</v>
      </c>
      <c r="AK41" s="14">
        <f t="shared" si="35"/>
        <v>32.221861336884515</v>
      </c>
      <c r="AL41" s="22">
        <f t="shared" si="4"/>
        <v>269.20804307840717</v>
      </c>
      <c r="AM41" s="62">
        <f t="shared" si="5"/>
        <v>562.54137641174043</v>
      </c>
      <c r="AN41" s="62">
        <f ca="1">AVERAGE(OFFSET($AM$3,0,0,'Données projet'!$E$10+1,1))-AVERAGE(OFFSET($H$3,0,0,'Données projet'!$E$10+1,1))</f>
        <v>289.12367833861299</v>
      </c>
      <c r="AO41" s="62">
        <f t="shared" si="36"/>
        <v>229.06617320689003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0.25917719237659059</v>
      </c>
      <c r="AX41" s="23">
        <f t="shared" si="6"/>
        <v>0.25917719237659059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11.5</v>
      </c>
      <c r="BD41" s="13">
        <f>IF('Données projet'!$A$88&gt;35,BD40+BC41-BL40,IF(A41&lt;'Données projet'!$A$88,$BA$205^A41,IF(A41='Données projet'!$A$88,'Données projet'!$B$88,BD40+BC41-BL40)))</f>
        <v>209</v>
      </c>
      <c r="BE41" s="14">
        <f>BD41*VLOOKUP('Données projet'!$B$11,Paramètres!$A$1:$I$89,3,0)*VLOOKUP('Données projet'!$B$11,Paramètres!$A$1:$I$89,5,0)</f>
        <v>130.416</v>
      </c>
      <c r="BF41" s="14">
        <f t="shared" si="37"/>
        <v>34.092466837179941</v>
      </c>
      <c r="BG41" s="22">
        <f t="shared" si="7"/>
        <v>286.51891307475506</v>
      </c>
      <c r="BH41" s="62">
        <f t="shared" si="8"/>
        <v>579.85224640808838</v>
      </c>
      <c r="BI41" s="62">
        <f ca="1">AVERAGE(OFFSET($BH$3,0,0,'Données projet'!$E$11+1,1))-AVERAGE(OFFSET($H$3,0,0,'Données projet'!$E$11+1,1))</f>
        <v>240.22884864766218</v>
      </c>
      <c r="BJ41" s="62">
        <f t="shared" si="38"/>
        <v>343.23776884143166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8.2473941783516054</v>
      </c>
      <c r="BR41" s="23">
        <f>EXP(-LN(2)/2)*BR40+(1-EXP(-LN(2)/2))/(LN(2)/2)*BL41*BO41*VLOOKUP('Données projet'!$B$11,Paramètres!$A$1:$I$89,3,0)*0.475*44/12</f>
        <v>1.0324262425629249</v>
      </c>
      <c r="BS41" s="24">
        <f t="shared" si="9"/>
        <v>9.2798204209145307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8.4</v>
      </c>
      <c r="BY41" s="13">
        <f>IF('Données projet'!$A$114&gt;35,BY40+BX41-CG40,IF(A41&lt;'Données projet'!$A$114,$BV$205^A41,IF(A41='Données projet'!$A$114,'Données projet'!$B$114,BY40+BX41-CG40)))</f>
        <v>141.20000000000002</v>
      </c>
      <c r="BZ41" s="14">
        <f>BY41*VLOOKUP('Données projet'!$B$12,Paramètres!$A$1:$I$89,3,0)*VLOOKUP('Données projet'!$B$12,Paramètres!$A$1:$I$89,5,0)</f>
        <v>127.75776</v>
      </c>
      <c r="CA41" s="14">
        <f t="shared" si="39"/>
        <v>33.477720030956604</v>
      </c>
      <c r="CB41" s="22">
        <f t="shared" si="10"/>
        <v>280.81846105391611</v>
      </c>
      <c r="CC41" s="62">
        <f t="shared" si="11"/>
        <v>574.15179438724942</v>
      </c>
      <c r="CD41" s="62">
        <f ca="1">AVERAGE(OFFSET($CC$3,0,0,'Données projet'!$E$12+1,1))-AVERAGE(OFFSET($H$3,0,0,'Données projet'!$E$12+1,1))</f>
        <v>428.8489304403459</v>
      </c>
      <c r="CE41" s="62">
        <f t="shared" si="40"/>
        <v>247.01165577562966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9.6</v>
      </c>
      <c r="CT41" s="13">
        <f>IF('Données projet'!$A$140&gt;35,CT40+CS41-DB40,IF(A41&lt;'Données projet'!$A$140,$CQ$205^A41,IF(A41='Données projet'!$A$140,'Données projet'!$B$140,CT40+CS41-DB40)))</f>
        <v>200.7999999999999</v>
      </c>
      <c r="CU41" s="18">
        <f>CT41*VLOOKUP('Données projet'!$B$13,Paramètres!$A$1:$I$89,3,0)*VLOOKUP('Données projet'!$B$13,Paramètres!$A$1:$I$89,5,0)</f>
        <v>159.75647999999993</v>
      </c>
      <c r="CV41" s="14">
        <f t="shared" si="41"/>
        <v>40.787583922770757</v>
      </c>
      <c r="CW41" s="22">
        <f t="shared" si="13"/>
        <v>349.28091133215889</v>
      </c>
      <c r="CX41" s="62">
        <f t="shared" si="14"/>
        <v>642.61424466549215</v>
      </c>
      <c r="CY41" s="62">
        <f ca="1">AVERAGE(OFFSET($CX$3,0,0,'Données projet'!$E$13+1,1))-AVERAGE(OFFSET($H$3,0,0,'Données projet'!$E$13+1,1))</f>
        <v>312.53381881960331</v>
      </c>
      <c r="CZ41" s="62">
        <f t="shared" si="42"/>
        <v>342.06887933351783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9.6</v>
      </c>
      <c r="DO41" s="13">
        <f>IF('Données projet'!$A$166&gt;35,DO40+DN41-DW40,IF(A41&lt;'Données projet'!$A$166,$DL$205^A41,IF(A41='Données projet'!$A$166,'Données projet'!$B$166,DO40+DN41-DW40)))</f>
        <v>200.7999999999999</v>
      </c>
      <c r="DP41" s="18">
        <f>DO41*VLOOKUP('Données projet'!$B$14,Paramètres!$A$1:$I$89,3,0)*VLOOKUP('Données projet'!$B$14,Paramètres!$A$1:$I$89,5,0)</f>
        <v>147.22655999999992</v>
      </c>
      <c r="DQ41" s="14">
        <f t="shared" si="43"/>
        <v>37.947628481165793</v>
      </c>
      <c r="DR41" s="22">
        <f t="shared" si="16"/>
        <v>322.51171160469693</v>
      </c>
      <c r="DS41" s="62">
        <f t="shared" si="17"/>
        <v>615.84504493803024</v>
      </c>
      <c r="DT41" s="62">
        <f ca="1">AVERAGE(OFFSET($DS$3,0,0,'Données projet'!$E$14+1,1))-AVERAGE(OFFSET($H$3,0,0,'Données projet'!$E$14+1,1))</f>
        <v>290.85271051443431</v>
      </c>
      <c r="DU41" s="62">
        <f t="shared" si="44"/>
        <v>318.66958823451142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0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7.8</v>
      </c>
      <c r="EJ41" s="13">
        <f>IF('Données projet'!$A$192&gt;35,EJ40+EI41-ER40,IF(A41&lt;'Données projet'!$A$192,$EG$205^A41,IF(A41='Données projet'!$A$192,'Données projet'!$B$192,EJ40+EI41-ER40)))</f>
        <v>120.4</v>
      </c>
      <c r="EK41" s="18">
        <f>EJ41*VLOOKUP('Données projet'!$B$15,Paramètres!$A$1:$I$89,3,0)*VLOOKUP('Données projet'!$B$15,Paramètres!$A$1:$I$89,5,0)</f>
        <v>103.30320000000002</v>
      </c>
      <c r="EL41" s="14">
        <f t="shared" si="45"/>
        <v>27.747444810362108</v>
      </c>
      <c r="EM41" s="22">
        <f t="shared" si="19"/>
        <v>228.24653971138068</v>
      </c>
      <c r="EN41" s="62">
        <f t="shared" si="20"/>
        <v>521.57987304471396</v>
      </c>
      <c r="EO41" s="62">
        <f ca="1">AVERAGE(OFFSET($EN$3,0,0,'Données projet'!$E$15+1,1))-AVERAGE(OFFSET($H$3,0,0,'Données projet'!$E$15+1,1))</f>
        <v>438.65317358403996</v>
      </c>
      <c r="EP41" s="62">
        <f t="shared" si="46"/>
        <v>176.81257896138806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0</v>
      </c>
      <c r="EW41" s="23">
        <f>EXP(-LN(2)/25)*EW40+(1-EXP(-LN(2)/25))/(LN(2)/25)*Calculateur!ER41*Calculateur!ET41*VLOOKUP('Données projet'!$B$15,Paramètres!$A$1:$I$89,3,0)*0.475*44/12</f>
        <v>0</v>
      </c>
      <c r="EX41" s="23">
        <f>EXP(-LN(2)/2)*EX40+(1-EXP(-LN(2)/2))/(LN(2)/2)*ER41*EU41*VLOOKUP('Données projet'!$B$15,Paramètres!$A$1:$I$89,3,0)*0.475*44/12</f>
        <v>0</v>
      </c>
      <c r="EY41" s="24">
        <f t="shared" si="21"/>
        <v>0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18.229670329670324</v>
      </c>
      <c r="N42" s="14">
        <f>IF('Données projet'!$A$36&gt;35,N41+M42-V41,IF(A42&lt;'Données projet'!$A$36,$K$205^A42,IF(A42='Données projet'!$A$36,'Données projet'!$B$36,N41+M42-V41)))</f>
        <v>307.91098901098906</v>
      </c>
      <c r="O42" s="14">
        <f>N42*VLOOKUP('Données projet'!$B$9,Paramètres!$A$1:$I$89,3,0)*VLOOKUP('Données projet'!$B$9,Paramètres!$A$1:$I$89,5,0)</f>
        <v>172.12224285714288</v>
      </c>
      <c r="P42" s="14">
        <f t="shared" si="33"/>
        <v>43.564991640658711</v>
      </c>
      <c r="Q42" s="22">
        <f t="shared" si="53"/>
        <v>375.65526675033772</v>
      </c>
      <c r="R42" s="62">
        <f t="shared" si="0"/>
        <v>668.98860008367103</v>
      </c>
      <c r="S42" s="62">
        <f ca="1">AVERAGE(OFFSET($R$3,0,0,'Données projet'!$E$9+1,1))-AVERAGE(OFFSET($H$3,0,0,'Données projet'!$E$9+1,1))</f>
        <v>323.98185264074681</v>
      </c>
      <c r="T42" s="62">
        <f t="shared" si="34"/>
        <v>301.22207291854005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3.7338175896237238</v>
      </c>
      <c r="AA42" s="23">
        <f>EXP(-LN(2)/25)*AA41+(1-EXP(-LN(2)/25))/(LN(2)/25)*Calculateur!V42*Calculateur!X42*VLOOKUP('Données projet'!$B$9,Paramètres!$A$1:$I$89,3,0)*0.475*44/12</f>
        <v>6.4260037581776457</v>
      </c>
      <c r="AB42" s="23">
        <f>EXP(-LN(2)/2)*AB41+(1-EXP(-LN(2)/2))/(LN(2)/2)*V42*Y42*VLOOKUP('Données projet'!$B$9,Paramètres!$A$1:$I$89,3,0)*0.475*44/12</f>
        <v>0.26904560870400329</v>
      </c>
      <c r="AC42" s="24">
        <f t="shared" si="3"/>
        <v>10.428866956505372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12.74038461538462</v>
      </c>
      <c r="AI42" s="14">
        <f>IF('Données projet'!$A$62&gt;35,AI41+AH42-AQ41,IF(A42&lt;'Données projet'!$A$62,$AF$205^A42,IF(A42='Données projet'!$A$62,'Données projet'!$B$62,AI41+AH42-AQ41)))</f>
        <v>217.33461538461535</v>
      </c>
      <c r="AJ42" s="14">
        <f>AI42*VLOOKUP('Données projet'!$B$10,Paramètres!$A$1:$I$89,3,0)*VLOOKUP('Données projet'!$B$10,Paramètres!$A$1:$I$89,5,0)</f>
        <v>129.96609999999998</v>
      </c>
      <c r="AK42" s="14">
        <f t="shared" si="35"/>
        <v>33.988525918782614</v>
      </c>
      <c r="AL42" s="22">
        <f t="shared" si="4"/>
        <v>285.5543068085463</v>
      </c>
      <c r="AM42" s="62">
        <f t="shared" si="5"/>
        <v>578.88764014187961</v>
      </c>
      <c r="AN42" s="62">
        <f ca="1">AVERAGE(OFFSET($AM$3,0,0,'Données projet'!$E$10+1,1))-AVERAGE(OFFSET($H$3,0,0,'Données projet'!$E$10+1,1))</f>
        <v>289.12367833861299</v>
      </c>
      <c r="AO42" s="62">
        <f t="shared" si="36"/>
        <v>229.06617320689003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0.18326595025837758</v>
      </c>
      <c r="AX42" s="23">
        <f t="shared" si="6"/>
        <v>0.18326595025837758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11.5</v>
      </c>
      <c r="BD42" s="13">
        <f>IF('Données projet'!$A$88&gt;35,BD41+BC42-BL41,IF(A42&lt;'Données projet'!$A$88,$BA$205^A42,IF(A42='Données projet'!$A$88,'Données projet'!$B$88,BD41+BC42-BL41)))</f>
        <v>220.5</v>
      </c>
      <c r="BE42" s="14">
        <f>BD42*VLOOKUP('Données projet'!$B$11,Paramètres!$A$1:$I$89,3,0)*VLOOKUP('Données projet'!$B$11,Paramètres!$A$1:$I$89,5,0)</f>
        <v>137.59199999999998</v>
      </c>
      <c r="BF42" s="14">
        <f t="shared" si="37"/>
        <v>35.744810729505772</v>
      </c>
      <c r="BG42" s="22">
        <f t="shared" si="7"/>
        <v>301.89494535388923</v>
      </c>
      <c r="BH42" s="62">
        <f t="shared" si="8"/>
        <v>595.22827868722254</v>
      </c>
      <c r="BI42" s="62">
        <f ca="1">AVERAGE(OFFSET($BH$3,0,0,'Données projet'!$E$11+1,1))-AVERAGE(OFFSET($H$3,0,0,'Données projet'!$E$11+1,1))</f>
        <v>240.22884864766218</v>
      </c>
      <c r="BJ42" s="62">
        <f t="shared" si="38"/>
        <v>343.23776884143166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8.0218687508329705</v>
      </c>
      <c r="BR42" s="23">
        <f>EXP(-LN(2)/2)*BR41+(1-EXP(-LN(2)/2))/(LN(2)/2)*BL42*BO42*VLOOKUP('Données projet'!$B$11,Paramètres!$A$1:$I$89,3,0)*0.475*44/12</f>
        <v>0.7300355971911916</v>
      </c>
      <c r="BS42" s="24">
        <f t="shared" si="9"/>
        <v>8.7519043480241621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8.4</v>
      </c>
      <c r="BY42" s="13">
        <f>IF('Données projet'!$A$114&gt;35,BY41+BX42-CG41,IF(A42&lt;'Données projet'!$A$114,$BV$205^A42,IF(A42='Données projet'!$A$114,'Données projet'!$B$114,BY41+BX42-CG41)))</f>
        <v>149.60000000000002</v>
      </c>
      <c r="BZ42" s="14">
        <f>BY42*VLOOKUP('Données projet'!$B$12,Paramètres!$A$1:$I$89,3,0)*VLOOKUP('Données projet'!$B$12,Paramètres!$A$1:$I$89,5,0)</f>
        <v>135.35808</v>
      </c>
      <c r="CA42" s="14">
        <f t="shared" si="39"/>
        <v>35.231528980112834</v>
      </c>
      <c r="CB42" s="22">
        <f t="shared" si="10"/>
        <v>297.11023564036316</v>
      </c>
      <c r="CC42" s="62">
        <f t="shared" si="11"/>
        <v>590.44356897369653</v>
      </c>
      <c r="CD42" s="62">
        <f ca="1">AVERAGE(OFFSET($CC$3,0,0,'Données projet'!$E$12+1,1))-AVERAGE(OFFSET($H$3,0,0,'Données projet'!$E$12+1,1))</f>
        <v>428.8489304403459</v>
      </c>
      <c r="CE42" s="62">
        <f t="shared" si="40"/>
        <v>247.01165577562966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9.6</v>
      </c>
      <c r="CT42" s="13">
        <f>IF('Données projet'!$A$140&gt;35,CT41+CS42-DB41,IF(A42&lt;'Données projet'!$A$140,$CQ$205^A42,IF(A42='Données projet'!$A$140,'Données projet'!$B$140,CT41+CS42-DB41)))</f>
        <v>210.39999999999989</v>
      </c>
      <c r="CU42" s="18">
        <f>CT42*VLOOKUP('Données projet'!$B$13,Paramètres!$A$1:$I$89,3,0)*VLOOKUP('Données projet'!$B$13,Paramètres!$A$1:$I$89,5,0)</f>
        <v>167.39423999999991</v>
      </c>
      <c r="CV42" s="14">
        <f t="shared" si="41"/>
        <v>42.505896406938106</v>
      </c>
      <c r="CW42" s="22">
        <f t="shared" si="13"/>
        <v>365.57607090875041</v>
      </c>
      <c r="CX42" s="62">
        <f t="shared" si="14"/>
        <v>658.90940424208372</v>
      </c>
      <c r="CY42" s="62">
        <f ca="1">AVERAGE(OFFSET($CX$3,0,0,'Données projet'!$E$13+1,1))-AVERAGE(OFFSET($H$3,0,0,'Données projet'!$E$13+1,1))</f>
        <v>312.53381881960331</v>
      </c>
      <c r="CZ42" s="62">
        <f t="shared" si="42"/>
        <v>342.06887933351783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9.6</v>
      </c>
      <c r="DO42" s="13">
        <f>IF('Données projet'!$A$166&gt;35,DO41+DN42-DW41,IF(A42&lt;'Données projet'!$A$166,$DL$205^A42,IF(A42='Données projet'!$A$166,'Données projet'!$B$166,DO41+DN42-DW41)))</f>
        <v>210.39999999999989</v>
      </c>
      <c r="DP42" s="18">
        <f>DO42*VLOOKUP('Données projet'!$B$14,Paramètres!$A$1:$I$89,3,0)*VLOOKUP('Données projet'!$B$14,Paramètres!$A$1:$I$89,5,0)</f>
        <v>154.26527999999993</v>
      </c>
      <c r="DQ42" s="14">
        <f t="shared" si="43"/>
        <v>39.546298406974444</v>
      </c>
      <c r="DR42" s="22">
        <f t="shared" si="16"/>
        <v>337.55516572548032</v>
      </c>
      <c r="DS42" s="62">
        <f t="shared" si="17"/>
        <v>630.88849905881364</v>
      </c>
      <c r="DT42" s="62">
        <f ca="1">AVERAGE(OFFSET($DS$3,0,0,'Données projet'!$E$14+1,1))-AVERAGE(OFFSET($H$3,0,0,'Données projet'!$E$14+1,1))</f>
        <v>290.85271051443431</v>
      </c>
      <c r="DU42" s="62">
        <f t="shared" si="44"/>
        <v>318.66958823451142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0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7.8</v>
      </c>
      <c r="EJ42" s="13">
        <f>IF('Données projet'!$A$192&gt;35,EJ41+EI42-ER41,IF(A42&lt;'Données projet'!$A$192,$EG$205^A42,IF(A42='Données projet'!$A$192,'Données projet'!$B$192,EJ41+EI42-ER41)))</f>
        <v>128.20000000000002</v>
      </c>
      <c r="EK42" s="18">
        <f>EJ42*VLOOKUP('Données projet'!$B$15,Paramètres!$A$1:$I$89,3,0)*VLOOKUP('Données projet'!$B$15,Paramètres!$A$1:$I$89,5,0)</f>
        <v>109.99560000000004</v>
      </c>
      <c r="EL42" s="14">
        <f t="shared" si="45"/>
        <v>29.329947895826894</v>
      </c>
      <c r="EM42" s="22">
        <f t="shared" si="19"/>
        <v>242.65866258523189</v>
      </c>
      <c r="EN42" s="62">
        <f t="shared" si="20"/>
        <v>535.99199591856518</v>
      </c>
      <c r="EO42" s="62">
        <f ca="1">AVERAGE(OFFSET($EN$3,0,0,'Données projet'!$E$15+1,1))-AVERAGE(OFFSET($H$3,0,0,'Données projet'!$E$15+1,1))</f>
        <v>438.65317358403996</v>
      </c>
      <c r="EP42" s="62">
        <f t="shared" si="46"/>
        <v>176.81257896138806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0</v>
      </c>
      <c r="EW42" s="23">
        <f>EXP(-LN(2)/25)*EW41+(1-EXP(-LN(2)/25))/(LN(2)/25)*Calculateur!ER42*Calculateur!ET42*VLOOKUP('Données projet'!$B$15,Paramètres!$A$1:$I$89,3,0)*0.475*44/12</f>
        <v>0</v>
      </c>
      <c r="EX42" s="23">
        <f>EXP(-LN(2)/2)*EX41+(1-EXP(-LN(2)/2))/(LN(2)/2)*ER42*EU42*VLOOKUP('Données projet'!$B$15,Paramètres!$A$1:$I$89,3,0)*0.475*44/12</f>
        <v>0</v>
      </c>
      <c r="EY42" s="24">
        <f t="shared" si="21"/>
        <v>0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18.229670329670324</v>
      </c>
      <c r="N43" s="14">
        <f>IF('Données projet'!$A$36&gt;35,N42+M43-V42,IF(A43&lt;'Données projet'!$A$36,$K$205^A43,IF(A43='Données projet'!$A$36,'Données projet'!$B$36,N42+M43-V42)))</f>
        <v>326.1406593406594</v>
      </c>
      <c r="O43" s="14">
        <f>N43*VLOOKUP('Données projet'!$B$9,Paramètres!$A$1:$I$89,3,0)*VLOOKUP('Données projet'!$B$9,Paramètres!$A$1:$I$89,5,0)</f>
        <v>182.31262857142863</v>
      </c>
      <c r="P43" s="14">
        <f t="shared" si="33"/>
        <v>45.836320512875446</v>
      </c>
      <c r="Q43" s="22">
        <f t="shared" si="53"/>
        <v>397.35941965516298</v>
      </c>
      <c r="R43" s="62">
        <f t="shared" si="0"/>
        <v>690.6927529884963</v>
      </c>
      <c r="S43" s="62">
        <f ca="1">AVERAGE(OFFSET($R$3,0,0,'Données projet'!$E$9+1,1))-AVERAGE(OFFSET($H$3,0,0,'Données projet'!$E$9+1,1))</f>
        <v>323.98185264074681</v>
      </c>
      <c r="T43" s="62">
        <f t="shared" si="34"/>
        <v>301.22207291854005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3.6605997040950573</v>
      </c>
      <c r="AA43" s="23">
        <f>EXP(-LN(2)/25)*AA42+(1-EXP(-LN(2)/25))/(LN(2)/25)*Calculateur!V43*Calculateur!X43*VLOOKUP('Données projet'!$B$9,Paramètres!$A$1:$I$89,3,0)*0.475*44/12</f>
        <v>6.2502843474814274</v>
      </c>
      <c r="AB43" s="23">
        <f>EXP(-LN(2)/2)*AB42+(1-EXP(-LN(2)/2))/(LN(2)/2)*V43*Y43*VLOOKUP('Données projet'!$B$9,Paramètres!$A$1:$I$89,3,0)*0.475*44/12</f>
        <v>0.19024397436306315</v>
      </c>
      <c r="AC43" s="24">
        <f t="shared" si="3"/>
        <v>10.101128025939548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12.74038461538462</v>
      </c>
      <c r="AI43" s="14">
        <f>IF('Données projet'!$A$62&gt;35,AI42+AH43-AQ42,IF(A43&lt;'Données projet'!$A$62,$AF$205^A43,IF(A43='Données projet'!$A$62,'Données projet'!$B$62,AI42+AH43-AQ42)))</f>
        <v>230.07499999999996</v>
      </c>
      <c r="AJ43" s="14">
        <f>AI43*VLOOKUP('Données projet'!$B$10,Paramètres!$A$1:$I$89,3,0)*VLOOKUP('Données projet'!$B$10,Paramètres!$A$1:$I$89,5,0)</f>
        <v>137.58484999999999</v>
      </c>
      <c r="AK43" s="14">
        <f t="shared" si="35"/>
        <v>35.743169448737028</v>
      </c>
      <c r="AL43" s="22">
        <f t="shared" si="4"/>
        <v>301.87963387321696</v>
      </c>
      <c r="AM43" s="62">
        <f t="shared" si="5"/>
        <v>595.21296720655027</v>
      </c>
      <c r="AN43" s="62">
        <f ca="1">AVERAGE(OFFSET($AM$3,0,0,'Données projet'!$E$10+1,1))-AVERAGE(OFFSET($H$3,0,0,'Données projet'!$E$10+1,1))</f>
        <v>289.12367833861299</v>
      </c>
      <c r="AO43" s="62">
        <f t="shared" si="36"/>
        <v>229.06617320689003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0.1295885961882953</v>
      </c>
      <c r="AX43" s="23">
        <f t="shared" si="6"/>
        <v>0.1295885961882953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11.5</v>
      </c>
      <c r="BD43" s="13">
        <f>IF('Données projet'!$A$88&gt;35,BD42+BC43-BL42,IF(A43&lt;'Données projet'!$A$88,$BA$205^A43,IF(A43='Données projet'!$A$88,'Données projet'!$B$88,BD42+BC43-BL42)))</f>
        <v>232</v>
      </c>
      <c r="BE43" s="14">
        <f>BD43*VLOOKUP('Données projet'!$B$11,Paramètres!$A$1:$I$89,3,0)*VLOOKUP('Données projet'!$B$11,Paramètres!$A$1:$I$89,5,0)</f>
        <v>144.768</v>
      </c>
      <c r="BF43" s="14">
        <f t="shared" si="37"/>
        <v>37.387149255707826</v>
      </c>
      <c r="BG43" s="22">
        <f t="shared" si="7"/>
        <v>317.25355162035777</v>
      </c>
      <c r="BH43" s="62">
        <f t="shared" si="8"/>
        <v>610.58688495369108</v>
      </c>
      <c r="BI43" s="62">
        <f ca="1">AVERAGE(OFFSET($BH$3,0,0,'Données projet'!$E$11+1,1))-AVERAGE(OFFSET($H$3,0,0,'Données projet'!$E$11+1,1))</f>
        <v>240.22884864766218</v>
      </c>
      <c r="BJ43" s="62">
        <f t="shared" si="38"/>
        <v>343.23776884143166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7.8025103279896992</v>
      </c>
      <c r="BR43" s="23">
        <f>EXP(-LN(2)/2)*BR42+(1-EXP(-LN(2)/2))/(LN(2)/2)*BL43*BO43*VLOOKUP('Données projet'!$B$11,Paramètres!$A$1:$I$89,3,0)*0.475*44/12</f>
        <v>0.51621312128146246</v>
      </c>
      <c r="BS43" s="24">
        <f t="shared" si="9"/>
        <v>8.318723449271161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158</v>
      </c>
      <c r="BW43" s="13">
        <f>VLOOKUP(A43,'Données projet'!$A$113:$I$133,9,0)</f>
        <v>8.4</v>
      </c>
      <c r="BX43" s="13">
        <f t="array" ref="BX43">INDEX(BW:BW,MIN(IF(ISNUMBER(BW43:BW239),ROW(BW43:BW239),"")))</f>
        <v>8.4</v>
      </c>
      <c r="BY43" s="13">
        <f>IF('Données projet'!$A$114&gt;35,BY42+BX43-CG42,IF(A43&lt;'Données projet'!$A$114,$BV$205^A43,IF(A43='Données projet'!$A$114,'Données projet'!$B$114,BY42+BX43-CG42)))</f>
        <v>158.00000000000003</v>
      </c>
      <c r="BZ43" s="14">
        <f>BY43*VLOOKUP('Données projet'!$B$12,Paramètres!$A$1:$I$89,3,0)*VLOOKUP('Données projet'!$B$12,Paramètres!$A$1:$I$89,5,0)</f>
        <v>142.95840000000004</v>
      </c>
      <c r="CA43" s="14">
        <f t="shared" si="39"/>
        <v>36.973906370811264</v>
      </c>
      <c r="CB43" s="22">
        <f t="shared" si="10"/>
        <v>313.38210026249641</v>
      </c>
      <c r="CC43" s="62">
        <f t="shared" si="11"/>
        <v>606.71543359582972</v>
      </c>
      <c r="CD43" s="62">
        <f ca="1">AVERAGE(OFFSET($CC$3,0,0,'Données projet'!$E$12+1,1))-AVERAGE(OFFSET($H$3,0,0,'Données projet'!$E$12+1,1))</f>
        <v>428.8489304403459</v>
      </c>
      <c r="CE43" s="62">
        <f t="shared" si="40"/>
        <v>247.01165577562966</v>
      </c>
      <c r="CF43" s="16">
        <f>IF(ISNA(VLOOKUP(A43,'Données projet'!$A$113:$I$133,3,0)),0,VLOOKUP(A43,'Données projet'!$A$113:$I$133,3,0))</f>
        <v>2</v>
      </c>
      <c r="CG43" s="16">
        <f>IF(ISNA(VLOOKUP(A43,'Données projet'!$A$113:$I$133,4,0)),0,VLOOKUP(A43,'Données projet'!$A$113:$I$133,4,0))</f>
        <v>42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220</v>
      </c>
      <c r="CR43" s="13">
        <f>VLOOKUP(A43,'Données projet'!$A$139:$I$159,9,0)</f>
        <v>9.6</v>
      </c>
      <c r="CS43" s="13">
        <f t="array" ref="CS43">INDEX(CR:CR,MIN(IF(ISNUMBER(CR43:CR239),ROW(CR43:CR239),"")))</f>
        <v>9.6</v>
      </c>
      <c r="CT43" s="13">
        <f>IF('Données projet'!$A$140&gt;35,CT42+CS43-DB42,IF(A43&lt;'Données projet'!$A$140,$CQ$205^A43,IF(A43='Données projet'!$A$140,'Données projet'!$B$140,CT42+CS43-DB42)))</f>
        <v>219.99999999999989</v>
      </c>
      <c r="CU43" s="18">
        <f>CT43*VLOOKUP('Données projet'!$B$13,Paramètres!$A$1:$I$89,3,0)*VLOOKUP('Données projet'!$B$13,Paramètres!$A$1:$I$89,5,0)</f>
        <v>175.03199999999993</v>
      </c>
      <c r="CV43" s="14">
        <f t="shared" si="41"/>
        <v>44.215103743191008</v>
      </c>
      <c r="CW43" s="22">
        <f t="shared" si="13"/>
        <v>381.85537235272426</v>
      </c>
      <c r="CX43" s="62">
        <f t="shared" si="14"/>
        <v>675.18870568605757</v>
      </c>
      <c r="CY43" s="62">
        <f ca="1">AVERAGE(OFFSET($CX$3,0,0,'Données projet'!$E$13+1,1))-AVERAGE(OFFSET($H$3,0,0,'Données projet'!$E$13+1,1))</f>
        <v>312.53381881960331</v>
      </c>
      <c r="CZ43" s="62">
        <f t="shared" si="42"/>
        <v>342.06887933351783</v>
      </c>
      <c r="DA43" s="16">
        <f>IF(ISNA(VLOOKUP(A43,'Données projet'!$A$139:$I$159,3,0)),0,VLOOKUP(A43,'Données projet'!$A$139:$I$159,3,0))</f>
        <v>3</v>
      </c>
      <c r="DB43" s="16">
        <f>IF(ISNA(VLOOKUP(A43,'Données projet'!$A$139:$I$159,4,0)),0,VLOOKUP(A43,'Données projet'!$A$139:$I$159,4,0))</f>
        <v>56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220</v>
      </c>
      <c r="DM43" s="13">
        <f>VLOOKUP(A43,'Données projet'!$A$165:$I$185,9,0)</f>
        <v>9.6</v>
      </c>
      <c r="DN43" s="13">
        <f t="array" ref="DN43">INDEX(DM:DM,MIN(IF(ISNUMBER(DM43:DM239),ROW(DM43:DM239),"")))</f>
        <v>9.6</v>
      </c>
      <c r="DO43" s="13">
        <f>IF('Données projet'!$A$166&gt;35,DO42+DN43-DW42,IF(A43&lt;'Données projet'!$A$166,$DL$205^A43,IF(A43='Données projet'!$A$166,'Données projet'!$B$166,DO42+DN43-DW42)))</f>
        <v>219.99999999999989</v>
      </c>
      <c r="DP43" s="18">
        <f>DO43*VLOOKUP('Données projet'!$B$14,Paramètres!$A$1:$I$89,3,0)*VLOOKUP('Données projet'!$B$14,Paramètres!$A$1:$I$89,5,0)</f>
        <v>161.30399999999992</v>
      </c>
      <c r="DQ43" s="14">
        <f t="shared" si="43"/>
        <v>41.136497157560363</v>
      </c>
      <c r="DR43" s="22">
        <f t="shared" si="16"/>
        <v>352.58386588275084</v>
      </c>
      <c r="DS43" s="62">
        <f t="shared" si="17"/>
        <v>645.9171992160841</v>
      </c>
      <c r="DT43" s="62">
        <f ca="1">AVERAGE(OFFSET($DS$3,0,0,'Données projet'!$E$14+1,1))-AVERAGE(OFFSET($H$3,0,0,'Données projet'!$E$14+1,1))</f>
        <v>290.85271051443431</v>
      </c>
      <c r="DU43" s="62">
        <f t="shared" si="44"/>
        <v>318.66958823451142</v>
      </c>
      <c r="DV43" s="16">
        <f>IF(ISNA(VLOOKUP(A43,'Données projet'!$A$165:$I$185,3,0)),0,VLOOKUP(A43,'Données projet'!$A$165:$I$185,3,0))</f>
        <v>3</v>
      </c>
      <c r="DW43" s="16">
        <f>IF(ISNA(VLOOKUP(A43,'Données projet'!$A$165:$I$185,4,0)),0,VLOOKUP(A43,'Données projet'!$A$165:$I$185,4,0))</f>
        <v>56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0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>
        <f>VLOOKUP(A43,'Données projet'!$A$191:$I$211,2,0)</f>
        <v>136</v>
      </c>
      <c r="EH43" s="13">
        <f>VLOOKUP(A43,'Données projet'!$A$191:$I$211,9,0)</f>
        <v>7.8</v>
      </c>
      <c r="EI43" s="13">
        <f t="array" ref="EI43">INDEX(EH:EH,MIN(IF(ISNUMBER(EH43:EH239),ROW(EH43:EH239),"")))</f>
        <v>7.8</v>
      </c>
      <c r="EJ43" s="13">
        <f>IF('Données projet'!$A$192&gt;35,EJ42+EI43-ER42,IF(A43&lt;'Données projet'!$A$192,$EG$205^A43,IF(A43='Données projet'!$A$192,'Données projet'!$B$192,EJ42+EI43-ER42)))</f>
        <v>136.00000000000003</v>
      </c>
      <c r="EK43" s="18">
        <f>EJ43*VLOOKUP('Données projet'!$B$15,Paramètres!$A$1:$I$89,3,0)*VLOOKUP('Données projet'!$B$15,Paramètres!$A$1:$I$89,5,0)</f>
        <v>116.68800000000005</v>
      </c>
      <c r="EL43" s="14">
        <f t="shared" si="45"/>
        <v>30.901275916128863</v>
      </c>
      <c r="EM43" s="22">
        <f t="shared" si="19"/>
        <v>257.05132222059115</v>
      </c>
      <c r="EN43" s="62">
        <f t="shared" si="20"/>
        <v>550.3846555539244</v>
      </c>
      <c r="EO43" s="62">
        <f ca="1">AVERAGE(OFFSET($EN$3,0,0,'Données projet'!$E$15+1,1))-AVERAGE(OFFSET($H$3,0,0,'Données projet'!$E$15+1,1))</f>
        <v>438.65317358403996</v>
      </c>
      <c r="EP43" s="62">
        <f t="shared" si="46"/>
        <v>176.81257896138806</v>
      </c>
      <c r="EQ43" s="16">
        <f>IF(ISNA(VLOOKUP(A43,'Données projet'!$A$191:$I$211,3,0)),0,VLOOKUP(A43,'Données projet'!$A$191:$I$211,3,0))</f>
        <v>2</v>
      </c>
      <c r="ER43" s="16">
        <f>IF(ISNA(VLOOKUP(A43,'Données projet'!$A$191:$I$211,4,0)),0,VLOOKUP(A43,'Données projet'!$A$191:$I$211,4,0))</f>
        <v>42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projet'!$B$15,Paramètres!$A$1:$I$89,3,0)*0.475*44/12</f>
        <v>0</v>
      </c>
      <c r="EW43" s="23">
        <f>EXP(-LN(2)/25)*EW42+(1-EXP(-LN(2)/25))/(LN(2)/25)*Calculateur!ER43*Calculateur!ET43*VLOOKUP('Données projet'!$B$15,Paramètres!$A$1:$I$89,3,0)*0.475*44/12</f>
        <v>0</v>
      </c>
      <c r="EX43" s="23">
        <f>EXP(-LN(2)/2)*EX42+(1-EXP(-LN(2)/2))/(LN(2)/2)*ER43*EU43*VLOOKUP('Données projet'!$B$15,Paramètres!$A$1:$I$89,3,0)*0.475*44/12</f>
        <v>0</v>
      </c>
      <c r="EY43" s="24">
        <f t="shared" si="21"/>
        <v>0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18.229670329670324</v>
      </c>
      <c r="N44" s="14">
        <f>IF('Données projet'!$A$36&gt;35,N43+M44-V43,IF(A44&lt;'Données projet'!$A$36,$K$205^A44,IF(A44='Données projet'!$A$36,'Données projet'!$B$36,N43+M44-V43)))</f>
        <v>344.37032967032974</v>
      </c>
      <c r="O44" s="14">
        <f>N44*VLOOKUP('Données projet'!$B$9,Paramètres!$A$1:$I$89,3,0)*VLOOKUP('Données projet'!$B$9,Paramètres!$A$1:$I$89,5,0)</f>
        <v>192.50301428571433</v>
      </c>
      <c r="P44" s="14">
        <f t="shared" si="33"/>
        <v>48.092911552862631</v>
      </c>
      <c r="Q44" s="22">
        <f t="shared" si="53"/>
        <v>419.03790416885482</v>
      </c>
      <c r="R44" s="62">
        <f t="shared" si="0"/>
        <v>712.37123750218814</v>
      </c>
      <c r="S44" s="62">
        <f ca="1">AVERAGE(OFFSET($R$3,0,0,'Données projet'!$E$9+1,1))-AVERAGE(OFFSET($H$3,0,0,'Données projet'!$E$9+1,1))</f>
        <v>323.98185264074681</v>
      </c>
      <c r="T44" s="62">
        <f t="shared" si="34"/>
        <v>301.22207291854005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3.5888175766431076</v>
      </c>
      <c r="AA44" s="23">
        <f>EXP(-LN(2)/25)*AA43+(1-EXP(-LN(2)/25))/(LN(2)/25)*Calculateur!V44*Calculateur!X44*VLOOKUP('Données projet'!$B$9,Paramètres!$A$1:$I$89,3,0)*0.475*44/12</f>
        <v>6.0793699933113787</v>
      </c>
      <c r="AB44" s="23">
        <f>EXP(-LN(2)/2)*AB43+(1-EXP(-LN(2)/2))/(LN(2)/2)*V44*Y44*VLOOKUP('Données projet'!$B$9,Paramètres!$A$1:$I$89,3,0)*0.475*44/12</f>
        <v>0.13452280435200165</v>
      </c>
      <c r="AC44" s="24">
        <f t="shared" si="3"/>
        <v>9.8027103743064892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>
        <f>VLOOKUP(A44,'Données projet'!$A$61:$I$81,2,0)</f>
        <v>242.81538461538463</v>
      </c>
      <c r="AG44" s="13">
        <f>VLOOKUP(A44,'Données projet'!$A$61:$I$81,9,0)</f>
        <v>12.74038461538462</v>
      </c>
      <c r="AH44" s="13">
        <f t="array" ref="AH44">INDEX(AG:AG,MIN(IF(ISNUMBER(AG44:AG240),ROW(AG44:AG240),"")))</f>
        <v>12.74038461538462</v>
      </c>
      <c r="AI44" s="14">
        <f>IF('Données projet'!$A$62&gt;35,AI43+AH44-AQ43,IF(A44&lt;'Données projet'!$A$62,$AF$205^A44,IF(A44='Données projet'!$A$62,'Données projet'!$B$62,AI43+AH44-AQ43)))</f>
        <v>242.81538461538457</v>
      </c>
      <c r="AJ44" s="14">
        <f>AI44*VLOOKUP('Données projet'!$B$10,Paramètres!$A$1:$I$89,3,0)*VLOOKUP('Données projet'!$B$10,Paramètres!$A$1:$I$89,5,0)</f>
        <v>145.20359999999999</v>
      </c>
      <c r="AK44" s="14">
        <f t="shared" si="35"/>
        <v>37.4865334633907</v>
      </c>
      <c r="AL44" s="22">
        <f t="shared" si="4"/>
        <v>318.18531578207211</v>
      </c>
      <c r="AM44" s="62">
        <f t="shared" si="5"/>
        <v>611.51864911540542</v>
      </c>
      <c r="AN44" s="62">
        <f ca="1">AVERAGE(OFFSET($AM$3,0,0,'Données projet'!$E$10+1,1))-AVERAGE(OFFSET($H$3,0,0,'Données projet'!$E$10+1,1))</f>
        <v>289.12367833861299</v>
      </c>
      <c r="AO44" s="62">
        <f t="shared" si="36"/>
        <v>229.06617320689003</v>
      </c>
      <c r="AP44" s="16">
        <f>IF(ISNA(VLOOKUP(A44,'Données projet'!$A$61:$I$81,3,0)),0,VLOOKUP(A44,'Données projet'!$A$61:$I$81,3,0))</f>
        <v>4</v>
      </c>
      <c r="AQ44" s="16">
        <f>IF(ISNA(VLOOKUP(A44,'Données projet'!$A$61:$I$81,4,0)),0,VLOOKUP(A44,'Données projet'!$A$61:$I$81,4,0))</f>
        <v>58.484615384615381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9.163297512918879E-2</v>
      </c>
      <c r="AX44" s="23">
        <f t="shared" si="6"/>
        <v>9.163297512918879E-2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11.5</v>
      </c>
      <c r="BD44" s="13">
        <f>IF('Données projet'!$A$88&gt;35,BD43+BC44-BL43,IF(A44&lt;'Données projet'!$A$88,$BA$205^A44,IF(A44='Données projet'!$A$88,'Données projet'!$B$88,BD43+BC44-BL43)))</f>
        <v>243.5</v>
      </c>
      <c r="BE44" s="14">
        <f>BD44*VLOOKUP('Données projet'!$B$11,Paramètres!$A$1:$I$89,3,0)*VLOOKUP('Données projet'!$B$11,Paramètres!$A$1:$I$89,5,0)</f>
        <v>151.94399999999999</v>
      </c>
      <c r="BF44" s="14">
        <f t="shared" si="37"/>
        <v>39.02003496976517</v>
      </c>
      <c r="BG44" s="22">
        <f t="shared" si="7"/>
        <v>332.59569423900763</v>
      </c>
      <c r="BH44" s="62">
        <f t="shared" si="8"/>
        <v>625.92902757234094</v>
      </c>
      <c r="BI44" s="62">
        <f ca="1">AVERAGE(OFFSET($BH$3,0,0,'Données projet'!$E$11+1,1))-AVERAGE(OFFSET($H$3,0,0,'Données projet'!$E$11+1,1))</f>
        <v>240.22884864766218</v>
      </c>
      <c r="BJ44" s="62">
        <f t="shared" si="38"/>
        <v>343.23776884143166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7.5891502727546358</v>
      </c>
      <c r="BR44" s="23">
        <f>EXP(-LN(2)/2)*BR43+(1-EXP(-LN(2)/2))/(LN(2)/2)*BL44*BO44*VLOOKUP('Données projet'!$B$11,Paramètres!$A$1:$I$89,3,0)*0.475*44/12</f>
        <v>0.3650177985955958</v>
      </c>
      <c r="BS44" s="24">
        <f t="shared" si="9"/>
        <v>7.9541680713502316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8.4</v>
      </c>
      <c r="BY44" s="13">
        <f>IF('Données projet'!$A$114&gt;35,BY43+BX44-CG43,IF(A44&lt;'Données projet'!$A$114,$BV$205^A44,IF(A44='Données projet'!$A$114,'Données projet'!$B$114,BY43+BX44-CG43)))</f>
        <v>124.40000000000003</v>
      </c>
      <c r="BZ44" s="14">
        <f>BY44*VLOOKUP('Données projet'!$B$12,Paramètres!$A$1:$I$89,3,0)*VLOOKUP('Données projet'!$B$12,Paramètres!$A$1:$I$89,5,0)</f>
        <v>112.55712000000003</v>
      </c>
      <c r="CA44" s="14">
        <f t="shared" si="39"/>
        <v>29.932653834140599</v>
      </c>
      <c r="CB44" s="22">
        <f t="shared" si="10"/>
        <v>248.16968942779496</v>
      </c>
      <c r="CC44" s="62">
        <f t="shared" si="11"/>
        <v>541.50302276112825</v>
      </c>
      <c r="CD44" s="62">
        <f ca="1">AVERAGE(OFFSET($CC$3,0,0,'Données projet'!$E$12+1,1))-AVERAGE(OFFSET($H$3,0,0,'Données projet'!$E$12+1,1))</f>
        <v>428.8489304403459</v>
      </c>
      <c r="CE44" s="62">
        <f t="shared" si="40"/>
        <v>247.01165577562966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8.1999999999999993</v>
      </c>
      <c r="CT44" s="13">
        <f>IF('Données projet'!$A$140&gt;35,CT43+CS44-DB43,IF(A44&lt;'Données projet'!$A$140,$CQ$205^A44,IF(A44='Données projet'!$A$140,'Données projet'!$B$140,CT43+CS44-DB43)))</f>
        <v>172.19999999999987</v>
      </c>
      <c r="CU44" s="18">
        <f>CT44*VLOOKUP('Données projet'!$B$13,Paramètres!$A$1:$I$89,3,0)*VLOOKUP('Données projet'!$B$13,Paramètres!$A$1:$I$89,5,0)</f>
        <v>137.00231999999991</v>
      </c>
      <c r="CV44" s="14">
        <f t="shared" si="41"/>
        <v>35.609416420931318</v>
      </c>
      <c r="CW44" s="22">
        <f t="shared" si="13"/>
        <v>300.63210759978858</v>
      </c>
      <c r="CX44" s="62">
        <f t="shared" si="14"/>
        <v>593.96544093312195</v>
      </c>
      <c r="CY44" s="62">
        <f ca="1">AVERAGE(OFFSET($CX$3,0,0,'Données projet'!$E$13+1,1))-AVERAGE(OFFSET($H$3,0,0,'Données projet'!$E$13+1,1))</f>
        <v>312.53381881960331</v>
      </c>
      <c r="CZ44" s="62">
        <f t="shared" si="42"/>
        <v>342.06887933351783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8.1999999999999993</v>
      </c>
      <c r="DO44" s="13">
        <f>IF('Données projet'!$A$166&gt;35,DO43+DN44-DW43,IF(A44&lt;'Données projet'!$A$166,$DL$205^A44,IF(A44='Données projet'!$A$166,'Données projet'!$B$166,DO43+DN44-DW43)))</f>
        <v>172.19999999999987</v>
      </c>
      <c r="DP44" s="18">
        <f>DO44*VLOOKUP('Données projet'!$B$14,Paramètres!$A$1:$I$89,3,0)*VLOOKUP('Données projet'!$B$14,Paramètres!$A$1:$I$89,5,0)</f>
        <v>126.25703999999992</v>
      </c>
      <c r="DQ44" s="14">
        <f t="shared" si="43"/>
        <v>33.130006114881219</v>
      </c>
      <c r="DR44" s="22">
        <f t="shared" si="16"/>
        <v>277.59910531675132</v>
      </c>
      <c r="DS44" s="62">
        <f t="shared" si="17"/>
        <v>570.93243865008458</v>
      </c>
      <c r="DT44" s="62">
        <f ca="1">AVERAGE(OFFSET($DS$3,0,0,'Données projet'!$E$14+1,1))-AVERAGE(OFFSET($H$3,0,0,'Données projet'!$E$14+1,1))</f>
        <v>290.85271051443431</v>
      </c>
      <c r="DU44" s="62">
        <f t="shared" si="44"/>
        <v>318.66958823451142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0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8</v>
      </c>
      <c r="EJ44" s="13">
        <f>IF('Données projet'!$A$192&gt;35,EJ43+EI44-ER43,IF(A44&lt;'Données projet'!$A$192,$EG$205^A44,IF(A44='Données projet'!$A$192,'Données projet'!$B$192,EJ43+EI44-ER43)))</f>
        <v>102.00000000000003</v>
      </c>
      <c r="EK44" s="18">
        <f>EJ44*VLOOKUP('Données projet'!$B$15,Paramètres!$A$1:$I$89,3,0)*VLOOKUP('Données projet'!$B$15,Paramètres!$A$1:$I$89,5,0)</f>
        <v>87.516000000000034</v>
      </c>
      <c r="EL44" s="14">
        <f t="shared" si="45"/>
        <v>23.965171662037665</v>
      </c>
      <c r="EM44" s="22">
        <f t="shared" si="19"/>
        <v>194.16304064471566</v>
      </c>
      <c r="EN44" s="62">
        <f t="shared" si="20"/>
        <v>487.49637397804895</v>
      </c>
      <c r="EO44" s="62">
        <f ca="1">AVERAGE(OFFSET($EN$3,0,0,'Données projet'!$E$15+1,1))-AVERAGE(OFFSET($H$3,0,0,'Données projet'!$E$15+1,1))</f>
        <v>438.65317358403996</v>
      </c>
      <c r="EP44" s="62">
        <f t="shared" si="46"/>
        <v>176.81257896138806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projet'!$B$15,Paramètres!$A$1:$I$89,3,0)*0.475*44/12</f>
        <v>0</v>
      </c>
      <c r="EW44" s="23">
        <f>EXP(-LN(2)/25)*EW43+(1-EXP(-LN(2)/25))/(LN(2)/25)*Calculateur!ER44*Calculateur!ET44*VLOOKUP('Données projet'!$B$15,Paramètres!$A$1:$I$89,3,0)*0.475*44/12</f>
        <v>0</v>
      </c>
      <c r="EX44" s="23">
        <f>EXP(-LN(2)/2)*EX43+(1-EXP(-LN(2)/2))/(LN(2)/2)*ER44*EU44*VLOOKUP('Données projet'!$B$15,Paramètres!$A$1:$I$89,3,0)*0.475*44/12</f>
        <v>0</v>
      </c>
      <c r="EY44" s="24">
        <f t="shared" si="21"/>
        <v>0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>
        <f>VLOOKUP(A45,'Données projet'!$A$35:$I$55,2,0)</f>
        <v>362.59999999999997</v>
      </c>
      <c r="L45" s="13">
        <f>VLOOKUP(A45,'Données projet'!$A$35:$I$55,9,0)</f>
        <v>18.229670329670324</v>
      </c>
      <c r="M45" s="13">
        <f t="array" ref="M45">INDEX(L:L,MIN(IF(ISNUMBER(L45:L241),ROW(L45:L241),"")))</f>
        <v>18.229670329670324</v>
      </c>
      <c r="N45" s="14">
        <f>IF('Données projet'!$A$36&gt;35,N44+M45-V44,IF(A45&lt;'Données projet'!$A$36,$K$205^A45,IF(A45='Données projet'!$A$36,'Données projet'!$B$36,N44+M45-V44)))</f>
        <v>362.60000000000008</v>
      </c>
      <c r="O45" s="14">
        <f>N45*VLOOKUP('Données projet'!$B$9,Paramètres!$A$1:$I$89,3,0)*VLOOKUP('Données projet'!$B$9,Paramètres!$A$1:$I$89,5,0)</f>
        <v>202.69340000000005</v>
      </c>
      <c r="P45" s="14">
        <f t="shared" si="33"/>
        <v>50.335633892078647</v>
      </c>
      <c r="Q45" s="22">
        <f t="shared" si="53"/>
        <v>440.69223402870375</v>
      </c>
      <c r="R45" s="62">
        <f t="shared" si="0"/>
        <v>734.02556736203701</v>
      </c>
      <c r="S45" s="62">
        <f ca="1">AVERAGE(OFFSET($R$3,0,0,'Données projet'!$E$9+1,1))-AVERAGE(OFFSET($H$3,0,0,'Données projet'!$E$9+1,1))</f>
        <v>323.98185264074681</v>
      </c>
      <c r="T45" s="62">
        <f t="shared" si="34"/>
        <v>301.22207291854005</v>
      </c>
      <c r="U45" s="16">
        <f>IF(ISNA(VLOOKUP(A45,'Données projet'!$A$35:$I$55,3,0)),0,VLOOKUP(A45,'Données projet'!$A$35:$I$55,3,0))</f>
        <v>4</v>
      </c>
      <c r="V45" s="16">
        <f>IF(ISNA(VLOOKUP(A45,'Données projet'!$A$35:$I$55,4,0)),0,VLOOKUP(A45,'Données projet'!$A$35:$I$55,4,0))</f>
        <v>80.669230769230765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3.518443052927716</v>
      </c>
      <c r="AA45" s="23">
        <f>EXP(-LN(2)/25)*AA44+(1-EXP(-LN(2)/25))/(LN(2)/25)*Calculateur!V45*Calculateur!X45*VLOOKUP('Données projet'!$B$9,Paramètres!$A$1:$I$89,3,0)*0.475*44/12</f>
        <v>5.9131293011441057</v>
      </c>
      <c r="AB45" s="23">
        <f>EXP(-LN(2)/2)*AB44+(1-EXP(-LN(2)/2))/(LN(2)/2)*V45*Y45*VLOOKUP('Données projet'!$B$9,Paramètres!$A$1:$I$89,3,0)*0.475*44/12</f>
        <v>9.5121987181531573E-2</v>
      </c>
      <c r="AC45" s="24">
        <f t="shared" si="3"/>
        <v>9.5266943412533536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11.861538461538462</v>
      </c>
      <c r="AI45" s="14">
        <f>IF('Données projet'!$A$62&gt;35,AI44+AH45-AQ44,IF(A45&lt;'Données projet'!$A$62,$AF$205^A45,IF(A45='Données projet'!$A$62,'Données projet'!$B$62,AI44+AH45-AQ44)))</f>
        <v>196.19230769230765</v>
      </c>
      <c r="AJ45" s="14">
        <f>AI45*VLOOKUP('Données projet'!$B$10,Paramètres!$A$1:$I$89,3,0)*VLOOKUP('Données projet'!$B$10,Paramètres!$A$1:$I$89,5,0)</f>
        <v>117.32299999999999</v>
      </c>
      <c r="AK45" s="14">
        <f t="shared" si="35"/>
        <v>31.049815552357138</v>
      </c>
      <c r="AL45" s="22">
        <f t="shared" si="4"/>
        <v>258.41598708702196</v>
      </c>
      <c r="AM45" s="62">
        <f t="shared" si="5"/>
        <v>551.74932042035528</v>
      </c>
      <c r="AN45" s="62">
        <f ca="1">AVERAGE(OFFSET($AM$3,0,0,'Données projet'!$E$10+1,1))-AVERAGE(OFFSET($H$3,0,0,'Données projet'!$E$10+1,1))</f>
        <v>289.12367833861299</v>
      </c>
      <c r="AO45" s="62">
        <f t="shared" si="36"/>
        <v>229.06617320689003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6.4794298094147648E-2</v>
      </c>
      <c r="AX45" s="23">
        <f t="shared" si="6"/>
        <v>6.4794298094147648E-2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>
        <f>VLOOKUP(A45,'Données projet'!$A$87:$I$107,2,0)</f>
        <v>255</v>
      </c>
      <c r="BB45" s="13">
        <f>VLOOKUP(A45,'Données projet'!$A$87:$I$107,9,0)</f>
        <v>11.5</v>
      </c>
      <c r="BC45" s="13">
        <f t="array" ref="BC45">INDEX(BB:BB,MIN(IF(ISNUMBER(BB45:BB241),ROW(BB45:BB241),"")))</f>
        <v>11.5</v>
      </c>
      <c r="BD45" s="13">
        <f>IF('Données projet'!$A$88&gt;35,BD44+BC45-BL44,IF(A45&lt;'Données projet'!$A$88,$BA$205^A45,IF(A45='Données projet'!$A$88,'Données projet'!$B$88,BD44+BC45-BL44)))</f>
        <v>255</v>
      </c>
      <c r="BE45" s="14">
        <f>BD45*VLOOKUP('Données projet'!$B$11,Paramètres!$A$1:$I$89,3,0)*VLOOKUP('Données projet'!$B$11,Paramètres!$A$1:$I$89,5,0)</f>
        <v>159.12</v>
      </c>
      <c r="BF45" s="14">
        <f t="shared" si="37"/>
        <v>40.643965284387697</v>
      </c>
      <c r="BG45" s="22">
        <f t="shared" si="7"/>
        <v>347.92223953697521</v>
      </c>
      <c r="BH45" s="62">
        <f t="shared" si="8"/>
        <v>641.25557287030847</v>
      </c>
      <c r="BI45" s="62">
        <f ca="1">AVERAGE(OFFSET($BH$3,0,0,'Données projet'!$E$11+1,1))-AVERAGE(OFFSET($H$3,0,0,'Données projet'!$E$11+1,1))</f>
        <v>240.22884864766218</v>
      </c>
      <c r="BJ45" s="62">
        <f t="shared" si="38"/>
        <v>343.23776884143166</v>
      </c>
      <c r="BK45" s="16">
        <f>IF(ISNA(VLOOKUP(A45,'Données projet'!$A$87:$I$107,3,0)),0,VLOOKUP(A45,'Données projet'!$A$87:$I$107,3,0))</f>
        <v>6</v>
      </c>
      <c r="BL45" s="16">
        <f>IF(ISNA(VLOOKUP(A45,'Données projet'!$A$87:$I$107,4,0)),0,VLOOKUP(A45,'Données projet'!$A$87:$I$107,4,0))</f>
        <v>67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7.3816245594500929</v>
      </c>
      <c r="BR45" s="23">
        <f>EXP(-LN(2)/2)*BR44+(1-EXP(-LN(2)/2))/(LN(2)/2)*BL45*BO45*VLOOKUP('Données projet'!$B$11,Paramètres!$A$1:$I$89,3,0)*0.475*44/12</f>
        <v>0.25810656064073123</v>
      </c>
      <c r="BS45" s="24">
        <f t="shared" si="9"/>
        <v>7.6397311200908238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8.4</v>
      </c>
      <c r="BY45" s="13">
        <f>IF('Données projet'!$A$114&gt;35,BY44+BX45-CG44,IF(A45&lt;'Données projet'!$A$114,$BV$205^A45,IF(A45='Données projet'!$A$114,'Données projet'!$B$114,BY44+BX45-CG44)))</f>
        <v>132.80000000000004</v>
      </c>
      <c r="BZ45" s="14">
        <f>BY45*VLOOKUP('Données projet'!$B$12,Paramètres!$A$1:$I$89,3,0)*VLOOKUP('Données projet'!$B$12,Paramètres!$A$1:$I$89,5,0)</f>
        <v>120.15744000000002</v>
      </c>
      <c r="CA45" s="14">
        <f t="shared" si="39"/>
        <v>31.711716786129845</v>
      </c>
      <c r="CB45" s="22">
        <f t="shared" si="10"/>
        <v>264.50544806917623</v>
      </c>
      <c r="CC45" s="62">
        <f t="shared" si="11"/>
        <v>557.83878140250954</v>
      </c>
      <c r="CD45" s="62">
        <f ca="1">AVERAGE(OFFSET($CC$3,0,0,'Données projet'!$E$12+1,1))-AVERAGE(OFFSET($H$3,0,0,'Données projet'!$E$12+1,1))</f>
        <v>428.8489304403459</v>
      </c>
      <c r="CE45" s="62">
        <f t="shared" si="40"/>
        <v>247.01165577562966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8.1999999999999993</v>
      </c>
      <c r="CT45" s="13">
        <f>IF('Données projet'!$A$140&gt;35,CT44+CS45-DB44,IF(A45&lt;'Données projet'!$A$140,$CQ$205^A45,IF(A45='Données projet'!$A$140,'Données projet'!$B$140,CT44+CS45-DB44)))</f>
        <v>180.39999999999986</v>
      </c>
      <c r="CU45" s="18">
        <f>CT45*VLOOKUP('Données projet'!$B$13,Paramètres!$A$1:$I$89,3,0)*VLOOKUP('Données projet'!$B$13,Paramètres!$A$1:$I$89,5,0)</f>
        <v>143.52623999999989</v>
      </c>
      <c r="CV45" s="14">
        <f t="shared" si="41"/>
        <v>37.10364433723624</v>
      </c>
      <c r="CW45" s="22">
        <f t="shared" si="13"/>
        <v>314.59704855401958</v>
      </c>
      <c r="CX45" s="62">
        <f t="shared" si="14"/>
        <v>607.93038188735295</v>
      </c>
      <c r="CY45" s="62">
        <f ca="1">AVERAGE(OFFSET($CX$3,0,0,'Données projet'!$E$13+1,1))-AVERAGE(OFFSET($H$3,0,0,'Données projet'!$E$13+1,1))</f>
        <v>312.53381881960331</v>
      </c>
      <c r="CZ45" s="62">
        <f t="shared" si="42"/>
        <v>342.06887933351783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8.1999999999999993</v>
      </c>
      <c r="DO45" s="13">
        <f>IF('Données projet'!$A$166&gt;35,DO44+DN45-DW44,IF(A45&lt;'Données projet'!$A$166,$DL$205^A45,IF(A45='Données projet'!$A$166,'Données projet'!$B$166,DO44+DN45-DW44)))</f>
        <v>180.39999999999986</v>
      </c>
      <c r="DP45" s="18">
        <f>DO45*VLOOKUP('Données projet'!$B$14,Paramètres!$A$1:$I$89,3,0)*VLOOKUP('Données projet'!$B$14,Paramètres!$A$1:$I$89,5,0)</f>
        <v>132.2692799999999</v>
      </c>
      <c r="DQ45" s="14">
        <f t="shared" si="43"/>
        <v>34.520194019648734</v>
      </c>
      <c r="DR45" s="22">
        <f t="shared" si="16"/>
        <v>290.49166725088799</v>
      </c>
      <c r="DS45" s="62">
        <f t="shared" si="17"/>
        <v>583.82500058422124</v>
      </c>
      <c r="DT45" s="62">
        <f ca="1">AVERAGE(OFFSET($DS$3,0,0,'Données projet'!$E$14+1,1))-AVERAGE(OFFSET($H$3,0,0,'Données projet'!$E$14+1,1))</f>
        <v>290.85271051443431</v>
      </c>
      <c r="DU45" s="62">
        <f t="shared" si="44"/>
        <v>318.66958823451142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0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8</v>
      </c>
      <c r="EJ45" s="13">
        <f>IF('Données projet'!$A$192&gt;35,EJ44+EI45-ER44,IF(A45&lt;'Données projet'!$A$192,$EG$205^A45,IF(A45='Données projet'!$A$192,'Données projet'!$B$192,EJ44+EI45-ER44)))</f>
        <v>110.00000000000003</v>
      </c>
      <c r="EK45" s="18">
        <f>EJ45*VLOOKUP('Données projet'!$B$15,Paramètres!$A$1:$I$89,3,0)*VLOOKUP('Données projet'!$B$15,Paramètres!$A$1:$I$89,5,0)</f>
        <v>94.380000000000038</v>
      </c>
      <c r="EL45" s="14">
        <f t="shared" si="45"/>
        <v>25.618636348883232</v>
      </c>
      <c r="EM45" s="22">
        <f t="shared" si="19"/>
        <v>208.99762497430501</v>
      </c>
      <c r="EN45" s="62">
        <f t="shared" si="20"/>
        <v>502.3309583076383</v>
      </c>
      <c r="EO45" s="62">
        <f ca="1">AVERAGE(OFFSET($EN$3,0,0,'Données projet'!$E$15+1,1))-AVERAGE(OFFSET($H$3,0,0,'Données projet'!$E$15+1,1))</f>
        <v>438.65317358403996</v>
      </c>
      <c r="EP45" s="62">
        <f t="shared" si="46"/>
        <v>176.81257896138806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0</v>
      </c>
      <c r="EW45" s="23">
        <f>EXP(-LN(2)/25)*EW44+(1-EXP(-LN(2)/25))/(LN(2)/25)*Calculateur!ER45*Calculateur!ET45*VLOOKUP('Données projet'!$B$15,Paramètres!$A$1:$I$89,3,0)*0.475*44/12</f>
        <v>0</v>
      </c>
      <c r="EX45" s="23">
        <f>EXP(-LN(2)/2)*EX44+(1-EXP(-LN(2)/2))/(LN(2)/2)*ER45*EU45*VLOOKUP('Données projet'!$B$15,Paramètres!$A$1:$I$89,3,0)*0.475*44/12</f>
        <v>0</v>
      </c>
      <c r="EY45" s="24">
        <f t="shared" si="21"/>
        <v>0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17.519780219780223</v>
      </c>
      <c r="N46" s="14">
        <f>IF('Données projet'!$A$36&gt;35,N45+M46-V45,IF(A46&lt;'Données projet'!$A$36,$K$205^A46,IF(A46='Données projet'!$A$36,'Données projet'!$B$36,N45+M46-V45)))</f>
        <v>299.45054945054954</v>
      </c>
      <c r="O46" s="14">
        <f>N46*VLOOKUP('Données projet'!$B$9,Paramètres!$A$1:$I$89,3,0)*VLOOKUP('Données projet'!$B$9,Paramètres!$A$1:$I$89,5,0)</f>
        <v>167.3928571428572</v>
      </c>
      <c r="P46" s="14">
        <f t="shared" si="33"/>
        <v>42.505586135425617</v>
      </c>
      <c r="Q46" s="22">
        <f t="shared" si="53"/>
        <v>365.57312204300916</v>
      </c>
      <c r="R46" s="62">
        <f t="shared" si="0"/>
        <v>658.90645537634248</v>
      </c>
      <c r="S46" s="62">
        <f ca="1">AVERAGE(OFFSET($R$3,0,0,'Données projet'!$E$9+1,1))-AVERAGE(OFFSET($H$3,0,0,'Données projet'!$E$9+1,1))</f>
        <v>323.98185264074681</v>
      </c>
      <c r="T46" s="62">
        <f t="shared" si="34"/>
        <v>301.22207291854005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3.4494485306981622</v>
      </c>
      <c r="AA46" s="23">
        <f>EXP(-LN(2)/25)*AA45+(1-EXP(-LN(2)/25))/(LN(2)/25)*Calculateur!V46*Calculateur!X46*VLOOKUP('Données projet'!$B$9,Paramètres!$A$1:$I$89,3,0)*0.475*44/12</f>
        <v>5.751434469446365</v>
      </c>
      <c r="AB46" s="23">
        <f>EXP(-LN(2)/2)*AB45+(1-EXP(-LN(2)/2))/(LN(2)/2)*V46*Y46*VLOOKUP('Données projet'!$B$9,Paramètres!$A$1:$I$89,3,0)*0.475*44/12</f>
        <v>6.7261402176000823E-2</v>
      </c>
      <c r="AC46" s="24">
        <f t="shared" si="3"/>
        <v>9.2681444023205284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11.861538461538462</v>
      </c>
      <c r="AI46" s="14">
        <f>IF('Données projet'!$A$62&gt;35,AI45+AH46-AQ45,IF(A46&lt;'Données projet'!$A$62,$AF$205^A46,IF(A46='Données projet'!$A$62,'Données projet'!$B$62,AI45+AH46-AQ45)))</f>
        <v>208.05384615384611</v>
      </c>
      <c r="AJ46" s="14">
        <f>AI46*VLOOKUP('Données projet'!$B$10,Paramètres!$A$1:$I$89,3,0)*VLOOKUP('Données projet'!$B$10,Paramètres!$A$1:$I$89,5,0)</f>
        <v>124.41619999999999</v>
      </c>
      <c r="AK46" s="14">
        <f t="shared" si="35"/>
        <v>32.702828934083335</v>
      </c>
      <c r="AL46" s="22">
        <f t="shared" si="4"/>
        <v>273.64897539352847</v>
      </c>
      <c r="AM46" s="62">
        <f t="shared" si="5"/>
        <v>566.98230872686179</v>
      </c>
      <c r="AN46" s="62">
        <f ca="1">AVERAGE(OFFSET($AM$3,0,0,'Données projet'!$E$10+1,1))-AVERAGE(OFFSET($H$3,0,0,'Données projet'!$E$10+1,1))</f>
        <v>289.12367833861299</v>
      </c>
      <c r="AO46" s="62">
        <f t="shared" si="36"/>
        <v>229.06617320689003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4.5816487564594395E-2</v>
      </c>
      <c r="AX46" s="23">
        <f t="shared" si="6"/>
        <v>4.5816487564594395E-2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10.666666666666666</v>
      </c>
      <c r="BD46" s="13">
        <f>IF('Données projet'!$A$88&gt;35,BD45+BC46-BL45,IF(A46&lt;'Données projet'!$A$88,$BA$205^A46,IF(A46='Données projet'!$A$88,'Données projet'!$B$88,BD45+BC46-BL45)))</f>
        <v>198.66666666666669</v>
      </c>
      <c r="BE46" s="14">
        <f>BD46*VLOOKUP('Données projet'!$B$11,Paramètres!$A$1:$I$89,3,0)*VLOOKUP('Données projet'!$B$11,Paramètres!$A$1:$I$89,5,0)</f>
        <v>123.968</v>
      </c>
      <c r="BF46" s="14">
        <f t="shared" si="37"/>
        <v>32.598710622532096</v>
      </c>
      <c r="BG46" s="22">
        <f t="shared" si="7"/>
        <v>272.68702100091008</v>
      </c>
      <c r="BH46" s="62">
        <f t="shared" si="8"/>
        <v>566.02035433424339</v>
      </c>
      <c r="BI46" s="62">
        <f ca="1">AVERAGE(OFFSET($BH$3,0,0,'Données projet'!$E$11+1,1))-AVERAGE(OFFSET($H$3,0,0,'Données projet'!$E$11+1,1))</f>
        <v>240.22884864766218</v>
      </c>
      <c r="BJ46" s="62">
        <f t="shared" si="38"/>
        <v>343.23776884143166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7.1797736476891654</v>
      </c>
      <c r="BR46" s="23">
        <f>EXP(-LN(2)/2)*BR45+(1-EXP(-LN(2)/2))/(LN(2)/2)*BL46*BO46*VLOOKUP('Données projet'!$B$11,Paramètres!$A$1:$I$89,3,0)*0.475*44/12</f>
        <v>0.1825088992977979</v>
      </c>
      <c r="BS46" s="24">
        <f t="shared" si="9"/>
        <v>7.3622825469869628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8.4</v>
      </c>
      <c r="BY46" s="13">
        <f>IF('Données projet'!$A$114&gt;35,BY45+BX46-CG45,IF(A46&lt;'Données projet'!$A$114,$BV$205^A46,IF(A46='Données projet'!$A$114,'Données projet'!$B$114,BY45+BX46-CG45)))</f>
        <v>141.20000000000005</v>
      </c>
      <c r="BZ46" s="14">
        <f>BY46*VLOOKUP('Données projet'!$B$12,Paramètres!$A$1:$I$89,3,0)*VLOOKUP('Données projet'!$B$12,Paramètres!$A$1:$I$89,5,0)</f>
        <v>127.75776000000003</v>
      </c>
      <c r="CA46" s="14">
        <f t="shared" si="39"/>
        <v>33.477720030956604</v>
      </c>
      <c r="CB46" s="22">
        <f t="shared" si="10"/>
        <v>280.81846105391611</v>
      </c>
      <c r="CC46" s="62">
        <f t="shared" si="11"/>
        <v>574.15179438724942</v>
      </c>
      <c r="CD46" s="62">
        <f ca="1">AVERAGE(OFFSET($CC$3,0,0,'Données projet'!$E$12+1,1))-AVERAGE(OFFSET($H$3,0,0,'Données projet'!$E$12+1,1))</f>
        <v>428.8489304403459</v>
      </c>
      <c r="CE46" s="62">
        <f t="shared" si="40"/>
        <v>247.01165577562966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8.1999999999999993</v>
      </c>
      <c r="CT46" s="13">
        <f>IF('Données projet'!$A$140&gt;35,CT45+CS46-DB45,IF(A46&lt;'Données projet'!$A$140,$CQ$205^A46,IF(A46='Données projet'!$A$140,'Données projet'!$B$140,CT45+CS46-DB45)))</f>
        <v>188.59999999999985</v>
      </c>
      <c r="CU46" s="18">
        <f>CT46*VLOOKUP('Données projet'!$B$13,Paramètres!$A$1:$I$89,3,0)*VLOOKUP('Données projet'!$B$13,Paramètres!$A$1:$I$89,5,0)</f>
        <v>150.05015999999989</v>
      </c>
      <c r="CV46" s="14">
        <f t="shared" si="41"/>
        <v>38.589984439024569</v>
      </c>
      <c r="CW46" s="22">
        <f t="shared" si="13"/>
        <v>328.5482515646342</v>
      </c>
      <c r="CX46" s="62">
        <f t="shared" si="14"/>
        <v>621.88158489796751</v>
      </c>
      <c r="CY46" s="62">
        <f ca="1">AVERAGE(OFFSET($CX$3,0,0,'Données projet'!$E$13+1,1))-AVERAGE(OFFSET($H$3,0,0,'Données projet'!$E$13+1,1))</f>
        <v>312.53381881960331</v>
      </c>
      <c r="CZ46" s="62">
        <f t="shared" si="42"/>
        <v>342.06887933351783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8.1999999999999993</v>
      </c>
      <c r="DO46" s="13">
        <f>IF('Données projet'!$A$166&gt;35,DO45+DN46-DW45,IF(A46&lt;'Données projet'!$A$166,$DL$205^A46,IF(A46='Données projet'!$A$166,'Données projet'!$B$166,DO45+DN46-DW45)))</f>
        <v>188.59999999999985</v>
      </c>
      <c r="DP46" s="18">
        <f>DO46*VLOOKUP('Données projet'!$B$14,Paramètres!$A$1:$I$89,3,0)*VLOOKUP('Données projet'!$B$14,Paramètres!$A$1:$I$89,5,0)</f>
        <v>138.28151999999989</v>
      </c>
      <c r="DQ46" s="14">
        <f t="shared" si="43"/>
        <v>35.903043322174639</v>
      </c>
      <c r="DR46" s="22">
        <f t="shared" si="16"/>
        <v>303.37144778612065</v>
      </c>
      <c r="DS46" s="62">
        <f t="shared" si="17"/>
        <v>596.70478111945397</v>
      </c>
      <c r="DT46" s="62">
        <f ca="1">AVERAGE(OFFSET($DS$3,0,0,'Données projet'!$E$14+1,1))-AVERAGE(OFFSET($H$3,0,0,'Données projet'!$E$14+1,1))</f>
        <v>290.85271051443431</v>
      </c>
      <c r="DU46" s="62">
        <f t="shared" si="44"/>
        <v>318.66958823451142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0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8</v>
      </c>
      <c r="EJ46" s="13">
        <f>IF('Données projet'!$A$192&gt;35,EJ45+EI46-ER45,IF(A46&lt;'Données projet'!$A$192,$EG$205^A46,IF(A46='Données projet'!$A$192,'Données projet'!$B$192,EJ45+EI46-ER45)))</f>
        <v>118.00000000000003</v>
      </c>
      <c r="EK46" s="18">
        <f>EJ46*VLOOKUP('Données projet'!$B$15,Paramètres!$A$1:$I$89,3,0)*VLOOKUP('Données projet'!$B$15,Paramètres!$A$1:$I$89,5,0)</f>
        <v>101.24400000000003</v>
      </c>
      <c r="EL46" s="14">
        <f t="shared" si="45"/>
        <v>27.258149809602493</v>
      </c>
      <c r="EM46" s="22">
        <f t="shared" si="19"/>
        <v>223.80791091839103</v>
      </c>
      <c r="EN46" s="62">
        <f t="shared" si="20"/>
        <v>517.1412442517244</v>
      </c>
      <c r="EO46" s="62">
        <f ca="1">AVERAGE(OFFSET($EN$3,0,0,'Données projet'!$E$15+1,1))-AVERAGE(OFFSET($H$3,0,0,'Données projet'!$E$15+1,1))</f>
        <v>438.65317358403996</v>
      </c>
      <c r="EP46" s="62">
        <f t="shared" si="46"/>
        <v>176.81257896138806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0</v>
      </c>
      <c r="EW46" s="23">
        <f>EXP(-LN(2)/25)*EW45+(1-EXP(-LN(2)/25))/(LN(2)/25)*Calculateur!ER46*Calculateur!ET46*VLOOKUP('Données projet'!$B$15,Paramètres!$A$1:$I$89,3,0)*0.475*44/12</f>
        <v>0</v>
      </c>
      <c r="EX46" s="23">
        <f>EXP(-LN(2)/2)*EX45+(1-EXP(-LN(2)/2))/(LN(2)/2)*ER46*EU46*VLOOKUP('Données projet'!$B$15,Paramètres!$A$1:$I$89,3,0)*0.475*44/12</f>
        <v>0</v>
      </c>
      <c r="EY46" s="24">
        <f t="shared" si="21"/>
        <v>0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17.519780219780223</v>
      </c>
      <c r="N47" s="14">
        <f>IF('Données projet'!$A$36&gt;35,N46+M47-V46,IF(A47&lt;'Données projet'!$A$36,$K$205^A47,IF(A47='Données projet'!$A$36,'Données projet'!$B$36,N46+M47-V46)))</f>
        <v>316.97032967032976</v>
      </c>
      <c r="O47" s="14">
        <f>N47*VLOOKUP('Données projet'!$B$9,Paramètres!$A$1:$I$89,3,0)*VLOOKUP('Données projet'!$B$9,Paramètres!$A$1:$I$89,5,0)</f>
        <v>177.18641428571433</v>
      </c>
      <c r="P47" s="14">
        <f t="shared" si="33"/>
        <v>44.695642380138821</v>
      </c>
      <c r="Q47" s="22">
        <f t="shared" si="53"/>
        <v>386.44458202636088</v>
      </c>
      <c r="R47" s="62">
        <f t="shared" si="0"/>
        <v>679.77791535969413</v>
      </c>
      <c r="S47" s="62">
        <f ca="1">AVERAGE(OFFSET($R$3,0,0,'Données projet'!$E$9+1,1))-AVERAGE(OFFSET($H$3,0,0,'Données projet'!$E$9+1,1))</f>
        <v>323.98185264074681</v>
      </c>
      <c r="T47" s="62">
        <f t="shared" si="34"/>
        <v>301.22207291854005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3.3818069489670264</v>
      </c>
      <c r="AA47" s="23">
        <f>EXP(-LN(2)/25)*AA46+(1-EXP(-LN(2)/25))/(LN(2)/25)*Calculateur!V47*Calculateur!X47*VLOOKUP('Données projet'!$B$9,Paramètres!$A$1:$I$89,3,0)*0.475*44/12</f>
        <v>5.5941611914245604</v>
      </c>
      <c r="AB47" s="23">
        <f>EXP(-LN(2)/2)*AB46+(1-EXP(-LN(2)/2))/(LN(2)/2)*V47*Y47*VLOOKUP('Données projet'!$B$9,Paramètres!$A$1:$I$89,3,0)*0.475*44/12</f>
        <v>4.7560993590765786E-2</v>
      </c>
      <c r="AC47" s="24">
        <f t="shared" si="3"/>
        <v>9.0235291339823522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11.861538461538462</v>
      </c>
      <c r="AI47" s="14">
        <f>IF('Données projet'!$A$62&gt;35,AI46+AH47-AQ46,IF(A47&lt;'Données projet'!$A$62,$AF$205^A47,IF(A47='Données projet'!$A$62,'Données projet'!$B$62,AI46+AH47-AQ46)))</f>
        <v>219.91538461538457</v>
      </c>
      <c r="AJ47" s="14">
        <f>AI47*VLOOKUP('Données projet'!$B$10,Paramètres!$A$1:$I$89,3,0)*VLOOKUP('Données projet'!$B$10,Paramètres!$A$1:$I$89,5,0)</f>
        <v>131.50939999999997</v>
      </c>
      <c r="AK47" s="14">
        <f t="shared" si="35"/>
        <v>34.344902681781569</v>
      </c>
      <c r="AL47" s="22">
        <f t="shared" si="4"/>
        <v>288.86291050410284</v>
      </c>
      <c r="AM47" s="62">
        <f t="shared" si="5"/>
        <v>582.19624383743621</v>
      </c>
      <c r="AN47" s="62">
        <f ca="1">AVERAGE(OFFSET($AM$3,0,0,'Données projet'!$E$10+1,1))-AVERAGE(OFFSET($H$3,0,0,'Données projet'!$E$10+1,1))</f>
        <v>289.12367833861299</v>
      </c>
      <c r="AO47" s="62">
        <f t="shared" si="36"/>
        <v>229.06617320689003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3.2397149047073824E-2</v>
      </c>
      <c r="AX47" s="23">
        <f t="shared" si="6"/>
        <v>3.2397149047073824E-2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10.666666666666666</v>
      </c>
      <c r="BD47" s="13">
        <f>IF('Données projet'!$A$88&gt;35,BD46+BC47-BL46,IF(A47&lt;'Données projet'!$A$88,$BA$205^A47,IF(A47='Données projet'!$A$88,'Données projet'!$B$88,BD46+BC47-BL46)))</f>
        <v>209.33333333333334</v>
      </c>
      <c r="BE47" s="14">
        <f>BD47*VLOOKUP('Données projet'!$B$11,Paramètres!$A$1:$I$89,3,0)*VLOOKUP('Données projet'!$B$11,Paramètres!$A$1:$I$89,5,0)</f>
        <v>130.62400000000002</v>
      </c>
      <c r="BF47" s="14">
        <f t="shared" si="37"/>
        <v>34.140507202645395</v>
      </c>
      <c r="BG47" s="22">
        <f t="shared" si="7"/>
        <v>286.96485004460743</v>
      </c>
      <c r="BH47" s="62">
        <f t="shared" si="8"/>
        <v>580.29818337794075</v>
      </c>
      <c r="BI47" s="62">
        <f ca="1">AVERAGE(OFFSET($BH$3,0,0,'Données projet'!$E$11+1,1))-AVERAGE(OFFSET($H$3,0,0,'Données projet'!$E$11+1,1))</f>
        <v>240.22884864766218</v>
      </c>
      <c r="BJ47" s="62">
        <f t="shared" si="38"/>
        <v>343.23776884143166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6.9834423597252187</v>
      </c>
      <c r="BR47" s="23">
        <f>EXP(-LN(2)/2)*BR46+(1-EXP(-LN(2)/2))/(LN(2)/2)*BL47*BO47*VLOOKUP('Données projet'!$B$11,Paramètres!$A$1:$I$89,3,0)*0.475*44/12</f>
        <v>0.12905328032036562</v>
      </c>
      <c r="BS47" s="24">
        <f t="shared" si="9"/>
        <v>7.1124956400455845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8.4</v>
      </c>
      <c r="BY47" s="13">
        <f>IF('Données projet'!$A$114&gt;35,BY46+BX47-CG46,IF(A47&lt;'Données projet'!$A$114,$BV$205^A47,IF(A47='Données projet'!$A$114,'Données projet'!$B$114,BY46+BX47-CG46)))</f>
        <v>149.60000000000005</v>
      </c>
      <c r="BZ47" s="14">
        <f>BY47*VLOOKUP('Données projet'!$B$12,Paramètres!$A$1:$I$89,3,0)*VLOOKUP('Données projet'!$B$12,Paramètres!$A$1:$I$89,5,0)</f>
        <v>135.35808000000006</v>
      </c>
      <c r="CA47" s="14">
        <f t="shared" si="39"/>
        <v>35.231528980112834</v>
      </c>
      <c r="CB47" s="22">
        <f t="shared" si="10"/>
        <v>297.11023564036327</v>
      </c>
      <c r="CC47" s="62">
        <f t="shared" si="11"/>
        <v>590.44356897369653</v>
      </c>
      <c r="CD47" s="62">
        <f ca="1">AVERAGE(OFFSET($CC$3,0,0,'Données projet'!$E$12+1,1))-AVERAGE(OFFSET($H$3,0,0,'Données projet'!$E$12+1,1))</f>
        <v>428.8489304403459</v>
      </c>
      <c r="CE47" s="62">
        <f t="shared" si="40"/>
        <v>247.01165577562966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8.1999999999999993</v>
      </c>
      <c r="CT47" s="13">
        <f>IF('Données projet'!$A$140&gt;35,CT46+CS47-DB46,IF(A47&lt;'Données projet'!$A$140,$CQ$205^A47,IF(A47='Données projet'!$A$140,'Données projet'!$B$140,CT46+CS47-DB46)))</f>
        <v>196.79999999999984</v>
      </c>
      <c r="CU47" s="18">
        <f>CT47*VLOOKUP('Données projet'!$B$13,Paramètres!$A$1:$I$89,3,0)*VLOOKUP('Données projet'!$B$13,Paramètres!$A$1:$I$89,5,0)</f>
        <v>156.5740799999999</v>
      </c>
      <c r="CV47" s="14">
        <f t="shared" si="41"/>
        <v>40.068818872547432</v>
      </c>
      <c r="CW47" s="22">
        <f t="shared" si="13"/>
        <v>342.4863822030199</v>
      </c>
      <c r="CX47" s="62">
        <f t="shared" si="14"/>
        <v>635.81971553635321</v>
      </c>
      <c r="CY47" s="62">
        <f ca="1">AVERAGE(OFFSET($CX$3,0,0,'Données projet'!$E$13+1,1))-AVERAGE(OFFSET($H$3,0,0,'Données projet'!$E$13+1,1))</f>
        <v>312.53381881960331</v>
      </c>
      <c r="CZ47" s="62">
        <f t="shared" si="42"/>
        <v>342.06887933351783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8.1999999999999993</v>
      </c>
      <c r="DO47" s="13">
        <f>IF('Données projet'!$A$166&gt;35,DO46+DN47-DW46,IF(A47&lt;'Données projet'!$A$166,$DL$205^A47,IF(A47='Données projet'!$A$166,'Données projet'!$B$166,DO46+DN47-DW46)))</f>
        <v>196.79999999999984</v>
      </c>
      <c r="DP47" s="18">
        <f>DO47*VLOOKUP('Données projet'!$B$14,Paramètres!$A$1:$I$89,3,0)*VLOOKUP('Données projet'!$B$14,Paramètres!$A$1:$I$89,5,0)</f>
        <v>144.29375999999988</v>
      </c>
      <c r="DQ47" s="14">
        <f t="shared" si="43"/>
        <v>37.278909560653922</v>
      </c>
      <c r="DR47" s="22">
        <f t="shared" si="16"/>
        <v>316.23906615147206</v>
      </c>
      <c r="DS47" s="62">
        <f t="shared" si="17"/>
        <v>609.57239948480537</v>
      </c>
      <c r="DT47" s="62">
        <f ca="1">AVERAGE(OFFSET($DS$3,0,0,'Données projet'!$E$14+1,1))-AVERAGE(OFFSET($H$3,0,0,'Données projet'!$E$14+1,1))</f>
        <v>290.85271051443431</v>
      </c>
      <c r="DU47" s="62">
        <f t="shared" si="44"/>
        <v>318.66958823451142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0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8</v>
      </c>
      <c r="EJ47" s="13">
        <f>IF('Données projet'!$A$192&gt;35,EJ46+EI47-ER46,IF(A47&lt;'Données projet'!$A$192,$EG$205^A47,IF(A47='Données projet'!$A$192,'Données projet'!$B$192,EJ46+EI47-ER46)))</f>
        <v>126.00000000000003</v>
      </c>
      <c r="EK47" s="18">
        <f>EJ47*VLOOKUP('Données projet'!$B$15,Paramètres!$A$1:$I$89,3,0)*VLOOKUP('Données projet'!$B$15,Paramètres!$A$1:$I$89,5,0)</f>
        <v>108.10800000000005</v>
      </c>
      <c r="EL47" s="14">
        <f t="shared" si="45"/>
        <v>28.884765499467161</v>
      </c>
      <c r="EM47" s="22">
        <f t="shared" si="19"/>
        <v>238.59573324490535</v>
      </c>
      <c r="EN47" s="62">
        <f t="shared" si="20"/>
        <v>531.92906657823869</v>
      </c>
      <c r="EO47" s="62">
        <f ca="1">AVERAGE(OFFSET($EN$3,0,0,'Données projet'!$E$15+1,1))-AVERAGE(OFFSET($H$3,0,0,'Données projet'!$E$15+1,1))</f>
        <v>438.65317358403996</v>
      </c>
      <c r="EP47" s="62">
        <f t="shared" si="46"/>
        <v>176.81257896138806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0</v>
      </c>
      <c r="EW47" s="23">
        <f>EXP(-LN(2)/25)*EW46+(1-EXP(-LN(2)/25))/(LN(2)/25)*Calculateur!ER47*Calculateur!ET47*VLOOKUP('Données projet'!$B$15,Paramètres!$A$1:$I$89,3,0)*0.475*44/12</f>
        <v>0</v>
      </c>
      <c r="EX47" s="23">
        <f>EXP(-LN(2)/2)*EX46+(1-EXP(-LN(2)/2))/(LN(2)/2)*ER47*EU47*VLOOKUP('Données projet'!$B$15,Paramètres!$A$1:$I$89,3,0)*0.475*44/12</f>
        <v>0</v>
      </c>
      <c r="EY47" s="24">
        <f t="shared" si="21"/>
        <v>0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17.519780219780223</v>
      </c>
      <c r="N48" s="14">
        <f>IF('Données projet'!$A$36&gt;35,N47+M48-V47,IF(A48&lt;'Données projet'!$A$36,$K$205^A48,IF(A48='Données projet'!$A$36,'Données projet'!$B$36,N47+M48-V47)))</f>
        <v>334.49010989010998</v>
      </c>
      <c r="O48" s="14">
        <f>N48*VLOOKUP('Données projet'!$B$9,Paramètres!$A$1:$I$89,3,0)*VLOOKUP('Données projet'!$B$9,Paramètres!$A$1:$I$89,5,0)</f>
        <v>186.9799714285715</v>
      </c>
      <c r="P48" s="14">
        <f t="shared" si="33"/>
        <v>46.871646064498115</v>
      </c>
      <c r="Q48" s="22">
        <f t="shared" si="53"/>
        <v>407.29156713376295</v>
      </c>
      <c r="R48" s="62">
        <f t="shared" si="0"/>
        <v>700.62490046709627</v>
      </c>
      <c r="S48" s="62">
        <f ca="1">AVERAGE(OFFSET($R$3,0,0,'Données projet'!$E$9+1,1))-AVERAGE(OFFSET($H$3,0,0,'Données projet'!$E$9+1,1))</f>
        <v>323.98185264074681</v>
      </c>
      <c r="T48" s="62">
        <f t="shared" si="34"/>
        <v>301.22207291854005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3.3154917773963475</v>
      </c>
      <c r="AA48" s="23">
        <f>EXP(-LN(2)/25)*AA47+(1-EXP(-LN(2)/25))/(LN(2)/25)*Calculateur!V48*Calculateur!X48*VLOOKUP('Données projet'!$B$9,Paramètres!$A$1:$I$89,3,0)*0.475*44/12</f>
        <v>5.4411885594609046</v>
      </c>
      <c r="AB48" s="23">
        <f>EXP(-LN(2)/2)*AB47+(1-EXP(-LN(2)/2))/(LN(2)/2)*V48*Y48*VLOOKUP('Données projet'!$B$9,Paramètres!$A$1:$I$89,3,0)*0.475*44/12</f>
        <v>3.3630701088000411E-2</v>
      </c>
      <c r="AC48" s="24">
        <f t="shared" si="3"/>
        <v>8.7903110379452531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11.861538461538462</v>
      </c>
      <c r="AI48" s="14">
        <f>IF('Données projet'!$A$62&gt;35,AI47+AH48-AQ47,IF(A48&lt;'Données projet'!$A$62,$AF$205^A48,IF(A48='Données projet'!$A$62,'Données projet'!$B$62,AI47+AH48-AQ47)))</f>
        <v>231.77692307692303</v>
      </c>
      <c r="AJ48" s="14">
        <f>AI48*VLOOKUP('Données projet'!$B$10,Paramètres!$A$1:$I$89,3,0)*VLOOKUP('Données projet'!$B$10,Paramètres!$A$1:$I$89,5,0)</f>
        <v>138.60259999999997</v>
      </c>
      <c r="AK48" s="14">
        <f t="shared" si="35"/>
        <v>35.976694116938198</v>
      </c>
      <c r="AL48" s="22">
        <f t="shared" si="4"/>
        <v>304.0589372536673</v>
      </c>
      <c r="AM48" s="62">
        <f t="shared" si="5"/>
        <v>597.39227058700067</v>
      </c>
      <c r="AN48" s="62">
        <f ca="1">AVERAGE(OFFSET($AM$3,0,0,'Données projet'!$E$10+1,1))-AVERAGE(OFFSET($H$3,0,0,'Données projet'!$E$10+1,1))</f>
        <v>289.12367833861299</v>
      </c>
      <c r="AO48" s="62">
        <f t="shared" si="36"/>
        <v>229.06617320689003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2.2908243782297198E-2</v>
      </c>
      <c r="AX48" s="23">
        <f t="shared" si="6"/>
        <v>2.2908243782297198E-2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10.666666666666666</v>
      </c>
      <c r="BD48" s="13">
        <f>IF('Données projet'!$A$88&gt;35,BD47+BC48-BL47,IF(A48&lt;'Données projet'!$A$88,$BA$205^A48,IF(A48='Données projet'!$A$88,'Données projet'!$B$88,BD47+BC48-BL47)))</f>
        <v>220</v>
      </c>
      <c r="BE48" s="14">
        <f>BD48*VLOOKUP('Données projet'!$B$11,Paramètres!$A$1:$I$89,3,0)*VLOOKUP('Données projet'!$B$11,Paramètres!$A$1:$I$89,5,0)</f>
        <v>137.28</v>
      </c>
      <c r="BF48" s="14">
        <f t="shared" si="37"/>
        <v>35.673181961873446</v>
      </c>
      <c r="BG48" s="22">
        <f t="shared" si="7"/>
        <v>301.22679191692959</v>
      </c>
      <c r="BH48" s="62">
        <f t="shared" si="8"/>
        <v>594.5601252502629</v>
      </c>
      <c r="BI48" s="62">
        <f ca="1">AVERAGE(OFFSET($BH$3,0,0,'Données projet'!$E$11+1,1))-AVERAGE(OFFSET($H$3,0,0,'Données projet'!$E$11+1,1))</f>
        <v>240.22884864766218</v>
      </c>
      <c r="BJ48" s="62">
        <f t="shared" si="38"/>
        <v>343.23776884143166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6.7924797611552599</v>
      </c>
      <c r="BR48" s="23">
        <f>EXP(-LN(2)/2)*BR47+(1-EXP(-LN(2)/2))/(LN(2)/2)*BL48*BO48*VLOOKUP('Données projet'!$B$11,Paramètres!$A$1:$I$89,3,0)*0.475*44/12</f>
        <v>9.125444964889895E-2</v>
      </c>
      <c r="BS48" s="24">
        <f t="shared" si="9"/>
        <v>6.8837342108041586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158</v>
      </c>
      <c r="BW48" s="13">
        <f>VLOOKUP(A48,'Données projet'!$A$113:$I$133,9,0)</f>
        <v>8.4</v>
      </c>
      <c r="BX48" s="13">
        <f t="array" ref="BX48">INDEX(BW:BW,MIN(IF(ISNUMBER(BW48:BW244),ROW(BW48:BW244),"")))</f>
        <v>8.4</v>
      </c>
      <c r="BY48" s="13">
        <f>IF('Données projet'!$A$114&gt;35,BY47+BX48-CG47,IF(A48&lt;'Données projet'!$A$114,$BV$205^A48,IF(A48='Données projet'!$A$114,'Données projet'!$B$114,BY47+BX48-CG47)))</f>
        <v>158.00000000000006</v>
      </c>
      <c r="BZ48" s="14">
        <f>BY48*VLOOKUP('Données projet'!$B$12,Paramètres!$A$1:$I$89,3,0)*VLOOKUP('Données projet'!$B$12,Paramètres!$A$1:$I$89,5,0)</f>
        <v>142.95840000000004</v>
      </c>
      <c r="CA48" s="14">
        <f t="shared" si="39"/>
        <v>36.973906370811264</v>
      </c>
      <c r="CB48" s="22">
        <f t="shared" si="10"/>
        <v>313.38210026249641</v>
      </c>
      <c r="CC48" s="62">
        <f t="shared" si="11"/>
        <v>606.71543359582972</v>
      </c>
      <c r="CD48" s="62">
        <f ca="1">AVERAGE(OFFSET($CC$3,0,0,'Données projet'!$E$12+1,1))-AVERAGE(OFFSET($H$3,0,0,'Données projet'!$E$12+1,1))</f>
        <v>428.8489304403459</v>
      </c>
      <c r="CE48" s="62">
        <f t="shared" si="40"/>
        <v>247.01165577562966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205</v>
      </c>
      <c r="CR48" s="13">
        <f>VLOOKUP(A48,'Données projet'!$A$139:$I$159,9,0)</f>
        <v>8.1999999999999993</v>
      </c>
      <c r="CS48" s="13">
        <f t="array" ref="CS48">INDEX(CR:CR,MIN(IF(ISNUMBER(CR48:CR244),ROW(CR48:CR244),"")))</f>
        <v>8.1999999999999993</v>
      </c>
      <c r="CT48" s="13">
        <f>IF('Données projet'!$A$140&gt;35,CT47+CS48-DB47,IF(A48&lt;'Données projet'!$A$140,$CQ$205^A48,IF(A48='Données projet'!$A$140,'Données projet'!$B$140,CT47+CS48-DB47)))</f>
        <v>204.99999999999983</v>
      </c>
      <c r="CU48" s="18">
        <f>CT48*VLOOKUP('Données projet'!$B$13,Paramètres!$A$1:$I$89,3,0)*VLOOKUP('Données projet'!$B$13,Paramètres!$A$1:$I$89,5,0)</f>
        <v>163.09799999999987</v>
      </c>
      <c r="CV48" s="14">
        <f t="shared" si="41"/>
        <v>41.540496136845107</v>
      </c>
      <c r="CW48" s="22">
        <f t="shared" si="13"/>
        <v>356.41204743833833</v>
      </c>
      <c r="CX48" s="62">
        <f t="shared" si="14"/>
        <v>649.74538077167165</v>
      </c>
      <c r="CY48" s="62">
        <f ca="1">AVERAGE(OFFSET($CX$3,0,0,'Données projet'!$E$13+1,1))-AVERAGE(OFFSET($H$3,0,0,'Données projet'!$E$13+1,1))</f>
        <v>312.53381881960331</v>
      </c>
      <c r="CZ48" s="62">
        <f t="shared" si="42"/>
        <v>342.06887933351783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205</v>
      </c>
      <c r="DM48" s="13">
        <f>VLOOKUP(A48,'Données projet'!$A$165:$I$185,9,0)</f>
        <v>8.1999999999999993</v>
      </c>
      <c r="DN48" s="13">
        <f t="array" ref="DN48">INDEX(DM:DM,MIN(IF(ISNUMBER(DM48:DM244),ROW(DM48:DM244),"")))</f>
        <v>8.1999999999999993</v>
      </c>
      <c r="DO48" s="13">
        <f>IF('Données projet'!$A$166&gt;35,DO47+DN48-DW47,IF(A48&lt;'Données projet'!$A$166,$DL$205^A48,IF(A48='Données projet'!$A$166,'Données projet'!$B$166,DO47+DN48-DW47)))</f>
        <v>204.99999999999983</v>
      </c>
      <c r="DP48" s="18">
        <f>DO48*VLOOKUP('Données projet'!$B$14,Paramètres!$A$1:$I$89,3,0)*VLOOKUP('Données projet'!$B$14,Paramètres!$A$1:$I$89,5,0)</f>
        <v>150.30599999999987</v>
      </c>
      <c r="DQ48" s="14">
        <f t="shared" si="43"/>
        <v>38.648116968856641</v>
      </c>
      <c r="DR48" s="22">
        <f t="shared" si="16"/>
        <v>329.09508705409172</v>
      </c>
      <c r="DS48" s="62">
        <f t="shared" si="17"/>
        <v>622.42842038742504</v>
      </c>
      <c r="DT48" s="62">
        <f ca="1">AVERAGE(OFFSET($DS$3,0,0,'Données projet'!$E$14+1,1))-AVERAGE(OFFSET($H$3,0,0,'Données projet'!$E$14+1,1))</f>
        <v>290.85271051443431</v>
      </c>
      <c r="DU48" s="62">
        <f t="shared" si="44"/>
        <v>318.66958823451142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0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>
        <f>VLOOKUP(A48,'Données projet'!$A$191:$I$211,2,0)</f>
        <v>134</v>
      </c>
      <c r="EH48" s="13">
        <f>VLOOKUP(A48,'Données projet'!$A$191:$I$211,9,0)</f>
        <v>8</v>
      </c>
      <c r="EI48" s="13">
        <f t="array" ref="EI48">INDEX(EH:EH,MIN(IF(ISNUMBER(EH48:EH244),ROW(EH48:EH244),"")))</f>
        <v>8</v>
      </c>
      <c r="EJ48" s="13">
        <f>IF('Données projet'!$A$192&gt;35,EJ47+EI48-ER47,IF(A48&lt;'Données projet'!$A$192,$EG$205^A48,IF(A48='Données projet'!$A$192,'Données projet'!$B$192,EJ47+EI48-ER47)))</f>
        <v>134.00000000000003</v>
      </c>
      <c r="EK48" s="18">
        <f>EJ48*VLOOKUP('Données projet'!$B$15,Paramètres!$A$1:$I$89,3,0)*VLOOKUP('Données projet'!$B$15,Paramètres!$A$1:$I$89,5,0)</f>
        <v>114.97200000000004</v>
      </c>
      <c r="EL48" s="14">
        <f t="shared" si="45"/>
        <v>30.499395539367107</v>
      </c>
      <c r="EM48" s="22">
        <f t="shared" si="19"/>
        <v>253.36268056439772</v>
      </c>
      <c r="EN48" s="62">
        <f t="shared" si="20"/>
        <v>546.69601389773106</v>
      </c>
      <c r="EO48" s="62">
        <f ca="1">AVERAGE(OFFSET($EN$3,0,0,'Données projet'!$E$15+1,1))-AVERAGE(OFFSET($H$3,0,0,'Données projet'!$E$15+1,1))</f>
        <v>438.65317358403996</v>
      </c>
      <c r="EP48" s="62">
        <f t="shared" si="46"/>
        <v>176.81257896138806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projet'!$B$15,Paramètres!$A$1:$I$89,3,0)*0.475*44/12</f>
        <v>0</v>
      </c>
      <c r="EW48" s="23">
        <f>EXP(-LN(2)/25)*EW47+(1-EXP(-LN(2)/25))/(LN(2)/25)*Calculateur!ER48*Calculateur!ET48*VLOOKUP('Données projet'!$B$15,Paramètres!$A$1:$I$89,3,0)*0.475*44/12</f>
        <v>0</v>
      </c>
      <c r="EX48" s="23">
        <f>EXP(-LN(2)/2)*EX47+(1-EXP(-LN(2)/2))/(LN(2)/2)*ER48*EU48*VLOOKUP('Données projet'!$B$15,Paramètres!$A$1:$I$89,3,0)*0.475*44/12</f>
        <v>0</v>
      </c>
      <c r="EY48" s="24">
        <f t="shared" si="21"/>
        <v>0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17.519780219780223</v>
      </c>
      <c r="N49" s="14">
        <f>IF('Données projet'!$A$36&gt;35,N48+M49-V48,IF(A49&lt;'Données projet'!$A$36,$K$205^A49,IF(A49='Données projet'!$A$36,'Données projet'!$B$36,N48+M49-V48)))</f>
        <v>352.00989010989019</v>
      </c>
      <c r="O49" s="14">
        <f>N49*VLOOKUP('Données projet'!$B$9,Paramètres!$A$1:$I$89,3,0)*VLOOKUP('Données projet'!$B$9,Paramètres!$A$1:$I$89,5,0)</f>
        <v>196.77352857142861</v>
      </c>
      <c r="P49" s="14">
        <f t="shared" si="33"/>
        <v>49.034417171503861</v>
      </c>
      <c r="Q49" s="22">
        <f t="shared" si="53"/>
        <v>428.11550550227406</v>
      </c>
      <c r="R49" s="62">
        <f t="shared" si="0"/>
        <v>721.44883883560738</v>
      </c>
      <c r="S49" s="62">
        <f ca="1">AVERAGE(OFFSET($R$3,0,0,'Données projet'!$E$9+1,1))-AVERAGE(OFFSET($H$3,0,0,'Données projet'!$E$9+1,1))</f>
        <v>323.98185264074681</v>
      </c>
      <c r="T49" s="62">
        <f t="shared" si="34"/>
        <v>301.22207291854005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3.2504770058919088</v>
      </c>
      <c r="AA49" s="23">
        <f>EXP(-LN(2)/25)*AA48+(1-EXP(-LN(2)/25))/(LN(2)/25)*Calculateur!V49*Calculateur!X49*VLOOKUP('Données projet'!$B$9,Paramètres!$A$1:$I$89,3,0)*0.475*44/12</f>
        <v>5.2923989721627756</v>
      </c>
      <c r="AB49" s="23">
        <f>EXP(-LN(2)/2)*AB48+(1-EXP(-LN(2)/2))/(LN(2)/2)*V49*Y49*VLOOKUP('Données projet'!$B$9,Paramètres!$A$1:$I$89,3,0)*0.475*44/12</f>
        <v>2.3780496795382893E-2</v>
      </c>
      <c r="AC49" s="24">
        <f t="shared" si="3"/>
        <v>8.5666564748500669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11.861538461538462</v>
      </c>
      <c r="AI49" s="14">
        <f>IF('Données projet'!$A$62&gt;35,AI48+AH49-AQ48,IF(A49&lt;'Données projet'!$A$62,$AF$205^A49,IF(A49='Données projet'!$A$62,'Données projet'!$B$62,AI48+AH49-AQ48)))</f>
        <v>243.63846153846148</v>
      </c>
      <c r="AJ49" s="14">
        <f>AI49*VLOOKUP('Données projet'!$B$10,Paramètres!$A$1:$I$89,3,0)*VLOOKUP('Données projet'!$B$10,Paramètres!$A$1:$I$89,5,0)</f>
        <v>145.69579999999996</v>
      </c>
      <c r="AK49" s="14">
        <f t="shared" si="35"/>
        <v>37.598789481990465</v>
      </c>
      <c r="AL49" s="22">
        <f t="shared" si="4"/>
        <v>319.23807668113335</v>
      </c>
      <c r="AM49" s="62">
        <f t="shared" si="5"/>
        <v>612.57141001446666</v>
      </c>
      <c r="AN49" s="62">
        <f ca="1">AVERAGE(OFFSET($AM$3,0,0,'Données projet'!$E$10+1,1))-AVERAGE(OFFSET($H$3,0,0,'Données projet'!$E$10+1,1))</f>
        <v>289.12367833861299</v>
      </c>
      <c r="AO49" s="62">
        <f t="shared" si="36"/>
        <v>229.06617320689003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1.6198574523536912E-2</v>
      </c>
      <c r="AX49" s="23">
        <f t="shared" si="6"/>
        <v>1.6198574523536912E-2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10.666666666666666</v>
      </c>
      <c r="BD49" s="13">
        <f>IF('Données projet'!$A$88&gt;35,BD48+BC49-BL48,IF(A49&lt;'Données projet'!$A$88,$BA$205^A49,IF(A49='Données projet'!$A$88,'Données projet'!$B$88,BD48+BC49-BL48)))</f>
        <v>230.66666666666666</v>
      </c>
      <c r="BE49" s="14">
        <f>BD49*VLOOKUP('Données projet'!$B$11,Paramètres!$A$1:$I$89,3,0)*VLOOKUP('Données projet'!$B$11,Paramètres!$A$1:$I$89,5,0)</f>
        <v>143.93599999999998</v>
      </c>
      <c r="BF49" s="14">
        <f t="shared" si="37"/>
        <v>37.197227655019397</v>
      </c>
      <c r="BG49" s="22">
        <f t="shared" si="7"/>
        <v>315.47370483249205</v>
      </c>
      <c r="BH49" s="62">
        <f t="shared" si="8"/>
        <v>608.80703816582536</v>
      </c>
      <c r="BI49" s="62">
        <f ca="1">AVERAGE(OFFSET($BH$3,0,0,'Données projet'!$E$11+1,1))-AVERAGE(OFFSET($H$3,0,0,'Données projet'!$E$11+1,1))</f>
        <v>240.22884864766218</v>
      </c>
      <c r="BJ49" s="62">
        <f t="shared" si="38"/>
        <v>343.23776884143166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6.606739044885483</v>
      </c>
      <c r="BR49" s="23">
        <f>EXP(-LN(2)/2)*BR48+(1-EXP(-LN(2)/2))/(LN(2)/2)*BL49*BO49*VLOOKUP('Données projet'!$B$11,Paramètres!$A$1:$I$89,3,0)*0.475*44/12</f>
        <v>6.4526640160182808E-2</v>
      </c>
      <c r="BS49" s="24">
        <f t="shared" si="9"/>
        <v>6.6712656850456655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8.1999999999999993</v>
      </c>
      <c r="BY49" s="13">
        <f>IF('Données projet'!$A$114&gt;35,BY48+BX49-CG48,IF(A49&lt;'Données projet'!$A$114,$BV$205^A49,IF(A49='Données projet'!$A$114,'Données projet'!$B$114,BY48+BX49-CG48)))</f>
        <v>166.20000000000005</v>
      </c>
      <c r="BZ49" s="14">
        <f>BY49*VLOOKUP('Données projet'!$B$12,Paramètres!$A$1:$I$89,3,0)*VLOOKUP('Données projet'!$B$12,Paramètres!$A$1:$I$89,5,0)</f>
        <v>150.37776000000002</v>
      </c>
      <c r="CA49" s="14">
        <f t="shared" si="39"/>
        <v>38.664420365454049</v>
      </c>
      <c r="CB49" s="22">
        <f t="shared" si="10"/>
        <v>329.24846413649914</v>
      </c>
      <c r="CC49" s="62">
        <f t="shared" si="11"/>
        <v>622.58179746983251</v>
      </c>
      <c r="CD49" s="62">
        <f ca="1">AVERAGE(OFFSET($CC$3,0,0,'Données projet'!$E$12+1,1))-AVERAGE(OFFSET($H$3,0,0,'Données projet'!$E$12+1,1))</f>
        <v>428.8489304403459</v>
      </c>
      <c r="CE49" s="62">
        <f t="shared" si="40"/>
        <v>247.01165577562966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7</v>
      </c>
      <c r="CT49" s="13">
        <f>IF('Données projet'!$A$140&gt;35,CT48+CS49-DB48,IF(A49&lt;'Données projet'!$A$140,$CQ$205^A49,IF(A49='Données projet'!$A$140,'Données projet'!$B$140,CT48+CS49-DB48)))</f>
        <v>211.99999999999983</v>
      </c>
      <c r="CU49" s="18">
        <f>CT49*VLOOKUP('Données projet'!$B$13,Paramètres!$A$1:$I$89,3,0)*VLOOKUP('Données projet'!$B$13,Paramètres!$A$1:$I$89,5,0)</f>
        <v>168.66719999999987</v>
      </c>
      <c r="CV49" s="14">
        <f t="shared" si="41"/>
        <v>42.791384119459089</v>
      </c>
      <c r="CW49" s="22">
        <f t="shared" si="13"/>
        <v>368.29036734139095</v>
      </c>
      <c r="CX49" s="62">
        <f t="shared" si="14"/>
        <v>661.6237006747242</v>
      </c>
      <c r="CY49" s="62">
        <f ca="1">AVERAGE(OFFSET($CX$3,0,0,'Données projet'!$E$13+1,1))-AVERAGE(OFFSET($H$3,0,0,'Données projet'!$E$13+1,1))</f>
        <v>312.53381881960331</v>
      </c>
      <c r="CZ49" s="62">
        <f t="shared" si="42"/>
        <v>342.06887933351783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7</v>
      </c>
      <c r="DO49" s="13">
        <f>IF('Données projet'!$A$166&gt;35,DO48+DN49-DW48,IF(A49&lt;'Données projet'!$A$166,$DL$205^A49,IF(A49='Données projet'!$A$166,'Données projet'!$B$166,DO48+DN49-DW48)))</f>
        <v>211.99999999999983</v>
      </c>
      <c r="DP49" s="18">
        <f>DO49*VLOOKUP('Données projet'!$B$14,Paramètres!$A$1:$I$89,3,0)*VLOOKUP('Données projet'!$B$14,Paramètres!$A$1:$I$89,5,0)</f>
        <v>155.43839999999986</v>
      </c>
      <c r="DQ49" s="14">
        <f t="shared" si="43"/>
        <v>39.811908198208883</v>
      </c>
      <c r="DR49" s="22">
        <f t="shared" si="16"/>
        <v>340.06095344521356</v>
      </c>
      <c r="DS49" s="62">
        <f t="shared" si="17"/>
        <v>633.39428677854687</v>
      </c>
      <c r="DT49" s="62">
        <f ca="1">AVERAGE(OFFSET($DS$3,0,0,'Données projet'!$E$14+1,1))-AVERAGE(OFFSET($H$3,0,0,'Données projet'!$E$14+1,1))</f>
        <v>290.85271051443431</v>
      </c>
      <c r="DU49" s="62">
        <f t="shared" si="44"/>
        <v>318.66958823451142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0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8.1999999999999993</v>
      </c>
      <c r="EJ49" s="13">
        <f>IF('Données projet'!$A$192&gt;35,EJ48+EI49-ER48,IF(A49&lt;'Données projet'!$A$192,$EG$205^A49,IF(A49='Données projet'!$A$192,'Données projet'!$B$192,EJ48+EI49-ER48)))</f>
        <v>142.20000000000002</v>
      </c>
      <c r="EK49" s="18">
        <f>EJ49*VLOOKUP('Données projet'!$B$15,Paramètres!$A$1:$I$89,3,0)*VLOOKUP('Données projet'!$B$15,Paramètres!$A$1:$I$89,5,0)</f>
        <v>122.00760000000004</v>
      </c>
      <c r="EL49" s="14">
        <f t="shared" si="45"/>
        <v>32.142785920703616</v>
      </c>
      <c r="EM49" s="22">
        <f t="shared" si="19"/>
        <v>268.47858881189217</v>
      </c>
      <c r="EN49" s="62">
        <f t="shared" si="20"/>
        <v>561.81192214522548</v>
      </c>
      <c r="EO49" s="62">
        <f ca="1">AVERAGE(OFFSET($EN$3,0,0,'Données projet'!$E$15+1,1))-AVERAGE(OFFSET($H$3,0,0,'Données projet'!$E$15+1,1))</f>
        <v>438.65317358403996</v>
      </c>
      <c r="EP49" s="62">
        <f t="shared" si="46"/>
        <v>176.81257896138806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0</v>
      </c>
      <c r="EW49" s="23">
        <f>EXP(-LN(2)/25)*EW48+(1-EXP(-LN(2)/25))/(LN(2)/25)*Calculateur!ER49*Calculateur!ET49*VLOOKUP('Données projet'!$B$15,Paramètres!$A$1:$I$89,3,0)*0.475*44/12</f>
        <v>0</v>
      </c>
      <c r="EX49" s="23">
        <f>EXP(-LN(2)/2)*EX48+(1-EXP(-LN(2)/2))/(LN(2)/2)*ER49*EU49*VLOOKUP('Données projet'!$B$15,Paramètres!$A$1:$I$89,3,0)*0.475*44/12</f>
        <v>0</v>
      </c>
      <c r="EY49" s="24">
        <f t="shared" si="21"/>
        <v>0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17.519780219780223</v>
      </c>
      <c r="N50" s="14">
        <f>IF('Données projet'!$A$36&gt;35,N49+M50-V49,IF(A50&lt;'Données projet'!$A$36,$K$205^A50,IF(A50='Données projet'!$A$36,'Données projet'!$B$36,N49+M50-V49)))</f>
        <v>369.52967032967041</v>
      </c>
      <c r="O50" s="14">
        <f>N50*VLOOKUP('Données projet'!$B$9,Paramètres!$A$1:$I$89,3,0)*VLOOKUP('Données projet'!$B$9,Paramètres!$A$1:$I$89,5,0)</f>
        <v>206.56708571428578</v>
      </c>
      <c r="P50" s="14">
        <f t="shared" si="33"/>
        <v>51.184689450990696</v>
      </c>
      <c r="Q50" s="22">
        <f t="shared" si="53"/>
        <v>448.91767507952318</v>
      </c>
      <c r="R50" s="62">
        <f t="shared" si="0"/>
        <v>742.25100841285644</v>
      </c>
      <c r="S50" s="62">
        <f ca="1">AVERAGE(OFFSET($R$3,0,0,'Données projet'!$E$9+1,1))-AVERAGE(OFFSET($H$3,0,0,'Données projet'!$E$9+1,1))</f>
        <v>323.98185264074681</v>
      </c>
      <c r="T50" s="62">
        <f t="shared" si="34"/>
        <v>301.22207291854005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3.1867371344015769</v>
      </c>
      <c r="AA50" s="23">
        <f>EXP(-LN(2)/25)*AA49+(1-EXP(-LN(2)/25))/(LN(2)/25)*Calculateur!V50*Calculateur!X50*VLOOKUP('Données projet'!$B$9,Paramètres!$A$1:$I$89,3,0)*0.475*44/12</f>
        <v>5.1476780439538183</v>
      </c>
      <c r="AB50" s="23">
        <f>EXP(-LN(2)/2)*AB49+(1-EXP(-LN(2)/2))/(LN(2)/2)*V50*Y50*VLOOKUP('Données projet'!$B$9,Paramètres!$A$1:$I$89,3,0)*0.475*44/12</f>
        <v>1.6815350544000206E-2</v>
      </c>
      <c r="AC50" s="24">
        <f t="shared" si="3"/>
        <v>8.3512305288993964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11.861538461538462</v>
      </c>
      <c r="AI50" s="14">
        <f>IF('Données projet'!$A$62&gt;35,AI49+AH50-AQ49,IF(A50&lt;'Données projet'!$A$62,$AF$205^A50,IF(A50='Données projet'!$A$62,'Données projet'!$B$62,AI49+AH50-AQ49)))</f>
        <v>255.49999999999994</v>
      </c>
      <c r="AJ50" s="14">
        <f>AI50*VLOOKUP('Données projet'!$B$10,Paramètres!$A$1:$I$89,3,0)*VLOOKUP('Données projet'!$B$10,Paramètres!$A$1:$I$89,5,0)</f>
        <v>152.78899999999996</v>
      </c>
      <c r="AK50" s="14">
        <f t="shared" si="35"/>
        <v>39.211714711932316</v>
      </c>
      <c r="AL50" s="22">
        <f t="shared" si="4"/>
        <v>334.40124478994869</v>
      </c>
      <c r="AM50" s="62">
        <f t="shared" si="5"/>
        <v>627.73457812328206</v>
      </c>
      <c r="AN50" s="62">
        <f ca="1">AVERAGE(OFFSET($AM$3,0,0,'Données projet'!$E$10+1,1))-AVERAGE(OFFSET($H$3,0,0,'Données projet'!$E$10+1,1))</f>
        <v>289.12367833861299</v>
      </c>
      <c r="AO50" s="62">
        <f t="shared" si="36"/>
        <v>229.06617320689003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1.1454121891148599E-2</v>
      </c>
      <c r="AX50" s="23">
        <f t="shared" si="6"/>
        <v>1.1454121891148599E-2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10.666666666666666</v>
      </c>
      <c r="BD50" s="13">
        <f>IF('Données projet'!$A$88&gt;35,BD49+BC50-BL49,IF(A50&lt;'Données projet'!$A$88,$BA$205^A50,IF(A50='Données projet'!$A$88,'Données projet'!$B$88,BD49+BC50-BL49)))</f>
        <v>241.33333333333331</v>
      </c>
      <c r="BE50" s="14">
        <f>BD50*VLOOKUP('Données projet'!$B$11,Paramètres!$A$1:$I$89,3,0)*VLOOKUP('Données projet'!$B$11,Paramètres!$A$1:$I$89,5,0)</f>
        <v>150.59199999999998</v>
      </c>
      <c r="BF50" s="14">
        <f t="shared" si="37"/>
        <v>38.713088888505631</v>
      </c>
      <c r="BG50" s="22">
        <f t="shared" si="7"/>
        <v>329.70636314748066</v>
      </c>
      <c r="BH50" s="62">
        <f t="shared" si="8"/>
        <v>623.03969648081397</v>
      </c>
      <c r="BI50" s="62">
        <f ca="1">AVERAGE(OFFSET($BH$3,0,0,'Données projet'!$E$11+1,1))-AVERAGE(OFFSET($H$3,0,0,'Données projet'!$E$11+1,1))</f>
        <v>240.22884864766218</v>
      </c>
      <c r="BJ50" s="62">
        <f t="shared" si="38"/>
        <v>343.23776884143166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6.4260774182697826</v>
      </c>
      <c r="BR50" s="23">
        <f>EXP(-LN(2)/2)*BR49+(1-EXP(-LN(2)/2))/(LN(2)/2)*BL50*BO50*VLOOKUP('Données projet'!$B$11,Paramètres!$A$1:$I$89,3,0)*0.475*44/12</f>
        <v>4.5627224824449475E-2</v>
      </c>
      <c r="BS50" s="24">
        <f t="shared" si="9"/>
        <v>6.471704643094232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8.1999999999999993</v>
      </c>
      <c r="BY50" s="13">
        <f>IF('Données projet'!$A$114&gt;35,BY49+BX50-CG49,IF(A50&lt;'Données projet'!$A$114,$BV$205^A50,IF(A50='Données projet'!$A$114,'Données projet'!$B$114,BY49+BX50-CG49)))</f>
        <v>174.40000000000003</v>
      </c>
      <c r="BZ50" s="14">
        <f>BY50*VLOOKUP('Données projet'!$B$12,Paramètres!$A$1:$I$89,3,0)*VLOOKUP('Données projet'!$B$12,Paramètres!$A$1:$I$89,5,0)</f>
        <v>157.79712000000004</v>
      </c>
      <c r="CA50" s="14">
        <f t="shared" si="39"/>
        <v>40.345249481546155</v>
      </c>
      <c r="CB50" s="22">
        <f t="shared" si="10"/>
        <v>345.09796018035962</v>
      </c>
      <c r="CC50" s="62">
        <f t="shared" si="11"/>
        <v>638.43129351369294</v>
      </c>
      <c r="CD50" s="62">
        <f ca="1">AVERAGE(OFFSET($CC$3,0,0,'Données projet'!$E$12+1,1))-AVERAGE(OFFSET($H$3,0,0,'Données projet'!$E$12+1,1))</f>
        <v>428.8489304403459</v>
      </c>
      <c r="CE50" s="62">
        <f t="shared" si="40"/>
        <v>247.01165577562966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7</v>
      </c>
      <c r="CT50" s="13">
        <f>IF('Données projet'!$A$140&gt;35,CT49+CS50-DB49,IF(A50&lt;'Données projet'!$A$140,$CQ$205^A50,IF(A50='Données projet'!$A$140,'Données projet'!$B$140,CT49+CS50-DB49)))</f>
        <v>218.99999999999983</v>
      </c>
      <c r="CU50" s="18">
        <f>CT50*VLOOKUP('Données projet'!$B$13,Paramètres!$A$1:$I$89,3,0)*VLOOKUP('Données projet'!$B$13,Paramètres!$A$1:$I$89,5,0)</f>
        <v>174.23639999999986</v>
      </c>
      <c r="CV50" s="14">
        <f t="shared" si="41"/>
        <v>44.03747274965864</v>
      </c>
      <c r="CW50" s="22">
        <f t="shared" si="13"/>
        <v>380.16032837232183</v>
      </c>
      <c r="CX50" s="62">
        <f t="shared" si="14"/>
        <v>673.49366170565509</v>
      </c>
      <c r="CY50" s="62">
        <f ca="1">AVERAGE(OFFSET($CX$3,0,0,'Données projet'!$E$13+1,1))-AVERAGE(OFFSET($H$3,0,0,'Données projet'!$E$13+1,1))</f>
        <v>312.53381881960331</v>
      </c>
      <c r="CZ50" s="62">
        <f t="shared" si="42"/>
        <v>342.06887933351783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7</v>
      </c>
      <c r="DO50" s="13">
        <f>IF('Données projet'!$A$166&gt;35,DO49+DN50-DW49,IF(A50&lt;'Données projet'!$A$166,$DL$205^A50,IF(A50='Données projet'!$A$166,'Données projet'!$B$166,DO49+DN50-DW49)))</f>
        <v>218.99999999999983</v>
      </c>
      <c r="DP50" s="18">
        <f>DO50*VLOOKUP('Données projet'!$B$14,Paramètres!$A$1:$I$89,3,0)*VLOOKUP('Données projet'!$B$14,Paramètres!$A$1:$I$89,5,0)</f>
        <v>160.57079999999985</v>
      </c>
      <c r="DQ50" s="14">
        <f t="shared" si="43"/>
        <v>40.97123424416818</v>
      </c>
      <c r="DR50" s="22">
        <f t="shared" si="16"/>
        <v>351.01904297525931</v>
      </c>
      <c r="DS50" s="62">
        <f t="shared" si="17"/>
        <v>644.35237630859262</v>
      </c>
      <c r="DT50" s="62">
        <f ca="1">AVERAGE(OFFSET($DS$3,0,0,'Données projet'!$E$14+1,1))-AVERAGE(OFFSET($H$3,0,0,'Données projet'!$E$14+1,1))</f>
        <v>290.85271051443431</v>
      </c>
      <c r="DU50" s="62">
        <f t="shared" si="44"/>
        <v>318.66958823451142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0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8.1999999999999993</v>
      </c>
      <c r="EJ50" s="13">
        <f>IF('Données projet'!$A$192&gt;35,EJ49+EI50-ER49,IF(A50&lt;'Données projet'!$A$192,$EG$205^A50,IF(A50='Données projet'!$A$192,'Données projet'!$B$192,EJ49+EI50-ER49)))</f>
        <v>150.4</v>
      </c>
      <c r="EK50" s="18">
        <f>EJ50*VLOOKUP('Données projet'!$B$15,Paramètres!$A$1:$I$89,3,0)*VLOOKUP('Données projet'!$B$15,Paramètres!$A$1:$I$89,5,0)</f>
        <v>129.04320000000001</v>
      </c>
      <c r="EL50" s="14">
        <f t="shared" si="45"/>
        <v>33.775175980637421</v>
      </c>
      <c r="EM50" s="22">
        <f t="shared" si="19"/>
        <v>283.57533816627682</v>
      </c>
      <c r="EN50" s="62">
        <f t="shared" si="20"/>
        <v>576.90867149961014</v>
      </c>
      <c r="EO50" s="62">
        <f ca="1">AVERAGE(OFFSET($EN$3,0,0,'Données projet'!$E$15+1,1))-AVERAGE(OFFSET($H$3,0,0,'Données projet'!$E$15+1,1))</f>
        <v>438.65317358403996</v>
      </c>
      <c r="EP50" s="62">
        <f t="shared" si="46"/>
        <v>176.81257896138806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0</v>
      </c>
      <c r="EW50" s="23">
        <f>EXP(-LN(2)/25)*EW49+(1-EXP(-LN(2)/25))/(LN(2)/25)*Calculateur!ER50*Calculateur!ET50*VLOOKUP('Données projet'!$B$15,Paramètres!$A$1:$I$89,3,0)*0.475*44/12</f>
        <v>0</v>
      </c>
      <c r="EX50" s="23">
        <f>EXP(-LN(2)/2)*EX49+(1-EXP(-LN(2)/2))/(LN(2)/2)*ER50*EU50*VLOOKUP('Données projet'!$B$15,Paramètres!$A$1:$I$89,3,0)*0.475*44/12</f>
        <v>0</v>
      </c>
      <c r="EY50" s="24">
        <f t="shared" si="21"/>
        <v>0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17.519780219780223</v>
      </c>
      <c r="N51" s="14">
        <f>IF('Données projet'!$A$36&gt;35,N50+M51-V50,IF(A51&lt;'Données projet'!$A$36,$K$205^A51,IF(A51='Données projet'!$A$36,'Données projet'!$B$36,N50+M51-V50)))</f>
        <v>387.04945054945063</v>
      </c>
      <c r="O51" s="14">
        <f>N51*VLOOKUP('Données projet'!$B$9,Paramètres!$A$1:$I$89,3,0)*VLOOKUP('Données projet'!$B$9,Paramètres!$A$1:$I$89,5,0)</f>
        <v>216.36064285714289</v>
      </c>
      <c r="P51" s="14">
        <f t="shared" si="33"/>
        <v>53.323123145592824</v>
      </c>
      <c r="Q51" s="22">
        <f t="shared" si="53"/>
        <v>469.69922578809798</v>
      </c>
      <c r="R51" s="62">
        <f t="shared" si="0"/>
        <v>763.03255912143129</v>
      </c>
      <c r="S51" s="62">
        <f ca="1">AVERAGE(OFFSET($R$3,0,0,'Données projet'!$E$9+1,1))-AVERAGE(OFFSET($H$3,0,0,'Données projet'!$E$9+1,1))</f>
        <v>323.98185264074681</v>
      </c>
      <c r="T51" s="62">
        <f t="shared" si="34"/>
        <v>301.22207291854005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3.1242471629136879</v>
      </c>
      <c r="AA51" s="23">
        <f>EXP(-LN(2)/25)*AA50+(1-EXP(-LN(2)/25))/(LN(2)/25)*Calculateur!V51*Calculateur!X51*VLOOKUP('Données projet'!$B$9,Paramètres!$A$1:$I$89,3,0)*0.475*44/12</f>
        <v>5.006914517137278</v>
      </c>
      <c r="AB51" s="23">
        <f>EXP(-LN(2)/2)*AB50+(1-EXP(-LN(2)/2))/(LN(2)/2)*V51*Y51*VLOOKUP('Données projet'!$B$9,Paramètres!$A$1:$I$89,3,0)*0.475*44/12</f>
        <v>1.1890248397691447E-2</v>
      </c>
      <c r="AC51" s="24">
        <f t="shared" si="3"/>
        <v>8.1430519284486564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11.861538461538462</v>
      </c>
      <c r="AI51" s="14">
        <f>IF('Données projet'!$A$62&gt;35,AI50+AH51-AQ50,IF(A51&lt;'Données projet'!$A$62,$AF$205^A51,IF(A51='Données projet'!$A$62,'Données projet'!$B$62,AI50+AH51-AQ50)))</f>
        <v>267.36153846153843</v>
      </c>
      <c r="AJ51" s="14">
        <f>AI51*VLOOKUP('Données projet'!$B$10,Paramètres!$A$1:$I$89,3,0)*VLOOKUP('Données projet'!$B$10,Paramètres!$A$1:$I$89,5,0)</f>
        <v>159.88219999999998</v>
      </c>
      <c r="AK51" s="14">
        <f t="shared" si="35"/>
        <v>40.815944149041762</v>
      </c>
      <c r="AL51" s="22">
        <f t="shared" si="4"/>
        <v>349.54926772624771</v>
      </c>
      <c r="AM51" s="62">
        <f t="shared" si="5"/>
        <v>642.88260105958102</v>
      </c>
      <c r="AN51" s="62">
        <f ca="1">AVERAGE(OFFSET($AM$3,0,0,'Données projet'!$E$10+1,1))-AVERAGE(OFFSET($H$3,0,0,'Données projet'!$E$10+1,1))</f>
        <v>289.12367833861299</v>
      </c>
      <c r="AO51" s="62">
        <f t="shared" si="36"/>
        <v>229.06617320689003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8.099287261768456E-3</v>
      </c>
      <c r="AX51" s="23">
        <f t="shared" si="6"/>
        <v>8.099287261768456E-3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>
        <f>VLOOKUP(A51,'Données projet'!$A$87:$I$107,2,0)</f>
        <v>252</v>
      </c>
      <c r="BB51" s="13">
        <f>VLOOKUP(A51,'Données projet'!$A$87:$I$107,9,0)</f>
        <v>10.666666666666666</v>
      </c>
      <c r="BC51" s="13">
        <f t="array" ref="BC51">INDEX(BB:BB,MIN(IF(ISNUMBER(BB51:BB247),ROW(BB51:BB247),"")))</f>
        <v>10.666666666666666</v>
      </c>
      <c r="BD51" s="13">
        <f>IF('Données projet'!$A$88&gt;35,BD50+BC51-BL50,IF(A51&lt;'Données projet'!$A$88,$BA$205^A51,IF(A51='Données projet'!$A$88,'Données projet'!$B$88,BD50+BC51-BL50)))</f>
        <v>251.99999999999997</v>
      </c>
      <c r="BE51" s="14">
        <f>BD51*VLOOKUP('Données projet'!$B$11,Paramètres!$A$1:$I$89,3,0)*VLOOKUP('Données projet'!$B$11,Paramètres!$A$1:$I$89,5,0)</f>
        <v>157.24799999999999</v>
      </c>
      <c r="BF51" s="14">
        <f t="shared" si="37"/>
        <v>40.22116874434861</v>
      </c>
      <c r="BG51" s="22">
        <f t="shared" si="7"/>
        <v>343.92546889640715</v>
      </c>
      <c r="BH51" s="62">
        <f t="shared" si="8"/>
        <v>637.25880222974047</v>
      </c>
      <c r="BI51" s="62">
        <f ca="1">AVERAGE(OFFSET($BH$3,0,0,'Données projet'!$E$11+1,1))-AVERAGE(OFFSET($H$3,0,0,'Données projet'!$E$11+1,1))</f>
        <v>240.22884864766218</v>
      </c>
      <c r="BJ51" s="62">
        <f t="shared" si="38"/>
        <v>343.23776884143166</v>
      </c>
      <c r="BK51" s="16">
        <f>IF(ISNA(VLOOKUP(A51,'Données projet'!$A$87:$I$107,3,0)),0,VLOOKUP(A51,'Données projet'!$A$87:$I$107,3,0))</f>
        <v>7</v>
      </c>
      <c r="BL51" s="16">
        <f>IF(ISNA(VLOOKUP(A51,'Données projet'!$A$87:$I$107,4,0)),0,VLOOKUP(A51,'Données projet'!$A$87:$I$107,4,0))</f>
        <v>65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6.2503559933344706</v>
      </c>
      <c r="BR51" s="23">
        <f>EXP(-LN(2)/2)*BR50+(1-EXP(-LN(2)/2))/(LN(2)/2)*BL51*BO51*VLOOKUP('Données projet'!$B$11,Paramètres!$A$1:$I$89,3,0)*0.475*44/12</f>
        <v>3.2263320080091404E-2</v>
      </c>
      <c r="BS51" s="24">
        <f t="shared" si="9"/>
        <v>6.2826193134145623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8.1999999999999993</v>
      </c>
      <c r="BY51" s="13">
        <f>IF('Données projet'!$A$114&gt;35,BY50+BX51-CG50,IF(A51&lt;'Données projet'!$A$114,$BV$205^A51,IF(A51='Données projet'!$A$114,'Données projet'!$B$114,BY50+BX51-CG50)))</f>
        <v>182.60000000000002</v>
      </c>
      <c r="BZ51" s="14">
        <f>BY51*VLOOKUP('Données projet'!$B$12,Paramètres!$A$1:$I$89,3,0)*VLOOKUP('Données projet'!$B$12,Paramètres!$A$1:$I$89,5,0)</f>
        <v>165.21648000000002</v>
      </c>
      <c r="CA51" s="14">
        <f t="shared" si="39"/>
        <v>42.016901084500397</v>
      </c>
      <c r="CB51" s="22">
        <f t="shared" si="10"/>
        <v>360.93147205550491</v>
      </c>
      <c r="CC51" s="62">
        <f t="shared" si="11"/>
        <v>654.26480538883823</v>
      </c>
      <c r="CD51" s="62">
        <f ca="1">AVERAGE(OFFSET($CC$3,0,0,'Données projet'!$E$12+1,1))-AVERAGE(OFFSET($H$3,0,0,'Données projet'!$E$12+1,1))</f>
        <v>428.8489304403459</v>
      </c>
      <c r="CE51" s="62">
        <f t="shared" si="40"/>
        <v>247.01165577562966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7</v>
      </c>
      <c r="CT51" s="13">
        <f>IF('Données projet'!$A$140&gt;35,CT50+CS51-DB50,IF(A51&lt;'Données projet'!$A$140,$CQ$205^A51,IF(A51='Données projet'!$A$140,'Données projet'!$B$140,CT50+CS51-DB50)))</f>
        <v>225.99999999999983</v>
      </c>
      <c r="CU51" s="18">
        <f>CT51*VLOOKUP('Données projet'!$B$13,Paramètres!$A$1:$I$89,3,0)*VLOOKUP('Données projet'!$B$13,Paramètres!$A$1:$I$89,5,0)</f>
        <v>179.80559999999988</v>
      </c>
      <c r="CV51" s="14">
        <f t="shared" si="41"/>
        <v>45.278933028529949</v>
      </c>
      <c r="CW51" s="22">
        <f t="shared" si="13"/>
        <v>392.0222283580228</v>
      </c>
      <c r="CX51" s="62">
        <f t="shared" si="14"/>
        <v>685.35556169135612</v>
      </c>
      <c r="CY51" s="62">
        <f ca="1">AVERAGE(OFFSET($CX$3,0,0,'Données projet'!$E$13+1,1))-AVERAGE(OFFSET($H$3,0,0,'Données projet'!$E$13+1,1))</f>
        <v>312.53381881960331</v>
      </c>
      <c r="CZ51" s="62">
        <f t="shared" si="42"/>
        <v>342.06887933351783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7</v>
      </c>
      <c r="DO51" s="13">
        <f>IF('Données projet'!$A$166&gt;35,DO50+DN51-DW50,IF(A51&lt;'Données projet'!$A$166,$DL$205^A51,IF(A51='Données projet'!$A$166,'Données projet'!$B$166,DO50+DN51-DW50)))</f>
        <v>225.99999999999983</v>
      </c>
      <c r="DP51" s="18">
        <f>DO51*VLOOKUP('Données projet'!$B$14,Paramètres!$A$1:$I$89,3,0)*VLOOKUP('Données projet'!$B$14,Paramètres!$A$1:$I$89,5,0)</f>
        <v>165.70319999999987</v>
      </c>
      <c r="DQ51" s="14">
        <f t="shared" si="43"/>
        <v>42.126254201367267</v>
      </c>
      <c r="DR51" s="22">
        <f t="shared" si="16"/>
        <v>361.96963273404771</v>
      </c>
      <c r="DS51" s="62">
        <f t="shared" si="17"/>
        <v>655.30296606738102</v>
      </c>
      <c r="DT51" s="62">
        <f ca="1">AVERAGE(OFFSET($DS$3,0,0,'Données projet'!$E$14+1,1))-AVERAGE(OFFSET($H$3,0,0,'Données projet'!$E$14+1,1))</f>
        <v>290.85271051443431</v>
      </c>
      <c r="DU51" s="62">
        <f t="shared" si="44"/>
        <v>318.66958823451142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0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8.1999999999999993</v>
      </c>
      <c r="EJ51" s="13">
        <f>IF('Données projet'!$A$192&gt;35,EJ50+EI51-ER50,IF(A51&lt;'Données projet'!$A$192,$EG$205^A51,IF(A51='Données projet'!$A$192,'Données projet'!$B$192,EJ50+EI51-ER50)))</f>
        <v>158.6</v>
      </c>
      <c r="EK51" s="18">
        <f>EJ51*VLOOKUP('Données projet'!$B$15,Paramètres!$A$1:$I$89,3,0)*VLOOKUP('Données projet'!$B$15,Paramètres!$A$1:$I$89,5,0)</f>
        <v>136.0788</v>
      </c>
      <c r="EL51" s="14">
        <f t="shared" si="45"/>
        <v>35.397233841242119</v>
      </c>
      <c r="EM51" s="22">
        <f t="shared" si="19"/>
        <v>298.6540922734967</v>
      </c>
      <c r="EN51" s="62">
        <f t="shared" si="20"/>
        <v>591.98742560683002</v>
      </c>
      <c r="EO51" s="62">
        <f ca="1">AVERAGE(OFFSET($EN$3,0,0,'Données projet'!$E$15+1,1))-AVERAGE(OFFSET($H$3,0,0,'Données projet'!$E$15+1,1))</f>
        <v>438.65317358403996</v>
      </c>
      <c r="EP51" s="62">
        <f t="shared" si="46"/>
        <v>176.81257896138806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0</v>
      </c>
      <c r="EW51" s="23">
        <f>EXP(-LN(2)/25)*EW50+(1-EXP(-LN(2)/25))/(LN(2)/25)*Calculateur!ER51*Calculateur!ET51*VLOOKUP('Données projet'!$B$15,Paramètres!$A$1:$I$89,3,0)*0.475*44/12</f>
        <v>0</v>
      </c>
      <c r="EX51" s="23">
        <f>EXP(-LN(2)/2)*EX50+(1-EXP(-LN(2)/2))/(LN(2)/2)*ER51*EU51*VLOOKUP('Données projet'!$B$15,Paramètres!$A$1:$I$89,3,0)*0.475*44/12</f>
        <v>0</v>
      </c>
      <c r="EY51" s="24">
        <f t="shared" si="21"/>
        <v>0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>
        <f>VLOOKUP(A52,'Données projet'!$A$35:$I$55,2,0)</f>
        <v>404.56923076923078</v>
      </c>
      <c r="L52" s="13">
        <f>VLOOKUP(A52,'Données projet'!$A$35:$I$55,9,0)</f>
        <v>17.519780219780223</v>
      </c>
      <c r="M52" s="13">
        <f t="array" ref="M52">INDEX(L:L,MIN(IF(ISNUMBER(L52:L248),ROW(L52:L248),"")))</f>
        <v>17.519780219780223</v>
      </c>
      <c r="N52" s="14">
        <f>IF('Données projet'!$A$36&gt;35,N51+M52-V51,IF(A52&lt;'Données projet'!$A$36,$K$205^A52,IF(A52='Données projet'!$A$36,'Données projet'!$B$36,N51+M52-V51)))</f>
        <v>404.56923076923084</v>
      </c>
      <c r="O52" s="14">
        <f>N52*VLOOKUP('Données projet'!$B$9,Paramètres!$A$1:$I$89,3,0)*VLOOKUP('Données projet'!$B$9,Paramètres!$A$1:$I$89,5,0)</f>
        <v>226.15420000000006</v>
      </c>
      <c r="P52" s="14">
        <f t="shared" si="33"/>
        <v>55.450315347427065</v>
      </c>
      <c r="Q52" s="22">
        <f t="shared" si="53"/>
        <v>490.46119756343563</v>
      </c>
      <c r="R52" s="62">
        <f t="shared" si="0"/>
        <v>783.79453089676895</v>
      </c>
      <c r="S52" s="62">
        <f ca="1">AVERAGE(OFFSET($R$3,0,0,'Données projet'!$E$9+1,1))-AVERAGE(OFFSET($H$3,0,0,'Données projet'!$E$9+1,1))</f>
        <v>323.98185264074681</v>
      </c>
      <c r="T52" s="62">
        <f t="shared" si="34"/>
        <v>301.22207291854005</v>
      </c>
      <c r="U52" s="16">
        <f>IF(ISNA(VLOOKUP(A52,'Données projet'!$A$35:$I$55,3,0)),0,VLOOKUP(A52,'Données projet'!$A$35:$I$55,3,0))</f>
        <v>5</v>
      </c>
      <c r="V52" s="16">
        <f>IF(ISNA(VLOOKUP(A52,'Données projet'!$A$35:$I$55,4,0)),0,VLOOKUP(A52,'Données projet'!$A$35:$I$55,4,0))</f>
        <v>90.453846153846158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3.062982581651557</v>
      </c>
      <c r="AA52" s="23">
        <f>EXP(-LN(2)/25)*AA51+(1-EXP(-LN(2)/25))/(LN(2)/25)*Calculateur!V52*Calculateur!X52*VLOOKUP('Données projet'!$B$9,Paramètres!$A$1:$I$89,3,0)*0.475*44/12</f>
        <v>4.870000176363968</v>
      </c>
      <c r="AB52" s="23">
        <f>EXP(-LN(2)/2)*AB51+(1-EXP(-LN(2)/2))/(LN(2)/2)*V52*Y52*VLOOKUP('Données projet'!$B$9,Paramètres!$A$1:$I$89,3,0)*0.475*44/12</f>
        <v>8.4076752720001029E-3</v>
      </c>
      <c r="AC52" s="24">
        <f t="shared" si="3"/>
        <v>7.9413904332875251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11.861538461538462</v>
      </c>
      <c r="AI52" s="14">
        <f>IF('Données projet'!$A$62&gt;35,AI51+AH52-AQ51,IF(A52&lt;'Données projet'!$A$62,$AF$205^A52,IF(A52='Données projet'!$A$62,'Données projet'!$B$62,AI51+AH52-AQ51)))</f>
        <v>279.22307692307692</v>
      </c>
      <c r="AJ52" s="14">
        <f>AI52*VLOOKUP('Données projet'!$B$10,Paramètres!$A$1:$I$89,3,0)*VLOOKUP('Données projet'!$B$10,Paramètres!$A$1:$I$89,5,0)</f>
        <v>166.97540000000001</v>
      </c>
      <c r="AK52" s="14">
        <f t="shared" si="35"/>
        <v>42.411907667415186</v>
      </c>
      <c r="AL52" s="22">
        <f t="shared" si="4"/>
        <v>364.68289418741483</v>
      </c>
      <c r="AM52" s="62">
        <f t="shared" si="5"/>
        <v>658.01622752074809</v>
      </c>
      <c r="AN52" s="62">
        <f ca="1">AVERAGE(OFFSET($AM$3,0,0,'Données projet'!$E$10+1,1))-AVERAGE(OFFSET($H$3,0,0,'Données projet'!$E$10+1,1))</f>
        <v>289.12367833861299</v>
      </c>
      <c r="AO52" s="62">
        <f t="shared" si="36"/>
        <v>229.06617320689003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5.7270609455742994E-3</v>
      </c>
      <c r="AX52" s="23">
        <f t="shared" si="6"/>
        <v>5.7270609455742994E-3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9.75</v>
      </c>
      <c r="BD52" s="13">
        <f>IF('Données projet'!$A$88&gt;35,BD51+BC52-BL51,IF(A52&lt;'Données projet'!$A$88,$BA$205^A52,IF(A52='Données projet'!$A$88,'Données projet'!$B$88,BD51+BC52-BL51)))</f>
        <v>196.75</v>
      </c>
      <c r="BE52" s="14">
        <f>BD52*VLOOKUP('Données projet'!$B$11,Paramètres!$A$1:$I$89,3,0)*VLOOKUP('Données projet'!$B$11,Paramètres!$A$1:$I$89,5,0)</f>
        <v>122.77200000000001</v>
      </c>
      <c r="BF52" s="14">
        <f t="shared" si="37"/>
        <v>32.320660955470466</v>
      </c>
      <c r="BG52" s="22">
        <f t="shared" si="7"/>
        <v>270.11971783077774</v>
      </c>
      <c r="BH52" s="62">
        <f t="shared" si="8"/>
        <v>563.453051164111</v>
      </c>
      <c r="BI52" s="62">
        <f ca="1">AVERAGE(OFFSET($BH$3,0,0,'Données projet'!$E$11+1,1))-AVERAGE(OFFSET($H$3,0,0,'Données projet'!$E$11+1,1))</f>
        <v>240.22884864766218</v>
      </c>
      <c r="BJ52" s="62">
        <f t="shared" si="38"/>
        <v>343.23776884143166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6.0794396800048034</v>
      </c>
      <c r="BR52" s="23">
        <f>EXP(-LN(2)/2)*BR51+(1-EXP(-LN(2)/2))/(LN(2)/2)*BL52*BO52*VLOOKUP('Données projet'!$B$11,Paramètres!$A$1:$I$89,3,0)*0.475*44/12</f>
        <v>2.2813612412224737E-2</v>
      </c>
      <c r="BS52" s="24">
        <f t="shared" si="9"/>
        <v>6.1022532924170285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8.1999999999999993</v>
      </c>
      <c r="BY52" s="13">
        <f>IF('Données projet'!$A$114&gt;35,BY51+BX52-CG51,IF(A52&lt;'Données projet'!$A$114,$BV$205^A52,IF(A52='Données projet'!$A$114,'Données projet'!$B$114,BY51+BX52-CG51)))</f>
        <v>190.8</v>
      </c>
      <c r="BZ52" s="14">
        <f>BY52*VLOOKUP('Données projet'!$B$12,Paramètres!$A$1:$I$89,3,0)*VLOOKUP('Données projet'!$B$12,Paramètres!$A$1:$I$89,5,0)</f>
        <v>172.63584</v>
      </c>
      <c r="CA52" s="14">
        <f t="shared" si="39"/>
        <v>43.679834395222109</v>
      </c>
      <c r="CB52" s="22">
        <f t="shared" si="10"/>
        <v>376.74979957167847</v>
      </c>
      <c r="CC52" s="62">
        <f t="shared" si="11"/>
        <v>670.08313290501178</v>
      </c>
      <c r="CD52" s="62">
        <f ca="1">AVERAGE(OFFSET($CC$3,0,0,'Données projet'!$E$12+1,1))-AVERAGE(OFFSET($H$3,0,0,'Données projet'!$E$12+1,1))</f>
        <v>428.8489304403459</v>
      </c>
      <c r="CE52" s="62">
        <f t="shared" si="40"/>
        <v>247.01165577562966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7</v>
      </c>
      <c r="CT52" s="13">
        <f>IF('Données projet'!$A$140&gt;35,CT51+CS52-DB51,IF(A52&lt;'Données projet'!$A$140,$CQ$205^A52,IF(A52='Données projet'!$A$140,'Données projet'!$B$140,CT51+CS52-DB51)))</f>
        <v>232.99999999999983</v>
      </c>
      <c r="CU52" s="18">
        <f>CT52*VLOOKUP('Données projet'!$B$13,Paramètres!$A$1:$I$89,3,0)*VLOOKUP('Données projet'!$B$13,Paramètres!$A$1:$I$89,5,0)</f>
        <v>185.37479999999988</v>
      </c>
      <c r="CV52" s="14">
        <f t="shared" si="41"/>
        <v>46.515924762412688</v>
      </c>
      <c r="CW52" s="22">
        <f t="shared" si="13"/>
        <v>403.87634562786849</v>
      </c>
      <c r="CX52" s="62">
        <f t="shared" si="14"/>
        <v>697.2096789612018</v>
      </c>
      <c r="CY52" s="62">
        <f ca="1">AVERAGE(OFFSET($CX$3,0,0,'Données projet'!$E$13+1,1))-AVERAGE(OFFSET($H$3,0,0,'Données projet'!$E$13+1,1))</f>
        <v>312.53381881960331</v>
      </c>
      <c r="CZ52" s="62">
        <f t="shared" si="42"/>
        <v>342.06887933351783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7</v>
      </c>
      <c r="DO52" s="13">
        <f>IF('Données projet'!$A$166&gt;35,DO51+DN52-DW51,IF(A52&lt;'Données projet'!$A$166,$DL$205^A52,IF(A52='Données projet'!$A$166,'Données projet'!$B$166,DO51+DN52-DW51)))</f>
        <v>232.99999999999983</v>
      </c>
      <c r="DP52" s="18">
        <f>DO52*VLOOKUP('Données projet'!$B$14,Paramètres!$A$1:$I$89,3,0)*VLOOKUP('Données projet'!$B$14,Paramètres!$A$1:$I$89,5,0)</f>
        <v>170.83559999999989</v>
      </c>
      <c r="DQ52" s="14">
        <f t="shared" si="43"/>
        <v>43.277116749159646</v>
      </c>
      <c r="DR52" s="22">
        <f t="shared" si="16"/>
        <v>372.91298167145283</v>
      </c>
      <c r="DS52" s="62">
        <f t="shared" si="17"/>
        <v>666.24631500478608</v>
      </c>
      <c r="DT52" s="62">
        <f ca="1">AVERAGE(OFFSET($DS$3,0,0,'Données projet'!$E$14+1,1))-AVERAGE(OFFSET($H$3,0,0,'Données projet'!$E$14+1,1))</f>
        <v>290.85271051443431</v>
      </c>
      <c r="DU52" s="62">
        <f t="shared" si="44"/>
        <v>318.66958823451142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0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8.1999999999999993</v>
      </c>
      <c r="EJ52" s="13">
        <f>IF('Données projet'!$A$192&gt;35,EJ51+EI52-ER51,IF(A52&lt;'Données projet'!$A$192,$EG$205^A52,IF(A52='Données projet'!$A$192,'Données projet'!$B$192,EJ51+EI52-ER51)))</f>
        <v>166.79999999999998</v>
      </c>
      <c r="EK52" s="18">
        <f>EJ52*VLOOKUP('Données projet'!$B$15,Paramètres!$A$1:$I$89,3,0)*VLOOKUP('Données projet'!$B$15,Paramètres!$A$1:$I$89,5,0)</f>
        <v>143.11439999999999</v>
      </c>
      <c r="EL52" s="14">
        <f t="shared" si="45"/>
        <v>37.009554635379814</v>
      </c>
      <c r="EM52" s="22">
        <f t="shared" si="19"/>
        <v>313.71588765661983</v>
      </c>
      <c r="EN52" s="62">
        <f t="shared" si="20"/>
        <v>607.04922098995314</v>
      </c>
      <c r="EO52" s="62">
        <f ca="1">AVERAGE(OFFSET($EN$3,0,0,'Données projet'!$E$15+1,1))-AVERAGE(OFFSET($H$3,0,0,'Données projet'!$E$15+1,1))</f>
        <v>438.65317358403996</v>
      </c>
      <c r="EP52" s="62">
        <f t="shared" si="46"/>
        <v>176.81257896138806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0</v>
      </c>
      <c r="EW52" s="23">
        <f>EXP(-LN(2)/25)*EW51+(1-EXP(-LN(2)/25))/(LN(2)/25)*Calculateur!ER52*Calculateur!ET52*VLOOKUP('Données projet'!$B$15,Paramètres!$A$1:$I$89,3,0)*0.475*44/12</f>
        <v>0</v>
      </c>
      <c r="EX52" s="23">
        <f>EXP(-LN(2)/2)*EX51+(1-EXP(-LN(2)/2))/(LN(2)/2)*ER52*EU52*VLOOKUP('Données projet'!$B$15,Paramètres!$A$1:$I$89,3,0)*0.475*44/12</f>
        <v>0</v>
      </c>
      <c r="EY52" s="24">
        <f t="shared" si="21"/>
        <v>0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16.227472527472521</v>
      </c>
      <c r="N53" s="14">
        <f>IF('Données projet'!$A$36&gt;35,N52+M53-V52,IF(A53&lt;'Données projet'!$A$36,$K$205^A53,IF(A53='Données projet'!$A$36,'Données projet'!$B$36,N52+M53-V52)))</f>
        <v>330.34285714285721</v>
      </c>
      <c r="O53" s="14">
        <f>N53*VLOOKUP('Données projet'!$B$9,Paramètres!$A$1:$I$89,3,0)*VLOOKUP('Données projet'!$B$9,Paramètres!$A$1:$I$89,5,0)</f>
        <v>184.66165714285719</v>
      </c>
      <c r="P53" s="14">
        <f t="shared" si="33"/>
        <v>46.357770619215231</v>
      </c>
      <c r="Q53" s="22">
        <f t="shared" si="53"/>
        <v>402.3588366856095</v>
      </c>
      <c r="R53" s="62">
        <f t="shared" si="0"/>
        <v>695.69217001894276</v>
      </c>
      <c r="S53" s="62">
        <f ca="1">AVERAGE(OFFSET($R$3,0,0,'Données projet'!$E$9+1,1))-AVERAGE(OFFSET($H$3,0,0,'Données projet'!$E$9+1,1))</f>
        <v>323.98185264074681</v>
      </c>
      <c r="T53" s="62">
        <f t="shared" si="34"/>
        <v>301.22207291854005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3.0029193614602718</v>
      </c>
      <c r="AA53" s="23">
        <f>EXP(-LN(2)/25)*AA52+(1-EXP(-LN(2)/25))/(LN(2)/25)*Calculateur!V53*Calculateur!X53*VLOOKUP('Données projet'!$B$9,Paramètres!$A$1:$I$89,3,0)*0.475*44/12</f>
        <v>4.7368297654391167</v>
      </c>
      <c r="AB53" s="23">
        <f>EXP(-LN(2)/2)*AB52+(1-EXP(-LN(2)/2))/(LN(2)/2)*V53*Y53*VLOOKUP('Données projet'!$B$9,Paramètres!$A$1:$I$89,3,0)*0.475*44/12</f>
        <v>5.9451241988457233E-3</v>
      </c>
      <c r="AC53" s="24">
        <f t="shared" si="3"/>
        <v>7.7456942510982341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291.0846153846154</v>
      </c>
      <c r="AG53" s="13">
        <f>VLOOKUP(A53,'Données projet'!$A$61:$I$81,9,0)</f>
        <v>11.861538461538462</v>
      </c>
      <c r="AH53" s="13">
        <f t="array" ref="AH53">INDEX(AG:AG,MIN(IF(ISNUMBER(AG53:AG249),ROW(AG53:AG249),"")))</f>
        <v>11.861538461538462</v>
      </c>
      <c r="AI53" s="14">
        <f>IF('Données projet'!$A$62&gt;35,AI52+AH53-AQ52,IF(A53&lt;'Données projet'!$A$62,$AF$205^A53,IF(A53='Données projet'!$A$62,'Données projet'!$B$62,AI52+AH53-AQ52)))</f>
        <v>291.0846153846154</v>
      </c>
      <c r="AJ53" s="14">
        <f>AI53*VLOOKUP('Données projet'!$B$10,Paramètres!$A$1:$I$89,3,0)*VLOOKUP('Données projet'!$B$10,Paramètres!$A$1:$I$89,5,0)</f>
        <v>174.06860000000003</v>
      </c>
      <c r="AK53" s="14">
        <f t="shared" si="35"/>
        <v>43.999996552753835</v>
      </c>
      <c r="AL53" s="22">
        <f t="shared" si="4"/>
        <v>379.80280566271296</v>
      </c>
      <c r="AM53" s="62">
        <f t="shared" si="5"/>
        <v>673.13613899604627</v>
      </c>
      <c r="AN53" s="62">
        <f ca="1">AVERAGE(OFFSET($AM$3,0,0,'Données projet'!$E$10+1,1))-AVERAGE(OFFSET($H$3,0,0,'Données projet'!$E$10+1,1))</f>
        <v>289.12367833861299</v>
      </c>
      <c r="AO53" s="62">
        <f t="shared" si="36"/>
        <v>229.06617320689003</v>
      </c>
      <c r="AP53" s="16">
        <f>IF(ISNA(VLOOKUP(A53,'Données projet'!$A$61:$I$81,3,0)),0,VLOOKUP(A53,'Données projet'!$A$61:$I$81,3,0))</f>
        <v>5</v>
      </c>
      <c r="AQ53" s="16">
        <f>IF(ISNA(VLOOKUP(A53,'Données projet'!$A$61:$I$81,4,0)),0,VLOOKUP(A53,'Données projet'!$A$61:$I$81,4,0))</f>
        <v>55.292307692307688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4.049643630884228E-3</v>
      </c>
      <c r="AX53" s="23">
        <f t="shared" si="6"/>
        <v>4.049643630884228E-3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9.75</v>
      </c>
      <c r="BD53" s="13">
        <f>IF('Données projet'!$A$88&gt;35,BD52+BC53-BL52,IF(A53&lt;'Données projet'!$A$88,$BA$205^A53,IF(A53='Données projet'!$A$88,'Données projet'!$B$88,BD52+BC53-BL52)))</f>
        <v>206.5</v>
      </c>
      <c r="BE53" s="14">
        <f>BD53*VLOOKUP('Données projet'!$B$11,Paramètres!$A$1:$I$89,3,0)*VLOOKUP('Données projet'!$B$11,Paramètres!$A$1:$I$89,5,0)</f>
        <v>128.85599999999999</v>
      </c>
      <c r="BF53" s="14">
        <f t="shared" si="37"/>
        <v>33.731878688740906</v>
      </c>
      <c r="BG53" s="22">
        <f t="shared" si="7"/>
        <v>283.1738887162237</v>
      </c>
      <c r="BH53" s="62">
        <f t="shared" si="8"/>
        <v>576.50722204955696</v>
      </c>
      <c r="BI53" s="62">
        <f ca="1">AVERAGE(OFFSET($BH$3,0,0,'Données projet'!$E$11+1,1))-AVERAGE(OFFSET($H$3,0,0,'Données projet'!$E$11+1,1))</f>
        <v>240.22884864766218</v>
      </c>
      <c r="BJ53" s="62">
        <f t="shared" si="38"/>
        <v>343.23776884143166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5.9131970822512336</v>
      </c>
      <c r="BR53" s="23">
        <f>EXP(-LN(2)/2)*BR52+(1-EXP(-LN(2)/2))/(LN(2)/2)*BL53*BO53*VLOOKUP('Données projet'!$B$11,Paramètres!$A$1:$I$89,3,0)*0.475*44/12</f>
        <v>1.6131660040045702E-2</v>
      </c>
      <c r="BS53" s="24">
        <f t="shared" si="9"/>
        <v>5.929328742291279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199</v>
      </c>
      <c r="BW53" s="13">
        <f>VLOOKUP(A53,'Données projet'!$A$113:$I$133,9,0)</f>
        <v>8.1999999999999993</v>
      </c>
      <c r="BX53" s="13">
        <f t="array" ref="BX53">INDEX(BW:BW,MIN(IF(ISNUMBER(BW53:BW249),ROW(BW53:BW249),"")))</f>
        <v>8.1999999999999993</v>
      </c>
      <c r="BY53" s="13">
        <f>IF('Données projet'!$A$114&gt;35,BY52+BX53-CG52,IF(A53&lt;'Données projet'!$A$114,$BV$205^A53,IF(A53='Données projet'!$A$114,'Données projet'!$B$114,BY52+BX53-CG52)))</f>
        <v>199</v>
      </c>
      <c r="BZ53" s="14">
        <f>BY53*VLOOKUP('Données projet'!$B$12,Paramètres!$A$1:$I$89,3,0)*VLOOKUP('Données projet'!$B$12,Paramètres!$A$1:$I$89,5,0)</f>
        <v>180.05519999999999</v>
      </c>
      <c r="CA53" s="14">
        <f t="shared" si="39"/>
        <v>45.334466930398364</v>
      </c>
      <c r="CB53" s="22">
        <f t="shared" si="10"/>
        <v>392.55366990377706</v>
      </c>
      <c r="CC53" s="62">
        <f t="shared" si="11"/>
        <v>685.88700323711032</v>
      </c>
      <c r="CD53" s="62">
        <f ca="1">AVERAGE(OFFSET($CC$3,0,0,'Données projet'!$E$12+1,1))-AVERAGE(OFFSET($H$3,0,0,'Données projet'!$E$12+1,1))</f>
        <v>428.8489304403459</v>
      </c>
      <c r="CE53" s="62">
        <f t="shared" si="40"/>
        <v>247.01165577562966</v>
      </c>
      <c r="CF53" s="16">
        <f>IF(ISNA(VLOOKUP(A53,'Données projet'!$A$113:$I$133,3,0)),0,VLOOKUP(A53,'Données projet'!$A$113:$I$133,3,0))</f>
        <v>3</v>
      </c>
      <c r="CG53" s="16">
        <f>IF(ISNA(VLOOKUP(A53,'Données projet'!$A$113:$I$133,4,0)),0,VLOOKUP(A53,'Données projet'!$A$113:$I$133,4,0))</f>
        <v>42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240</v>
      </c>
      <c r="CR53" s="13">
        <f>VLOOKUP(A53,'Données projet'!$A$139:$I$159,9,0)</f>
        <v>7</v>
      </c>
      <c r="CS53" s="13">
        <f t="array" ref="CS53">INDEX(CR:CR,MIN(IF(ISNUMBER(CR53:CR249),ROW(CR53:CR249),"")))</f>
        <v>7</v>
      </c>
      <c r="CT53" s="13">
        <f>IF('Données projet'!$A$140&gt;35,CT52+CS53-DB52,IF(A53&lt;'Données projet'!$A$140,$CQ$205^A53,IF(A53='Données projet'!$A$140,'Données projet'!$B$140,CT52+CS53-DB52)))</f>
        <v>239.99999999999983</v>
      </c>
      <c r="CU53" s="18">
        <f>CT53*VLOOKUP('Données projet'!$B$13,Paramètres!$A$1:$I$89,3,0)*VLOOKUP('Données projet'!$B$13,Paramètres!$A$1:$I$89,5,0)</f>
        <v>190.94399999999987</v>
      </c>
      <c r="CV53" s="14">
        <f t="shared" si="41"/>
        <v>47.748597609826554</v>
      </c>
      <c r="CW53" s="22">
        <f t="shared" si="13"/>
        <v>415.72294083711432</v>
      </c>
      <c r="CX53" s="62">
        <f t="shared" si="14"/>
        <v>709.05627417044764</v>
      </c>
      <c r="CY53" s="62">
        <f ca="1">AVERAGE(OFFSET($CX$3,0,0,'Données projet'!$E$13+1,1))-AVERAGE(OFFSET($H$3,0,0,'Données projet'!$E$13+1,1))</f>
        <v>312.53381881960331</v>
      </c>
      <c r="CZ53" s="62">
        <f t="shared" si="42"/>
        <v>342.06887933351783</v>
      </c>
      <c r="DA53" s="16">
        <f>IF(ISNA(VLOOKUP(A53,'Données projet'!$A$139:$I$159,3,0)),0,VLOOKUP(A53,'Données projet'!$A$139:$I$159,3,0))</f>
        <v>4</v>
      </c>
      <c r="DB53" s="16">
        <f>IF(ISNA(VLOOKUP(A53,'Données projet'!$A$139:$I$159,4,0)),0,VLOOKUP(A53,'Données projet'!$A$139:$I$159,4,0))</f>
        <v>39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240</v>
      </c>
      <c r="DM53" s="13">
        <f>VLOOKUP(A53,'Données projet'!$A$165:$I$185,9,0)</f>
        <v>7</v>
      </c>
      <c r="DN53" s="13">
        <f t="array" ref="DN53">INDEX(DM:DM,MIN(IF(ISNUMBER(DM53:DM249),ROW(DM53:DM249),"")))</f>
        <v>7</v>
      </c>
      <c r="DO53" s="13">
        <f>IF('Données projet'!$A$166&gt;35,DO52+DN53-DW52,IF(A53&lt;'Données projet'!$A$166,$DL$205^A53,IF(A53='Données projet'!$A$166,'Données projet'!$B$166,DO52+DN53-DW52)))</f>
        <v>239.99999999999983</v>
      </c>
      <c r="DP53" s="18">
        <f>DO53*VLOOKUP('Données projet'!$B$14,Paramètres!$A$1:$I$89,3,0)*VLOOKUP('Données projet'!$B$14,Paramètres!$A$1:$I$89,5,0)</f>
        <v>175.96799999999988</v>
      </c>
      <c r="DQ53" s="14">
        <f t="shared" si="43"/>
        <v>44.423961125650585</v>
      </c>
      <c r="DR53" s="22">
        <f t="shared" si="16"/>
        <v>383.8493322938412</v>
      </c>
      <c r="DS53" s="62">
        <f t="shared" si="17"/>
        <v>677.18266562717452</v>
      </c>
      <c r="DT53" s="62">
        <f ca="1">AVERAGE(OFFSET($DS$3,0,0,'Données projet'!$E$14+1,1))-AVERAGE(OFFSET($H$3,0,0,'Données projet'!$E$14+1,1))</f>
        <v>290.85271051443431</v>
      </c>
      <c r="DU53" s="62">
        <f t="shared" si="44"/>
        <v>318.66958823451142</v>
      </c>
      <c r="DV53" s="16">
        <f>IF(ISNA(VLOOKUP(A53,'Données projet'!$A$165:$I$185,3,0)),0,VLOOKUP(A53,'Données projet'!$A$165:$I$185,3,0))</f>
        <v>4</v>
      </c>
      <c r="DW53" s="16">
        <f>IF(ISNA(VLOOKUP(A53,'Données projet'!$A$165:$I$185,4,0)),0,VLOOKUP(A53,'Données projet'!$A$165:$I$185,4,0))</f>
        <v>39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0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>
        <f>VLOOKUP(A53,'Données projet'!$A$191:$I$211,2,0)</f>
        <v>175</v>
      </c>
      <c r="EH53" s="13">
        <f>VLOOKUP(A53,'Données projet'!$A$191:$I$211,9,0)</f>
        <v>8.1999999999999993</v>
      </c>
      <c r="EI53" s="13">
        <f t="array" ref="EI53">INDEX(EH:EH,MIN(IF(ISNUMBER(EH53:EH249),ROW(EH53:EH249),"")))</f>
        <v>8.1999999999999993</v>
      </c>
      <c r="EJ53" s="13">
        <f>IF('Données projet'!$A$192&gt;35,EJ52+EI53-ER52,IF(A53&lt;'Données projet'!$A$192,$EG$205^A53,IF(A53='Données projet'!$A$192,'Données projet'!$B$192,EJ52+EI53-ER52)))</f>
        <v>174.99999999999997</v>
      </c>
      <c r="EK53" s="18">
        <f>EJ53*VLOOKUP('Données projet'!$B$15,Paramètres!$A$1:$I$89,3,0)*VLOOKUP('Données projet'!$B$15,Paramètres!$A$1:$I$89,5,0)</f>
        <v>150.14999999999998</v>
      </c>
      <c r="EL53" s="14">
        <f t="shared" si="45"/>
        <v>38.612671675922336</v>
      </c>
      <c r="EM53" s="22">
        <f t="shared" si="19"/>
        <v>328.76165316889802</v>
      </c>
      <c r="EN53" s="62">
        <f t="shared" si="20"/>
        <v>622.09498650223134</v>
      </c>
      <c r="EO53" s="62">
        <f ca="1">AVERAGE(OFFSET($EN$3,0,0,'Données projet'!$E$15+1,1))-AVERAGE(OFFSET($H$3,0,0,'Données projet'!$E$15+1,1))</f>
        <v>438.65317358403996</v>
      </c>
      <c r="EP53" s="62">
        <f t="shared" si="46"/>
        <v>176.81257896138806</v>
      </c>
      <c r="EQ53" s="16">
        <f>IF(ISNA(VLOOKUP(A53,'Données projet'!$A$191:$I$211,3,0)),0,VLOOKUP(A53,'Données projet'!$A$191:$I$211,3,0))</f>
        <v>3</v>
      </c>
      <c r="ER53" s="16">
        <f>IF(ISNA(VLOOKUP(A53,'Données projet'!$A$191:$I$211,4,0)),0,VLOOKUP(A53,'Données projet'!$A$191:$I$211,4,0))</f>
        <v>42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projet'!$B$15,Paramètres!$A$1:$I$89,3,0)*0.475*44/12</f>
        <v>0</v>
      </c>
      <c r="EW53" s="23">
        <f>EXP(-LN(2)/25)*EW52+(1-EXP(-LN(2)/25))/(LN(2)/25)*Calculateur!ER53*Calculateur!ET53*VLOOKUP('Données projet'!$B$15,Paramètres!$A$1:$I$89,3,0)*0.475*44/12</f>
        <v>0</v>
      </c>
      <c r="EX53" s="23">
        <f>EXP(-LN(2)/2)*EX52+(1-EXP(-LN(2)/2))/(LN(2)/2)*ER53*EU53*VLOOKUP('Données projet'!$B$15,Paramètres!$A$1:$I$89,3,0)*0.475*44/12</f>
        <v>0</v>
      </c>
      <c r="EY53" s="24">
        <f t="shared" si="21"/>
        <v>0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16.227472527472521</v>
      </c>
      <c r="N54" s="14">
        <f>IF('Données projet'!$A$36&gt;35,N53+M54-V53,IF(A54&lt;'Données projet'!$A$36,$K$205^A54,IF(A54='Données projet'!$A$36,'Données projet'!$B$36,N53+M54-V53)))</f>
        <v>346.57032967032973</v>
      </c>
      <c r="O54" s="14">
        <f>N54*VLOOKUP('Données projet'!$B$9,Paramètres!$A$1:$I$89,3,0)*VLOOKUP('Données projet'!$B$9,Paramètres!$A$1:$I$89,5,0)</f>
        <v>193.73281428571431</v>
      </c>
      <c r="P54" s="14">
        <f t="shared" si="33"/>
        <v>48.364288285880889</v>
      </c>
      <c r="Q54" s="22">
        <f t="shared" si="53"/>
        <v>421.65245364552828</v>
      </c>
      <c r="R54" s="62">
        <f t="shared" si="0"/>
        <v>714.9857869788616</v>
      </c>
      <c r="S54" s="62">
        <f ca="1">AVERAGE(OFFSET($R$3,0,0,'Données projet'!$E$9+1,1))-AVERAGE(OFFSET($H$3,0,0,'Données projet'!$E$9+1,1))</f>
        <v>323.98185264074681</v>
      </c>
      <c r="T54" s="62">
        <f t="shared" si="34"/>
        <v>301.22207291854005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2.944033944381991</v>
      </c>
      <c r="AA54" s="23">
        <f>EXP(-LN(2)/25)*AA53+(1-EXP(-LN(2)/25))/(LN(2)/25)*Calculateur!V54*Calculateur!X54*VLOOKUP('Données projet'!$B$9,Paramètres!$A$1:$I$89,3,0)*0.475*44/12</f>
        <v>4.6073009064041326</v>
      </c>
      <c r="AB54" s="23">
        <f>EXP(-LN(2)/2)*AB53+(1-EXP(-LN(2)/2))/(LN(2)/2)*V54*Y54*VLOOKUP('Données projet'!$B$9,Paramètres!$A$1:$I$89,3,0)*0.475*44/12</f>
        <v>4.2038376360000514E-3</v>
      </c>
      <c r="AC54" s="24">
        <f t="shared" si="3"/>
        <v>7.5555386884221232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10.66307692307692</v>
      </c>
      <c r="AI54" s="14">
        <f>IF('Données projet'!$A$62&gt;35,AI53+AH54-AQ53,IF(A54&lt;'Données projet'!$A$62,$AF$205^A54,IF(A54='Données projet'!$A$62,'Données projet'!$B$62,AI53+AH54-AQ53)))</f>
        <v>246.45538461538462</v>
      </c>
      <c r="AJ54" s="14">
        <f>AI54*VLOOKUP('Données projet'!$B$10,Paramètres!$A$1:$I$89,3,0)*VLOOKUP('Données projet'!$B$10,Paramètres!$A$1:$I$89,5,0)</f>
        <v>147.38032000000001</v>
      </c>
      <c r="AK54" s="14">
        <f t="shared" si="35"/>
        <v>37.982644854557613</v>
      </c>
      <c r="AL54" s="22">
        <f t="shared" si="4"/>
        <v>322.84049712168786</v>
      </c>
      <c r="AM54" s="62">
        <f t="shared" si="5"/>
        <v>616.17383045502118</v>
      </c>
      <c r="AN54" s="62">
        <f ca="1">AVERAGE(OFFSET($AM$3,0,0,'Données projet'!$E$10+1,1))-AVERAGE(OFFSET($H$3,0,0,'Données projet'!$E$10+1,1))</f>
        <v>289.12367833861299</v>
      </c>
      <c r="AO54" s="62">
        <f t="shared" si="36"/>
        <v>229.06617320689003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2.8635304727871497E-3</v>
      </c>
      <c r="AX54" s="23">
        <f t="shared" si="6"/>
        <v>2.8635304727871497E-3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9.75</v>
      </c>
      <c r="BD54" s="13">
        <f>IF('Données projet'!$A$88&gt;35,BD53+BC54-BL53,IF(A54&lt;'Données projet'!$A$88,$BA$205^A54,IF(A54='Données projet'!$A$88,'Données projet'!$B$88,BD53+BC54-BL53)))</f>
        <v>216.25</v>
      </c>
      <c r="BE54" s="14">
        <f>BD54*VLOOKUP('Données projet'!$B$11,Paramètres!$A$1:$I$89,3,0)*VLOOKUP('Données projet'!$B$11,Paramètres!$A$1:$I$89,5,0)</f>
        <v>134.94</v>
      </c>
      <c r="BF54" s="14">
        <f t="shared" si="37"/>
        <v>35.135358771568036</v>
      </c>
      <c r="BG54" s="22">
        <f t="shared" si="7"/>
        <v>296.21458319381429</v>
      </c>
      <c r="BH54" s="62">
        <f t="shared" si="8"/>
        <v>589.54791652714766</v>
      </c>
      <c r="BI54" s="62">
        <f ca="1">AVERAGE(OFFSET($BH$3,0,0,'Données projet'!$E$11+1,1))-AVERAGE(OFFSET($H$3,0,0,'Données projet'!$E$11+1,1))</f>
        <v>240.22884864766218</v>
      </c>
      <c r="BJ54" s="62">
        <f t="shared" si="38"/>
        <v>343.23776884143166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5.7515003970755538</v>
      </c>
      <c r="BR54" s="23">
        <f>EXP(-LN(2)/2)*BR53+(1-EXP(-LN(2)/2))/(LN(2)/2)*BL54*BO54*VLOOKUP('Données projet'!$B$11,Paramètres!$A$1:$I$89,3,0)*0.475*44/12</f>
        <v>1.1406806206112369E-2</v>
      </c>
      <c r="BS54" s="24">
        <f t="shared" si="9"/>
        <v>5.7629072032816664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8</v>
      </c>
      <c r="BY54" s="13">
        <f>IF('Données projet'!$A$114&gt;35,BY53+BX54-CG53,IF(A54&lt;'Données projet'!$A$114,$BV$205^A54,IF(A54='Données projet'!$A$114,'Données projet'!$B$114,BY53+BX54-CG53)))</f>
        <v>165</v>
      </c>
      <c r="BZ54" s="14">
        <f>BY54*VLOOKUP('Données projet'!$B$12,Paramètres!$A$1:$I$89,3,0)*VLOOKUP('Données projet'!$B$12,Paramètres!$A$1:$I$89,5,0)</f>
        <v>149.29199999999997</v>
      </c>
      <c r="CA54" s="14">
        <f t="shared" si="39"/>
        <v>38.417645803815411</v>
      </c>
      <c r="CB54" s="22">
        <f t="shared" si="10"/>
        <v>326.9276331083118</v>
      </c>
      <c r="CC54" s="62">
        <f t="shared" si="11"/>
        <v>620.26096644164511</v>
      </c>
      <c r="CD54" s="62">
        <f ca="1">AVERAGE(OFFSET($CC$3,0,0,'Données projet'!$E$12+1,1))-AVERAGE(OFFSET($H$3,0,0,'Données projet'!$E$12+1,1))</f>
        <v>428.8489304403459</v>
      </c>
      <c r="CE54" s="62">
        <f t="shared" si="40"/>
        <v>247.01165577562966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6.4</v>
      </c>
      <c r="CT54" s="13">
        <f>IF('Données projet'!$A$140&gt;35,CT53+CS54-DB53,IF(A54&lt;'Données projet'!$A$140,$CQ$205^A54,IF(A54='Données projet'!$A$140,'Données projet'!$B$140,CT53+CS54-DB53)))</f>
        <v>207.39999999999984</v>
      </c>
      <c r="CU54" s="18">
        <f>CT54*VLOOKUP('Données projet'!$B$13,Paramètres!$A$1:$I$89,3,0)*VLOOKUP('Données projet'!$B$13,Paramètres!$A$1:$I$89,5,0)</f>
        <v>165.00743999999986</v>
      </c>
      <c r="CV54" s="14">
        <f t="shared" si="41"/>
        <v>41.969923817052226</v>
      </c>
      <c r="CW54" s="22">
        <f t="shared" si="13"/>
        <v>360.48557531469902</v>
      </c>
      <c r="CX54" s="62">
        <f t="shared" si="14"/>
        <v>653.81890864803233</v>
      </c>
      <c r="CY54" s="62">
        <f ca="1">AVERAGE(OFFSET($CX$3,0,0,'Données projet'!$E$13+1,1))-AVERAGE(OFFSET($H$3,0,0,'Données projet'!$E$13+1,1))</f>
        <v>312.53381881960331</v>
      </c>
      <c r="CZ54" s="62">
        <f t="shared" si="42"/>
        <v>342.06887933351783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6.4</v>
      </c>
      <c r="DO54" s="13">
        <f>IF('Données projet'!$A$166&gt;35,DO53+DN54-DW53,IF(A54&lt;'Données projet'!$A$166,$DL$205^A54,IF(A54='Données projet'!$A$166,'Données projet'!$B$166,DO53+DN54-DW53)))</f>
        <v>207.39999999999984</v>
      </c>
      <c r="DP54" s="18">
        <f>DO54*VLOOKUP('Données projet'!$B$14,Paramètres!$A$1:$I$89,3,0)*VLOOKUP('Données projet'!$B$14,Paramètres!$A$1:$I$89,5,0)</f>
        <v>152.06567999999987</v>
      </c>
      <c r="DQ54" s="14">
        <f t="shared" si="43"/>
        <v>39.047644484359502</v>
      </c>
      <c r="DR54" s="22">
        <f t="shared" si="16"/>
        <v>332.85570681025916</v>
      </c>
      <c r="DS54" s="62">
        <f t="shared" si="17"/>
        <v>626.18904014359248</v>
      </c>
      <c r="DT54" s="62">
        <f ca="1">AVERAGE(OFFSET($DS$3,0,0,'Données projet'!$E$14+1,1))-AVERAGE(OFFSET($H$3,0,0,'Données projet'!$E$14+1,1))</f>
        <v>290.85271051443431</v>
      </c>
      <c r="DU54" s="62">
        <f t="shared" si="44"/>
        <v>318.66958823451142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0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8.6</v>
      </c>
      <c r="EJ54" s="13">
        <f>IF('Données projet'!$A$192&gt;35,EJ53+EI54-ER53,IF(A54&lt;'Données projet'!$A$192,$EG$205^A54,IF(A54='Données projet'!$A$192,'Données projet'!$B$192,EJ53+EI54-ER53)))</f>
        <v>141.59999999999997</v>
      </c>
      <c r="EK54" s="18">
        <f>EJ54*VLOOKUP('Données projet'!$B$15,Paramètres!$A$1:$I$89,3,0)*VLOOKUP('Données projet'!$B$15,Paramètres!$A$1:$I$89,5,0)</f>
        <v>121.49279999999997</v>
      </c>
      <c r="EL54" s="14">
        <f t="shared" si="45"/>
        <v>32.02291946024841</v>
      </c>
      <c r="EM54" s="22">
        <f t="shared" si="19"/>
        <v>267.37321139326588</v>
      </c>
      <c r="EN54" s="62">
        <f t="shared" si="20"/>
        <v>560.70654472659919</v>
      </c>
      <c r="EO54" s="62">
        <f ca="1">AVERAGE(OFFSET($EN$3,0,0,'Données projet'!$E$15+1,1))-AVERAGE(OFFSET($H$3,0,0,'Données projet'!$E$15+1,1))</f>
        <v>438.65317358403996</v>
      </c>
      <c r="EP54" s="62">
        <f t="shared" si="46"/>
        <v>176.81257896138806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projet'!$B$15,Paramètres!$A$1:$I$89,3,0)*0.475*44/12</f>
        <v>0</v>
      </c>
      <c r="EW54" s="23">
        <f>EXP(-LN(2)/25)*EW53+(1-EXP(-LN(2)/25))/(LN(2)/25)*Calculateur!ER54*Calculateur!ET54*VLOOKUP('Données projet'!$B$15,Paramètres!$A$1:$I$89,3,0)*0.475*44/12</f>
        <v>0</v>
      </c>
      <c r="EX54" s="23">
        <f>EXP(-LN(2)/2)*EX53+(1-EXP(-LN(2)/2))/(LN(2)/2)*ER54*EU54*VLOOKUP('Données projet'!$B$15,Paramètres!$A$1:$I$89,3,0)*0.475*44/12</f>
        <v>0</v>
      </c>
      <c r="EY54" s="24">
        <f t="shared" si="21"/>
        <v>0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16.227472527472521</v>
      </c>
      <c r="N55" s="14">
        <f>IF('Données projet'!$A$36&gt;35,N54+M55-V54,IF(A55&lt;'Données projet'!$A$36,$K$205^A55,IF(A55='Données projet'!$A$36,'Données projet'!$B$36,N54+M55-V54)))</f>
        <v>362.79780219780224</v>
      </c>
      <c r="O55" s="14">
        <f>N55*VLOOKUP('Données projet'!$B$9,Paramètres!$A$1:$I$89,3,0)*VLOOKUP('Données projet'!$B$9,Paramètres!$A$1:$I$89,5,0)</f>
        <v>202.80397142857146</v>
      </c>
      <c r="P55" s="14">
        <f t="shared" si="33"/>
        <v>50.359895566849652</v>
      </c>
      <c r="Q55" s="22">
        <f t="shared" si="53"/>
        <v>440.92706835035841</v>
      </c>
      <c r="R55" s="62">
        <f t="shared" si="0"/>
        <v>734.26040168369173</v>
      </c>
      <c r="S55" s="62">
        <f ca="1">AVERAGE(OFFSET($R$3,0,0,'Données projet'!$E$9+1,1))-AVERAGE(OFFSET($H$3,0,0,'Données projet'!$E$9+1,1))</f>
        <v>323.98185264074681</v>
      </c>
      <c r="T55" s="62">
        <f t="shared" si="34"/>
        <v>301.22207291854005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2.8863032344160571</v>
      </c>
      <c r="AA55" s="23">
        <f>EXP(-LN(2)/25)*AA54+(1-EXP(-LN(2)/25))/(LN(2)/25)*Calculateur!V55*Calculateur!X55*VLOOKUP('Données projet'!$B$9,Paramètres!$A$1:$I$89,3,0)*0.475*44/12</f>
        <v>4.4813140208310873</v>
      </c>
      <c r="AB55" s="23">
        <f>EXP(-LN(2)/2)*AB54+(1-EXP(-LN(2)/2))/(LN(2)/2)*V55*Y55*VLOOKUP('Données projet'!$B$9,Paramètres!$A$1:$I$89,3,0)*0.475*44/12</f>
        <v>2.9725620994228616E-3</v>
      </c>
      <c r="AC55" s="24">
        <f t="shared" si="3"/>
        <v>7.3705898173465672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10.66307692307692</v>
      </c>
      <c r="AI55" s="14">
        <f>IF('Données projet'!$A$62&gt;35,AI54+AH55-AQ54,IF(A55&lt;'Données projet'!$A$62,$AF$205^A55,IF(A55='Données projet'!$A$62,'Données projet'!$B$62,AI54+AH55-AQ54)))</f>
        <v>257.11846153846153</v>
      </c>
      <c r="AJ55" s="14">
        <f>AI55*VLOOKUP('Données projet'!$B$10,Paramètres!$A$1:$I$89,3,0)*VLOOKUP('Données projet'!$B$10,Paramètres!$A$1:$I$89,5,0)</f>
        <v>153.75684000000001</v>
      </c>
      <c r="AK55" s="14">
        <f t="shared" si="35"/>
        <v>39.431107959482766</v>
      </c>
      <c r="AL55" s="22">
        <f t="shared" si="4"/>
        <v>336.4690093627658</v>
      </c>
      <c r="AM55" s="62">
        <f t="shared" si="5"/>
        <v>629.80234269609912</v>
      </c>
      <c r="AN55" s="62">
        <f ca="1">AVERAGE(OFFSET($AM$3,0,0,'Données projet'!$E$10+1,1))-AVERAGE(OFFSET($H$3,0,0,'Données projet'!$E$10+1,1))</f>
        <v>289.12367833861299</v>
      </c>
      <c r="AO55" s="62">
        <f t="shared" si="36"/>
        <v>229.06617320689003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2.024821815442114E-3</v>
      </c>
      <c r="AX55" s="23">
        <f t="shared" si="6"/>
        <v>2.024821815442114E-3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9.75</v>
      </c>
      <c r="BD55" s="13">
        <f>IF('Données projet'!$A$88&gt;35,BD54+BC55-BL54,IF(A55&lt;'Données projet'!$A$88,$BA$205^A55,IF(A55='Données projet'!$A$88,'Données projet'!$B$88,BD54+BC55-BL54)))</f>
        <v>226</v>
      </c>
      <c r="BE55" s="14">
        <f>BD55*VLOOKUP('Données projet'!$B$11,Paramètres!$A$1:$I$89,3,0)*VLOOKUP('Données projet'!$B$11,Paramètres!$A$1:$I$89,5,0)</f>
        <v>141.024</v>
      </c>
      <c r="BF55" s="14">
        <f t="shared" si="37"/>
        <v>36.531489925882461</v>
      </c>
      <c r="BG55" s="22">
        <f t="shared" si="7"/>
        <v>309.24247828757859</v>
      </c>
      <c r="BH55" s="62">
        <f t="shared" si="8"/>
        <v>602.57581162091196</v>
      </c>
      <c r="BI55" s="62">
        <f ca="1">AVERAGE(OFFSET($BH$3,0,0,'Données projet'!$E$11+1,1))-AVERAGE(OFFSET($H$3,0,0,'Données projet'!$E$11+1,1))</f>
        <v>240.22884864766218</v>
      </c>
      <c r="BJ55" s="62">
        <f t="shared" si="38"/>
        <v>343.23776884143166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5.5942253162592621</v>
      </c>
      <c r="BR55" s="23">
        <f>EXP(-LN(2)/2)*BR54+(1-EXP(-LN(2)/2))/(LN(2)/2)*BL55*BO55*VLOOKUP('Données projet'!$B$11,Paramètres!$A$1:$I$89,3,0)*0.475*44/12</f>
        <v>8.065830020022851E-3</v>
      </c>
      <c r="BS55" s="24">
        <f t="shared" si="9"/>
        <v>5.6022911462792848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8</v>
      </c>
      <c r="BY55" s="13">
        <f>IF('Données projet'!$A$114&gt;35,BY54+BX55-CG54,IF(A55&lt;'Données projet'!$A$114,$BV$205^A55,IF(A55='Données projet'!$A$114,'Données projet'!$B$114,BY54+BX55-CG54)))</f>
        <v>173</v>
      </c>
      <c r="BZ55" s="14">
        <f>BY55*VLOOKUP('Données projet'!$B$12,Paramètres!$A$1:$I$89,3,0)*VLOOKUP('Données projet'!$B$12,Paramètres!$A$1:$I$89,5,0)</f>
        <v>156.53039999999999</v>
      </c>
      <c r="CA55" s="14">
        <f t="shared" si="39"/>
        <v>40.058941713182037</v>
      </c>
      <c r="CB55" s="22">
        <f t="shared" si="10"/>
        <v>342.393103483792</v>
      </c>
      <c r="CC55" s="62">
        <f t="shared" si="11"/>
        <v>635.72643681712532</v>
      </c>
      <c r="CD55" s="62">
        <f ca="1">AVERAGE(OFFSET($CC$3,0,0,'Données projet'!$E$12+1,1))-AVERAGE(OFFSET($H$3,0,0,'Données projet'!$E$12+1,1))</f>
        <v>428.8489304403459</v>
      </c>
      <c r="CE55" s="62">
        <f t="shared" si="40"/>
        <v>247.01165577562966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6.4</v>
      </c>
      <c r="CT55" s="13">
        <f>IF('Données projet'!$A$140&gt;35,CT54+CS55-DB54,IF(A55&lt;'Données projet'!$A$140,$CQ$205^A55,IF(A55='Données projet'!$A$140,'Données projet'!$B$140,CT54+CS55-DB54)))</f>
        <v>213.79999999999984</v>
      </c>
      <c r="CU55" s="18">
        <f>CT55*VLOOKUP('Données projet'!$B$13,Paramètres!$A$1:$I$89,3,0)*VLOOKUP('Données projet'!$B$13,Paramètres!$A$1:$I$89,5,0)</f>
        <v>170.09927999999988</v>
      </c>
      <c r="CV55" s="14">
        <f t="shared" si="41"/>
        <v>43.112258247107711</v>
      </c>
      <c r="CW55" s="22">
        <f t="shared" si="13"/>
        <v>371.34342911371238</v>
      </c>
      <c r="CX55" s="62">
        <f t="shared" si="14"/>
        <v>664.67676244704569</v>
      </c>
      <c r="CY55" s="62">
        <f ca="1">AVERAGE(OFFSET($CX$3,0,0,'Données projet'!$E$13+1,1))-AVERAGE(OFFSET($H$3,0,0,'Données projet'!$E$13+1,1))</f>
        <v>312.53381881960331</v>
      </c>
      <c r="CZ55" s="62">
        <f t="shared" si="42"/>
        <v>342.06887933351783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6.4</v>
      </c>
      <c r="DO55" s="13">
        <f>IF('Données projet'!$A$166&gt;35,DO54+DN55-DW54,IF(A55&lt;'Données projet'!$A$166,$DL$205^A55,IF(A55='Données projet'!$A$166,'Données projet'!$B$166,DO54+DN55-DW54)))</f>
        <v>213.79999999999984</v>
      </c>
      <c r="DP55" s="18">
        <f>DO55*VLOOKUP('Données projet'!$B$14,Paramètres!$A$1:$I$89,3,0)*VLOOKUP('Données projet'!$B$14,Paramètres!$A$1:$I$89,5,0)</f>
        <v>156.75815999999989</v>
      </c>
      <c r="DQ55" s="14">
        <f t="shared" si="43"/>
        <v>40.110440521385584</v>
      </c>
      <c r="DR55" s="22">
        <f t="shared" si="16"/>
        <v>342.87947924141304</v>
      </c>
      <c r="DS55" s="62">
        <f t="shared" si="17"/>
        <v>636.21281257474629</v>
      </c>
      <c r="DT55" s="62">
        <f ca="1">AVERAGE(OFFSET($DS$3,0,0,'Données projet'!$E$14+1,1))-AVERAGE(OFFSET($H$3,0,0,'Données projet'!$E$14+1,1))</f>
        <v>290.85271051443431</v>
      </c>
      <c r="DU55" s="62">
        <f t="shared" si="44"/>
        <v>318.66958823451142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0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8.6</v>
      </c>
      <c r="EJ55" s="13">
        <f>IF('Données projet'!$A$192&gt;35,EJ54+EI55-ER54,IF(A55&lt;'Données projet'!$A$192,$EG$205^A55,IF(A55='Données projet'!$A$192,'Données projet'!$B$192,EJ54+EI55-ER54)))</f>
        <v>150.19999999999996</v>
      </c>
      <c r="EK55" s="18">
        <f>EJ55*VLOOKUP('Données projet'!$B$15,Paramètres!$A$1:$I$89,3,0)*VLOOKUP('Données projet'!$B$15,Paramètres!$A$1:$I$89,5,0)</f>
        <v>128.87159999999997</v>
      </c>
      <c r="EL55" s="14">
        <f t="shared" si="45"/>
        <v>33.735487075909091</v>
      </c>
      <c r="EM55" s="22">
        <f t="shared" si="19"/>
        <v>283.20734332387497</v>
      </c>
      <c r="EN55" s="62">
        <f t="shared" si="20"/>
        <v>576.54067665720822</v>
      </c>
      <c r="EO55" s="62">
        <f ca="1">AVERAGE(OFFSET($EN$3,0,0,'Données projet'!$E$15+1,1))-AVERAGE(OFFSET($H$3,0,0,'Données projet'!$E$15+1,1))</f>
        <v>438.65317358403996</v>
      </c>
      <c r="EP55" s="62">
        <f t="shared" si="46"/>
        <v>176.81257896138806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projet'!$B$15,Paramètres!$A$1:$I$89,3,0)*0.475*44/12</f>
        <v>0</v>
      </c>
      <c r="EW55" s="23">
        <f>EXP(-LN(2)/25)*EW54+(1-EXP(-LN(2)/25))/(LN(2)/25)*Calculateur!ER55*Calculateur!ET55*VLOOKUP('Données projet'!$B$15,Paramètres!$A$1:$I$89,3,0)*0.475*44/12</f>
        <v>0</v>
      </c>
      <c r="EX55" s="23">
        <f>EXP(-LN(2)/2)*EX54+(1-EXP(-LN(2)/2))/(LN(2)/2)*ER55*EU55*VLOOKUP('Données projet'!$B$15,Paramètres!$A$1:$I$89,3,0)*0.475*44/12</f>
        <v>0</v>
      </c>
      <c r="EY55" s="24">
        <f t="shared" si="21"/>
        <v>0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16.227472527472521</v>
      </c>
      <c r="N56" s="14">
        <f>IF('Données projet'!$A$36&gt;35,N55+M56-V55,IF(A56&lt;'Données projet'!$A$36,$K$205^A56,IF(A56='Données projet'!$A$36,'Données projet'!$B$36,N55+M56-V55)))</f>
        <v>379.02527472527476</v>
      </c>
      <c r="O56" s="14">
        <f>N56*VLOOKUP('Données projet'!$B$9,Paramètres!$A$1:$I$89,3,0)*VLOOKUP('Données projet'!$B$9,Paramètres!$A$1:$I$89,5,0)</f>
        <v>211.87512857142858</v>
      </c>
      <c r="P56" s="14">
        <f t="shared" si="33"/>
        <v>52.345136228066735</v>
      </c>
      <c r="Q56" s="22">
        <f t="shared" si="53"/>
        <v>460.18362785912103</v>
      </c>
      <c r="R56" s="62">
        <f t="shared" si="0"/>
        <v>753.51696119245435</v>
      </c>
      <c r="S56" s="62">
        <f ca="1">AVERAGE(OFFSET($R$3,0,0,'Données projet'!$E$9+1,1))-AVERAGE(OFFSET($H$3,0,0,'Données projet'!$E$9+1,1))</f>
        <v>323.98185264074681</v>
      </c>
      <c r="T56" s="62">
        <f t="shared" si="34"/>
        <v>301.22207291854005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2.8297045884602992</v>
      </c>
      <c r="AA56" s="23">
        <f>EXP(-LN(2)/25)*AA55+(1-EXP(-LN(2)/25))/(LN(2)/25)*Calculateur!V56*Calculateur!X56*VLOOKUP('Données projet'!$B$9,Paramètres!$A$1:$I$89,3,0)*0.475*44/12</f>
        <v>4.3587722532693993</v>
      </c>
      <c r="AB56" s="23">
        <f>EXP(-LN(2)/2)*AB55+(1-EXP(-LN(2)/2))/(LN(2)/2)*V56*Y56*VLOOKUP('Données projet'!$B$9,Paramètres!$A$1:$I$89,3,0)*0.475*44/12</f>
        <v>2.1019188180000257E-3</v>
      </c>
      <c r="AC56" s="24">
        <f t="shared" si="3"/>
        <v>7.190578760547699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10.66307692307692</v>
      </c>
      <c r="AI56" s="14">
        <f>IF('Données projet'!$A$62&gt;35,AI55+AH56-AQ55,IF(A56&lt;'Données projet'!$A$62,$AF$205^A56,IF(A56='Données projet'!$A$62,'Données projet'!$B$62,AI55+AH56-AQ55)))</f>
        <v>267.78153846153845</v>
      </c>
      <c r="AJ56" s="14">
        <f>AI56*VLOOKUP('Données projet'!$B$10,Paramètres!$A$1:$I$89,3,0)*VLOOKUP('Données projet'!$B$10,Paramètres!$A$1:$I$89,5,0)</f>
        <v>160.13336000000001</v>
      </c>
      <c r="AK56" s="14">
        <f t="shared" si="35"/>
        <v>40.872593668242253</v>
      </c>
      <c r="AL56" s="22">
        <f t="shared" si="4"/>
        <v>350.08536930552191</v>
      </c>
      <c r="AM56" s="62">
        <f t="shared" si="5"/>
        <v>643.41870263885517</v>
      </c>
      <c r="AN56" s="62">
        <f ca="1">AVERAGE(OFFSET($AM$3,0,0,'Données projet'!$E$10+1,1))-AVERAGE(OFFSET($H$3,0,0,'Données projet'!$E$10+1,1))</f>
        <v>289.12367833861299</v>
      </c>
      <c r="AO56" s="62">
        <f t="shared" si="36"/>
        <v>229.06617320689003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1.4317652363935748E-3</v>
      </c>
      <c r="AX56" s="23">
        <f t="shared" si="6"/>
        <v>1.4317652363935748E-3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9.75</v>
      </c>
      <c r="BD56" s="13">
        <f>IF('Données projet'!$A$88&gt;35,BD55+BC56-BL55,IF(A56&lt;'Données projet'!$A$88,$BA$205^A56,IF(A56='Données projet'!$A$88,'Données projet'!$B$88,BD55+BC56-BL55)))</f>
        <v>235.75</v>
      </c>
      <c r="BE56" s="14">
        <f>BD56*VLOOKUP('Données projet'!$B$11,Paramètres!$A$1:$I$89,3,0)*VLOOKUP('Données projet'!$B$11,Paramètres!$A$1:$I$89,5,0)</f>
        <v>147.108</v>
      </c>
      <c r="BF56" s="14">
        <f t="shared" si="37"/>
        <v>37.920625436598897</v>
      </c>
      <c r="BG56" s="22">
        <f t="shared" si="7"/>
        <v>322.25818930207646</v>
      </c>
      <c r="BH56" s="62">
        <f t="shared" si="8"/>
        <v>615.59152263540977</v>
      </c>
      <c r="BI56" s="62">
        <f ca="1">AVERAGE(OFFSET($BH$3,0,0,'Données projet'!$E$11+1,1))-AVERAGE(OFFSET($H$3,0,0,'Données projet'!$E$11+1,1))</f>
        <v>240.22884864766218</v>
      </c>
      <c r="BJ56" s="62">
        <f t="shared" si="38"/>
        <v>343.23776884143166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5.4412509307986294</v>
      </c>
      <c r="BR56" s="23">
        <f>EXP(-LN(2)/2)*BR55+(1-EXP(-LN(2)/2))/(LN(2)/2)*BL56*BO56*VLOOKUP('Données projet'!$B$11,Paramètres!$A$1:$I$89,3,0)*0.475*44/12</f>
        <v>5.7034031030561844E-3</v>
      </c>
      <c r="BS56" s="24">
        <f t="shared" si="9"/>
        <v>5.4469543339016857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8</v>
      </c>
      <c r="BY56" s="13">
        <f>IF('Données projet'!$A$114&gt;35,BY55+BX56-CG55,IF(A56&lt;'Données projet'!$A$114,$BV$205^A56,IF(A56='Données projet'!$A$114,'Données projet'!$B$114,BY55+BX56-CG55)))</f>
        <v>181</v>
      </c>
      <c r="BZ56" s="14">
        <f>BY56*VLOOKUP('Données projet'!$B$12,Paramètres!$A$1:$I$89,3,0)*VLOOKUP('Données projet'!$B$12,Paramètres!$A$1:$I$89,5,0)</f>
        <v>163.7688</v>
      </c>
      <c r="CA56" s="14">
        <f t="shared" si="39"/>
        <v>41.691423503509803</v>
      </c>
      <c r="CB56" s="22">
        <f t="shared" si="10"/>
        <v>357.84322260194625</v>
      </c>
      <c r="CC56" s="62">
        <f t="shared" si="11"/>
        <v>651.17655593527957</v>
      </c>
      <c r="CD56" s="62">
        <f ca="1">AVERAGE(OFFSET($CC$3,0,0,'Données projet'!$E$12+1,1))-AVERAGE(OFFSET($H$3,0,0,'Données projet'!$E$12+1,1))</f>
        <v>428.8489304403459</v>
      </c>
      <c r="CE56" s="62">
        <f t="shared" si="40"/>
        <v>247.01165577562966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6.4</v>
      </c>
      <c r="CT56" s="13">
        <f>IF('Données projet'!$A$140&gt;35,CT55+CS56-DB55,IF(A56&lt;'Données projet'!$A$140,$CQ$205^A56,IF(A56='Données projet'!$A$140,'Données projet'!$B$140,CT55+CS56-DB55)))</f>
        <v>220.19999999999985</v>
      </c>
      <c r="CU56" s="18">
        <f>CT56*VLOOKUP('Données projet'!$B$13,Paramètres!$A$1:$I$89,3,0)*VLOOKUP('Données projet'!$B$13,Paramètres!$A$1:$I$89,5,0)</f>
        <v>175.19111999999987</v>
      </c>
      <c r="CV56" s="14">
        <f t="shared" si="41"/>
        <v>44.250618651635925</v>
      </c>
      <c r="CW56" s="22">
        <f t="shared" si="13"/>
        <v>382.19436148493236</v>
      </c>
      <c r="CX56" s="62">
        <f t="shared" si="14"/>
        <v>675.52769481826567</v>
      </c>
      <c r="CY56" s="62">
        <f ca="1">AVERAGE(OFFSET($CX$3,0,0,'Données projet'!$E$13+1,1))-AVERAGE(OFFSET($H$3,0,0,'Données projet'!$E$13+1,1))</f>
        <v>312.53381881960331</v>
      </c>
      <c r="CZ56" s="62">
        <f t="shared" si="42"/>
        <v>342.06887933351783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6.4</v>
      </c>
      <c r="DO56" s="13">
        <f>IF('Données projet'!$A$166&gt;35,DO55+DN56-DW55,IF(A56&lt;'Données projet'!$A$166,$DL$205^A56,IF(A56='Données projet'!$A$166,'Données projet'!$B$166,DO55+DN56-DW55)))</f>
        <v>220.19999999999985</v>
      </c>
      <c r="DP56" s="18">
        <f>DO56*VLOOKUP('Données projet'!$B$14,Paramètres!$A$1:$I$89,3,0)*VLOOKUP('Données projet'!$B$14,Paramètres!$A$1:$I$89,5,0)</f>
        <v>161.45063999999991</v>
      </c>
      <c r="DQ56" s="14">
        <f t="shared" si="43"/>
        <v>41.169539236094941</v>
      </c>
      <c r="DR56" s="22">
        <f t="shared" si="16"/>
        <v>352.89681216953187</v>
      </c>
      <c r="DS56" s="62">
        <f t="shared" si="17"/>
        <v>646.23014550286518</v>
      </c>
      <c r="DT56" s="62">
        <f ca="1">AVERAGE(OFFSET($DS$3,0,0,'Données projet'!$E$14+1,1))-AVERAGE(OFFSET($H$3,0,0,'Données projet'!$E$14+1,1))</f>
        <v>290.85271051443431</v>
      </c>
      <c r="DU56" s="62">
        <f t="shared" si="44"/>
        <v>318.66958823451142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0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8.6</v>
      </c>
      <c r="EJ56" s="13">
        <f>IF('Données projet'!$A$192&gt;35,EJ55+EI56-ER55,IF(A56&lt;'Données projet'!$A$192,$EG$205^A56,IF(A56='Données projet'!$A$192,'Données projet'!$B$192,EJ55+EI56-ER55)))</f>
        <v>158.79999999999995</v>
      </c>
      <c r="EK56" s="18">
        <f>EJ56*VLOOKUP('Données projet'!$B$15,Paramètres!$A$1:$I$89,3,0)*VLOOKUP('Données projet'!$B$15,Paramètres!$A$1:$I$89,5,0)</f>
        <v>136.25039999999996</v>
      </c>
      <c r="EL56" s="14">
        <f t="shared" si="45"/>
        <v>35.436672304560737</v>
      </c>
      <c r="EM56" s="22">
        <f t="shared" si="19"/>
        <v>299.02165093044317</v>
      </c>
      <c r="EN56" s="62">
        <f t="shared" si="20"/>
        <v>592.35498426377649</v>
      </c>
      <c r="EO56" s="62">
        <f ca="1">AVERAGE(OFFSET($EN$3,0,0,'Données projet'!$E$15+1,1))-AVERAGE(OFFSET($H$3,0,0,'Données projet'!$E$15+1,1))</f>
        <v>438.65317358403996</v>
      </c>
      <c r="EP56" s="62">
        <f t="shared" si="46"/>
        <v>176.81257896138806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0</v>
      </c>
      <c r="EW56" s="23">
        <f>EXP(-LN(2)/25)*EW55+(1-EXP(-LN(2)/25))/(LN(2)/25)*Calculateur!ER56*Calculateur!ET56*VLOOKUP('Données projet'!$B$15,Paramètres!$A$1:$I$89,3,0)*0.475*44/12</f>
        <v>0</v>
      </c>
      <c r="EX56" s="23">
        <f>EXP(-LN(2)/2)*EX55+(1-EXP(-LN(2)/2))/(LN(2)/2)*ER56*EU56*VLOOKUP('Données projet'!$B$15,Paramètres!$A$1:$I$89,3,0)*0.475*44/12</f>
        <v>0</v>
      </c>
      <c r="EY56" s="24">
        <f t="shared" si="21"/>
        <v>0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16.227472527472521</v>
      </c>
      <c r="N57" s="14">
        <f>IF('Données projet'!$A$36&gt;35,N56+M57-V56,IF(A57&lt;'Données projet'!$A$36,$K$205^A57,IF(A57='Données projet'!$A$36,'Données projet'!$B$36,N56+M57-V56)))</f>
        <v>395.25274725274727</v>
      </c>
      <c r="O57" s="14">
        <f>N57*VLOOKUP('Données projet'!$B$9,Paramètres!$A$1:$I$89,3,0)*VLOOKUP('Données projet'!$B$9,Paramètres!$A$1:$I$89,5,0)</f>
        <v>220.94628571428572</v>
      </c>
      <c r="P57" s="14">
        <f t="shared" si="33"/>
        <v>54.320504840756463</v>
      </c>
      <c r="Q57" s="22">
        <f t="shared" si="53"/>
        <v>479.42299355003178</v>
      </c>
      <c r="R57" s="62">
        <f t="shared" si="0"/>
        <v>772.75632688336509</v>
      </c>
      <c r="S57" s="62">
        <f ca="1">AVERAGE(OFFSET($R$3,0,0,'Données projet'!$E$9+1,1))-AVERAGE(OFFSET($H$3,0,0,'Données projet'!$E$9+1,1))</f>
        <v>323.98185264074681</v>
      </c>
      <c r="T57" s="62">
        <f t="shared" si="34"/>
        <v>301.22207291854005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2.7742158074299681</v>
      </c>
      <c r="AA57" s="23">
        <f>EXP(-LN(2)/25)*AA56+(1-EXP(-LN(2)/25))/(LN(2)/25)*Calculateur!V57*Calculateur!X57*VLOOKUP('Données projet'!$B$9,Paramètres!$A$1:$I$89,3,0)*0.475*44/12</f>
        <v>4.2395813967858773</v>
      </c>
      <c r="AB57" s="23">
        <f>EXP(-LN(2)/2)*AB56+(1-EXP(-LN(2)/2))/(LN(2)/2)*V57*Y57*VLOOKUP('Données projet'!$B$9,Paramètres!$A$1:$I$89,3,0)*0.475*44/12</f>
        <v>1.4862810497114308E-3</v>
      </c>
      <c r="AC57" s="24">
        <f t="shared" si="3"/>
        <v>7.0152834852655568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10.66307692307692</v>
      </c>
      <c r="AI57" s="14">
        <f>IF('Données projet'!$A$62&gt;35,AI56+AH57-AQ56,IF(A57&lt;'Données projet'!$A$62,$AF$205^A57,IF(A57='Données projet'!$A$62,'Données projet'!$B$62,AI56+AH57-AQ56)))</f>
        <v>278.44461538461536</v>
      </c>
      <c r="AJ57" s="14">
        <f>AI57*VLOOKUP('Données projet'!$B$10,Paramètres!$A$1:$I$89,3,0)*VLOOKUP('Données projet'!$B$10,Paramètres!$A$1:$I$89,5,0)</f>
        <v>166.50987999999998</v>
      </c>
      <c r="AK57" s="14">
        <f t="shared" si="35"/>
        <v>42.307411610776938</v>
      </c>
      <c r="AL57" s="22">
        <f t="shared" si="4"/>
        <v>363.69011622210314</v>
      </c>
      <c r="AM57" s="62">
        <f t="shared" si="5"/>
        <v>657.0234495554364</v>
      </c>
      <c r="AN57" s="62">
        <f ca="1">AVERAGE(OFFSET($AM$3,0,0,'Données projet'!$E$10+1,1))-AVERAGE(OFFSET($H$3,0,0,'Données projet'!$E$10+1,1))</f>
        <v>289.12367833861299</v>
      </c>
      <c r="AO57" s="62">
        <f t="shared" si="36"/>
        <v>229.06617320689003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1.012410907721057E-3</v>
      </c>
      <c r="AX57" s="23">
        <f t="shared" si="6"/>
        <v>1.012410907721057E-3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9.75</v>
      </c>
      <c r="BD57" s="13">
        <f>IF('Données projet'!$A$88&gt;35,BD56+BC57-BL56,IF(A57&lt;'Données projet'!$A$88,$BA$205^A57,IF(A57='Données projet'!$A$88,'Données projet'!$B$88,BD56+BC57-BL56)))</f>
        <v>245.5</v>
      </c>
      <c r="BE57" s="14">
        <f>BD57*VLOOKUP('Données projet'!$B$11,Paramètres!$A$1:$I$89,3,0)*VLOOKUP('Données projet'!$B$11,Paramètres!$A$1:$I$89,5,0)</f>
        <v>153.19199999999998</v>
      </c>
      <c r="BF57" s="14">
        <f t="shared" si="37"/>
        <v>39.303087713366921</v>
      </c>
      <c r="BG57" s="22">
        <f t="shared" si="7"/>
        <v>335.2622777674473</v>
      </c>
      <c r="BH57" s="62">
        <f t="shared" si="8"/>
        <v>628.59561110078062</v>
      </c>
      <c r="BI57" s="62">
        <f ca="1">AVERAGE(OFFSET($BH$3,0,0,'Données projet'!$E$11+1,1))-AVERAGE(OFFSET($H$3,0,0,'Données projet'!$E$11+1,1))</f>
        <v>240.22884864766218</v>
      </c>
      <c r="BJ57" s="62">
        <f t="shared" si="38"/>
        <v>343.23776884143166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5.2924596379529909</v>
      </c>
      <c r="BR57" s="23">
        <f>EXP(-LN(2)/2)*BR56+(1-EXP(-LN(2)/2))/(LN(2)/2)*BL57*BO57*VLOOKUP('Données projet'!$B$11,Paramètres!$A$1:$I$89,3,0)*0.475*44/12</f>
        <v>4.0329150100114255E-3</v>
      </c>
      <c r="BS57" s="24">
        <f t="shared" si="9"/>
        <v>5.2964925529630023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8</v>
      </c>
      <c r="BY57" s="13">
        <f>IF('Données projet'!$A$114&gt;35,BY56+BX57-CG56,IF(A57&lt;'Données projet'!$A$114,$BV$205^A57,IF(A57='Données projet'!$A$114,'Données projet'!$B$114,BY56+BX57-CG56)))</f>
        <v>189</v>
      </c>
      <c r="BZ57" s="14">
        <f>BY57*VLOOKUP('Données projet'!$B$12,Paramètres!$A$1:$I$89,3,0)*VLOOKUP('Données projet'!$B$12,Paramètres!$A$1:$I$89,5,0)</f>
        <v>171.00719999999998</v>
      </c>
      <c r="CA57" s="14">
        <f t="shared" si="39"/>
        <v>43.315525267338089</v>
      </c>
      <c r="CB57" s="22">
        <f t="shared" si="10"/>
        <v>373.27874650728046</v>
      </c>
      <c r="CC57" s="62">
        <f t="shared" si="11"/>
        <v>666.61207984061377</v>
      </c>
      <c r="CD57" s="62">
        <f ca="1">AVERAGE(OFFSET($CC$3,0,0,'Données projet'!$E$12+1,1))-AVERAGE(OFFSET($H$3,0,0,'Données projet'!$E$12+1,1))</f>
        <v>428.8489304403459</v>
      </c>
      <c r="CE57" s="62">
        <f t="shared" si="40"/>
        <v>247.01165577562966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6.4</v>
      </c>
      <c r="CT57" s="13">
        <f>IF('Données projet'!$A$140&gt;35,CT56+CS57-DB56,IF(A57&lt;'Données projet'!$A$140,$CQ$205^A57,IF(A57='Données projet'!$A$140,'Données projet'!$B$140,CT56+CS57-DB56)))</f>
        <v>226.59999999999985</v>
      </c>
      <c r="CU57" s="18">
        <f>CT57*VLOOKUP('Données projet'!$B$13,Paramètres!$A$1:$I$89,3,0)*VLOOKUP('Données projet'!$B$13,Paramètres!$A$1:$I$89,5,0)</f>
        <v>180.28295999999989</v>
      </c>
      <c r="CV57" s="14">
        <f t="shared" si="41"/>
        <v>45.385133797071362</v>
      </c>
      <c r="CW57" s="22">
        <f t="shared" si="13"/>
        <v>393.03859669656578</v>
      </c>
      <c r="CX57" s="62">
        <f t="shared" si="14"/>
        <v>686.37193002989909</v>
      </c>
      <c r="CY57" s="62">
        <f ca="1">AVERAGE(OFFSET($CX$3,0,0,'Données projet'!$E$13+1,1))-AVERAGE(OFFSET($H$3,0,0,'Données projet'!$E$13+1,1))</f>
        <v>312.53381881960331</v>
      </c>
      <c r="CZ57" s="62">
        <f t="shared" si="42"/>
        <v>342.06887933351783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6.4</v>
      </c>
      <c r="DO57" s="13">
        <f>IF('Données projet'!$A$166&gt;35,DO56+DN57-DW56,IF(A57&lt;'Données projet'!$A$166,$DL$205^A57,IF(A57='Données projet'!$A$166,'Données projet'!$B$166,DO56+DN57-DW56)))</f>
        <v>226.59999999999985</v>
      </c>
      <c r="DP57" s="18">
        <f>DO57*VLOOKUP('Données projet'!$B$14,Paramètres!$A$1:$I$89,3,0)*VLOOKUP('Données projet'!$B$14,Paramètres!$A$1:$I$89,5,0)</f>
        <v>166.1431199999999</v>
      </c>
      <c r="DQ57" s="14">
        <f t="shared" si="43"/>
        <v>42.225060429180445</v>
      </c>
      <c r="DR57" s="22">
        <f t="shared" si="16"/>
        <v>362.90791424748909</v>
      </c>
      <c r="DS57" s="62">
        <f t="shared" si="17"/>
        <v>656.24124758082235</v>
      </c>
      <c r="DT57" s="62">
        <f ca="1">AVERAGE(OFFSET($DS$3,0,0,'Données projet'!$E$14+1,1))-AVERAGE(OFFSET($H$3,0,0,'Données projet'!$E$14+1,1))</f>
        <v>290.85271051443431</v>
      </c>
      <c r="DU57" s="62">
        <f t="shared" si="44"/>
        <v>318.66958823451142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0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8.6</v>
      </c>
      <c r="EJ57" s="13">
        <f>IF('Données projet'!$A$192&gt;35,EJ56+EI57-ER56,IF(A57&lt;'Données projet'!$A$192,$EG$205^A57,IF(A57='Données projet'!$A$192,'Données projet'!$B$192,EJ56+EI57-ER56)))</f>
        <v>167.39999999999995</v>
      </c>
      <c r="EK57" s="18">
        <f>EJ57*VLOOKUP('Données projet'!$B$15,Paramètres!$A$1:$I$89,3,0)*VLOOKUP('Données projet'!$B$15,Paramètres!$A$1:$I$89,5,0)</f>
        <v>143.62919999999997</v>
      </c>
      <c r="EL57" s="14">
        <f t="shared" si="45"/>
        <v>37.127161849234348</v>
      </c>
      <c r="EM57" s="22">
        <f t="shared" si="19"/>
        <v>314.81733022074974</v>
      </c>
      <c r="EN57" s="62">
        <f t="shared" si="20"/>
        <v>608.15066355408305</v>
      </c>
      <c r="EO57" s="62">
        <f ca="1">AVERAGE(OFFSET($EN$3,0,0,'Données projet'!$E$15+1,1))-AVERAGE(OFFSET($H$3,0,0,'Données projet'!$E$15+1,1))</f>
        <v>438.65317358403996</v>
      </c>
      <c r="EP57" s="62">
        <f t="shared" si="46"/>
        <v>176.81257896138806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0</v>
      </c>
      <c r="EW57" s="23">
        <f>EXP(-LN(2)/25)*EW56+(1-EXP(-LN(2)/25))/(LN(2)/25)*Calculateur!ER57*Calculateur!ET57*VLOOKUP('Données projet'!$B$15,Paramètres!$A$1:$I$89,3,0)*0.475*44/12</f>
        <v>0</v>
      </c>
      <c r="EX57" s="23">
        <f>EXP(-LN(2)/2)*EX56+(1-EXP(-LN(2)/2))/(LN(2)/2)*ER57*EU57*VLOOKUP('Données projet'!$B$15,Paramètres!$A$1:$I$89,3,0)*0.475*44/12</f>
        <v>0</v>
      </c>
      <c r="EY57" s="24">
        <f t="shared" si="21"/>
        <v>0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16.227472527472521</v>
      </c>
      <c r="N58" s="14">
        <f>IF('Données projet'!$A$36&gt;35,N57+M58-V57,IF(A58&lt;'Données projet'!$A$36,$K$205^A58,IF(A58='Données projet'!$A$36,'Données projet'!$B$36,N57+M58-V57)))</f>
        <v>411.48021978021978</v>
      </c>
      <c r="O58" s="14">
        <f>N58*VLOOKUP('Données projet'!$B$9,Paramètres!$A$1:$I$89,3,0)*VLOOKUP('Données projet'!$B$9,Paramètres!$A$1:$I$89,5,0)</f>
        <v>230.01744285714284</v>
      </c>
      <c r="P58" s="14">
        <f t="shared" si="33"/>
        <v>56.286453068022915</v>
      </c>
      <c r="Q58" s="22">
        <f t="shared" si="53"/>
        <v>498.64595206966368</v>
      </c>
      <c r="R58" s="62">
        <f t="shared" si="0"/>
        <v>791.97928540299699</v>
      </c>
      <c r="S58" s="62">
        <f ca="1">AVERAGE(OFFSET($R$3,0,0,'Données projet'!$E$9+1,1))-AVERAGE(OFFSET($H$3,0,0,'Données projet'!$E$9+1,1))</f>
        <v>323.98185264074681</v>
      </c>
      <c r="T58" s="62">
        <f t="shared" si="34"/>
        <v>301.22207291854005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2.7198151275508273</v>
      </c>
      <c r="AA58" s="23">
        <f>EXP(-LN(2)/25)*AA57+(1-EXP(-LN(2)/25))/(LN(2)/25)*Calculateur!V58*Calculateur!X58*VLOOKUP('Données projet'!$B$9,Paramètres!$A$1:$I$89,3,0)*0.475*44/12</f>
        <v>4.1236498205408711</v>
      </c>
      <c r="AB58" s="23">
        <f>EXP(-LN(2)/2)*AB57+(1-EXP(-LN(2)/2))/(LN(2)/2)*V58*Y58*VLOOKUP('Données projet'!$B$9,Paramètres!$A$1:$I$89,3,0)*0.475*44/12</f>
        <v>1.0509594090000129E-3</v>
      </c>
      <c r="AC58" s="24">
        <f t="shared" si="3"/>
        <v>6.844515907500698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10.66307692307692</v>
      </c>
      <c r="AI58" s="14">
        <f>IF('Données projet'!$A$62&gt;35,AI57+AH58-AQ57,IF(A58&lt;'Données projet'!$A$62,$AF$205^A58,IF(A58='Données projet'!$A$62,'Données projet'!$B$62,AI57+AH58-AQ57)))</f>
        <v>289.10769230769228</v>
      </c>
      <c r="AJ58" s="14">
        <f>AI58*VLOOKUP('Données projet'!$B$10,Paramètres!$A$1:$I$89,3,0)*VLOOKUP('Données projet'!$B$10,Paramètres!$A$1:$I$89,5,0)</f>
        <v>172.88639999999998</v>
      </c>
      <c r="AK58" s="14">
        <f t="shared" si="35"/>
        <v>43.735846359314316</v>
      </c>
      <c r="AL58" s="22">
        <f t="shared" si="4"/>
        <v>377.28374574247232</v>
      </c>
      <c r="AM58" s="62">
        <f t="shared" si="5"/>
        <v>670.61707907580558</v>
      </c>
      <c r="AN58" s="62">
        <f ca="1">AVERAGE(OFFSET($AM$3,0,0,'Données projet'!$E$10+1,1))-AVERAGE(OFFSET($H$3,0,0,'Données projet'!$E$10+1,1))</f>
        <v>289.12367833861299</v>
      </c>
      <c r="AO58" s="62">
        <f t="shared" si="36"/>
        <v>229.06617320689003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7.1588261819678742E-4</v>
      </c>
      <c r="AX58" s="23">
        <f t="shared" si="6"/>
        <v>7.1588261819678742E-4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9.75</v>
      </c>
      <c r="BD58" s="13">
        <f>IF('Données projet'!$A$88&gt;35,BD57+BC58-BL57,IF(A58&lt;'Données projet'!$A$88,$BA$205^A58,IF(A58='Données projet'!$A$88,'Données projet'!$B$88,BD57+BC58-BL57)))</f>
        <v>255.25</v>
      </c>
      <c r="BE58" s="14">
        <f>BD58*VLOOKUP('Données projet'!$B$11,Paramètres!$A$1:$I$89,3,0)*VLOOKUP('Données projet'!$B$11,Paramètres!$A$1:$I$89,5,0)</f>
        <v>159.27600000000001</v>
      </c>
      <c r="BF58" s="14">
        <f t="shared" si="37"/>
        <v>40.679172107249002</v>
      </c>
      <c r="BG58" s="22">
        <f t="shared" si="7"/>
        <v>348.25525808679203</v>
      </c>
      <c r="BH58" s="62">
        <f t="shared" si="8"/>
        <v>641.58859142012534</v>
      </c>
      <c r="BI58" s="62">
        <f ca="1">AVERAGE(OFFSET($BH$3,0,0,'Données projet'!$E$11+1,1))-AVERAGE(OFFSET($H$3,0,0,'Données projet'!$E$11+1,1))</f>
        <v>240.22884864766218</v>
      </c>
      <c r="BJ58" s="62">
        <f t="shared" si="38"/>
        <v>343.23776884143166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5.1477370508348104</v>
      </c>
      <c r="BR58" s="23">
        <f>EXP(-LN(2)/2)*BR57+(1-EXP(-LN(2)/2))/(LN(2)/2)*BL58*BO58*VLOOKUP('Données projet'!$B$11,Paramètres!$A$1:$I$89,3,0)*0.475*44/12</f>
        <v>2.8517015515280922E-3</v>
      </c>
      <c r="BS58" s="24">
        <f t="shared" si="9"/>
        <v>5.1505887523863381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197</v>
      </c>
      <c r="BW58" s="13">
        <f>VLOOKUP(A58,'Données projet'!$A$113:$I$133,9,0)</f>
        <v>8</v>
      </c>
      <c r="BX58" s="13">
        <f t="array" ref="BX58">INDEX(BW:BW,MIN(IF(ISNUMBER(BW58:BW254),ROW(BW58:BW254),"")))</f>
        <v>8</v>
      </c>
      <c r="BY58" s="13">
        <f>IF('Données projet'!$A$114&gt;35,BY57+BX58-CG57,IF(A58&lt;'Données projet'!$A$114,$BV$205^A58,IF(A58='Données projet'!$A$114,'Données projet'!$B$114,BY57+BX58-CG57)))</f>
        <v>197</v>
      </c>
      <c r="BZ58" s="14">
        <f>BY58*VLOOKUP('Données projet'!$B$12,Paramètres!$A$1:$I$89,3,0)*VLOOKUP('Données projet'!$B$12,Paramètres!$A$1:$I$89,5,0)</f>
        <v>178.2456</v>
      </c>
      <c r="CA58" s="14">
        <f t="shared" si="39"/>
        <v>44.931642269910427</v>
      </c>
      <c r="CB58" s="22">
        <f t="shared" si="10"/>
        <v>388.70036362009404</v>
      </c>
      <c r="CC58" s="62">
        <f t="shared" si="11"/>
        <v>682.03369695342735</v>
      </c>
      <c r="CD58" s="62">
        <f ca="1">AVERAGE(OFFSET($CC$3,0,0,'Données projet'!$E$12+1,1))-AVERAGE(OFFSET($H$3,0,0,'Données projet'!$E$12+1,1))</f>
        <v>428.8489304403459</v>
      </c>
      <c r="CE58" s="62">
        <f t="shared" si="40"/>
        <v>247.01165577562966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233</v>
      </c>
      <c r="CR58" s="13">
        <f>VLOOKUP(A58,'Données projet'!$A$139:$I$159,9,0)</f>
        <v>6.4</v>
      </c>
      <c r="CS58" s="13">
        <f t="array" ref="CS58">INDEX(CR:CR,MIN(IF(ISNUMBER(CR58:CR254),ROW(CR58:CR254),"")))</f>
        <v>6.4</v>
      </c>
      <c r="CT58" s="13">
        <f>IF('Données projet'!$A$140&gt;35,CT57+CS58-DB57,IF(A58&lt;'Données projet'!$A$140,$CQ$205^A58,IF(A58='Données projet'!$A$140,'Données projet'!$B$140,CT57+CS58-DB57)))</f>
        <v>232.99999999999986</v>
      </c>
      <c r="CU58" s="18">
        <f>CT58*VLOOKUP('Données projet'!$B$13,Paramètres!$A$1:$I$89,3,0)*VLOOKUP('Données projet'!$B$13,Paramètres!$A$1:$I$89,5,0)</f>
        <v>185.37479999999988</v>
      </c>
      <c r="CV58" s="14">
        <f t="shared" si="41"/>
        <v>46.515924762412688</v>
      </c>
      <c r="CW58" s="22">
        <f t="shared" si="13"/>
        <v>403.87634562786849</v>
      </c>
      <c r="CX58" s="62">
        <f t="shared" si="14"/>
        <v>697.2096789612018</v>
      </c>
      <c r="CY58" s="62">
        <f ca="1">AVERAGE(OFFSET($CX$3,0,0,'Données projet'!$E$13+1,1))-AVERAGE(OFFSET($H$3,0,0,'Données projet'!$E$13+1,1))</f>
        <v>312.53381881960331</v>
      </c>
      <c r="CZ58" s="62">
        <f t="shared" si="42"/>
        <v>342.06887933351783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233</v>
      </c>
      <c r="DM58" s="13">
        <f>VLOOKUP(A58,'Données projet'!$A$165:$I$185,9,0)</f>
        <v>6.4</v>
      </c>
      <c r="DN58" s="13">
        <f t="array" ref="DN58">INDEX(DM:DM,MIN(IF(ISNUMBER(DM58:DM254),ROW(DM58:DM254),"")))</f>
        <v>6.4</v>
      </c>
      <c r="DO58" s="13">
        <f>IF('Données projet'!$A$166&gt;35,DO57+DN58-DW57,IF(A58&lt;'Données projet'!$A$166,$DL$205^A58,IF(A58='Données projet'!$A$166,'Données projet'!$B$166,DO57+DN58-DW57)))</f>
        <v>232.99999999999986</v>
      </c>
      <c r="DP58" s="18">
        <f>DO58*VLOOKUP('Données projet'!$B$14,Paramètres!$A$1:$I$89,3,0)*VLOOKUP('Données projet'!$B$14,Paramètres!$A$1:$I$89,5,0)</f>
        <v>170.83559999999991</v>
      </c>
      <c r="DQ58" s="14">
        <f t="shared" si="43"/>
        <v>43.277116749159646</v>
      </c>
      <c r="DR58" s="22">
        <f t="shared" si="16"/>
        <v>372.91298167145288</v>
      </c>
      <c r="DS58" s="62">
        <f t="shared" si="17"/>
        <v>666.2463150047862</v>
      </c>
      <c r="DT58" s="62">
        <f ca="1">AVERAGE(OFFSET($DS$3,0,0,'Données projet'!$E$14+1,1))-AVERAGE(OFFSET($H$3,0,0,'Données projet'!$E$14+1,1))</f>
        <v>290.85271051443431</v>
      </c>
      <c r="DU58" s="62">
        <f t="shared" si="44"/>
        <v>318.66958823451142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0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>
        <f>VLOOKUP(A58,'Données projet'!$A$191:$I$211,2,0)</f>
        <v>176</v>
      </c>
      <c r="EH58" s="13">
        <f>VLOOKUP(A58,'Données projet'!$A$191:$I$211,9,0)</f>
        <v>8.6</v>
      </c>
      <c r="EI58" s="13">
        <f t="array" ref="EI58">INDEX(EH:EH,MIN(IF(ISNUMBER(EH58:EH254),ROW(EH58:EH254),"")))</f>
        <v>8.6</v>
      </c>
      <c r="EJ58" s="13">
        <f>IF('Données projet'!$A$192&gt;35,EJ57+EI58-ER57,IF(A58&lt;'Données projet'!$A$192,$EG$205^A58,IF(A58='Données projet'!$A$192,'Données projet'!$B$192,EJ57+EI58-ER57)))</f>
        <v>175.99999999999994</v>
      </c>
      <c r="EK58" s="18">
        <f>EJ58*VLOOKUP('Données projet'!$B$15,Paramètres!$A$1:$I$89,3,0)*VLOOKUP('Données projet'!$B$15,Paramètres!$A$1:$I$89,5,0)</f>
        <v>151.00799999999998</v>
      </c>
      <c r="EL58" s="14">
        <f t="shared" si="45"/>
        <v>38.807567870348514</v>
      </c>
      <c r="EM58" s="22">
        <f t="shared" si="19"/>
        <v>330.59544737419026</v>
      </c>
      <c r="EN58" s="62">
        <f t="shared" si="20"/>
        <v>623.92878070752363</v>
      </c>
      <c r="EO58" s="62">
        <f ca="1">AVERAGE(OFFSET($EN$3,0,0,'Données projet'!$E$15+1,1))-AVERAGE(OFFSET($H$3,0,0,'Données projet'!$E$15+1,1))</f>
        <v>438.65317358403996</v>
      </c>
      <c r="EP58" s="62">
        <f t="shared" si="46"/>
        <v>176.81257896138806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projet'!$B$15,Paramètres!$A$1:$I$89,3,0)*0.475*44/12</f>
        <v>0</v>
      </c>
      <c r="EW58" s="23">
        <f>EXP(-LN(2)/25)*EW57+(1-EXP(-LN(2)/25))/(LN(2)/25)*Calculateur!ER58*Calculateur!ET58*VLOOKUP('Données projet'!$B$15,Paramètres!$A$1:$I$89,3,0)*0.475*44/12</f>
        <v>0</v>
      </c>
      <c r="EX58" s="23">
        <f>EXP(-LN(2)/2)*EX57+(1-EXP(-LN(2)/2))/(LN(2)/2)*ER58*EU58*VLOOKUP('Données projet'!$B$15,Paramètres!$A$1:$I$89,3,0)*0.475*44/12</f>
        <v>0</v>
      </c>
      <c r="EY58" s="24">
        <f t="shared" si="21"/>
        <v>0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>
        <f>VLOOKUP(A59,'Données projet'!$A$35:$I$55,2,0)</f>
        <v>427.7076923076923</v>
      </c>
      <c r="L59" s="13">
        <f>VLOOKUP(A59,'Données projet'!$A$35:$I$55,9,0)</f>
        <v>16.227472527472521</v>
      </c>
      <c r="M59" s="13">
        <f t="array" ref="M59">INDEX(L:L,MIN(IF(ISNUMBER(L59:L255),ROW(L59:L255),"")))</f>
        <v>16.227472527472521</v>
      </c>
      <c r="N59" s="14">
        <f>IF('Données projet'!$A$36&gt;35,N58+M59-V58,IF(A59&lt;'Données projet'!$A$36,$K$205^A59,IF(A59='Données projet'!$A$36,'Données projet'!$B$36,N58+M59-V58)))</f>
        <v>427.7076923076923</v>
      </c>
      <c r="O59" s="14">
        <f>N59*VLOOKUP('Données projet'!$B$9,Paramètres!$A$1:$I$89,3,0)*VLOOKUP('Données projet'!$B$9,Paramètres!$A$1:$I$89,5,0)</f>
        <v>239.08860000000001</v>
      </c>
      <c r="P59" s="14">
        <f t="shared" si="33"/>
        <v>58.243394931850105</v>
      </c>
      <c r="Q59" s="22">
        <f t="shared" si="53"/>
        <v>517.85322450630554</v>
      </c>
      <c r="R59" s="62">
        <f t="shared" si="0"/>
        <v>811.18655783963891</v>
      </c>
      <c r="S59" s="62">
        <f ca="1">AVERAGE(OFFSET($R$3,0,0,'Données projet'!$E$9+1,1))-AVERAGE(OFFSET($H$3,0,0,'Données projet'!$E$9+1,1))</f>
        <v>323.98185264074681</v>
      </c>
      <c r="T59" s="62">
        <f t="shared" si="34"/>
        <v>301.22207291854005</v>
      </c>
      <c r="U59" s="16">
        <f>IF(ISNA(VLOOKUP(A59,'Données projet'!$A$35:$I$55,3,0)),0,VLOOKUP(A59,'Données projet'!$A$35:$I$55,3,0))</f>
        <v>6</v>
      </c>
      <c r="V59" s="16">
        <f>IF(ISNA(VLOOKUP(A59,'Données projet'!$A$35:$I$55,4,0)),0,VLOOKUP(A59,'Données projet'!$A$35:$I$55,4,0))</f>
        <v>75.869230769230768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2.6664812118229784</v>
      </c>
      <c r="AA59" s="23">
        <f>EXP(-LN(2)/25)*AA58+(1-EXP(-LN(2)/25))/(LN(2)/25)*Calculateur!V59*Calculateur!X59*VLOOKUP('Données projet'!$B$9,Paramètres!$A$1:$I$89,3,0)*0.475*44/12</f>
        <v>4.0108883993448616</v>
      </c>
      <c r="AB59" s="23">
        <f>EXP(-LN(2)/2)*AB58+(1-EXP(-LN(2)/2))/(LN(2)/2)*V59*Y59*VLOOKUP('Données projet'!$B$9,Paramètres!$A$1:$I$89,3,0)*0.475*44/12</f>
        <v>7.4314052485571541E-4</v>
      </c>
      <c r="AC59" s="24">
        <f t="shared" si="3"/>
        <v>6.6781127516926961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10.66307692307692</v>
      </c>
      <c r="AI59" s="14">
        <f>IF('Données projet'!$A$62&gt;35,AI58+AH59-AQ58,IF(A59&lt;'Données projet'!$A$62,$AF$205^A59,IF(A59='Données projet'!$A$62,'Données projet'!$B$62,AI58+AH59-AQ58)))</f>
        <v>299.77076923076919</v>
      </c>
      <c r="AJ59" s="14">
        <f>AI59*VLOOKUP('Données projet'!$B$10,Paramètres!$A$1:$I$89,3,0)*VLOOKUP('Données projet'!$B$10,Paramètres!$A$1:$I$89,5,0)</f>
        <v>179.26291999999998</v>
      </c>
      <c r="AK59" s="14">
        <f t="shared" si="35"/>
        <v>45.158160305042841</v>
      </c>
      <c r="AL59" s="22">
        <f t="shared" si="4"/>
        <v>390.8667148646162</v>
      </c>
      <c r="AM59" s="62">
        <f t="shared" si="5"/>
        <v>684.20004819794951</v>
      </c>
      <c r="AN59" s="62">
        <f ca="1">AVERAGE(OFFSET($AM$3,0,0,'Données projet'!$E$10+1,1))-AVERAGE(OFFSET($H$3,0,0,'Données projet'!$E$10+1,1))</f>
        <v>289.12367833861299</v>
      </c>
      <c r="AO59" s="62">
        <f t="shared" si="36"/>
        <v>229.06617320689003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5.062054538605285E-4</v>
      </c>
      <c r="AX59" s="23">
        <f t="shared" si="6"/>
        <v>5.062054538605285E-4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9.75</v>
      </c>
      <c r="BD59" s="13">
        <f>IF('Données projet'!$A$88&gt;35,BD58+BC59-BL58,IF(A59&lt;'Données projet'!$A$88,$BA$205^A59,IF(A59='Données projet'!$A$88,'Données projet'!$B$88,BD58+BC59-BL58)))</f>
        <v>265</v>
      </c>
      <c r="BE59" s="14">
        <f>BD59*VLOOKUP('Données projet'!$B$11,Paramètres!$A$1:$I$89,3,0)*VLOOKUP('Données projet'!$B$11,Paramètres!$A$1:$I$89,5,0)</f>
        <v>165.35999999999999</v>
      </c>
      <c r="BF59" s="14">
        <f t="shared" si="37"/>
        <v>42.04915012784209</v>
      </c>
      <c r="BG59" s="22">
        <f t="shared" si="7"/>
        <v>361.2376031393249</v>
      </c>
      <c r="BH59" s="62">
        <f t="shared" si="8"/>
        <v>654.57093647265822</v>
      </c>
      <c r="BI59" s="62">
        <f ca="1">AVERAGE(OFFSET($BH$3,0,0,'Données projet'!$E$11+1,1))-AVERAGE(OFFSET($H$3,0,0,'Données projet'!$E$11+1,1))</f>
        <v>240.22884864766218</v>
      </c>
      <c r="BJ59" s="62">
        <f t="shared" si="38"/>
        <v>343.23776884143166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5.0069719104720063</v>
      </c>
      <c r="BR59" s="23">
        <f>EXP(-LN(2)/2)*BR58+(1-EXP(-LN(2)/2))/(LN(2)/2)*BL59*BO59*VLOOKUP('Données projet'!$B$11,Paramètres!$A$1:$I$89,3,0)*0.475*44/12</f>
        <v>2.0164575050057127E-3</v>
      </c>
      <c r="BS59" s="24">
        <f t="shared" si="9"/>
        <v>5.008988367977012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7.6</v>
      </c>
      <c r="BY59" s="13">
        <f>IF('Données projet'!$A$114&gt;35,BY58+BX59-CG58,IF(A59&lt;'Données projet'!$A$114,$BV$205^A59,IF(A59='Données projet'!$A$114,'Données projet'!$B$114,BY58+BX59-CG58)))</f>
        <v>204.6</v>
      </c>
      <c r="BZ59" s="14">
        <f>BY59*VLOOKUP('Données projet'!$B$12,Paramètres!$A$1:$I$89,3,0)*VLOOKUP('Données projet'!$B$12,Paramètres!$A$1:$I$89,5,0)</f>
        <v>185.12207999999998</v>
      </c>
      <c r="CA59" s="14">
        <f t="shared" si="39"/>
        <v>46.459887003478677</v>
      </c>
      <c r="CB59" s="22">
        <f t="shared" si="10"/>
        <v>403.33859253105862</v>
      </c>
      <c r="CC59" s="62">
        <f t="shared" si="11"/>
        <v>696.67192586439194</v>
      </c>
      <c r="CD59" s="62">
        <f ca="1">AVERAGE(OFFSET($CC$3,0,0,'Données projet'!$E$12+1,1))-AVERAGE(OFFSET($H$3,0,0,'Données projet'!$E$12+1,1))</f>
        <v>428.8489304403459</v>
      </c>
      <c r="CE59" s="62">
        <f t="shared" si="40"/>
        <v>247.01165577562966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5</v>
      </c>
      <c r="CT59" s="13">
        <f>IF('Données projet'!$A$140&gt;35,CT58+CS59-DB58,IF(A59&lt;'Données projet'!$A$140,$CQ$205^A59,IF(A59='Données projet'!$A$140,'Données projet'!$B$140,CT58+CS59-DB58)))</f>
        <v>237.99999999999986</v>
      </c>
      <c r="CU59" s="18">
        <f>CT59*VLOOKUP('Données projet'!$B$13,Paramètres!$A$1:$I$89,3,0)*VLOOKUP('Données projet'!$B$13,Paramètres!$A$1:$I$89,5,0)</f>
        <v>189.35279999999989</v>
      </c>
      <c r="CV59" s="14">
        <f t="shared" si="41"/>
        <v>47.396837717691554</v>
      </c>
      <c r="CW59" s="22">
        <f t="shared" si="13"/>
        <v>412.33895235831255</v>
      </c>
      <c r="CX59" s="62">
        <f t="shared" si="14"/>
        <v>705.67228569164581</v>
      </c>
      <c r="CY59" s="62">
        <f ca="1">AVERAGE(OFFSET($CX$3,0,0,'Données projet'!$E$13+1,1))-AVERAGE(OFFSET($H$3,0,0,'Données projet'!$E$13+1,1))</f>
        <v>312.53381881960331</v>
      </c>
      <c r="CZ59" s="62">
        <f t="shared" si="42"/>
        <v>342.06887933351783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5</v>
      </c>
      <c r="DO59" s="13">
        <f>IF('Données projet'!$A$166&gt;35,DO58+DN59-DW58,IF(A59&lt;'Données projet'!$A$166,$DL$205^A59,IF(A59='Données projet'!$A$166,'Données projet'!$B$166,DO58+DN59-DW58)))</f>
        <v>237.99999999999986</v>
      </c>
      <c r="DP59" s="18">
        <f>DO59*VLOOKUP('Données projet'!$B$14,Paramètres!$A$1:$I$89,3,0)*VLOOKUP('Données projet'!$B$14,Paramètres!$A$1:$I$89,5,0)</f>
        <v>174.50159999999988</v>
      </c>
      <c r="DQ59" s="14">
        <f t="shared" si="43"/>
        <v>44.096693550140635</v>
      </c>
      <c r="DR59" s="22">
        <f t="shared" si="16"/>
        <v>380.7253612664947</v>
      </c>
      <c r="DS59" s="62">
        <f t="shared" si="17"/>
        <v>674.05869459982796</v>
      </c>
      <c r="DT59" s="62">
        <f ca="1">AVERAGE(OFFSET($DS$3,0,0,'Données projet'!$E$14+1,1))-AVERAGE(OFFSET($H$3,0,0,'Données projet'!$E$14+1,1))</f>
        <v>290.85271051443431</v>
      </c>
      <c r="DU59" s="62">
        <f t="shared" si="44"/>
        <v>318.66958823451142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0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8.4</v>
      </c>
      <c r="EJ59" s="13">
        <f>IF('Données projet'!$A$192&gt;35,EJ58+EI59-ER58,IF(A59&lt;'Données projet'!$A$192,$EG$205^A59,IF(A59='Données projet'!$A$192,'Données projet'!$B$192,EJ58+EI59-ER58)))</f>
        <v>184.39999999999995</v>
      </c>
      <c r="EK59" s="18">
        <f>EJ59*VLOOKUP('Données projet'!$B$15,Paramètres!$A$1:$I$89,3,0)*VLOOKUP('Données projet'!$B$15,Paramètres!$A$1:$I$89,5,0)</f>
        <v>158.21519999999995</v>
      </c>
      <c r="EL59" s="14">
        <f t="shared" si="45"/>
        <v>40.439686338648855</v>
      </c>
      <c r="EM59" s="22">
        <f t="shared" si="19"/>
        <v>345.99059370647996</v>
      </c>
      <c r="EN59" s="62">
        <f t="shared" si="20"/>
        <v>639.32392703981327</v>
      </c>
      <c r="EO59" s="62">
        <f ca="1">AVERAGE(OFFSET($EN$3,0,0,'Données projet'!$E$15+1,1))-AVERAGE(OFFSET($H$3,0,0,'Données projet'!$E$15+1,1))</f>
        <v>438.65317358403996</v>
      </c>
      <c r="EP59" s="62">
        <f t="shared" si="46"/>
        <v>176.81257896138806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0</v>
      </c>
      <c r="EW59" s="23">
        <f>EXP(-LN(2)/25)*EW58+(1-EXP(-LN(2)/25))/(LN(2)/25)*Calculateur!ER59*Calculateur!ET59*VLOOKUP('Données projet'!$B$15,Paramètres!$A$1:$I$89,3,0)*0.475*44/12</f>
        <v>0</v>
      </c>
      <c r="EX59" s="23">
        <f>EXP(-LN(2)/2)*EX58+(1-EXP(-LN(2)/2))/(LN(2)/2)*ER59*EU59*VLOOKUP('Données projet'!$B$15,Paramètres!$A$1:$I$89,3,0)*0.475*44/12</f>
        <v>0</v>
      </c>
      <c r="EY59" s="24">
        <f t="shared" si="21"/>
        <v>0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14.839560439560435</v>
      </c>
      <c r="N60" s="14">
        <f>IF('Données projet'!$A$36&gt;35,N59+M60-V59,IF(A60&lt;'Données projet'!$A$36,$K$205^A60,IF(A60='Données projet'!$A$36,'Données projet'!$B$36,N59+M60-V59)))</f>
        <v>366.678021978022</v>
      </c>
      <c r="O60" s="14">
        <f>N60*VLOOKUP('Données projet'!$B$9,Paramètres!$A$1:$I$89,3,0)*VLOOKUP('Données projet'!$B$9,Paramètres!$A$1:$I$89,5,0)</f>
        <v>204.9730142857143</v>
      </c>
      <c r="P60" s="14">
        <f t="shared" si="33"/>
        <v>50.835518579260878</v>
      </c>
      <c r="Q60" s="22">
        <f t="shared" si="53"/>
        <v>445.53319473983174</v>
      </c>
      <c r="R60" s="62">
        <f t="shared" si="0"/>
        <v>738.866528073165</v>
      </c>
      <c r="S60" s="62">
        <f ca="1">AVERAGE(OFFSET($R$3,0,0,'Données projet'!$E$9+1,1))-AVERAGE(OFFSET($H$3,0,0,'Données projet'!$E$9+1,1))</f>
        <v>323.98185264074681</v>
      </c>
      <c r="T60" s="62">
        <f t="shared" si="34"/>
        <v>301.22207291854005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2.6141931416520761</v>
      </c>
      <c r="AA60" s="23">
        <f>EXP(-LN(2)/25)*AA59+(1-EXP(-LN(2)/25))/(LN(2)/25)*Calculateur!V60*Calculateur!X60*VLOOKUP('Données projet'!$B$9,Paramètres!$A$1:$I$89,3,0)*0.475*44/12</f>
        <v>3.9012104451413223</v>
      </c>
      <c r="AB60" s="23">
        <f>EXP(-LN(2)/2)*AB59+(1-EXP(-LN(2)/2))/(LN(2)/2)*V60*Y60*VLOOKUP('Données projet'!$B$9,Paramètres!$A$1:$I$89,3,0)*0.475*44/12</f>
        <v>5.2547970450000643E-4</v>
      </c>
      <c r="AC60" s="24">
        <f t="shared" si="3"/>
        <v>6.5159290664978986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10.66307692307692</v>
      </c>
      <c r="AI60" s="14">
        <f>IF('Données projet'!$A$62&gt;35,AI59+AH60-AQ59,IF(A60&lt;'Données projet'!$A$62,$AF$205^A60,IF(A60='Données projet'!$A$62,'Données projet'!$B$62,AI59+AH60-AQ59)))</f>
        <v>310.4338461538461</v>
      </c>
      <c r="AJ60" s="14">
        <f>AI60*VLOOKUP('Données projet'!$B$10,Paramètres!$A$1:$I$89,3,0)*VLOOKUP('Données projet'!$B$10,Paramètres!$A$1:$I$89,5,0)</f>
        <v>185.63943999999998</v>
      </c>
      <c r="AK60" s="14">
        <f t="shared" si="35"/>
        <v>46.574596113982338</v>
      </c>
      <c r="AL60" s="22">
        <f t="shared" si="4"/>
        <v>404.43944623185251</v>
      </c>
      <c r="AM60" s="62">
        <f t="shared" si="5"/>
        <v>697.77277956518583</v>
      </c>
      <c r="AN60" s="62">
        <f ca="1">AVERAGE(OFFSET($AM$3,0,0,'Données projet'!$E$10+1,1))-AVERAGE(OFFSET($H$3,0,0,'Données projet'!$E$10+1,1))</f>
        <v>289.12367833861299</v>
      </c>
      <c r="AO60" s="62">
        <f t="shared" si="36"/>
        <v>229.06617320689003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3.5794130909839371E-4</v>
      </c>
      <c r="AX60" s="23">
        <f t="shared" si="6"/>
        <v>3.5794130909839371E-4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9.75</v>
      </c>
      <c r="BD60" s="13">
        <f>IF('Données projet'!$A$88&gt;35,BD59+BC60-BL59,IF(A60&lt;'Données projet'!$A$88,$BA$205^A60,IF(A60='Données projet'!$A$88,'Données projet'!$B$88,BD59+BC60-BL59)))</f>
        <v>274.75</v>
      </c>
      <c r="BE60" s="14">
        <f>BD60*VLOOKUP('Données projet'!$B$11,Paramètres!$A$1:$I$89,3,0)*VLOOKUP('Données projet'!$B$11,Paramètres!$A$1:$I$89,5,0)</f>
        <v>171.44399999999999</v>
      </c>
      <c r="BF60" s="14">
        <f t="shared" si="37"/>
        <v>43.413272173627242</v>
      </c>
      <c r="BG60" s="22">
        <f t="shared" si="7"/>
        <v>374.20974903573409</v>
      </c>
      <c r="BH60" s="62">
        <f t="shared" si="8"/>
        <v>667.54308236906741</v>
      </c>
      <c r="BI60" s="62">
        <f ca="1">AVERAGE(OFFSET($BH$3,0,0,'Données projet'!$E$11+1,1))-AVERAGE(OFFSET($H$3,0,0,'Données projet'!$E$11+1,1))</f>
        <v>240.22884864766218</v>
      </c>
      <c r="BJ60" s="62">
        <f t="shared" si="38"/>
        <v>343.23776884143166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4.87005600027494</v>
      </c>
      <c r="BR60" s="23">
        <f>EXP(-LN(2)/2)*BR59+(1-EXP(-LN(2)/2))/(LN(2)/2)*BL60*BO60*VLOOKUP('Données projet'!$B$11,Paramètres!$A$1:$I$89,3,0)*0.475*44/12</f>
        <v>1.4258507757640461E-3</v>
      </c>
      <c r="BS60" s="24">
        <f t="shared" si="9"/>
        <v>4.8714818510507039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7.6</v>
      </c>
      <c r="BY60" s="13">
        <f>IF('Données projet'!$A$114&gt;35,BY59+BX60-CG59,IF(A60&lt;'Données projet'!$A$114,$BV$205^A60,IF(A60='Données projet'!$A$114,'Données projet'!$B$114,BY59+BX60-CG59)))</f>
        <v>212.2</v>
      </c>
      <c r="BZ60" s="14">
        <f>BY60*VLOOKUP('Données projet'!$B$12,Paramètres!$A$1:$I$89,3,0)*VLOOKUP('Données projet'!$B$12,Paramètres!$A$1:$I$89,5,0)</f>
        <v>191.99855999999997</v>
      </c>
      <c r="CA60" s="14">
        <f t="shared" si="39"/>
        <v>47.981536645873334</v>
      </c>
      <c r="CB60" s="22">
        <f t="shared" si="10"/>
        <v>417.96533499156266</v>
      </c>
      <c r="CC60" s="62">
        <f t="shared" si="11"/>
        <v>711.29866832489597</v>
      </c>
      <c r="CD60" s="62">
        <f ca="1">AVERAGE(OFFSET($CC$3,0,0,'Données projet'!$E$12+1,1))-AVERAGE(OFFSET($H$3,0,0,'Données projet'!$E$12+1,1))</f>
        <v>428.8489304403459</v>
      </c>
      <c r="CE60" s="62">
        <f t="shared" si="40"/>
        <v>247.01165577562966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5</v>
      </c>
      <c r="CT60" s="13">
        <f>IF('Données projet'!$A$140&gt;35,CT59+CS60-DB59,IF(A60&lt;'Données projet'!$A$140,$CQ$205^A60,IF(A60='Données projet'!$A$140,'Données projet'!$B$140,CT59+CS60-DB59)))</f>
        <v>242.99999999999986</v>
      </c>
      <c r="CU60" s="18">
        <f>CT60*VLOOKUP('Données projet'!$B$13,Paramètres!$A$1:$I$89,3,0)*VLOOKUP('Données projet'!$B$13,Paramètres!$A$1:$I$89,5,0)</f>
        <v>193.3307999999999</v>
      </c>
      <c r="CV60" s="14">
        <f t="shared" si="41"/>
        <v>48.275598972103651</v>
      </c>
      <c r="CW60" s="22">
        <f t="shared" si="13"/>
        <v>420.79781154308029</v>
      </c>
      <c r="CX60" s="62">
        <f t="shared" si="14"/>
        <v>714.1311448764136</v>
      </c>
      <c r="CY60" s="62">
        <f ca="1">AVERAGE(OFFSET($CX$3,0,0,'Données projet'!$E$13+1,1))-AVERAGE(OFFSET($H$3,0,0,'Données projet'!$E$13+1,1))</f>
        <v>312.53381881960331</v>
      </c>
      <c r="CZ60" s="62">
        <f t="shared" si="42"/>
        <v>342.06887933351783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5</v>
      </c>
      <c r="DO60" s="13">
        <f>IF('Données projet'!$A$166&gt;35,DO59+DN60-DW59,IF(A60&lt;'Données projet'!$A$166,$DL$205^A60,IF(A60='Données projet'!$A$166,'Données projet'!$B$166,DO59+DN60-DW59)))</f>
        <v>242.99999999999986</v>
      </c>
      <c r="DP60" s="18">
        <f>DO60*VLOOKUP('Données projet'!$B$14,Paramètres!$A$1:$I$89,3,0)*VLOOKUP('Données projet'!$B$14,Paramètres!$A$1:$I$89,5,0)</f>
        <v>178.16759999999988</v>
      </c>
      <c r="DQ60" s="14">
        <f t="shared" si="43"/>
        <v>44.91426846875347</v>
      </c>
      <c r="DR60" s="22">
        <f t="shared" si="16"/>
        <v>388.5342542497454</v>
      </c>
      <c r="DS60" s="62">
        <f t="shared" si="17"/>
        <v>681.86758758307872</v>
      </c>
      <c r="DT60" s="62">
        <f ca="1">AVERAGE(OFFSET($DS$3,0,0,'Données projet'!$E$14+1,1))-AVERAGE(OFFSET($H$3,0,0,'Données projet'!$E$14+1,1))</f>
        <v>290.85271051443431</v>
      </c>
      <c r="DU60" s="62">
        <f t="shared" si="44"/>
        <v>318.66958823451142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0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8.4</v>
      </c>
      <c r="EJ60" s="13">
        <f>IF('Données projet'!$A$192&gt;35,EJ59+EI60-ER59,IF(A60&lt;'Données projet'!$A$192,$EG$205^A60,IF(A60='Données projet'!$A$192,'Données projet'!$B$192,EJ59+EI60-ER59)))</f>
        <v>192.79999999999995</v>
      </c>
      <c r="EK60" s="18">
        <f>EJ60*VLOOKUP('Données projet'!$B$15,Paramètres!$A$1:$I$89,3,0)*VLOOKUP('Données projet'!$B$15,Paramètres!$A$1:$I$89,5,0)</f>
        <v>165.42239999999998</v>
      </c>
      <c r="EL60" s="14">
        <f t="shared" si="45"/>
        <v>42.06317043469781</v>
      </c>
      <c r="EM60" s="22">
        <f t="shared" si="19"/>
        <v>361.37070184043199</v>
      </c>
      <c r="EN60" s="62">
        <f t="shared" si="20"/>
        <v>654.70403517376531</v>
      </c>
      <c r="EO60" s="62">
        <f ca="1">AVERAGE(OFFSET($EN$3,0,0,'Données projet'!$E$15+1,1))-AVERAGE(OFFSET($H$3,0,0,'Données projet'!$E$15+1,1))</f>
        <v>438.65317358403996</v>
      </c>
      <c r="EP60" s="62">
        <f t="shared" si="46"/>
        <v>176.81257896138806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0</v>
      </c>
      <c r="EW60" s="23">
        <f>EXP(-LN(2)/25)*EW59+(1-EXP(-LN(2)/25))/(LN(2)/25)*Calculateur!ER60*Calculateur!ET60*VLOOKUP('Données projet'!$B$15,Paramètres!$A$1:$I$89,3,0)*0.475*44/12</f>
        <v>0</v>
      </c>
      <c r="EX60" s="23">
        <f>EXP(-LN(2)/2)*EX59+(1-EXP(-LN(2)/2))/(LN(2)/2)*ER60*EU60*VLOOKUP('Données projet'!$B$15,Paramètres!$A$1:$I$89,3,0)*0.475*44/12</f>
        <v>0</v>
      </c>
      <c r="EY60" s="24">
        <f t="shared" si="21"/>
        <v>0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14.839560439560435</v>
      </c>
      <c r="N61" s="14">
        <f>IF('Données projet'!$A$36&gt;35,N60+M61-V60,IF(A61&lt;'Données projet'!$A$36,$K$205^A61,IF(A61='Données projet'!$A$36,'Données projet'!$B$36,N60+M61-V60)))</f>
        <v>381.51758241758245</v>
      </c>
      <c r="O61" s="14">
        <f>N61*VLOOKUP('Données projet'!$B$9,Paramètres!$A$1:$I$89,3,0)*VLOOKUP('Données projet'!$B$9,Paramètres!$A$1:$I$89,5,0)</f>
        <v>213.26832857142858</v>
      </c>
      <c r="P61" s="14">
        <f t="shared" si="33"/>
        <v>52.649154508451623</v>
      </c>
      <c r="Q61" s="22">
        <f t="shared" si="53"/>
        <v>463.13961636412461</v>
      </c>
      <c r="R61" s="62">
        <f t="shared" si="0"/>
        <v>756.47294969745792</v>
      </c>
      <c r="S61" s="62">
        <f ca="1">AVERAGE(OFFSET($R$3,0,0,'Données projet'!$E$9+1,1))-AVERAGE(OFFSET($H$3,0,0,'Données projet'!$E$9+1,1))</f>
        <v>323.98185264074681</v>
      </c>
      <c r="T61" s="62">
        <f t="shared" si="34"/>
        <v>301.22207291854005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2.5629304086446516</v>
      </c>
      <c r="AA61" s="23">
        <f>EXP(-LN(2)/25)*AA60+(1-EXP(-LN(2)/25))/(LN(2)/25)*Calculateur!V61*Calculateur!X61*VLOOKUP('Données projet'!$B$9,Paramètres!$A$1:$I$89,3,0)*0.475*44/12</f>
        <v>3.7945316403631919</v>
      </c>
      <c r="AB61" s="23">
        <f>EXP(-LN(2)/2)*AB60+(1-EXP(-LN(2)/2))/(LN(2)/2)*V61*Y61*VLOOKUP('Données projet'!$B$9,Paramètres!$A$1:$I$89,3,0)*0.475*44/12</f>
        <v>3.7157026242785771E-4</v>
      </c>
      <c r="AC61" s="24">
        <f t="shared" si="3"/>
        <v>6.3578336192702709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10.66307692307692</v>
      </c>
      <c r="AI61" s="14">
        <f>IF('Données projet'!$A$62&gt;35,AI60+AH61-AQ60,IF(A61&lt;'Données projet'!$A$62,$AF$205^A61,IF(A61='Données projet'!$A$62,'Données projet'!$B$62,AI60+AH61-AQ60)))</f>
        <v>321.09692307692302</v>
      </c>
      <c r="AJ61" s="14">
        <f>AI61*VLOOKUP('Données projet'!$B$10,Paramètres!$A$1:$I$89,3,0)*VLOOKUP('Données projet'!$B$10,Paramètres!$A$1:$I$89,5,0)</f>
        <v>192.01595999999998</v>
      </c>
      <c r="AK61" s="14">
        <f t="shared" si="35"/>
        <v>47.985378835949042</v>
      </c>
      <c r="AL61" s="22">
        <f t="shared" si="4"/>
        <v>418.00233180594455</v>
      </c>
      <c r="AM61" s="62">
        <f t="shared" si="5"/>
        <v>711.33566513927781</v>
      </c>
      <c r="AN61" s="62">
        <f ca="1">AVERAGE(OFFSET($AM$3,0,0,'Données projet'!$E$10+1,1))-AVERAGE(OFFSET($H$3,0,0,'Données projet'!$E$10+1,1))</f>
        <v>289.12367833861299</v>
      </c>
      <c r="AO61" s="62">
        <f t="shared" si="36"/>
        <v>229.06617320689003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2.5310272693026425E-4</v>
      </c>
      <c r="AX61" s="23">
        <f t="shared" si="6"/>
        <v>2.5310272693026425E-4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9.75</v>
      </c>
      <c r="BD61" s="13">
        <f>IF('Données projet'!$A$88&gt;35,BD60+BC61-BL60,IF(A61&lt;'Données projet'!$A$88,$BA$205^A61,IF(A61='Données projet'!$A$88,'Données projet'!$B$88,BD60+BC61-BL60)))</f>
        <v>284.5</v>
      </c>
      <c r="BE61" s="14">
        <f>BD61*VLOOKUP('Données projet'!$B$11,Paramètres!$A$1:$I$89,3,0)*VLOOKUP('Données projet'!$B$11,Paramètres!$A$1:$I$89,5,0)</f>
        <v>177.52800000000002</v>
      </c>
      <c r="BF61" s="14">
        <f t="shared" si="37"/>
        <v>44.771769863863661</v>
      </c>
      <c r="BG61" s="22">
        <f t="shared" si="7"/>
        <v>387.17209917956257</v>
      </c>
      <c r="BH61" s="62">
        <f t="shared" si="8"/>
        <v>680.50543251289582</v>
      </c>
      <c r="BI61" s="62">
        <f ca="1">AVERAGE(OFFSET($BH$3,0,0,'Données projet'!$E$11+1,1))-AVERAGE(OFFSET($H$3,0,0,'Données projet'!$E$11+1,1))</f>
        <v>240.22884864766218</v>
      </c>
      <c r="BJ61" s="62">
        <f t="shared" si="38"/>
        <v>343.23776884143166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4.7368840628423072</v>
      </c>
      <c r="BR61" s="23">
        <f>EXP(-LN(2)/2)*BR60+(1-EXP(-LN(2)/2))/(LN(2)/2)*BL61*BO61*VLOOKUP('Données projet'!$B$11,Paramètres!$A$1:$I$89,3,0)*0.475*44/12</f>
        <v>1.0082287525028564E-3</v>
      </c>
      <c r="BS61" s="24">
        <f t="shared" si="9"/>
        <v>4.7378922915948101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7.6</v>
      </c>
      <c r="BY61" s="13">
        <f>IF('Données projet'!$A$114&gt;35,BY60+BX61-CG60,IF(A61&lt;'Données projet'!$A$114,$BV$205^A61,IF(A61='Données projet'!$A$114,'Données projet'!$B$114,BY60+BX61-CG60)))</f>
        <v>219.79999999999998</v>
      </c>
      <c r="BZ61" s="14">
        <f>BY61*VLOOKUP('Données projet'!$B$12,Paramètres!$A$1:$I$89,3,0)*VLOOKUP('Données projet'!$B$12,Paramètres!$A$1:$I$89,5,0)</f>
        <v>198.87503999999998</v>
      </c>
      <c r="CA61" s="14">
        <f t="shared" si="39"/>
        <v>49.496854461868558</v>
      </c>
      <c r="CB61" s="22">
        <f t="shared" si="10"/>
        <v>432.58104952108766</v>
      </c>
      <c r="CC61" s="62">
        <f t="shared" si="11"/>
        <v>725.91438285442098</v>
      </c>
      <c r="CD61" s="62">
        <f ca="1">AVERAGE(OFFSET($CC$3,0,0,'Données projet'!$E$12+1,1))-AVERAGE(OFFSET($H$3,0,0,'Données projet'!$E$12+1,1))</f>
        <v>428.8489304403459</v>
      </c>
      <c r="CE61" s="62">
        <f t="shared" si="40"/>
        <v>247.01165577562966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5</v>
      </c>
      <c r="CT61" s="13">
        <f>IF('Données projet'!$A$140&gt;35,CT60+CS61-DB60,IF(A61&lt;'Données projet'!$A$140,$CQ$205^A61,IF(A61='Données projet'!$A$140,'Données projet'!$B$140,CT60+CS61-DB60)))</f>
        <v>247.99999999999986</v>
      </c>
      <c r="CU61" s="18">
        <f>CT61*VLOOKUP('Données projet'!$B$13,Paramètres!$A$1:$I$89,3,0)*VLOOKUP('Données projet'!$B$13,Paramètres!$A$1:$I$89,5,0)</f>
        <v>197.30879999999991</v>
      </c>
      <c r="CV61" s="14">
        <f t="shared" si="41"/>
        <v>49.152257900676076</v>
      </c>
      <c r="CW61" s="22">
        <f t="shared" si="13"/>
        <v>429.25300917701065</v>
      </c>
      <c r="CX61" s="62">
        <f t="shared" si="14"/>
        <v>722.58634251034391</v>
      </c>
      <c r="CY61" s="62">
        <f ca="1">AVERAGE(OFFSET($CX$3,0,0,'Données projet'!$E$13+1,1))-AVERAGE(OFFSET($H$3,0,0,'Données projet'!$E$13+1,1))</f>
        <v>312.53381881960331</v>
      </c>
      <c r="CZ61" s="62">
        <f t="shared" si="42"/>
        <v>342.06887933351783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5</v>
      </c>
      <c r="DO61" s="13">
        <f>IF('Données projet'!$A$166&gt;35,DO60+DN61-DW60,IF(A61&lt;'Données projet'!$A$166,$DL$205^A61,IF(A61='Données projet'!$A$166,'Données projet'!$B$166,DO60+DN61-DW60)))</f>
        <v>247.99999999999986</v>
      </c>
      <c r="DP61" s="18">
        <f>DO61*VLOOKUP('Données projet'!$B$14,Paramètres!$A$1:$I$89,3,0)*VLOOKUP('Données projet'!$B$14,Paramètres!$A$1:$I$89,5,0)</f>
        <v>181.8335999999999</v>
      </c>
      <c r="DQ61" s="14">
        <f t="shared" si="43"/>
        <v>45.729887442143784</v>
      </c>
      <c r="DR61" s="22">
        <f t="shared" si="16"/>
        <v>396.33974062840025</v>
      </c>
      <c r="DS61" s="62">
        <f t="shared" si="17"/>
        <v>689.67307396173351</v>
      </c>
      <c r="DT61" s="62">
        <f ca="1">AVERAGE(OFFSET($DS$3,0,0,'Données projet'!$E$14+1,1))-AVERAGE(OFFSET($H$3,0,0,'Données projet'!$E$14+1,1))</f>
        <v>290.85271051443431</v>
      </c>
      <c r="DU61" s="62">
        <f t="shared" si="44"/>
        <v>318.66958823451142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0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8.4</v>
      </c>
      <c r="EJ61" s="13">
        <f>IF('Données projet'!$A$192&gt;35,EJ60+EI61-ER60,IF(A61&lt;'Données projet'!$A$192,$EG$205^A61,IF(A61='Données projet'!$A$192,'Données projet'!$B$192,EJ60+EI61-ER60)))</f>
        <v>201.19999999999996</v>
      </c>
      <c r="EK61" s="18">
        <f>EJ61*VLOOKUP('Données projet'!$B$15,Paramètres!$A$1:$I$89,3,0)*VLOOKUP('Données projet'!$B$15,Paramètres!$A$1:$I$89,5,0)</f>
        <v>172.62959999999998</v>
      </c>
      <c r="EL61" s="14">
        <f t="shared" si="45"/>
        <v>43.678439340538915</v>
      </c>
      <c r="EM61" s="22">
        <f t="shared" si="19"/>
        <v>376.73650185143856</v>
      </c>
      <c r="EN61" s="62">
        <f t="shared" si="20"/>
        <v>670.06983518477182</v>
      </c>
      <c r="EO61" s="62">
        <f ca="1">AVERAGE(OFFSET($EN$3,0,0,'Données projet'!$E$15+1,1))-AVERAGE(OFFSET($H$3,0,0,'Données projet'!$E$15+1,1))</f>
        <v>438.65317358403996</v>
      </c>
      <c r="EP61" s="62">
        <f t="shared" si="46"/>
        <v>176.81257896138806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0</v>
      </c>
      <c r="EW61" s="23">
        <f>EXP(-LN(2)/25)*EW60+(1-EXP(-LN(2)/25))/(LN(2)/25)*Calculateur!ER61*Calculateur!ET61*VLOOKUP('Données projet'!$B$15,Paramètres!$A$1:$I$89,3,0)*0.475*44/12</f>
        <v>0</v>
      </c>
      <c r="EX61" s="23">
        <f>EXP(-LN(2)/2)*EX60+(1-EXP(-LN(2)/2))/(LN(2)/2)*ER61*EU61*VLOOKUP('Données projet'!$B$15,Paramètres!$A$1:$I$89,3,0)*0.475*44/12</f>
        <v>0</v>
      </c>
      <c r="EY61" s="24">
        <f t="shared" si="21"/>
        <v>0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14.839560439560435</v>
      </c>
      <c r="N62" s="14">
        <f>IF('Données projet'!$A$36&gt;35,N61+M62-V61,IF(A62&lt;'Données projet'!$A$36,$K$205^A62,IF(A62='Données projet'!$A$36,'Données projet'!$B$36,N61+M62-V61)))</f>
        <v>396.35714285714289</v>
      </c>
      <c r="O62" s="14">
        <f>N62*VLOOKUP('Données projet'!$B$9,Paramètres!$A$1:$I$89,3,0)*VLOOKUP('Données projet'!$B$9,Paramètres!$A$1:$I$89,5,0)</f>
        <v>221.56364285714287</v>
      </c>
      <c r="P62" s="14">
        <f t="shared" si="33"/>
        <v>54.45459555983345</v>
      </c>
      <c r="Q62" s="22">
        <f t="shared" si="53"/>
        <v>480.73176524290039</v>
      </c>
      <c r="R62" s="62">
        <f t="shared" si="0"/>
        <v>774.06509857623371</v>
      </c>
      <c r="S62" s="62">
        <f ca="1">AVERAGE(OFFSET($R$3,0,0,'Données projet'!$E$9+1,1))-AVERAGE(OFFSET($H$3,0,0,'Données projet'!$E$9+1,1))</f>
        <v>323.98185264074681</v>
      </c>
      <c r="T62" s="62">
        <f t="shared" si="34"/>
        <v>301.22207291854005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2.512672906564323</v>
      </c>
      <c r="AA62" s="23">
        <f>EXP(-LN(2)/25)*AA61+(1-EXP(-LN(2)/25))/(LN(2)/25)*Calculateur!V62*Calculateur!X62*VLOOKUP('Données projet'!$B$9,Paramètres!$A$1:$I$89,3,0)*0.475*44/12</f>
        <v>3.6907699731117138</v>
      </c>
      <c r="AB62" s="23">
        <f>EXP(-LN(2)/2)*AB61+(1-EXP(-LN(2)/2))/(LN(2)/2)*V62*Y62*VLOOKUP('Données projet'!$B$9,Paramètres!$A$1:$I$89,3,0)*0.475*44/12</f>
        <v>2.6273985225000321E-4</v>
      </c>
      <c r="AC62" s="24">
        <f t="shared" si="3"/>
        <v>6.2037056195282867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10.66307692307692</v>
      </c>
      <c r="AI62" s="14">
        <f>IF('Données projet'!$A$62&gt;35,AI61+AH62-AQ61,IF(A62&lt;'Données projet'!$A$62,$AF$205^A62,IF(A62='Données projet'!$A$62,'Données projet'!$B$62,AI61+AH62-AQ61)))</f>
        <v>331.75999999999993</v>
      </c>
      <c r="AJ62" s="14">
        <f>AI62*VLOOKUP('Données projet'!$B$10,Paramètres!$A$1:$I$89,3,0)*VLOOKUP('Données projet'!$B$10,Paramètres!$A$1:$I$89,5,0)</f>
        <v>198.39247999999998</v>
      </c>
      <c r="AK62" s="14">
        <f t="shared" si="35"/>
        <v>49.39071772551025</v>
      </c>
      <c r="AL62" s="22">
        <f t="shared" si="4"/>
        <v>431.55573603859693</v>
      </c>
      <c r="AM62" s="62">
        <f t="shared" si="5"/>
        <v>724.88906937193019</v>
      </c>
      <c r="AN62" s="62">
        <f ca="1">AVERAGE(OFFSET($AM$3,0,0,'Données projet'!$E$10+1,1))-AVERAGE(OFFSET($H$3,0,0,'Données projet'!$E$10+1,1))</f>
        <v>289.12367833861299</v>
      </c>
      <c r="AO62" s="62">
        <f t="shared" si="36"/>
        <v>229.06617320689003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1.7897065454919686E-4</v>
      </c>
      <c r="AX62" s="23">
        <f t="shared" si="6"/>
        <v>1.7897065454919686E-4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9.75</v>
      </c>
      <c r="BD62" s="13">
        <f>IF('Données projet'!$A$88&gt;35,BD61+BC62-BL61,IF(A62&lt;'Données projet'!$A$88,$BA$205^A62,IF(A62='Données projet'!$A$88,'Données projet'!$B$88,BD61+BC62-BL61)))</f>
        <v>294.25</v>
      </c>
      <c r="BE62" s="14">
        <f>BD62*VLOOKUP('Données projet'!$B$11,Paramètres!$A$1:$I$89,3,0)*VLOOKUP('Données projet'!$B$11,Paramètres!$A$1:$I$89,5,0)</f>
        <v>183.61199999999999</v>
      </c>
      <c r="BF62" s="14">
        <f t="shared" si="37"/>
        <v>46.124858041839339</v>
      </c>
      <c r="BG62" s="22">
        <f t="shared" si="7"/>
        <v>400.12502775620351</v>
      </c>
      <c r="BH62" s="62">
        <f t="shared" si="8"/>
        <v>693.45836108953677</v>
      </c>
      <c r="BI62" s="62">
        <f ca="1">AVERAGE(OFFSET($BH$3,0,0,'Données projet'!$E$11+1,1))-AVERAGE(OFFSET($H$3,0,0,'Données projet'!$E$11+1,1))</f>
        <v>240.22884864766218</v>
      </c>
      <c r="BJ62" s="62">
        <f t="shared" si="38"/>
        <v>343.23776884143166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4.6073537190419778</v>
      </c>
      <c r="BR62" s="23">
        <f>EXP(-LN(2)/2)*BR61+(1-EXP(-LN(2)/2))/(LN(2)/2)*BL62*BO62*VLOOKUP('Données projet'!$B$11,Paramètres!$A$1:$I$89,3,0)*0.475*44/12</f>
        <v>7.1292538788202305E-4</v>
      </c>
      <c r="BS62" s="24">
        <f t="shared" si="9"/>
        <v>4.6080666444298597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7.6</v>
      </c>
      <c r="BY62" s="13">
        <f>IF('Données projet'!$A$114&gt;35,BY61+BX62-CG61,IF(A62&lt;'Données projet'!$A$114,$BV$205^A62,IF(A62='Données projet'!$A$114,'Données projet'!$B$114,BY61+BX62-CG61)))</f>
        <v>227.39999999999998</v>
      </c>
      <c r="BZ62" s="14">
        <f>BY62*VLOOKUP('Données projet'!$B$12,Paramètres!$A$1:$I$89,3,0)*VLOOKUP('Données projet'!$B$12,Paramètres!$A$1:$I$89,5,0)</f>
        <v>205.75151999999994</v>
      </c>
      <c r="CA62" s="14">
        <f t="shared" si="39"/>
        <v>51.006084477955554</v>
      </c>
      <c r="CB62" s="22">
        <f t="shared" si="10"/>
        <v>447.18616113243911</v>
      </c>
      <c r="CC62" s="62">
        <f t="shared" si="11"/>
        <v>740.51949446577237</v>
      </c>
      <c r="CD62" s="62">
        <f ca="1">AVERAGE(OFFSET($CC$3,0,0,'Données projet'!$E$12+1,1))-AVERAGE(OFFSET($H$3,0,0,'Données projet'!$E$12+1,1))</f>
        <v>428.8489304403459</v>
      </c>
      <c r="CE62" s="62">
        <f t="shared" si="40"/>
        <v>247.01165577562966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5</v>
      </c>
      <c r="CT62" s="13">
        <f>IF('Données projet'!$A$140&gt;35,CT61+CS62-DB61,IF(A62&lt;'Données projet'!$A$140,$CQ$205^A62,IF(A62='Données projet'!$A$140,'Données projet'!$B$140,CT61+CS62-DB61)))</f>
        <v>252.99999999999986</v>
      </c>
      <c r="CU62" s="18">
        <f>CT62*VLOOKUP('Données projet'!$B$13,Paramètres!$A$1:$I$89,3,0)*VLOOKUP('Données projet'!$B$13,Paramètres!$A$1:$I$89,5,0)</f>
        <v>201.28679999999989</v>
      </c>
      <c r="CV62" s="14">
        <f t="shared" si="41"/>
        <v>50.026861773677616</v>
      </c>
      <c r="CW62" s="22">
        <f t="shared" si="13"/>
        <v>437.70462758915488</v>
      </c>
      <c r="CX62" s="62">
        <f t="shared" si="14"/>
        <v>731.0379609224882</v>
      </c>
      <c r="CY62" s="62">
        <f ca="1">AVERAGE(OFFSET($CX$3,0,0,'Données projet'!$E$13+1,1))-AVERAGE(OFFSET($H$3,0,0,'Données projet'!$E$13+1,1))</f>
        <v>312.53381881960331</v>
      </c>
      <c r="CZ62" s="62">
        <f t="shared" si="42"/>
        <v>342.06887933351783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5</v>
      </c>
      <c r="DO62" s="13">
        <f>IF('Données projet'!$A$166&gt;35,DO61+DN62-DW61,IF(A62&lt;'Données projet'!$A$166,$DL$205^A62,IF(A62='Données projet'!$A$166,'Données projet'!$B$166,DO61+DN62-DW61)))</f>
        <v>252.99999999999986</v>
      </c>
      <c r="DP62" s="18">
        <f>DO62*VLOOKUP('Données projet'!$B$14,Paramètres!$A$1:$I$89,3,0)*VLOOKUP('Données projet'!$B$14,Paramètres!$A$1:$I$89,5,0)</f>
        <v>185.4995999999999</v>
      </c>
      <c r="DQ62" s="14">
        <f t="shared" si="43"/>
        <v>46.543594449249014</v>
      </c>
      <c r="DR62" s="22">
        <f t="shared" si="16"/>
        <v>404.1418969991085</v>
      </c>
      <c r="DS62" s="62">
        <f t="shared" si="17"/>
        <v>697.47523033244181</v>
      </c>
      <c r="DT62" s="62">
        <f ca="1">AVERAGE(OFFSET($DS$3,0,0,'Données projet'!$E$14+1,1))-AVERAGE(OFFSET($H$3,0,0,'Données projet'!$E$14+1,1))</f>
        <v>290.85271051443431</v>
      </c>
      <c r="DU62" s="62">
        <f t="shared" si="44"/>
        <v>318.66958823451142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0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8.4</v>
      </c>
      <c r="EJ62" s="13">
        <f>IF('Données projet'!$A$192&gt;35,EJ61+EI62-ER61,IF(A62&lt;'Données projet'!$A$192,$EG$205^A62,IF(A62='Données projet'!$A$192,'Données projet'!$B$192,EJ61+EI62-ER61)))</f>
        <v>209.59999999999997</v>
      </c>
      <c r="EK62" s="18">
        <f>EJ62*VLOOKUP('Données projet'!$B$15,Paramètres!$A$1:$I$89,3,0)*VLOOKUP('Données projet'!$B$15,Paramètres!$A$1:$I$89,5,0)</f>
        <v>179.83679999999998</v>
      </c>
      <c r="EL62" s="14">
        <f t="shared" si="45"/>
        <v>45.285875256745896</v>
      </c>
      <c r="EM62" s="22">
        <f t="shared" si="19"/>
        <v>392.08865940549907</v>
      </c>
      <c r="EN62" s="62">
        <f t="shared" si="20"/>
        <v>685.42199273883239</v>
      </c>
      <c r="EO62" s="62">
        <f ca="1">AVERAGE(OFFSET($EN$3,0,0,'Données projet'!$E$15+1,1))-AVERAGE(OFFSET($H$3,0,0,'Données projet'!$E$15+1,1))</f>
        <v>438.65317358403996</v>
      </c>
      <c r="EP62" s="62">
        <f t="shared" si="46"/>
        <v>176.81257896138806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0</v>
      </c>
      <c r="EW62" s="23">
        <f>EXP(-LN(2)/25)*EW61+(1-EXP(-LN(2)/25))/(LN(2)/25)*Calculateur!ER62*Calculateur!ET62*VLOOKUP('Données projet'!$B$15,Paramètres!$A$1:$I$89,3,0)*0.475*44/12</f>
        <v>0</v>
      </c>
      <c r="EX62" s="23">
        <f>EXP(-LN(2)/2)*EX61+(1-EXP(-LN(2)/2))/(LN(2)/2)*ER62*EU62*VLOOKUP('Données projet'!$B$15,Paramètres!$A$1:$I$89,3,0)*0.475*44/12</f>
        <v>0</v>
      </c>
      <c r="EY62" s="24">
        <f t="shared" si="21"/>
        <v>0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14.839560439560435</v>
      </c>
      <c r="N63" s="14">
        <f>IF('Données projet'!$A$36&gt;35,N62+M63-V62,IF(A63&lt;'Données projet'!$A$36,$K$205^A63,IF(A63='Données projet'!$A$36,'Données projet'!$B$36,N62+M63-V62)))</f>
        <v>411.19670329670333</v>
      </c>
      <c r="O63" s="14">
        <f>N63*VLOOKUP('Données projet'!$B$9,Paramètres!$A$1:$I$89,3,0)*VLOOKUP('Données projet'!$B$9,Paramètres!$A$1:$I$89,5,0)</f>
        <v>229.85895714285718</v>
      </c>
      <c r="P63" s="14">
        <f t="shared" si="33"/>
        <v>56.252183679167004</v>
      </c>
      <c r="Q63" s="22">
        <f t="shared" si="53"/>
        <v>498.31023693169209</v>
      </c>
      <c r="R63" s="62">
        <f t="shared" si="0"/>
        <v>791.64357026502535</v>
      </c>
      <c r="S63" s="62">
        <f ca="1">AVERAGE(OFFSET($R$3,0,0,'Données projet'!$E$9+1,1))-AVERAGE(OFFSET($H$3,0,0,'Données projet'!$E$9+1,1))</f>
        <v>323.98185264074681</v>
      </c>
      <c r="T63" s="62">
        <f t="shared" si="34"/>
        <v>301.22207291854005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2.4634009234457399</v>
      </c>
      <c r="AA63" s="23">
        <f>EXP(-LN(2)/25)*AA62+(1-EXP(-LN(2)/25))/(LN(2)/25)*Calculateur!V63*Calculateur!X63*VLOOKUP('Données projet'!$B$9,Paramètres!$A$1:$I$89,3,0)*0.475*44/12</f>
        <v>3.5898456741078166</v>
      </c>
      <c r="AB63" s="23">
        <f>EXP(-LN(2)/2)*AB62+(1-EXP(-LN(2)/2))/(LN(2)/2)*V63*Y63*VLOOKUP('Données projet'!$B$9,Paramètres!$A$1:$I$89,3,0)*0.475*44/12</f>
        <v>1.8578513121392885E-4</v>
      </c>
      <c r="AC63" s="24">
        <f t="shared" si="3"/>
        <v>6.0534323826847709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342.42307692307691</v>
      </c>
      <c r="AG63" s="13">
        <f>VLOOKUP(A63,'Données projet'!$A$61:$I$81,9,0)</f>
        <v>10.66307692307692</v>
      </c>
      <c r="AH63" s="13">
        <f t="array" ref="AH63">INDEX(AG:AG,MIN(IF(ISNUMBER(AG63:AG259),ROW(AG63:AG259),"")))</f>
        <v>10.66307692307692</v>
      </c>
      <c r="AI63" s="14">
        <f>IF('Données projet'!$A$62&gt;35,AI62+AH63-AQ62,IF(A63&lt;'Données projet'!$A$62,$AF$205^A63,IF(A63='Données projet'!$A$62,'Données projet'!$B$62,AI62+AH63-AQ62)))</f>
        <v>342.42307692307685</v>
      </c>
      <c r="AJ63" s="14">
        <f>AI63*VLOOKUP('Données projet'!$B$10,Paramètres!$A$1:$I$89,3,0)*VLOOKUP('Données projet'!$B$10,Paramètres!$A$1:$I$89,5,0)</f>
        <v>204.76899999999998</v>
      </c>
      <c r="AK63" s="14">
        <f t="shared" si="35"/>
        <v>50.790807822253974</v>
      </c>
      <c r="AL63" s="22">
        <f t="shared" si="4"/>
        <v>445.09999862375895</v>
      </c>
      <c r="AM63" s="62">
        <f t="shared" si="5"/>
        <v>738.43333195709226</v>
      </c>
      <c r="AN63" s="62">
        <f ca="1">AVERAGE(OFFSET($AM$3,0,0,'Données projet'!$E$10+1,1))-AVERAGE(OFFSET($H$3,0,0,'Données projet'!$E$10+1,1))</f>
        <v>289.12367833861299</v>
      </c>
      <c r="AO63" s="62">
        <f t="shared" si="36"/>
        <v>229.06617320689003</v>
      </c>
      <c r="AP63" s="16">
        <f>IF(ISNA(VLOOKUP(A63,'Données projet'!$A$61:$I$81,3,0)),0,VLOOKUP(A63,'Données projet'!$A$61:$I$81,3,0))</f>
        <v>6</v>
      </c>
      <c r="AQ63" s="16">
        <f>IF(ISNA(VLOOKUP(A63,'Données projet'!$A$61:$I$81,4,0)),0,VLOOKUP(A63,'Données projet'!$A$61:$I$81,4,0))</f>
        <v>54.261538461538464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1.2655136346513213E-4</v>
      </c>
      <c r="AX63" s="23">
        <f t="shared" si="6"/>
        <v>1.2655136346513213E-4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304</v>
      </c>
      <c r="BB63" s="13">
        <f>VLOOKUP(A63,'Données projet'!$A$87:$I$107,9,0)</f>
        <v>9.75</v>
      </c>
      <c r="BC63" s="13">
        <f t="array" ref="BC63">INDEX(BB:BB,MIN(IF(ISNUMBER(BB63:BB259),ROW(BB63:BB259),"")))</f>
        <v>9.75</v>
      </c>
      <c r="BD63" s="13">
        <f>IF('Données projet'!$A$88&gt;35,BD62+BC63-BL62,IF(A63&lt;'Données projet'!$A$88,$BA$205^A63,IF(A63='Données projet'!$A$88,'Données projet'!$B$88,BD62+BC63-BL62)))</f>
        <v>304</v>
      </c>
      <c r="BE63" s="14">
        <f>BD63*VLOOKUP('Données projet'!$B$11,Paramètres!$A$1:$I$89,3,0)*VLOOKUP('Données projet'!$B$11,Paramètres!$A$1:$I$89,5,0)</f>
        <v>189.696</v>
      </c>
      <c r="BF63" s="14">
        <f t="shared" si="37"/>
        <v>47.472736505152469</v>
      </c>
      <c r="BG63" s="22">
        <f t="shared" si="7"/>
        <v>413.06888274647389</v>
      </c>
      <c r="BH63" s="62">
        <f t="shared" si="8"/>
        <v>706.4022160798072</v>
      </c>
      <c r="BI63" s="62">
        <f ca="1">AVERAGE(OFFSET($BH$3,0,0,'Données projet'!$E$11+1,1))-AVERAGE(OFFSET($H$3,0,0,'Données projet'!$E$11+1,1))</f>
        <v>240.22884864766218</v>
      </c>
      <c r="BJ63" s="62">
        <f t="shared" si="38"/>
        <v>343.23776884143166</v>
      </c>
      <c r="BK63" s="16">
        <f>IF(ISNA(VLOOKUP(A63,'Données projet'!$A$87:$I$107,3,0)),0,VLOOKUP(A63,'Données projet'!$A$87:$I$107,3,0))</f>
        <v>8</v>
      </c>
      <c r="BL63" s="16">
        <f>IF(ISNA(VLOOKUP(A63,'Données projet'!$A$87:$I$107,4,0)),0,VLOOKUP(A63,'Données projet'!$A$87:$I$107,4,0))</f>
        <v>304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4.4813653893045728</v>
      </c>
      <c r="BR63" s="23">
        <f>EXP(-LN(2)/2)*BR62+(1-EXP(-LN(2)/2))/(LN(2)/2)*BL63*BO63*VLOOKUP('Données projet'!$B$11,Paramètres!$A$1:$I$89,3,0)*0.475*44/12</f>
        <v>5.0411437625142819E-4</v>
      </c>
      <c r="BS63" s="24">
        <f t="shared" si="9"/>
        <v>4.4818695036808247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235</v>
      </c>
      <c r="BW63" s="13">
        <f>VLOOKUP(A63,'Données projet'!$A$113:$I$133,9,0)</f>
        <v>7.6</v>
      </c>
      <c r="BX63" s="13">
        <f t="array" ref="BX63">INDEX(BW:BW,MIN(IF(ISNUMBER(BW63:BW259),ROW(BW63:BW259),"")))</f>
        <v>7.6</v>
      </c>
      <c r="BY63" s="13">
        <f>IF('Données projet'!$A$114&gt;35,BY62+BX63-CG62,IF(A63&lt;'Données projet'!$A$114,$BV$205^A63,IF(A63='Données projet'!$A$114,'Données projet'!$B$114,BY62+BX63-CG62)))</f>
        <v>234.99999999999997</v>
      </c>
      <c r="BZ63" s="14">
        <f>BY63*VLOOKUP('Données projet'!$B$12,Paramètres!$A$1:$I$89,3,0)*VLOOKUP('Données projet'!$B$12,Paramètres!$A$1:$I$89,5,0)</f>
        <v>212.62799999999999</v>
      </c>
      <c r="CA63" s="14">
        <f t="shared" si="39"/>
        <v>52.509453483719035</v>
      </c>
      <c r="CB63" s="22">
        <f t="shared" si="10"/>
        <v>461.78106481747727</v>
      </c>
      <c r="CC63" s="62">
        <f t="shared" si="11"/>
        <v>755.11439815081053</v>
      </c>
      <c r="CD63" s="62">
        <f ca="1">AVERAGE(OFFSET($CC$3,0,0,'Données projet'!$E$12+1,1))-AVERAGE(OFFSET($H$3,0,0,'Données projet'!$E$12+1,1))</f>
        <v>428.8489304403459</v>
      </c>
      <c r="CE63" s="62">
        <f t="shared" si="40"/>
        <v>247.01165577562966</v>
      </c>
      <c r="CF63" s="16">
        <f>IF(ISNA(VLOOKUP(A63,'Données projet'!$A$113:$I$133,3,0)),0,VLOOKUP(A63,'Données projet'!$A$113:$I$133,3,0))</f>
        <v>4</v>
      </c>
      <c r="CG63" s="16">
        <f>IF(ISNA(VLOOKUP(A63,'Données projet'!$A$113:$I$133,4,0)),0,VLOOKUP(A63,'Données projet'!$A$113:$I$133,4,0))</f>
        <v>42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258</v>
      </c>
      <c r="CR63" s="13">
        <f>VLOOKUP(A63,'Données projet'!$A$139:$I$159,9,0)</f>
        <v>5</v>
      </c>
      <c r="CS63" s="13">
        <f t="array" ref="CS63">INDEX(CR:CR,MIN(IF(ISNUMBER(CR63:CR259),ROW(CR63:CR259),"")))</f>
        <v>5</v>
      </c>
      <c r="CT63" s="13">
        <f>IF('Données projet'!$A$140&gt;35,CT62+CS63-DB62,IF(A63&lt;'Données projet'!$A$140,$CQ$205^A63,IF(A63='Données projet'!$A$140,'Données projet'!$B$140,CT62+CS63-DB62)))</f>
        <v>257.99999999999989</v>
      </c>
      <c r="CU63" s="18">
        <f>CT63*VLOOKUP('Données projet'!$B$13,Paramètres!$A$1:$I$89,3,0)*VLOOKUP('Données projet'!$B$13,Paramètres!$A$1:$I$89,5,0)</f>
        <v>205.26479999999995</v>
      </c>
      <c r="CV63" s="14">
        <f t="shared" si="41"/>
        <v>50.899455886133694</v>
      </c>
      <c r="CW63" s="22">
        <f t="shared" si="13"/>
        <v>446.1527456683495</v>
      </c>
      <c r="CX63" s="62">
        <f t="shared" si="14"/>
        <v>739.48607900168281</v>
      </c>
      <c r="CY63" s="62">
        <f ca="1">AVERAGE(OFFSET($CX$3,0,0,'Données projet'!$E$13+1,1))-AVERAGE(OFFSET($H$3,0,0,'Données projet'!$E$13+1,1))</f>
        <v>312.53381881960331</v>
      </c>
      <c r="CZ63" s="62">
        <f t="shared" si="42"/>
        <v>342.06887933351783</v>
      </c>
      <c r="DA63" s="16">
        <f>IF(ISNA(VLOOKUP(A63,'Données projet'!$A$139:$I$159,3,0)),0,VLOOKUP(A63,'Données projet'!$A$139:$I$159,3,0))</f>
        <v>5</v>
      </c>
      <c r="DB63" s="16">
        <f>IF(ISNA(VLOOKUP(A63,'Données projet'!$A$139:$I$159,4,0)),0,VLOOKUP(A63,'Données projet'!$A$139:$I$159,4,0))</f>
        <v>25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258</v>
      </c>
      <c r="DM63" s="13">
        <f>VLOOKUP(A63,'Données projet'!$A$165:$I$185,9,0)</f>
        <v>5</v>
      </c>
      <c r="DN63" s="13">
        <f t="array" ref="DN63">INDEX(DM:DM,MIN(IF(ISNUMBER(DM63:DM259),ROW(DM63:DM259),"")))</f>
        <v>5</v>
      </c>
      <c r="DO63" s="13">
        <f>IF('Données projet'!$A$166&gt;35,DO62+DN63-DW62,IF(A63&lt;'Données projet'!$A$166,$DL$205^A63,IF(A63='Données projet'!$A$166,'Données projet'!$B$166,DO62+DN63-DW62)))</f>
        <v>257.99999999999989</v>
      </c>
      <c r="DP63" s="18">
        <f>DO63*VLOOKUP('Données projet'!$B$14,Paramètres!$A$1:$I$89,3,0)*VLOOKUP('Données projet'!$B$14,Paramètres!$A$1:$I$89,5,0)</f>
        <v>189.1655999999999</v>
      </c>
      <c r="DQ63" s="14">
        <f t="shared" si="43"/>
        <v>47.355431631295275</v>
      </c>
      <c r="DR63" s="22">
        <f t="shared" si="16"/>
        <v>411.94079675783905</v>
      </c>
      <c r="DS63" s="62">
        <f t="shared" si="17"/>
        <v>705.27413009117231</v>
      </c>
      <c r="DT63" s="62">
        <f ca="1">AVERAGE(OFFSET($DS$3,0,0,'Données projet'!$E$14+1,1))-AVERAGE(OFFSET($H$3,0,0,'Données projet'!$E$14+1,1))</f>
        <v>290.85271051443431</v>
      </c>
      <c r="DU63" s="62">
        <f t="shared" si="44"/>
        <v>318.66958823451142</v>
      </c>
      <c r="DV63" s="16">
        <f>IF(ISNA(VLOOKUP(A63,'Données projet'!$A$165:$I$185,3,0)),0,VLOOKUP(A63,'Données projet'!$A$165:$I$185,3,0))</f>
        <v>5</v>
      </c>
      <c r="DW63" s="16">
        <f>IF(ISNA(VLOOKUP(A63,'Données projet'!$A$165:$I$185,4,0)),0,VLOOKUP(A63,'Données projet'!$A$165:$I$185,4,0))</f>
        <v>25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0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>
        <f>VLOOKUP(A63,'Données projet'!$A$191:$I$211,2,0)</f>
        <v>218</v>
      </c>
      <c r="EH63" s="13">
        <f>VLOOKUP(A63,'Données projet'!$A$191:$I$211,9,0)</f>
        <v>8.4</v>
      </c>
      <c r="EI63" s="13">
        <f t="array" ref="EI63">INDEX(EH:EH,MIN(IF(ISNUMBER(EH63:EH259),ROW(EH63:EH259),"")))</f>
        <v>8.4</v>
      </c>
      <c r="EJ63" s="13">
        <f>IF('Données projet'!$A$192&gt;35,EJ62+EI63-ER62,IF(A63&lt;'Données projet'!$A$192,$EG$205^A63,IF(A63='Données projet'!$A$192,'Données projet'!$B$192,EJ62+EI63-ER62)))</f>
        <v>217.99999999999997</v>
      </c>
      <c r="EK63" s="18">
        <f>EJ63*VLOOKUP('Données projet'!$B$15,Paramètres!$A$1:$I$89,3,0)*VLOOKUP('Données projet'!$B$15,Paramètres!$A$1:$I$89,5,0)</f>
        <v>187.04399999999998</v>
      </c>
      <c r="EL63" s="14">
        <f t="shared" si="45"/>
        <v>46.885828015531139</v>
      </c>
      <c r="EM63" s="22">
        <f t="shared" si="19"/>
        <v>407.42778379371663</v>
      </c>
      <c r="EN63" s="62">
        <f t="shared" si="20"/>
        <v>700.76111712704994</v>
      </c>
      <c r="EO63" s="62">
        <f ca="1">AVERAGE(OFFSET($EN$3,0,0,'Données projet'!$E$15+1,1))-AVERAGE(OFFSET($H$3,0,0,'Données projet'!$E$15+1,1))</f>
        <v>438.65317358403996</v>
      </c>
      <c r="EP63" s="62">
        <f t="shared" si="46"/>
        <v>176.81257896138806</v>
      </c>
      <c r="EQ63" s="16">
        <f>IF(ISNA(VLOOKUP(A63,'Données projet'!$A$191:$I$211,3,0)),0,VLOOKUP(A63,'Données projet'!$A$191:$I$211,3,0))</f>
        <v>4</v>
      </c>
      <c r="ER63" s="16">
        <f>IF(ISNA(VLOOKUP(A63,'Données projet'!$A$191:$I$211,4,0)),0,VLOOKUP(A63,'Données projet'!$A$191:$I$211,4,0))</f>
        <v>42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projet'!$B$15,Paramètres!$A$1:$I$89,3,0)*0.475*44/12</f>
        <v>0</v>
      </c>
      <c r="EW63" s="23">
        <f>EXP(-LN(2)/25)*EW62+(1-EXP(-LN(2)/25))/(LN(2)/25)*Calculateur!ER63*Calculateur!ET63*VLOOKUP('Données projet'!$B$15,Paramètres!$A$1:$I$89,3,0)*0.475*44/12</f>
        <v>0</v>
      </c>
      <c r="EX63" s="23">
        <f>EXP(-LN(2)/2)*EX62+(1-EXP(-LN(2)/2))/(LN(2)/2)*ER63*EU63*VLOOKUP('Données projet'!$B$15,Paramètres!$A$1:$I$89,3,0)*0.475*44/12</f>
        <v>0</v>
      </c>
      <c r="EY63" s="24">
        <f t="shared" si="21"/>
        <v>0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14.839560439560435</v>
      </c>
      <c r="N64" s="14">
        <f>IF('Données projet'!$A$36&gt;35,N63+M64-V63,IF(A64&lt;'Données projet'!$A$36,$K$205^A64,IF(A64='Données projet'!$A$36,'Données projet'!$B$36,N63+M64-V63)))</f>
        <v>426.03626373626378</v>
      </c>
      <c r="O64" s="14">
        <f>N64*VLOOKUP('Données projet'!$B$9,Paramètres!$A$1:$I$89,3,0)*VLOOKUP('Données projet'!$B$9,Paramètres!$A$1:$I$89,5,0)</f>
        <v>238.15427142857146</v>
      </c>
      <c r="P64" s="14">
        <f t="shared" si="33"/>
        <v>58.042234732541061</v>
      </c>
      <c r="Q64" s="22">
        <f t="shared" si="53"/>
        <v>515.87558156393777</v>
      </c>
      <c r="R64" s="62">
        <f t="shared" si="0"/>
        <v>809.20891489727114</v>
      </c>
      <c r="S64" s="62">
        <f ca="1">AVERAGE(OFFSET($R$3,0,0,'Données projet'!$E$9+1,1))-AVERAGE(OFFSET($H$3,0,0,'Données projet'!$E$9+1,1))</f>
        <v>323.98185264074681</v>
      </c>
      <c r="T64" s="62">
        <f t="shared" si="34"/>
        <v>301.22207291854005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2.4150951338631703</v>
      </c>
      <c r="AA64" s="23">
        <f>EXP(-LN(2)/25)*AA63+(1-EXP(-LN(2)/25))/(LN(2)/25)*Calculateur!V64*Calculateur!X64*VLOOKUP('Données projet'!$B$9,Paramètres!$A$1:$I$89,3,0)*0.475*44/12</f>
        <v>3.4916811553675591</v>
      </c>
      <c r="AB64" s="23">
        <f>EXP(-LN(2)/2)*AB63+(1-EXP(-LN(2)/2))/(LN(2)/2)*V64*Y64*VLOOKUP('Données projet'!$B$9,Paramètres!$A$1:$I$89,3,0)*0.475*44/12</f>
        <v>1.3136992612500161E-4</v>
      </c>
      <c r="AC64" s="24">
        <f t="shared" si="3"/>
        <v>5.9069076591568539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9.1830769230769249</v>
      </c>
      <c r="AI64" s="14">
        <f>IF('Données projet'!$A$62&gt;35,AI63+AH64-AQ63,IF(A64&lt;'Données projet'!$A$62,$AF$205^A64,IF(A64='Données projet'!$A$62,'Données projet'!$B$62,AI63+AH64-AQ63)))</f>
        <v>297.34461538461534</v>
      </c>
      <c r="AJ64" s="14">
        <f>AI64*VLOOKUP('Données projet'!$B$10,Paramètres!$A$1:$I$89,3,0)*VLOOKUP('Données projet'!$B$10,Paramètres!$A$1:$I$89,5,0)</f>
        <v>177.81207999999998</v>
      </c>
      <c r="AK64" s="14">
        <f t="shared" si="35"/>
        <v>44.835068353066951</v>
      </c>
      <c r="AL64" s="22">
        <f t="shared" si="4"/>
        <v>387.77711671492489</v>
      </c>
      <c r="AM64" s="62">
        <f t="shared" si="5"/>
        <v>681.11045004825814</v>
      </c>
      <c r="AN64" s="62">
        <f ca="1">AVERAGE(OFFSET($AM$3,0,0,'Données projet'!$E$10+1,1))-AVERAGE(OFFSET($H$3,0,0,'Données projet'!$E$10+1,1))</f>
        <v>289.12367833861299</v>
      </c>
      <c r="AO64" s="62">
        <f t="shared" si="36"/>
        <v>229.06617320689003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8.9485327274598428E-5</v>
      </c>
      <c r="AX64" s="23">
        <f t="shared" si="6"/>
        <v>8.9485327274598428E-5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>
        <f>BD64*VLOOKUP('Données projet'!$B$11,Paramètres!$A$1:$I$89,3,0)*VLOOKUP('Données projet'!$B$11,Paramètres!$A$1:$I$89,5,0)</f>
        <v>0</v>
      </c>
      <c r="BF64" s="14" t="e">
        <f t="shared" si="37"/>
        <v>#NUM!</v>
      </c>
      <c r="BG64" s="22" t="e">
        <f t="shared" si="7"/>
        <v>#NUM!</v>
      </c>
      <c r="BH64" s="62" t="e">
        <f t="shared" si="8"/>
        <v>#NUM!</v>
      </c>
      <c r="BI64" s="62">
        <f ca="1">AVERAGE(OFFSET($BH$3,0,0,'Données projet'!$E$11+1,1))-AVERAGE(OFFSET($H$3,0,0,'Données projet'!$E$11+1,1))</f>
        <v>240.22884864766218</v>
      </c>
      <c r="BJ64" s="62">
        <f t="shared" si="38"/>
        <v>343.23776884143166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4.3588222170692754</v>
      </c>
      <c r="BR64" s="23">
        <f>EXP(-LN(2)/2)*BR63+(1-EXP(-LN(2)/2))/(LN(2)/2)*BL64*BO64*VLOOKUP('Données projet'!$B$11,Paramètres!$A$1:$I$89,3,0)*0.475*44/12</f>
        <v>3.5646269394101152E-4</v>
      </c>
      <c r="BS64" s="24">
        <f t="shared" si="9"/>
        <v>4.3591786797632164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7.2</v>
      </c>
      <c r="BY64" s="13">
        <f>IF('Données projet'!$A$114&gt;35,BY63+BX64-CG63,IF(A64&lt;'Données projet'!$A$114,$BV$205^A64,IF(A64='Données projet'!$A$114,'Données projet'!$B$114,BY63+BX64-CG63)))</f>
        <v>200.19999999999996</v>
      </c>
      <c r="BZ64" s="14">
        <f>BY64*VLOOKUP('Données projet'!$B$12,Paramètres!$A$1:$I$89,3,0)*VLOOKUP('Données projet'!$B$12,Paramètres!$A$1:$I$89,5,0)</f>
        <v>181.14095999999995</v>
      </c>
      <c r="CA64" s="14">
        <f t="shared" si="39"/>
        <v>45.575935320610945</v>
      </c>
      <c r="CB64" s="22">
        <f t="shared" si="10"/>
        <v>394.86525935006392</v>
      </c>
      <c r="CC64" s="62">
        <f t="shared" si="11"/>
        <v>688.19859268339724</v>
      </c>
      <c r="CD64" s="62">
        <f ca="1">AVERAGE(OFFSET($CC$3,0,0,'Données projet'!$E$12+1,1))-AVERAGE(OFFSET($H$3,0,0,'Données projet'!$E$12+1,1))</f>
        <v>428.8489304403459</v>
      </c>
      <c r="CE64" s="62">
        <f t="shared" si="40"/>
        <v>247.01165577562966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4.4000000000000004</v>
      </c>
      <c r="CT64" s="13">
        <f>IF('Données projet'!$A$140&gt;35,CT63+CS64-DB63,IF(A64&lt;'Données projet'!$A$140,$CQ$205^A64,IF(A64='Données projet'!$A$140,'Données projet'!$B$140,CT63+CS64-DB63)))</f>
        <v>237.39999999999986</v>
      </c>
      <c r="CU64" s="18">
        <f>CT64*VLOOKUP('Données projet'!$B$13,Paramètres!$A$1:$I$89,3,0)*VLOOKUP('Données projet'!$B$13,Paramètres!$A$1:$I$89,5,0)</f>
        <v>188.87543999999988</v>
      </c>
      <c r="CV64" s="14">
        <f t="shared" si="41"/>
        <v>47.291242769027726</v>
      </c>
      <c r="CW64" s="22">
        <f t="shared" si="13"/>
        <v>411.32363915605634</v>
      </c>
      <c r="CX64" s="62">
        <f t="shared" si="14"/>
        <v>704.65697248938966</v>
      </c>
      <c r="CY64" s="62">
        <f ca="1">AVERAGE(OFFSET($CX$3,0,0,'Données projet'!$E$13+1,1))-AVERAGE(OFFSET($H$3,0,0,'Données projet'!$E$13+1,1))</f>
        <v>312.53381881960331</v>
      </c>
      <c r="CZ64" s="62">
        <f t="shared" si="42"/>
        <v>342.06887933351783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4.4000000000000004</v>
      </c>
      <c r="DO64" s="13">
        <f>IF('Données projet'!$A$166&gt;35,DO63+DN64-DW63,IF(A64&lt;'Données projet'!$A$166,$DL$205^A64,IF(A64='Données projet'!$A$166,'Données projet'!$B$166,DO63+DN64-DW63)))</f>
        <v>237.39999999999986</v>
      </c>
      <c r="DP64" s="18">
        <f>DO64*VLOOKUP('Données projet'!$B$14,Paramètres!$A$1:$I$89,3,0)*VLOOKUP('Données projet'!$B$14,Paramètres!$A$1:$I$89,5,0)</f>
        <v>174.06167999999991</v>
      </c>
      <c r="DQ64" s="14">
        <f t="shared" si="43"/>
        <v>43.998450960214953</v>
      </c>
      <c r="DR64" s="22">
        <f t="shared" si="16"/>
        <v>379.78806142237414</v>
      </c>
      <c r="DS64" s="62">
        <f t="shared" si="17"/>
        <v>673.12139475570746</v>
      </c>
      <c r="DT64" s="62">
        <f ca="1">AVERAGE(OFFSET($DS$3,0,0,'Données projet'!$E$14+1,1))-AVERAGE(OFFSET($H$3,0,0,'Données projet'!$E$14+1,1))</f>
        <v>290.85271051443431</v>
      </c>
      <c r="DU64" s="62">
        <f t="shared" si="44"/>
        <v>318.66958823451142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0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8.1999999999999993</v>
      </c>
      <c r="EJ64" s="13">
        <f>IF('Données projet'!$A$192&gt;35,EJ63+EI64-ER63,IF(A64&lt;'Données projet'!$A$192,$EG$205^A64,IF(A64='Données projet'!$A$192,'Données projet'!$B$192,EJ63+EI64-ER63)))</f>
        <v>184.19999999999996</v>
      </c>
      <c r="EK64" s="18">
        <f>EJ64*VLOOKUP('Données projet'!$B$15,Paramètres!$A$1:$I$89,3,0)*VLOOKUP('Données projet'!$B$15,Paramètres!$A$1:$I$89,5,0)</f>
        <v>158.0436</v>
      </c>
      <c r="EL64" s="14">
        <f t="shared" si="45"/>
        <v>40.400928460855198</v>
      </c>
      <c r="EM64" s="22">
        <f t="shared" si="19"/>
        <v>345.62422040265614</v>
      </c>
      <c r="EN64" s="62">
        <f t="shared" si="20"/>
        <v>638.95755373598945</v>
      </c>
      <c r="EO64" s="62">
        <f ca="1">AVERAGE(OFFSET($EN$3,0,0,'Données projet'!$E$15+1,1))-AVERAGE(OFFSET($H$3,0,0,'Données projet'!$E$15+1,1))</f>
        <v>438.65317358403996</v>
      </c>
      <c r="EP64" s="62">
        <f t="shared" si="46"/>
        <v>176.81257896138806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projet'!$B$15,Paramètres!$A$1:$I$89,3,0)*0.475*44/12</f>
        <v>0</v>
      </c>
      <c r="EW64" s="23">
        <f>EXP(-LN(2)/25)*EW63+(1-EXP(-LN(2)/25))/(LN(2)/25)*Calculateur!ER64*Calculateur!ET64*VLOOKUP('Données projet'!$B$15,Paramètres!$A$1:$I$89,3,0)*0.475*44/12</f>
        <v>0</v>
      </c>
      <c r="EX64" s="23">
        <f>EXP(-LN(2)/2)*EX63+(1-EXP(-LN(2)/2))/(LN(2)/2)*ER64*EU64*VLOOKUP('Données projet'!$B$15,Paramètres!$A$1:$I$89,3,0)*0.475*44/12</f>
        <v>0</v>
      </c>
      <c r="EY64" s="24">
        <f t="shared" si="21"/>
        <v>0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14.839560439560435</v>
      </c>
      <c r="N65" s="14">
        <f>IF('Données projet'!$A$36&gt;35,N64+M65-V64,IF(A65&lt;'Données projet'!$A$36,$K$205^A65,IF(A65='Données projet'!$A$36,'Données projet'!$B$36,N64+M65-V64)))</f>
        <v>440.87582417582422</v>
      </c>
      <c r="O65" s="14">
        <f>N65*VLOOKUP('Données projet'!$B$9,Paramètres!$A$1:$I$89,3,0)*VLOOKUP('Données projet'!$B$9,Paramètres!$A$1:$I$89,5,0)</f>
        <v>246.44958571428575</v>
      </c>
      <c r="P65" s="14">
        <f t="shared" si="33"/>
        <v>59.825041333918982</v>
      </c>
      <c r="Q65" s="22">
        <f t="shared" si="53"/>
        <v>533.42830877562324</v>
      </c>
      <c r="R65" s="62">
        <f t="shared" si="0"/>
        <v>826.76164210895649</v>
      </c>
      <c r="S65" s="62">
        <f ca="1">AVERAGE(OFFSET($R$3,0,0,'Données projet'!$E$9+1,1))-AVERAGE(OFFSET($H$3,0,0,'Données projet'!$E$9+1,1))</f>
        <v>323.98185264074681</v>
      </c>
      <c r="T65" s="62">
        <f t="shared" si="34"/>
        <v>301.22207291854005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2.3677365913506923</v>
      </c>
      <c r="AA65" s="23">
        <f>EXP(-LN(2)/25)*AA64+(1-EXP(-LN(2)/25))/(LN(2)/25)*Calculateur!V65*Calculateur!X65*VLOOKUP('Données projet'!$B$9,Paramètres!$A$1:$I$89,3,0)*0.475*44/12</f>
        <v>3.3962009505545017</v>
      </c>
      <c r="AB65" s="23">
        <f>EXP(-LN(2)/2)*AB64+(1-EXP(-LN(2)/2))/(LN(2)/2)*V65*Y65*VLOOKUP('Données projet'!$B$9,Paramètres!$A$1:$I$89,3,0)*0.475*44/12</f>
        <v>9.2892565606964426E-5</v>
      </c>
      <c r="AC65" s="24">
        <f t="shared" si="3"/>
        <v>5.7640304344708007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9.1830769230769249</v>
      </c>
      <c r="AI65" s="14">
        <f>IF('Données projet'!$A$62&gt;35,AI64+AH65-AQ64,IF(A65&lt;'Données projet'!$A$62,$AF$205^A65,IF(A65='Données projet'!$A$62,'Données projet'!$B$62,AI64+AH65-AQ64)))</f>
        <v>306.52769230769229</v>
      </c>
      <c r="AJ65" s="14">
        <f>AI65*VLOOKUP('Données projet'!$B$10,Paramètres!$A$1:$I$89,3,0)*VLOOKUP('Données projet'!$B$10,Paramètres!$A$1:$I$89,5,0)</f>
        <v>183.30356</v>
      </c>
      <c r="AK65" s="14">
        <f t="shared" si="35"/>
        <v>46.056387641494027</v>
      </c>
      <c r="AL65" s="22">
        <f t="shared" si="4"/>
        <v>399.46857547560211</v>
      </c>
      <c r="AM65" s="62">
        <f t="shared" si="5"/>
        <v>692.80190880893542</v>
      </c>
      <c r="AN65" s="62">
        <f ca="1">AVERAGE(OFFSET($AM$3,0,0,'Données projet'!$E$10+1,1))-AVERAGE(OFFSET($H$3,0,0,'Données projet'!$E$10+1,1))</f>
        <v>289.12367833861299</v>
      </c>
      <c r="AO65" s="62">
        <f t="shared" si="36"/>
        <v>229.06617320689003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6.3275681732566063E-5</v>
      </c>
      <c r="AX65" s="23">
        <f t="shared" si="6"/>
        <v>6.3275681732566063E-5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>
        <f>BD65*VLOOKUP('Données projet'!$B$11,Paramètres!$A$1:$I$89,3,0)*VLOOKUP('Données projet'!$B$11,Paramètres!$A$1:$I$89,5,0)</f>
        <v>0</v>
      </c>
      <c r="BF65" s="14" t="e">
        <f t="shared" si="37"/>
        <v>#NUM!</v>
      </c>
      <c r="BG65" s="22" t="e">
        <f t="shared" si="7"/>
        <v>#NUM!</v>
      </c>
      <c r="BH65" s="62" t="e">
        <f t="shared" si="8"/>
        <v>#NUM!</v>
      </c>
      <c r="BI65" s="62">
        <f ca="1">AVERAGE(OFFSET($BH$3,0,0,'Données projet'!$E$11+1,1))-AVERAGE(OFFSET($H$3,0,0,'Données projet'!$E$11+1,1))</f>
        <v>240.22884864766218</v>
      </c>
      <c r="BJ65" s="62">
        <f t="shared" si="38"/>
        <v>343.23776884143166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4.2396299943230176</v>
      </c>
      <c r="BR65" s="23">
        <f>EXP(-LN(2)/2)*BR64+(1-EXP(-LN(2)/2))/(LN(2)/2)*BL65*BO65*VLOOKUP('Données projet'!$B$11,Paramètres!$A$1:$I$89,3,0)*0.475*44/12</f>
        <v>2.5205718812571409E-4</v>
      </c>
      <c r="BS65" s="24">
        <f t="shared" si="9"/>
        <v>4.2398820515111435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7.2</v>
      </c>
      <c r="BY65" s="13">
        <f>IF('Données projet'!$A$114&gt;35,BY64+BX65-CG64,IF(A65&lt;'Données projet'!$A$114,$BV$205^A65,IF(A65='Données projet'!$A$114,'Données projet'!$B$114,BY64+BX65-CG64)))</f>
        <v>207.39999999999995</v>
      </c>
      <c r="BZ65" s="14">
        <f>BY65*VLOOKUP('Données projet'!$B$12,Paramètres!$A$1:$I$89,3,0)*VLOOKUP('Données projet'!$B$12,Paramètres!$A$1:$I$89,5,0)</f>
        <v>187.65551999999994</v>
      </c>
      <c r="CA65" s="14">
        <f t="shared" si="39"/>
        <v>47.021247649900147</v>
      </c>
      <c r="CB65" s="22">
        <f t="shared" si="10"/>
        <v>408.72870365690932</v>
      </c>
      <c r="CC65" s="62">
        <f t="shared" si="11"/>
        <v>702.06203699024263</v>
      </c>
      <c r="CD65" s="62">
        <f ca="1">AVERAGE(OFFSET($CC$3,0,0,'Données projet'!$E$12+1,1))-AVERAGE(OFFSET($H$3,0,0,'Données projet'!$E$12+1,1))</f>
        <v>428.8489304403459</v>
      </c>
      <c r="CE65" s="62">
        <f t="shared" si="40"/>
        <v>247.01165577562966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4.4000000000000004</v>
      </c>
      <c r="CT65" s="13">
        <f>IF('Données projet'!$A$140&gt;35,CT64+CS65-DB64,IF(A65&lt;'Données projet'!$A$140,$CQ$205^A65,IF(A65='Données projet'!$A$140,'Données projet'!$B$140,CT64+CS65-DB64)))</f>
        <v>241.79999999999987</v>
      </c>
      <c r="CU65" s="18">
        <f>CT65*VLOOKUP('Données projet'!$B$13,Paramètres!$A$1:$I$89,3,0)*VLOOKUP('Données projet'!$B$13,Paramètres!$A$1:$I$89,5,0)</f>
        <v>192.37607999999992</v>
      </c>
      <c r="CV65" s="14">
        <f t="shared" si="41"/>
        <v>48.064889828485896</v>
      </c>
      <c r="CW65" s="22">
        <f t="shared" si="13"/>
        <v>418.76802245127942</v>
      </c>
      <c r="CX65" s="62">
        <f t="shared" si="14"/>
        <v>712.10135578461268</v>
      </c>
      <c r="CY65" s="62">
        <f ca="1">AVERAGE(OFFSET($CX$3,0,0,'Données projet'!$E$13+1,1))-AVERAGE(OFFSET($H$3,0,0,'Données projet'!$E$13+1,1))</f>
        <v>312.53381881960331</v>
      </c>
      <c r="CZ65" s="62">
        <f t="shared" si="42"/>
        <v>342.06887933351783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4.4000000000000004</v>
      </c>
      <c r="DO65" s="13">
        <f>IF('Données projet'!$A$166&gt;35,DO64+DN65-DW64,IF(A65&lt;'Données projet'!$A$166,$DL$205^A65,IF(A65='Données projet'!$A$166,'Données projet'!$B$166,DO64+DN65-DW64)))</f>
        <v>241.79999999999987</v>
      </c>
      <c r="DP65" s="18">
        <f>DO65*VLOOKUP('Données projet'!$B$14,Paramètres!$A$1:$I$89,3,0)*VLOOKUP('Données projet'!$B$14,Paramètres!$A$1:$I$89,5,0)</f>
        <v>177.28775999999991</v>
      </c>
      <c r="DQ65" s="14">
        <f t="shared" si="43"/>
        <v>44.718230568721658</v>
      </c>
      <c r="DR65" s="22">
        <f t="shared" si="16"/>
        <v>386.66043357385666</v>
      </c>
      <c r="DS65" s="62">
        <f t="shared" si="17"/>
        <v>679.99376690718998</v>
      </c>
      <c r="DT65" s="62">
        <f ca="1">AVERAGE(OFFSET($DS$3,0,0,'Données projet'!$E$14+1,1))-AVERAGE(OFFSET($H$3,0,0,'Données projet'!$E$14+1,1))</f>
        <v>290.85271051443431</v>
      </c>
      <c r="DU65" s="62">
        <f t="shared" si="44"/>
        <v>318.66958823451142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0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8.1999999999999993</v>
      </c>
      <c r="EJ65" s="13">
        <f>IF('Données projet'!$A$192&gt;35,EJ64+EI65-ER64,IF(A65&lt;'Données projet'!$A$192,$EG$205^A65,IF(A65='Données projet'!$A$192,'Données projet'!$B$192,EJ64+EI65-ER64)))</f>
        <v>192.39999999999995</v>
      </c>
      <c r="EK65" s="18">
        <f>EJ65*VLOOKUP('Données projet'!$B$15,Paramètres!$A$1:$I$89,3,0)*VLOOKUP('Données projet'!$B$15,Paramètres!$A$1:$I$89,5,0)</f>
        <v>165.07919999999999</v>
      </c>
      <c r="EL65" s="14">
        <f t="shared" si="45"/>
        <v>41.986051122111817</v>
      </c>
      <c r="EM65" s="22">
        <f t="shared" si="19"/>
        <v>360.63864570434475</v>
      </c>
      <c r="EN65" s="62">
        <f t="shared" si="20"/>
        <v>653.97197903767801</v>
      </c>
      <c r="EO65" s="62">
        <f ca="1">AVERAGE(OFFSET($EN$3,0,0,'Données projet'!$E$15+1,1))-AVERAGE(OFFSET($H$3,0,0,'Données projet'!$E$15+1,1))</f>
        <v>438.65317358403996</v>
      </c>
      <c r="EP65" s="62">
        <f t="shared" si="46"/>
        <v>176.81257896138806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0</v>
      </c>
      <c r="EW65" s="23">
        <f>EXP(-LN(2)/25)*EW64+(1-EXP(-LN(2)/25))/(LN(2)/25)*Calculateur!ER65*Calculateur!ET65*VLOOKUP('Données projet'!$B$15,Paramètres!$A$1:$I$89,3,0)*0.475*44/12</f>
        <v>0</v>
      </c>
      <c r="EX65" s="23">
        <f>EXP(-LN(2)/2)*EX64+(1-EXP(-LN(2)/2))/(LN(2)/2)*ER65*EU65*VLOOKUP('Données projet'!$B$15,Paramètres!$A$1:$I$89,3,0)*0.475*44/12</f>
        <v>0</v>
      </c>
      <c r="EY65" s="24">
        <f t="shared" si="21"/>
        <v>0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>
        <f>VLOOKUP(A66,'Données projet'!$A$35:$I$55,2,0)</f>
        <v>455.71538461538455</v>
      </c>
      <c r="L66" s="13">
        <f>VLOOKUP(A66,'Données projet'!$A$35:$I$55,9,0)</f>
        <v>14.839560439560435</v>
      </c>
      <c r="M66" s="13">
        <f t="array" ref="M66">INDEX(L:L,MIN(IF(ISNUMBER(L66:L262),ROW(L66:L262),"")))</f>
        <v>14.839560439560435</v>
      </c>
      <c r="N66" s="14">
        <f>IF('Données projet'!$A$36&gt;35,N65+M66-V65,IF(A66&lt;'Données projet'!$A$36,$K$205^A66,IF(A66='Données projet'!$A$36,'Données projet'!$B$36,N65+M66-V65)))</f>
        <v>455.71538461538466</v>
      </c>
      <c r="O66" s="14">
        <f>N66*VLOOKUP('Données projet'!$B$9,Paramètres!$A$1:$I$89,3,0)*VLOOKUP('Données projet'!$B$9,Paramètres!$A$1:$I$89,5,0)</f>
        <v>254.74490000000003</v>
      </c>
      <c r="P66" s="14">
        <f t="shared" si="33"/>
        <v>61.600875281297732</v>
      </c>
      <c r="Q66" s="22">
        <f t="shared" si="53"/>
        <v>550.96889194826019</v>
      </c>
      <c r="R66" s="62">
        <f t="shared" si="0"/>
        <v>844.30222528159356</v>
      </c>
      <c r="S66" s="62">
        <f ca="1">AVERAGE(OFFSET($R$3,0,0,'Données projet'!$E$9+1,1))-AVERAGE(OFFSET($H$3,0,0,'Données projet'!$E$9+1,1))</f>
        <v>323.98185264074681</v>
      </c>
      <c r="T66" s="62">
        <f t="shared" si="34"/>
        <v>301.22207291854005</v>
      </c>
      <c r="U66" s="16">
        <f>IF(ISNA(VLOOKUP(A66,'Données projet'!$A$35:$I$55,3,0)),0,VLOOKUP(A66,'Données projet'!$A$35:$I$55,3,0))</f>
        <v>7</v>
      </c>
      <c r="V66" s="16">
        <f>IF(ISNA(VLOOKUP(A66,'Données projet'!$A$35:$I$55,4,0)),0,VLOOKUP(A66,'Données projet'!$A$35:$I$55,4,0))</f>
        <v>79.723076923076917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2.3213067209710254</v>
      </c>
      <c r="AA66" s="23">
        <f>EXP(-LN(2)/25)*AA65+(1-EXP(-LN(2)/25))/(LN(2)/25)*Calculateur!V66*Calculateur!X66*VLOOKUP('Données projet'!$B$9,Paramètres!$A$1:$I$89,3,0)*0.475*44/12</f>
        <v>3.303331656963143</v>
      </c>
      <c r="AB66" s="23">
        <f>EXP(-LN(2)/2)*AB65+(1-EXP(-LN(2)/2))/(LN(2)/2)*V66*Y66*VLOOKUP('Données projet'!$B$9,Paramètres!$A$1:$I$89,3,0)*0.475*44/12</f>
        <v>6.5684963062500804E-5</v>
      </c>
      <c r="AC66" s="24">
        <f t="shared" si="3"/>
        <v>5.6247040628972309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9.1830769230769249</v>
      </c>
      <c r="AI66" s="14">
        <f>IF('Données projet'!$A$62&gt;35,AI65+AH66-AQ65,IF(A66&lt;'Données projet'!$A$62,$AF$205^A66,IF(A66='Données projet'!$A$62,'Données projet'!$B$62,AI65+AH66-AQ65)))</f>
        <v>315.71076923076919</v>
      </c>
      <c r="AJ66" s="14">
        <f>AI66*VLOOKUP('Données projet'!$B$10,Paramètres!$A$1:$I$89,3,0)*VLOOKUP('Données projet'!$B$10,Paramètres!$A$1:$I$89,5,0)</f>
        <v>188.79504</v>
      </c>
      <c r="AK66" s="14">
        <f t="shared" si="35"/>
        <v>47.273454743056831</v>
      </c>
      <c r="AL66" s="22">
        <f t="shared" si="4"/>
        <v>411.15262834415722</v>
      </c>
      <c r="AM66" s="62">
        <f t="shared" si="5"/>
        <v>704.48596167749054</v>
      </c>
      <c r="AN66" s="62">
        <f ca="1">AVERAGE(OFFSET($AM$3,0,0,'Données projet'!$E$10+1,1))-AVERAGE(OFFSET($H$3,0,0,'Données projet'!$E$10+1,1))</f>
        <v>289.12367833861299</v>
      </c>
      <c r="AO66" s="62">
        <f t="shared" si="36"/>
        <v>229.06617320689003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4.4742663637299214E-5</v>
      </c>
      <c r="AX66" s="23">
        <f t="shared" si="6"/>
        <v>4.4742663637299214E-5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>
        <f>BD66*VLOOKUP('Données projet'!$B$11,Paramètres!$A$1:$I$89,3,0)*VLOOKUP('Données projet'!$B$11,Paramètres!$A$1:$I$89,5,0)</f>
        <v>0</v>
      </c>
      <c r="BF66" s="14" t="e">
        <f t="shared" si="37"/>
        <v>#NUM!</v>
      </c>
      <c r="BG66" s="22" t="e">
        <f t="shared" si="7"/>
        <v>#NUM!</v>
      </c>
      <c r="BH66" s="62" t="e">
        <f t="shared" si="8"/>
        <v>#NUM!</v>
      </c>
      <c r="BI66" s="62">
        <f ca="1">AVERAGE(OFFSET($BH$3,0,0,'Données projet'!$E$11+1,1))-AVERAGE(OFFSET($H$3,0,0,'Données projet'!$E$11+1,1))</f>
        <v>240.22884864766218</v>
      </c>
      <c r="BJ66" s="62">
        <f t="shared" si="38"/>
        <v>343.23776884143166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4.1236970891758027</v>
      </c>
      <c r="BR66" s="23">
        <f>EXP(-LN(2)/2)*BR65+(1-EXP(-LN(2)/2))/(LN(2)/2)*BL66*BO66*VLOOKUP('Données projet'!$B$11,Paramètres!$A$1:$I$89,3,0)*0.475*44/12</f>
        <v>1.7823134697050576E-4</v>
      </c>
      <c r="BS66" s="24">
        <f t="shared" si="9"/>
        <v>4.1238753205227736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7.2</v>
      </c>
      <c r="BY66" s="13">
        <f>IF('Données projet'!$A$114&gt;35,BY65+BX66-CG65,IF(A66&lt;'Données projet'!$A$114,$BV$205^A66,IF(A66='Données projet'!$A$114,'Données projet'!$B$114,BY65+BX66-CG65)))</f>
        <v>214.59999999999994</v>
      </c>
      <c r="BZ66" s="14">
        <f>BY66*VLOOKUP('Données projet'!$B$12,Paramètres!$A$1:$I$89,3,0)*VLOOKUP('Données projet'!$B$12,Paramètres!$A$1:$I$89,5,0)</f>
        <v>194.17007999999996</v>
      </c>
      <c r="CA66" s="14">
        <f t="shared" si="39"/>
        <v>48.460730182351035</v>
      </c>
      <c r="CB66" s="22">
        <f t="shared" si="10"/>
        <v>422.5819944009279</v>
      </c>
      <c r="CC66" s="62">
        <f t="shared" si="11"/>
        <v>715.91532773426115</v>
      </c>
      <c r="CD66" s="62">
        <f ca="1">AVERAGE(OFFSET($CC$3,0,0,'Données projet'!$E$12+1,1))-AVERAGE(OFFSET($H$3,0,0,'Données projet'!$E$12+1,1))</f>
        <v>428.8489304403459</v>
      </c>
      <c r="CE66" s="62">
        <f t="shared" si="40"/>
        <v>247.01165577562966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4.4000000000000004</v>
      </c>
      <c r="CT66" s="13">
        <f>IF('Données projet'!$A$140&gt;35,CT65+CS66-DB65,IF(A66&lt;'Données projet'!$A$140,$CQ$205^A66,IF(A66='Données projet'!$A$140,'Données projet'!$B$140,CT65+CS66-DB65)))</f>
        <v>246.19999999999987</v>
      </c>
      <c r="CU66" s="18">
        <f>CT66*VLOOKUP('Données projet'!$B$13,Paramètres!$A$1:$I$89,3,0)*VLOOKUP('Données projet'!$B$13,Paramètres!$A$1:$I$89,5,0)</f>
        <v>195.87671999999992</v>
      </c>
      <c r="CV66" s="14">
        <f t="shared" si="41"/>
        <v>48.836899853879942</v>
      </c>
      <c r="CW66" s="22">
        <f t="shared" si="13"/>
        <v>426.20955457884071</v>
      </c>
      <c r="CX66" s="62">
        <f t="shared" si="14"/>
        <v>719.54288791217402</v>
      </c>
      <c r="CY66" s="62">
        <f ca="1">AVERAGE(OFFSET($CX$3,0,0,'Données projet'!$E$13+1,1))-AVERAGE(OFFSET($H$3,0,0,'Données projet'!$E$13+1,1))</f>
        <v>312.53381881960331</v>
      </c>
      <c r="CZ66" s="62">
        <f t="shared" si="42"/>
        <v>342.06887933351783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4.4000000000000004</v>
      </c>
      <c r="DO66" s="13">
        <f>IF('Données projet'!$A$166&gt;35,DO65+DN66-DW65,IF(A66&lt;'Données projet'!$A$166,$DL$205^A66,IF(A66='Données projet'!$A$166,'Données projet'!$B$166,DO65+DN66-DW65)))</f>
        <v>246.19999999999987</v>
      </c>
      <c r="DP66" s="18">
        <f>DO66*VLOOKUP('Données projet'!$B$14,Paramètres!$A$1:$I$89,3,0)*VLOOKUP('Données projet'!$B$14,Paramètres!$A$1:$I$89,5,0)</f>
        <v>180.5138399999999</v>
      </c>
      <c r="DQ66" s="14">
        <f t="shared" si="43"/>
        <v>45.43648712647358</v>
      </c>
      <c r="DR66" s="22">
        <f t="shared" si="16"/>
        <v>393.53015307860801</v>
      </c>
      <c r="DS66" s="62">
        <f t="shared" si="17"/>
        <v>686.86348641194127</v>
      </c>
      <c r="DT66" s="62">
        <f ca="1">AVERAGE(OFFSET($DS$3,0,0,'Données projet'!$E$14+1,1))-AVERAGE(OFFSET($H$3,0,0,'Données projet'!$E$14+1,1))</f>
        <v>290.85271051443431</v>
      </c>
      <c r="DU66" s="62">
        <f t="shared" si="44"/>
        <v>318.66958823451142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0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8.1999999999999993</v>
      </c>
      <c r="EJ66" s="13">
        <f>IF('Données projet'!$A$192&gt;35,EJ65+EI66-ER65,IF(A66&lt;'Données projet'!$A$192,$EG$205^A66,IF(A66='Données projet'!$A$192,'Données projet'!$B$192,EJ65+EI66-ER65)))</f>
        <v>200.59999999999994</v>
      </c>
      <c r="EK66" s="18">
        <f>EJ66*VLOOKUP('Données projet'!$B$15,Paramètres!$A$1:$I$89,3,0)*VLOOKUP('Données projet'!$B$15,Paramètres!$A$1:$I$89,5,0)</f>
        <v>172.11479999999995</v>
      </c>
      <c r="EL66" s="14">
        <f t="shared" si="45"/>
        <v>43.563327089597564</v>
      </c>
      <c r="EM66" s="22">
        <f t="shared" si="19"/>
        <v>375.63940468104903</v>
      </c>
      <c r="EN66" s="62">
        <f t="shared" si="20"/>
        <v>668.97273801438234</v>
      </c>
      <c r="EO66" s="62">
        <f ca="1">AVERAGE(OFFSET($EN$3,0,0,'Données projet'!$E$15+1,1))-AVERAGE(OFFSET($H$3,0,0,'Données projet'!$E$15+1,1))</f>
        <v>438.65317358403996</v>
      </c>
      <c r="EP66" s="62">
        <f t="shared" si="46"/>
        <v>176.81257896138806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0</v>
      </c>
      <c r="EW66" s="23">
        <f>EXP(-LN(2)/25)*EW65+(1-EXP(-LN(2)/25))/(LN(2)/25)*Calculateur!ER66*Calculateur!ET66*VLOOKUP('Données projet'!$B$15,Paramètres!$A$1:$I$89,3,0)*0.475*44/12</f>
        <v>0</v>
      </c>
      <c r="EX66" s="23">
        <f>EXP(-LN(2)/2)*EX65+(1-EXP(-LN(2)/2))/(LN(2)/2)*ER66*EU66*VLOOKUP('Données projet'!$B$15,Paramètres!$A$1:$I$89,3,0)*0.475*44/12</f>
        <v>0</v>
      </c>
      <c r="EY66" s="24">
        <f t="shared" si="21"/>
        <v>0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13.373076923076932</v>
      </c>
      <c r="N67" s="14">
        <f>IF('Données projet'!$A$36&gt;35,N66+M67-V66,IF(A67&lt;'Données projet'!$A$36,$K$205^A67,IF(A67='Données projet'!$A$36,'Données projet'!$B$36,N66+M67-V66)))</f>
        <v>389.3653846153847</v>
      </c>
      <c r="O67" s="14">
        <f>N67*VLOOKUP('Données projet'!$B$9,Paramètres!$A$1:$I$89,3,0)*VLOOKUP('Données projet'!$B$9,Paramètres!$A$1:$I$89,5,0)</f>
        <v>217.65525000000002</v>
      </c>
      <c r="P67" s="14">
        <f t="shared" si="33"/>
        <v>53.604948518581054</v>
      </c>
      <c r="Q67" s="22">
        <f t="shared" ref="Q67:Q98" si="54">(O67+P67)*0.475*44/12</f>
        <v>472.44484575319535</v>
      </c>
      <c r="R67" s="62">
        <f t="shared" ref="R67:R130" si="55">Q67+(I67+J67)*44/12</f>
        <v>765.77817908652867</v>
      </c>
      <c r="S67" s="62">
        <f ca="1">AVERAGE(OFFSET($R$3,0,0,'Données projet'!$E$9+1,1))-AVERAGE(OFFSET($H$3,0,0,'Données projet'!$E$9+1,1))</f>
        <v>323.98185264074681</v>
      </c>
      <c r="T67" s="62">
        <f t="shared" si="34"/>
        <v>301.22207291854005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2.2757873120300789</v>
      </c>
      <c r="AA67" s="23">
        <f>EXP(-LN(2)/25)*AA66+(1-EXP(-LN(2)/25))/(LN(2)/25)*Calculateur!V67*Calculateur!X67*VLOOKUP('Données projet'!$B$9,Paramètres!$A$1:$I$89,3,0)*0.475*44/12</f>
        <v>3.2130018790888237</v>
      </c>
      <c r="AB67" s="23">
        <f>EXP(-LN(2)/2)*AB66+(1-EXP(-LN(2)/2))/(LN(2)/2)*V67*Y67*VLOOKUP('Données projet'!$B$9,Paramètres!$A$1:$I$89,3,0)*0.475*44/12</f>
        <v>4.6446282803482213E-5</v>
      </c>
      <c r="AC67" s="24">
        <f t="shared" si="3"/>
        <v>5.4888356374017064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9.1830769230769249</v>
      </c>
      <c r="AI67" s="14">
        <f>IF('Données projet'!$A$62&gt;35,AI66+AH67-AQ66,IF(A67&lt;'Données projet'!$A$62,$AF$205^A67,IF(A67='Données projet'!$A$62,'Données projet'!$B$62,AI66+AH67-AQ66)))</f>
        <v>324.89384615384608</v>
      </c>
      <c r="AJ67" s="14">
        <f>AI67*VLOOKUP('Données projet'!$B$10,Paramètres!$A$1:$I$89,3,0)*VLOOKUP('Données projet'!$B$10,Paramètres!$A$1:$I$89,5,0)</f>
        <v>194.28651999999997</v>
      </c>
      <c r="AK67" s="14">
        <f t="shared" si="35"/>
        <v>48.486407543748122</v>
      </c>
      <c r="AL67" s="22">
        <f t="shared" si="4"/>
        <v>422.82951547202788</v>
      </c>
      <c r="AM67" s="62">
        <f t="shared" si="5"/>
        <v>716.16284880536114</v>
      </c>
      <c r="AN67" s="62">
        <f ca="1">AVERAGE(OFFSET($AM$3,0,0,'Données projet'!$E$10+1,1))-AVERAGE(OFFSET($H$3,0,0,'Données projet'!$E$10+1,1))</f>
        <v>289.12367833861299</v>
      </c>
      <c r="AO67" s="62">
        <f t="shared" si="36"/>
        <v>229.06617320689003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3.1637840866283031E-5</v>
      </c>
      <c r="AX67" s="23">
        <f t="shared" si="6"/>
        <v>3.1637840866283031E-5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>
        <f>BD67*VLOOKUP('Données projet'!$B$11,Paramètres!$A$1:$I$89,3,0)*VLOOKUP('Données projet'!$B$11,Paramètres!$A$1:$I$89,5,0)</f>
        <v>0</v>
      </c>
      <c r="BF67" s="14" t="e">
        <f t="shared" si="37"/>
        <v>#NUM!</v>
      </c>
      <c r="BG67" s="22" t="e">
        <f t="shared" si="7"/>
        <v>#NUM!</v>
      </c>
      <c r="BH67" s="62" t="e">
        <f t="shared" si="8"/>
        <v>#NUM!</v>
      </c>
      <c r="BI67" s="62">
        <f ca="1">AVERAGE(OFFSET($BH$3,0,0,'Données projet'!$E$11+1,1))-AVERAGE(OFFSET($H$3,0,0,'Données projet'!$E$11+1,1))</f>
        <v>240.22884864766218</v>
      </c>
      <c r="BJ67" s="62">
        <f t="shared" si="38"/>
        <v>343.23776884143166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4.0109343754164852</v>
      </c>
      <c r="BR67" s="23">
        <f>EXP(-LN(2)/2)*BR66+(1-EXP(-LN(2)/2))/(LN(2)/2)*BL67*BO67*VLOOKUP('Données projet'!$B$11,Paramètres!$A$1:$I$89,3,0)*0.475*44/12</f>
        <v>1.2602859406285705E-4</v>
      </c>
      <c r="BS67" s="24">
        <f t="shared" si="9"/>
        <v>4.0110604040105482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7.2</v>
      </c>
      <c r="BY67" s="13">
        <f>IF('Données projet'!$A$114&gt;35,BY66+BX67-CG66,IF(A67&lt;'Données projet'!$A$114,$BV$205^A67,IF(A67='Données projet'!$A$114,'Données projet'!$B$114,BY66+BX67-CG66)))</f>
        <v>221.79999999999993</v>
      </c>
      <c r="BZ67" s="14">
        <f>BY67*VLOOKUP('Données projet'!$B$12,Paramètres!$A$1:$I$89,3,0)*VLOOKUP('Données projet'!$B$12,Paramètres!$A$1:$I$89,5,0)</f>
        <v>200.68463999999992</v>
      </c>
      <c r="CA67" s="14">
        <f t="shared" si="39"/>
        <v>49.894600936700193</v>
      </c>
      <c r="CB67" s="22">
        <f t="shared" si="10"/>
        <v>436.42551129808606</v>
      </c>
      <c r="CC67" s="62">
        <f t="shared" si="11"/>
        <v>729.75884463141938</v>
      </c>
      <c r="CD67" s="62">
        <f ca="1">AVERAGE(OFFSET($CC$3,0,0,'Données projet'!$E$12+1,1))-AVERAGE(OFFSET($H$3,0,0,'Données projet'!$E$12+1,1))</f>
        <v>428.8489304403459</v>
      </c>
      <c r="CE67" s="62">
        <f t="shared" si="40"/>
        <v>247.01165577562966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4.4000000000000004</v>
      </c>
      <c r="CT67" s="13">
        <f>IF('Données projet'!$A$140&gt;35,CT66+CS67-DB66,IF(A67&lt;'Données projet'!$A$140,$CQ$205^A67,IF(A67='Données projet'!$A$140,'Données projet'!$B$140,CT66+CS67-DB66)))</f>
        <v>250.59999999999988</v>
      </c>
      <c r="CU67" s="18">
        <f>CT67*VLOOKUP('Données projet'!$B$13,Paramètres!$A$1:$I$89,3,0)*VLOOKUP('Données projet'!$B$13,Paramètres!$A$1:$I$89,5,0)</f>
        <v>199.37735999999992</v>
      </c>
      <c r="CV67" s="14">
        <f t="shared" si="41"/>
        <v>49.607305476717762</v>
      </c>
      <c r="CW67" s="22">
        <f t="shared" si="13"/>
        <v>433.64829237194999</v>
      </c>
      <c r="CX67" s="62">
        <f t="shared" si="14"/>
        <v>726.98162570528325</v>
      </c>
      <c r="CY67" s="62">
        <f ca="1">AVERAGE(OFFSET($CX$3,0,0,'Données projet'!$E$13+1,1))-AVERAGE(OFFSET($H$3,0,0,'Données projet'!$E$13+1,1))</f>
        <v>312.53381881960331</v>
      </c>
      <c r="CZ67" s="62">
        <f t="shared" si="42"/>
        <v>342.06887933351783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4.4000000000000004</v>
      </c>
      <c r="DO67" s="13">
        <f>IF('Données projet'!$A$166&gt;35,DO66+DN67-DW66,IF(A67&lt;'Données projet'!$A$166,$DL$205^A67,IF(A67='Données projet'!$A$166,'Données projet'!$B$166,DO66+DN67-DW66)))</f>
        <v>250.59999999999988</v>
      </c>
      <c r="DP67" s="18">
        <f>DO67*VLOOKUP('Données projet'!$B$14,Paramètres!$A$1:$I$89,3,0)*VLOOKUP('Données projet'!$B$14,Paramètres!$A$1:$I$89,5,0)</f>
        <v>183.7399199999999</v>
      </c>
      <c r="DQ67" s="14">
        <f t="shared" si="43"/>
        <v>46.153250992914103</v>
      </c>
      <c r="DR67" s="22">
        <f t="shared" si="16"/>
        <v>400.39727281265851</v>
      </c>
      <c r="DS67" s="62">
        <f t="shared" si="17"/>
        <v>693.73060614599183</v>
      </c>
      <c r="DT67" s="62">
        <f ca="1">AVERAGE(OFFSET($DS$3,0,0,'Données projet'!$E$14+1,1))-AVERAGE(OFFSET($H$3,0,0,'Données projet'!$E$14+1,1))</f>
        <v>290.85271051443431</v>
      </c>
      <c r="DU67" s="62">
        <f t="shared" si="44"/>
        <v>318.66958823451142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0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8.1999999999999993</v>
      </c>
      <c r="EJ67" s="13">
        <f>IF('Données projet'!$A$192&gt;35,EJ66+EI67-ER66,IF(A67&lt;'Données projet'!$A$192,$EG$205^A67,IF(A67='Données projet'!$A$192,'Données projet'!$B$192,EJ66+EI67-ER66)))</f>
        <v>208.79999999999993</v>
      </c>
      <c r="EK67" s="18">
        <f>EJ67*VLOOKUP('Données projet'!$B$15,Paramètres!$A$1:$I$89,3,0)*VLOOKUP('Données projet'!$B$15,Paramètres!$A$1:$I$89,5,0)</f>
        <v>179.15039999999996</v>
      </c>
      <c r="EL67" s="14">
        <f t="shared" si="45"/>
        <v>45.133113803437304</v>
      </c>
      <c r="EM67" s="22">
        <f t="shared" si="19"/>
        <v>390.62711987431993</v>
      </c>
      <c r="EN67" s="62">
        <f t="shared" si="20"/>
        <v>683.96045320765325</v>
      </c>
      <c r="EO67" s="62">
        <f ca="1">AVERAGE(OFFSET($EN$3,0,0,'Données projet'!$E$15+1,1))-AVERAGE(OFFSET($H$3,0,0,'Données projet'!$E$15+1,1))</f>
        <v>438.65317358403996</v>
      </c>
      <c r="EP67" s="62">
        <f t="shared" si="46"/>
        <v>176.81257896138806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0</v>
      </c>
      <c r="EW67" s="23">
        <f>EXP(-LN(2)/25)*EW66+(1-EXP(-LN(2)/25))/(LN(2)/25)*Calculateur!ER67*Calculateur!ET67*VLOOKUP('Données projet'!$B$15,Paramètres!$A$1:$I$89,3,0)*0.475*44/12</f>
        <v>0</v>
      </c>
      <c r="EX67" s="23">
        <f>EXP(-LN(2)/2)*EX66+(1-EXP(-LN(2)/2))/(LN(2)/2)*ER67*EU67*VLOOKUP('Données projet'!$B$15,Paramètres!$A$1:$I$89,3,0)*0.475*44/12</f>
        <v>0</v>
      </c>
      <c r="EY67" s="24">
        <f t="shared" si="21"/>
        <v>0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13.373076923076932</v>
      </c>
      <c r="N68" s="14">
        <f>IF('Données projet'!$A$36&gt;35,N67+M68-V67,IF(A68&lt;'Données projet'!$A$36,$K$205^A68,IF(A68='Données projet'!$A$36,'Données projet'!$B$36,N67+M68-V67)))</f>
        <v>402.73846153846165</v>
      </c>
      <c r="O68" s="14">
        <f>N68*VLOOKUP('Données projet'!$B$9,Paramètres!$A$1:$I$89,3,0)*VLOOKUP('Données projet'!$B$9,Paramètres!$A$1:$I$89,5,0)</f>
        <v>225.13080000000008</v>
      </c>
      <c r="P68" s="14">
        <f t="shared" si="33"/>
        <v>55.228539095259954</v>
      </c>
      <c r="Q68" s="22">
        <f t="shared" si="54"/>
        <v>488.29251559091125</v>
      </c>
      <c r="R68" s="62">
        <f t="shared" si="55"/>
        <v>781.62584892424456</v>
      </c>
      <c r="S68" s="62">
        <f ca="1">AVERAGE(OFFSET($R$3,0,0,'Données projet'!$E$9+1,1))-AVERAGE(OFFSET($H$3,0,0,'Données projet'!$E$9+1,1))</f>
        <v>323.98185264074681</v>
      </c>
      <c r="T68" s="62">
        <f t="shared" si="34"/>
        <v>301.22207291854005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2.2311605109343664</v>
      </c>
      <c r="AA68" s="23">
        <f>EXP(-LN(2)/25)*AA67+(1-EXP(-LN(2)/25))/(LN(2)/25)*Calculateur!V68*Calculateur!X68*VLOOKUP('Données projet'!$B$9,Paramètres!$A$1:$I$89,3,0)*0.475*44/12</f>
        <v>3.1251421737407146</v>
      </c>
      <c r="AB68" s="23">
        <f>EXP(-LN(2)/2)*AB67+(1-EXP(-LN(2)/2))/(LN(2)/2)*V68*Y68*VLOOKUP('Données projet'!$B$9,Paramètres!$A$1:$I$89,3,0)*0.475*44/12</f>
        <v>3.2842481531250402E-5</v>
      </c>
      <c r="AC68" s="24">
        <f t="shared" ref="AC68:AC131" si="57">SUM(Z68:AB68)</f>
        <v>5.3563355271566122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9.1830769230769249</v>
      </c>
      <c r="AI68" s="14">
        <f>IF('Données projet'!$A$62&gt;35,AI67+AH68-AQ67,IF(A68&lt;'Données projet'!$A$62,$AF$205^A68,IF(A68='Données projet'!$A$62,'Données projet'!$B$62,AI67+AH68-AQ67)))</f>
        <v>334.07692307692298</v>
      </c>
      <c r="AJ68" s="14">
        <f>AI68*VLOOKUP('Données projet'!$B$10,Paramètres!$A$1:$I$89,3,0)*VLOOKUP('Données projet'!$B$10,Paramètres!$A$1:$I$89,5,0)</f>
        <v>199.77799999999996</v>
      </c>
      <c r="AK68" s="14">
        <f t="shared" si="35"/>
        <v>49.695375691492842</v>
      </c>
      <c r="AL68" s="22">
        <f t="shared" ref="AL68:AL131" si="58">(AJ68+AK68)*0.475*44/12</f>
        <v>434.4994626626833</v>
      </c>
      <c r="AM68" s="62">
        <f t="shared" ref="AM68:AM131" si="59">AL68+(AD68+AE68)*44/12</f>
        <v>727.83279599601656</v>
      </c>
      <c r="AN68" s="62">
        <f ca="1">AVERAGE(OFFSET($AM$3,0,0,'Données projet'!$E$10+1,1))-AVERAGE(OFFSET($H$3,0,0,'Données projet'!$E$10+1,1))</f>
        <v>289.12367833861299</v>
      </c>
      <c r="AO68" s="62">
        <f t="shared" si="36"/>
        <v>229.06617320689003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2.2371331818649607E-5</v>
      </c>
      <c r="AX68" s="23">
        <f t="shared" ref="AX68:AX131" si="60">SUM(AU68:AW68)</f>
        <v>2.2371331818649607E-5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>
        <f>BD68*VLOOKUP('Données projet'!$B$11,Paramètres!$A$1:$I$89,3,0)*VLOOKUP('Données projet'!$B$11,Paramètres!$A$1:$I$89,5,0)</f>
        <v>0</v>
      </c>
      <c r="BF68" s="14" t="e">
        <f t="shared" si="37"/>
        <v>#NUM!</v>
      </c>
      <c r="BG68" s="22" t="e">
        <f t="shared" ref="BG68:BG131" si="61">(BE68+BF68)*0.475*44/12</f>
        <v>#NUM!</v>
      </c>
      <c r="BH68" s="62" t="e">
        <f t="shared" ref="BH68:BH131" si="62">BG68+(AY68+AZ68)*44/12</f>
        <v>#NUM!</v>
      </c>
      <c r="BI68" s="62">
        <f ca="1">AVERAGE(OFFSET($BH$3,0,0,'Données projet'!$E$11+1,1))-AVERAGE(OFFSET($H$3,0,0,'Données projet'!$E$11+1,1))</f>
        <v>240.22884864766218</v>
      </c>
      <c r="BJ68" s="62">
        <f t="shared" si="38"/>
        <v>343.23776884143166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3.9012551639948496</v>
      </c>
      <c r="BR68" s="23">
        <f>EXP(-LN(2)/2)*BR67+(1-EXP(-LN(2)/2))/(LN(2)/2)*BL68*BO68*VLOOKUP('Données projet'!$B$11,Paramètres!$A$1:$I$89,3,0)*0.475*44/12</f>
        <v>8.9115673485252881E-5</v>
      </c>
      <c r="BS68" s="24">
        <f t="shared" ref="BS68:BS131" si="63">SUM(BP68:BR68)</f>
        <v>3.9013442796683351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229</v>
      </c>
      <c r="BW68" s="13">
        <f>VLOOKUP(A68,'Données projet'!$A$113:$I$133,9,0)</f>
        <v>7.2</v>
      </c>
      <c r="BX68" s="13">
        <f t="array" ref="BX68">INDEX(BW:BW,MIN(IF(ISNUMBER(BW68:BW264),ROW(BW68:BW264),"")))</f>
        <v>7.2</v>
      </c>
      <c r="BY68" s="13">
        <f>IF('Données projet'!$A$114&gt;35,BY67+BX68-CG67,IF(A68&lt;'Données projet'!$A$114,$BV$205^A68,IF(A68='Données projet'!$A$114,'Données projet'!$B$114,BY67+BX68-CG67)))</f>
        <v>228.99999999999991</v>
      </c>
      <c r="BZ68" s="14">
        <f>BY68*VLOOKUP('Données projet'!$B$12,Paramètres!$A$1:$I$89,3,0)*VLOOKUP('Données projet'!$B$12,Paramètres!$A$1:$I$89,5,0)</f>
        <v>207.19919999999991</v>
      </c>
      <c r="CA68" s="14">
        <f t="shared" si="39"/>
        <v>51.3230629736655</v>
      </c>
      <c r="CB68" s="22">
        <f t="shared" ref="CB68:CB131" si="64">(BZ68+CA68)*0.475*44/12</f>
        <v>450.25960801246725</v>
      </c>
      <c r="CC68" s="62">
        <f t="shared" ref="CC68:CC131" si="65">CB68+(BT68+BU68)*44/12</f>
        <v>743.59294134580057</v>
      </c>
      <c r="CD68" s="62">
        <f ca="1">AVERAGE(OFFSET($CC$3,0,0,'Données projet'!$E$12+1,1))-AVERAGE(OFFSET($H$3,0,0,'Données projet'!$E$12+1,1))</f>
        <v>428.8489304403459</v>
      </c>
      <c r="CE68" s="62">
        <f t="shared" si="40"/>
        <v>247.01165577562966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255</v>
      </c>
      <c r="CR68" s="13">
        <f>VLOOKUP(A68,'Données projet'!$A$139:$I$159,9,0)</f>
        <v>4.4000000000000004</v>
      </c>
      <c r="CS68" s="13">
        <f t="array" ref="CS68">INDEX(CR:CR,MIN(IF(ISNUMBER(CR68:CR264),ROW(CR68:CR264),"")))</f>
        <v>4.4000000000000004</v>
      </c>
      <c r="CT68" s="13">
        <f>IF('Données projet'!$A$140&gt;35,CT67+CS68-DB67,IF(A68&lt;'Données projet'!$A$140,$CQ$205^A68,IF(A68='Données projet'!$A$140,'Données projet'!$B$140,CT67+CS68-DB67)))</f>
        <v>254.99999999999989</v>
      </c>
      <c r="CU68" s="18">
        <f>CT68*VLOOKUP('Données projet'!$B$13,Paramètres!$A$1:$I$89,3,0)*VLOOKUP('Données projet'!$B$13,Paramètres!$A$1:$I$89,5,0)</f>
        <v>202.87799999999993</v>
      </c>
      <c r="CV68" s="14">
        <f t="shared" si="41"/>
        <v>50.376138116990084</v>
      </c>
      <c r="CW68" s="22">
        <f t="shared" ref="CW68:CW131" si="67">(CU68+CV68)*0.475*44/12</f>
        <v>441.08429055375763</v>
      </c>
      <c r="CX68" s="62">
        <f t="shared" ref="CX68:CX131" si="68">CW68+(CO68+CP68)*44/12</f>
        <v>734.41762388709094</v>
      </c>
      <c r="CY68" s="62">
        <f ca="1">AVERAGE(OFFSET($CX$3,0,0,'Données projet'!$E$13+1,1))-AVERAGE(OFFSET($H$3,0,0,'Données projet'!$E$13+1,1))</f>
        <v>312.53381881960331</v>
      </c>
      <c r="CZ68" s="62">
        <f t="shared" si="42"/>
        <v>342.06887933351783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>
        <f>VLOOKUP(A68,'Données projet'!$A$165:$I$185,2,0)</f>
        <v>255</v>
      </c>
      <c r="DM68" s="13">
        <f>VLOOKUP(A68,'Données projet'!$A$165:$I$185,9,0)</f>
        <v>4.4000000000000004</v>
      </c>
      <c r="DN68" s="13">
        <f t="array" ref="DN68">INDEX(DM:DM,MIN(IF(ISNUMBER(DM68:DM264),ROW(DM68:DM264),"")))</f>
        <v>4.4000000000000004</v>
      </c>
      <c r="DO68" s="13">
        <f>IF('Données projet'!$A$166&gt;35,DO67+DN68-DW67,IF(A68&lt;'Données projet'!$A$166,$DL$205^A68,IF(A68='Données projet'!$A$166,'Données projet'!$B$166,DO67+DN68-DW67)))</f>
        <v>254.99999999999989</v>
      </c>
      <c r="DP68" s="18">
        <f>DO68*VLOOKUP('Données projet'!$B$14,Paramètres!$A$1:$I$89,3,0)*VLOOKUP('Données projet'!$B$14,Paramètres!$A$1:$I$89,5,0)</f>
        <v>186.96599999999992</v>
      </c>
      <c r="DQ68" s="14">
        <f t="shared" si="43"/>
        <v>46.868551400324606</v>
      </c>
      <c r="DR68" s="22">
        <f t="shared" ref="DR68:DR131" si="70">(DP68+DQ68)*0.475*44/12</f>
        <v>407.26184368889852</v>
      </c>
      <c r="DS68" s="62">
        <f t="shared" ref="DS68:DS131" si="71">DR68+(DJ68+DK68)*44/12</f>
        <v>700.59517702223184</v>
      </c>
      <c r="DT68" s="62">
        <f ca="1">AVERAGE(OFFSET($DS$3,0,0,'Données projet'!$E$14+1,1))-AVERAGE(OFFSET($H$3,0,0,'Données projet'!$E$14+1,1))</f>
        <v>290.85271051443431</v>
      </c>
      <c r="DU68" s="62">
        <f t="shared" si="44"/>
        <v>318.66958823451142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0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>
        <f>VLOOKUP(A68,'Données projet'!$A$191:$I$211,2,0)</f>
        <v>217</v>
      </c>
      <c r="EH68" s="13">
        <f>VLOOKUP(A68,'Données projet'!$A$191:$I$211,9,0)</f>
        <v>8.1999999999999993</v>
      </c>
      <c r="EI68" s="13">
        <f t="array" ref="EI68">INDEX(EH:EH,MIN(IF(ISNUMBER(EH68:EH264),ROW(EH68:EH264),"")))</f>
        <v>8.1999999999999993</v>
      </c>
      <c r="EJ68" s="13">
        <f>IF('Données projet'!$A$192&gt;35,EJ67+EI68-ER67,IF(A68&lt;'Données projet'!$A$192,$EG$205^A68,IF(A68='Données projet'!$A$192,'Données projet'!$B$192,EJ67+EI68-ER67)))</f>
        <v>216.99999999999991</v>
      </c>
      <c r="EK68" s="18">
        <f>EJ68*VLOOKUP('Données projet'!$B$15,Paramètres!$A$1:$I$89,3,0)*VLOOKUP('Données projet'!$B$15,Paramètres!$A$1:$I$89,5,0)</f>
        <v>186.18599999999995</v>
      </c>
      <c r="EL68" s="14">
        <f t="shared" si="45"/>
        <v>46.695739039470418</v>
      </c>
      <c r="EM68" s="22">
        <f t="shared" ref="EM68:EM131" si="73">(EK68+EL68)*0.475*44/12</f>
        <v>405.60236216041091</v>
      </c>
      <c r="EN68" s="62">
        <f t="shared" ref="EN68:EN131" si="74">EM68+(EE68+EF68)*44/12</f>
        <v>698.93569549374422</v>
      </c>
      <c r="EO68" s="62">
        <f ca="1">AVERAGE(OFFSET($EN$3,0,0,'Données projet'!$E$15+1,1))-AVERAGE(OFFSET($H$3,0,0,'Données projet'!$E$15+1,1))</f>
        <v>438.65317358403996</v>
      </c>
      <c r="EP68" s="62">
        <f t="shared" si="46"/>
        <v>176.81257896138806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0</v>
      </c>
      <c r="EW68" s="23">
        <f>EXP(-LN(2)/25)*EW67+(1-EXP(-LN(2)/25))/(LN(2)/25)*Calculateur!ER68*Calculateur!ET68*VLOOKUP('Données projet'!$B$15,Paramètres!$A$1:$I$89,3,0)*0.475*44/12</f>
        <v>0</v>
      </c>
      <c r="EX68" s="23">
        <f>EXP(-LN(2)/2)*EX67+(1-EXP(-LN(2)/2))/(LN(2)/2)*ER68*EU68*VLOOKUP('Données projet'!$B$15,Paramètres!$A$1:$I$89,3,0)*0.475*44/12</f>
        <v>0</v>
      </c>
      <c r="EY68" s="24">
        <f t="shared" ref="EY68:EY131" si="75">SUM(EV68:EX68)</f>
        <v>0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13.373076923076932</v>
      </c>
      <c r="N69" s="14">
        <f>IF('Données projet'!$A$36&gt;35,N68+M69-V68,IF(A69&lt;'Données projet'!$A$36,$K$205^A69,IF(A69='Données projet'!$A$36,'Données projet'!$B$36,N68+M69-V68)))</f>
        <v>416.1115384615386</v>
      </c>
      <c r="O69" s="14">
        <f>N69*VLOOKUP('Données projet'!$B$9,Paramètres!$A$1:$I$89,3,0)*VLOOKUP('Données projet'!$B$9,Paramètres!$A$1:$I$89,5,0)</f>
        <v>232.60635000000008</v>
      </c>
      <c r="P69" s="14">
        <f t="shared" ref="P69:P132" si="87">EXP(-1.0587+0.8836*LN(O69)+0.284)</f>
        <v>56.845865220702599</v>
      </c>
      <c r="Q69" s="22">
        <f t="shared" si="54"/>
        <v>504.12927484272382</v>
      </c>
      <c r="R69" s="62">
        <f t="shared" si="55"/>
        <v>797.46260817605707</v>
      </c>
      <c r="S69" s="62">
        <f ca="1">AVERAGE(OFFSET($R$3,0,0,'Données projet'!$E$9+1,1))-AVERAGE(OFFSET($H$3,0,0,'Données projet'!$E$9+1,1))</f>
        <v>323.98185264074681</v>
      </c>
      <c r="T69" s="62">
        <f t="shared" ref="T69:T132" si="88">$T$3</f>
        <v>301.22207291854005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2.1874088141884802</v>
      </c>
      <c r="AA69" s="23">
        <f>EXP(-LN(2)/25)*AA68+(1-EXP(-LN(2)/25))/(LN(2)/25)*Calculateur!V69*Calculateur!X69*VLOOKUP('Données projet'!$B$9,Paramètres!$A$1:$I$89,3,0)*0.475*44/12</f>
        <v>3.0396849966556903</v>
      </c>
      <c r="AB69" s="23">
        <f>EXP(-LN(2)/2)*AB68+(1-EXP(-LN(2)/2))/(LN(2)/2)*V69*Y69*VLOOKUP('Données projet'!$B$9,Paramètres!$A$1:$I$89,3,0)*0.475*44/12</f>
        <v>2.3223141401741107E-5</v>
      </c>
      <c r="AC69" s="24">
        <f t="shared" si="57"/>
        <v>5.2271170339855724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9.1830769230769249</v>
      </c>
      <c r="AI69" s="14">
        <f>IF('Données projet'!$A$62&gt;35,AI68+AH69-AQ68,IF(A69&lt;'Données projet'!$A$62,$AF$205^A69,IF(A69='Données projet'!$A$62,'Données projet'!$B$62,AI68+AH69-AQ68)))</f>
        <v>343.25999999999988</v>
      </c>
      <c r="AJ69" s="14">
        <f>AI69*VLOOKUP('Données projet'!$B$10,Paramètres!$A$1:$I$89,3,0)*VLOOKUP('Données projet'!$B$10,Paramètres!$A$1:$I$89,5,0)</f>
        <v>205.26947999999996</v>
      </c>
      <c r="AK69" s="14">
        <f t="shared" ref="AK69:AK132" si="89">EXP(-1.0587+0.8836*LN(AJ69)+0.284)</f>
        <v>50.900481301079942</v>
      </c>
      <c r="AL69" s="22">
        <f t="shared" si="58"/>
        <v>446.16268259938084</v>
      </c>
      <c r="AM69" s="62">
        <f t="shared" si="59"/>
        <v>739.49601593271416</v>
      </c>
      <c r="AN69" s="62">
        <f ca="1">AVERAGE(OFFSET($AM$3,0,0,'Données projet'!$E$10+1,1))-AVERAGE(OFFSET($H$3,0,0,'Données projet'!$E$10+1,1))</f>
        <v>289.12367833861299</v>
      </c>
      <c r="AO69" s="62">
        <f t="shared" ref="AO69:AO132" si="90">$AO$3</f>
        <v>229.06617320689003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1.5818920433141516E-5</v>
      </c>
      <c r="AX69" s="23">
        <f t="shared" si="60"/>
        <v>1.5818920433141516E-5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>
        <f>BD69*VLOOKUP('Données projet'!$B$11,Paramètres!$A$1:$I$89,3,0)*VLOOKUP('Données projet'!$B$11,Paramètres!$A$1:$I$89,5,0)</f>
        <v>0</v>
      </c>
      <c r="BF69" s="14" t="e">
        <f t="shared" ref="BF69:BF132" si="91">EXP(-1.0587+0.8836*LN(BE69)+0.284)</f>
        <v>#NUM!</v>
      </c>
      <c r="BG69" s="22" t="e">
        <f t="shared" si="61"/>
        <v>#NUM!</v>
      </c>
      <c r="BH69" s="62" t="e">
        <f t="shared" si="62"/>
        <v>#NUM!</v>
      </c>
      <c r="BI69" s="62">
        <f ca="1">AVERAGE(OFFSET($BH$3,0,0,'Données projet'!$E$11+1,1))-AVERAGE(OFFSET($H$3,0,0,'Données projet'!$E$11+1,1))</f>
        <v>240.22884864766218</v>
      </c>
      <c r="BJ69" s="62">
        <f t="shared" ref="BJ69:BJ132" si="92">$BJ$3</f>
        <v>343.23776884143166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3.7945751363773179</v>
      </c>
      <c r="BR69" s="23">
        <f>EXP(-LN(2)/2)*BR68+(1-EXP(-LN(2)/2))/(LN(2)/2)*BL69*BO69*VLOOKUP('Données projet'!$B$11,Paramètres!$A$1:$I$89,3,0)*0.475*44/12</f>
        <v>6.3014297031428523E-5</v>
      </c>
      <c r="BS69" s="24">
        <f t="shared" si="63"/>
        <v>3.7946381506743494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6.8</v>
      </c>
      <c r="BY69" s="13">
        <f>IF('Données projet'!$A$114&gt;35,BY68+BX69-CG68,IF(A69&lt;'Données projet'!$A$114,$BV$205^A69,IF(A69='Données projet'!$A$114,'Données projet'!$B$114,BY68+BX69-CG68)))</f>
        <v>235.79999999999993</v>
      </c>
      <c r="BZ69" s="14">
        <f>BY69*VLOOKUP('Données projet'!$B$12,Paramètres!$A$1:$I$89,3,0)*VLOOKUP('Données projet'!$B$12,Paramètres!$A$1:$I$89,5,0)</f>
        <v>213.35183999999992</v>
      </c>
      <c r="CA69" s="14">
        <f t="shared" ref="CA69:CA132" si="93">EXP(-1.0587+0.8836*LN(BZ69)+0.284)</f>
        <v>52.667370665417188</v>
      </c>
      <c r="CB69" s="22">
        <f t="shared" si="64"/>
        <v>463.31679190893482</v>
      </c>
      <c r="CC69" s="62">
        <f t="shared" si="65"/>
        <v>756.65012524226813</v>
      </c>
      <c r="CD69" s="62">
        <f ca="1">AVERAGE(OFFSET($CC$3,0,0,'Données projet'!$E$12+1,1))-AVERAGE(OFFSET($H$3,0,0,'Données projet'!$E$12+1,1))</f>
        <v>428.8489304403459</v>
      </c>
      <c r="CE69" s="62">
        <f t="shared" ref="CE69:CE132" si="94">$CE$3</f>
        <v>247.01165577562966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3.8</v>
      </c>
      <c r="CT69" s="13">
        <f>IF('Données projet'!$A$140&gt;35,CT68+CS69-DB68,IF(A69&lt;'Données projet'!$A$140,$CQ$205^A69,IF(A69='Données projet'!$A$140,'Données projet'!$B$140,CT68+CS69-DB68)))</f>
        <v>258.7999999999999</v>
      </c>
      <c r="CU69" s="18">
        <f>CT69*VLOOKUP('Données projet'!$B$13,Paramètres!$A$1:$I$89,3,0)*VLOOKUP('Données projet'!$B$13,Paramètres!$A$1:$I$89,5,0)</f>
        <v>205.90127999999993</v>
      </c>
      <c r="CV69" s="14">
        <f t="shared" ref="CV69:CV132" si="95">EXP(-1.0587+0.8836*LN(CU69)+0.284)</f>
        <v>51.038887365811213</v>
      </c>
      <c r="CW69" s="22">
        <f t="shared" si="67"/>
        <v>447.50412482878772</v>
      </c>
      <c r="CX69" s="62">
        <f t="shared" si="68"/>
        <v>740.83745816212104</v>
      </c>
      <c r="CY69" s="62">
        <f ca="1">AVERAGE(OFFSET($CX$3,0,0,'Données projet'!$E$13+1,1))-AVERAGE(OFFSET($H$3,0,0,'Données projet'!$E$13+1,1))</f>
        <v>312.53381881960331</v>
      </c>
      <c r="CZ69" s="62">
        <f t="shared" ref="CZ69:CZ132" si="96">$CZ$3</f>
        <v>342.06887933351783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3.8</v>
      </c>
      <c r="DO69" s="13">
        <f>IF('Données projet'!$A$166&gt;35,DO68+DN69-DW68,IF(A69&lt;'Données projet'!$A$166,$DL$205^A69,IF(A69='Données projet'!$A$166,'Données projet'!$B$166,DO68+DN69-DW68)))</f>
        <v>258.7999999999999</v>
      </c>
      <c r="DP69" s="18">
        <f>DO69*VLOOKUP('Données projet'!$B$14,Paramètres!$A$1:$I$89,3,0)*VLOOKUP('Données projet'!$B$14,Paramètres!$A$1:$I$89,5,0)</f>
        <v>189.75215999999992</v>
      </c>
      <c r="DQ69" s="14">
        <f t="shared" ref="DQ69:DQ132" si="97">EXP(-1.0587+0.8836*LN(DP69)+0.284)</f>
        <v>47.48515478428709</v>
      </c>
      <c r="DR69" s="22">
        <f t="shared" si="70"/>
        <v>413.18832324929986</v>
      </c>
      <c r="DS69" s="62">
        <f t="shared" si="71"/>
        <v>706.52165658263311</v>
      </c>
      <c r="DT69" s="62">
        <f ca="1">AVERAGE(OFFSET($DS$3,0,0,'Données projet'!$E$14+1,1))-AVERAGE(OFFSET($H$3,0,0,'Données projet'!$E$14+1,1))</f>
        <v>290.85271051443431</v>
      </c>
      <c r="DU69" s="62">
        <f t="shared" ref="DU69:DU132" si="98">$DU$3</f>
        <v>318.66958823451142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0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8.1999999999999993</v>
      </c>
      <c r="EJ69" s="13">
        <f>IF('Données projet'!$A$192&gt;35,EJ68+EI69-ER68,IF(A69&lt;'Données projet'!$A$192,$EG$205^A69,IF(A69='Données projet'!$A$192,'Données projet'!$B$192,EJ68+EI69-ER68)))</f>
        <v>225.1999999999999</v>
      </c>
      <c r="EK69" s="18">
        <f>EJ69*VLOOKUP('Données projet'!$B$15,Paramètres!$A$1:$I$89,3,0)*VLOOKUP('Données projet'!$B$15,Paramètres!$A$1:$I$89,5,0)</f>
        <v>193.22159999999994</v>
      </c>
      <c r="EL69" s="14">
        <f t="shared" ref="EL69:EL132" si="99">EXP(-1.0587+0.8836*LN(EK69)+0.284)</f>
        <v>48.251504398341659</v>
      </c>
      <c r="EM69" s="22">
        <f t="shared" si="73"/>
        <v>420.56565682711158</v>
      </c>
      <c r="EN69" s="62">
        <f t="shared" si="74"/>
        <v>713.8989901604449</v>
      </c>
      <c r="EO69" s="62">
        <f ca="1">AVERAGE(OFFSET($EN$3,0,0,'Données projet'!$E$15+1,1))-AVERAGE(OFFSET($H$3,0,0,'Données projet'!$E$15+1,1))</f>
        <v>438.65317358403996</v>
      </c>
      <c r="EP69" s="62">
        <f t="shared" ref="EP69:EP132" si="100">$EP$3</f>
        <v>176.81257896138806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0</v>
      </c>
      <c r="EW69" s="23">
        <f>EXP(-LN(2)/25)*EW68+(1-EXP(-LN(2)/25))/(LN(2)/25)*Calculateur!ER69*Calculateur!ET69*VLOOKUP('Données projet'!$B$15,Paramètres!$A$1:$I$89,3,0)*0.475*44/12</f>
        <v>0</v>
      </c>
      <c r="EX69" s="23">
        <f>EXP(-LN(2)/2)*EX68+(1-EXP(-LN(2)/2))/(LN(2)/2)*ER69*EU69*VLOOKUP('Données projet'!$B$15,Paramètres!$A$1:$I$89,3,0)*0.475*44/12</f>
        <v>0</v>
      </c>
      <c r="EY69" s="24">
        <f t="shared" si="75"/>
        <v>0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13.373076923076932</v>
      </c>
      <c r="N70" s="14">
        <f>IF('Données projet'!$A$36&gt;35,N69+M70-V69,IF(A70&lt;'Données projet'!$A$36,$K$205^A70,IF(A70='Données projet'!$A$36,'Données projet'!$B$36,N69+M70-V69)))</f>
        <v>429.48461538461555</v>
      </c>
      <c r="O70" s="14">
        <f>N70*VLOOKUP('Données projet'!$B$9,Paramètres!$A$1:$I$89,3,0)*VLOOKUP('Données projet'!$B$9,Paramètres!$A$1:$I$89,5,0)</f>
        <v>240.0819000000001</v>
      </c>
      <c r="P70" s="14">
        <f t="shared" si="87"/>
        <v>58.457151316256045</v>
      </c>
      <c r="Q70" s="22">
        <f t="shared" si="54"/>
        <v>519.95551437581287</v>
      </c>
      <c r="R70" s="62">
        <f t="shared" si="55"/>
        <v>813.28884770914624</v>
      </c>
      <c r="S70" s="62">
        <f ca="1">AVERAGE(OFFSET($R$3,0,0,'Données projet'!$E$9+1,1))-AVERAGE(OFFSET($H$3,0,0,'Données projet'!$E$9+1,1))</f>
        <v>323.98185264074681</v>
      </c>
      <c r="T70" s="62">
        <f t="shared" si="88"/>
        <v>301.22207291854005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2.1445150615298805</v>
      </c>
      <c r="AA70" s="23">
        <f>EXP(-LN(2)/25)*AA69+(1-EXP(-LN(2)/25))/(LN(2)/25)*Calculateur!V70*Calculateur!X70*VLOOKUP('Données projet'!$B$9,Paramètres!$A$1:$I$89,3,0)*0.475*44/12</f>
        <v>2.9565646505720538</v>
      </c>
      <c r="AB70" s="23">
        <f>EXP(-LN(2)/2)*AB69+(1-EXP(-LN(2)/2))/(LN(2)/2)*V70*Y70*VLOOKUP('Données projet'!$B$9,Paramètres!$A$1:$I$89,3,0)*0.475*44/12</f>
        <v>1.6421240765625201E-5</v>
      </c>
      <c r="AC70" s="24">
        <f t="shared" si="57"/>
        <v>5.1010961333426996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9.1830769230769249</v>
      </c>
      <c r="AI70" s="14">
        <f>IF('Données projet'!$A$62&gt;35,AI69+AH70-AQ69,IF(A70&lt;'Données projet'!$A$62,$AF$205^A70,IF(A70='Données projet'!$A$62,'Données projet'!$B$62,AI69+AH70-AQ69)))</f>
        <v>352.44307692307677</v>
      </c>
      <c r="AJ70" s="14">
        <f>AI70*VLOOKUP('Données projet'!$B$10,Paramètres!$A$1:$I$89,3,0)*VLOOKUP('Données projet'!$B$10,Paramètres!$A$1:$I$89,5,0)</f>
        <v>210.76095999999993</v>
      </c>
      <c r="AK70" s="14">
        <f t="shared" si="89"/>
        <v>52.101839581538208</v>
      </c>
      <c r="AL70" s="22">
        <f t="shared" si="58"/>
        <v>457.81937593784551</v>
      </c>
      <c r="AM70" s="62">
        <f t="shared" si="59"/>
        <v>751.15270927117876</v>
      </c>
      <c r="AN70" s="62">
        <f ca="1">AVERAGE(OFFSET($AM$3,0,0,'Données projet'!$E$10+1,1))-AVERAGE(OFFSET($H$3,0,0,'Données projet'!$E$10+1,1))</f>
        <v>289.12367833861299</v>
      </c>
      <c r="AO70" s="62">
        <f t="shared" si="90"/>
        <v>229.06617320689003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1.1185665909324803E-5</v>
      </c>
      <c r="AX70" s="23">
        <f t="shared" si="60"/>
        <v>1.1185665909324803E-5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>
        <f>BD70*VLOOKUP('Données projet'!$B$11,Paramètres!$A$1:$I$89,3,0)*VLOOKUP('Données projet'!$B$11,Paramètres!$A$1:$I$89,5,0)</f>
        <v>0</v>
      </c>
      <c r="BF70" s="14" t="e">
        <f t="shared" si="91"/>
        <v>#NUM!</v>
      </c>
      <c r="BG70" s="22" t="e">
        <f t="shared" si="61"/>
        <v>#NUM!</v>
      </c>
      <c r="BH70" s="62" t="e">
        <f t="shared" si="62"/>
        <v>#NUM!</v>
      </c>
      <c r="BI70" s="62">
        <f ca="1">AVERAGE(OFFSET($BH$3,0,0,'Données projet'!$E$11+1,1))-AVERAGE(OFFSET($H$3,0,0,'Données projet'!$E$11+1,1))</f>
        <v>240.22884864766218</v>
      </c>
      <c r="BJ70" s="62">
        <f t="shared" si="92"/>
        <v>343.23776884143166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3.6908122797250464</v>
      </c>
      <c r="BR70" s="23">
        <f>EXP(-LN(2)/2)*BR69+(1-EXP(-LN(2)/2))/(LN(2)/2)*BL70*BO70*VLOOKUP('Données projet'!$B$11,Paramètres!$A$1:$I$89,3,0)*0.475*44/12</f>
        <v>4.455783674262644E-5</v>
      </c>
      <c r="BS70" s="24">
        <f t="shared" si="63"/>
        <v>3.690856837561789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6.8</v>
      </c>
      <c r="BY70" s="13">
        <f>IF('Données projet'!$A$114&gt;35,BY69+BX70-CG69,IF(A70&lt;'Données projet'!$A$114,$BV$205^A70,IF(A70='Données projet'!$A$114,'Données projet'!$B$114,BY69+BX70-CG69)))</f>
        <v>242.59999999999994</v>
      </c>
      <c r="BZ70" s="14">
        <f>BY70*VLOOKUP('Données projet'!$B$12,Paramètres!$A$1:$I$89,3,0)*VLOOKUP('Données projet'!$B$12,Paramètres!$A$1:$I$89,5,0)</f>
        <v>219.50447999999992</v>
      </c>
      <c r="CA70" s="14">
        <f t="shared" si="93"/>
        <v>54.007172767040167</v>
      </c>
      <c r="CB70" s="22">
        <f t="shared" si="64"/>
        <v>476.36612856926143</v>
      </c>
      <c r="CC70" s="62">
        <f t="shared" si="65"/>
        <v>769.69946190259475</v>
      </c>
      <c r="CD70" s="62">
        <f ca="1">AVERAGE(OFFSET($CC$3,0,0,'Données projet'!$E$12+1,1))-AVERAGE(OFFSET($H$3,0,0,'Données projet'!$E$12+1,1))</f>
        <v>428.8489304403459</v>
      </c>
      <c r="CE70" s="62">
        <f t="shared" si="94"/>
        <v>247.01165577562966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3.8</v>
      </c>
      <c r="CT70" s="13">
        <f>IF('Données projet'!$A$140&gt;35,CT69+CS70-DB69,IF(A70&lt;'Données projet'!$A$140,$CQ$205^A70,IF(A70='Données projet'!$A$140,'Données projet'!$B$140,CT69+CS70-DB69)))</f>
        <v>262.59999999999991</v>
      </c>
      <c r="CU70" s="18">
        <f>CT70*VLOOKUP('Données projet'!$B$13,Paramètres!$A$1:$I$89,3,0)*VLOOKUP('Données projet'!$B$13,Paramètres!$A$1:$I$89,5,0)</f>
        <v>208.92455999999996</v>
      </c>
      <c r="CV70" s="14">
        <f t="shared" si="95"/>
        <v>51.700504821714368</v>
      </c>
      <c r="CW70" s="22">
        <f t="shared" si="67"/>
        <v>453.92198789781906</v>
      </c>
      <c r="CX70" s="62">
        <f t="shared" si="68"/>
        <v>747.25532123115238</v>
      </c>
      <c r="CY70" s="62">
        <f ca="1">AVERAGE(OFFSET($CX$3,0,0,'Données projet'!$E$13+1,1))-AVERAGE(OFFSET($H$3,0,0,'Données projet'!$E$13+1,1))</f>
        <v>312.53381881960331</v>
      </c>
      <c r="CZ70" s="62">
        <f t="shared" si="96"/>
        <v>342.06887933351783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3.8</v>
      </c>
      <c r="DO70" s="13">
        <f>IF('Données projet'!$A$166&gt;35,DO69+DN70-DW69,IF(A70&lt;'Données projet'!$A$166,$DL$205^A70,IF(A70='Données projet'!$A$166,'Données projet'!$B$166,DO69+DN70-DW69)))</f>
        <v>262.59999999999991</v>
      </c>
      <c r="DP70" s="18">
        <f>DO70*VLOOKUP('Données projet'!$B$14,Paramètres!$A$1:$I$89,3,0)*VLOOKUP('Données projet'!$B$14,Paramètres!$A$1:$I$89,5,0)</f>
        <v>192.53831999999994</v>
      </c>
      <c r="DQ70" s="14">
        <f t="shared" si="97"/>
        <v>48.100705179740942</v>
      </c>
      <c r="DR70" s="22">
        <f t="shared" si="70"/>
        <v>419.11296885471535</v>
      </c>
      <c r="DS70" s="62">
        <f t="shared" si="71"/>
        <v>712.44630218804866</v>
      </c>
      <c r="DT70" s="62">
        <f ca="1">AVERAGE(OFFSET($DS$3,0,0,'Données projet'!$E$14+1,1))-AVERAGE(OFFSET($H$3,0,0,'Données projet'!$E$14+1,1))</f>
        <v>290.85271051443431</v>
      </c>
      <c r="DU70" s="62">
        <f t="shared" si="98"/>
        <v>318.66958823451142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0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8.1999999999999993</v>
      </c>
      <c r="EJ70" s="13">
        <f>IF('Données projet'!$A$192&gt;35,EJ69+EI70-ER69,IF(A70&lt;'Données projet'!$A$192,$EG$205^A70,IF(A70='Données projet'!$A$192,'Données projet'!$B$192,EJ69+EI70-ER69)))</f>
        <v>233.39999999999989</v>
      </c>
      <c r="EK70" s="18">
        <f>EJ70*VLOOKUP('Données projet'!$B$15,Paramètres!$A$1:$I$89,3,0)*VLOOKUP('Données projet'!$B$15,Paramètres!$A$1:$I$89,5,0)</f>
        <v>200.25719999999993</v>
      </c>
      <c r="EL70" s="14">
        <f t="shared" si="99"/>
        <v>49.800688272128625</v>
      </c>
      <c r="EM70" s="22">
        <f t="shared" si="73"/>
        <v>435.51748874062383</v>
      </c>
      <c r="EN70" s="62">
        <f t="shared" si="74"/>
        <v>728.85082207395715</v>
      </c>
      <c r="EO70" s="62">
        <f ca="1">AVERAGE(OFFSET($EN$3,0,0,'Données projet'!$E$15+1,1))-AVERAGE(OFFSET($H$3,0,0,'Données projet'!$E$15+1,1))</f>
        <v>438.65317358403996</v>
      </c>
      <c r="EP70" s="62">
        <f t="shared" si="100"/>
        <v>176.81257896138806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0</v>
      </c>
      <c r="EW70" s="23">
        <f>EXP(-LN(2)/25)*EW69+(1-EXP(-LN(2)/25))/(LN(2)/25)*Calculateur!ER70*Calculateur!ET70*VLOOKUP('Données projet'!$B$15,Paramètres!$A$1:$I$89,3,0)*0.475*44/12</f>
        <v>0</v>
      </c>
      <c r="EX70" s="23">
        <f>EXP(-LN(2)/2)*EX69+(1-EXP(-LN(2)/2))/(LN(2)/2)*ER70*EU70*VLOOKUP('Données projet'!$B$15,Paramètres!$A$1:$I$89,3,0)*0.475*44/12</f>
        <v>0</v>
      </c>
      <c r="EY70" s="24">
        <f t="shared" si="75"/>
        <v>0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13.373076923076932</v>
      </c>
      <c r="N71" s="14">
        <f>IF('Données projet'!$A$36&gt;35,N70+M71-V70,IF(A71&lt;'Données projet'!$A$36,$K$205^A71,IF(A71='Données projet'!$A$36,'Données projet'!$B$36,N70+M71-V70)))</f>
        <v>442.8576923076925</v>
      </c>
      <c r="O71" s="14">
        <f>N71*VLOOKUP('Données projet'!$B$9,Paramètres!$A$1:$I$89,3,0)*VLOOKUP('Données projet'!$B$9,Paramètres!$A$1:$I$89,5,0)</f>
        <v>247.5574500000001</v>
      </c>
      <c r="P71" s="14">
        <f t="shared" si="87"/>
        <v>60.062607033562486</v>
      </c>
      <c r="Q71" s="22">
        <f t="shared" si="54"/>
        <v>535.7715993334549</v>
      </c>
      <c r="R71" s="62">
        <f t="shared" si="55"/>
        <v>829.10493266678827</v>
      </c>
      <c r="S71" s="62">
        <f ca="1">AVERAGE(OFFSET($R$3,0,0,'Données projet'!$E$9+1,1))-AVERAGE(OFFSET($H$3,0,0,'Données projet'!$E$9+1,1))</f>
        <v>323.98185264074681</v>
      </c>
      <c r="T71" s="62">
        <f t="shared" si="88"/>
        <v>301.22207291854005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2.1024624291983103</v>
      </c>
      <c r="AA71" s="23">
        <f>EXP(-LN(2)/25)*AA70+(1-EXP(-LN(2)/25))/(LN(2)/25)*Calculateur!V71*Calculateur!X71*VLOOKUP('Données projet'!$B$9,Paramètres!$A$1:$I$89,3,0)*0.475*44/12</f>
        <v>2.8757172347231834</v>
      </c>
      <c r="AB71" s="23">
        <f>EXP(-LN(2)/2)*AB70+(1-EXP(-LN(2)/2))/(LN(2)/2)*V71*Y71*VLOOKUP('Données projet'!$B$9,Paramètres!$A$1:$I$89,3,0)*0.475*44/12</f>
        <v>1.1611570700870553E-5</v>
      </c>
      <c r="AC71" s="24">
        <f t="shared" si="57"/>
        <v>4.9781912754921942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9.1830769230769249</v>
      </c>
      <c r="AI71" s="14">
        <f>IF('Données projet'!$A$62&gt;35,AI70+AH71-AQ70,IF(A71&lt;'Données projet'!$A$62,$AF$205^A71,IF(A71='Données projet'!$A$62,'Données projet'!$B$62,AI70+AH71-AQ70)))</f>
        <v>361.62615384615367</v>
      </c>
      <c r="AJ71" s="14">
        <f>AI71*VLOOKUP('Données projet'!$B$10,Paramètres!$A$1:$I$89,3,0)*VLOOKUP('Données projet'!$B$10,Paramètres!$A$1:$I$89,5,0)</f>
        <v>216.25243999999989</v>
      </c>
      <c r="AK71" s="14">
        <f t="shared" si="89"/>
        <v>53.299559396285737</v>
      </c>
      <c r="AL71" s="22">
        <f t="shared" si="58"/>
        <v>469.46973228186403</v>
      </c>
      <c r="AM71" s="62">
        <f t="shared" si="59"/>
        <v>762.80306561519728</v>
      </c>
      <c r="AN71" s="62">
        <f ca="1">AVERAGE(OFFSET($AM$3,0,0,'Données projet'!$E$10+1,1))-AVERAGE(OFFSET($H$3,0,0,'Données projet'!$E$10+1,1))</f>
        <v>289.12367833861299</v>
      </c>
      <c r="AO71" s="62">
        <f t="shared" si="90"/>
        <v>229.06617320689003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7.9094602165707578E-6</v>
      </c>
      <c r="AX71" s="23">
        <f t="shared" si="60"/>
        <v>7.9094602165707578E-6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>
        <f>BD71*VLOOKUP('Données projet'!$B$11,Paramètres!$A$1:$I$89,3,0)*VLOOKUP('Données projet'!$B$11,Paramètres!$A$1:$I$89,5,0)</f>
        <v>0</v>
      </c>
      <c r="BF71" s="14" t="e">
        <f t="shared" si="91"/>
        <v>#NUM!</v>
      </c>
      <c r="BG71" s="22" t="e">
        <f t="shared" si="61"/>
        <v>#NUM!</v>
      </c>
      <c r="BH71" s="62" t="e">
        <f t="shared" si="62"/>
        <v>#NUM!</v>
      </c>
      <c r="BI71" s="62">
        <f ca="1">AVERAGE(OFFSET($BH$3,0,0,'Données projet'!$E$11+1,1))-AVERAGE(OFFSET($H$3,0,0,'Données projet'!$E$11+1,1))</f>
        <v>240.22884864766218</v>
      </c>
      <c r="BJ71" s="62">
        <f t="shared" si="92"/>
        <v>343.23776884143166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3.5898868238445827</v>
      </c>
      <c r="BR71" s="23">
        <f>EXP(-LN(2)/2)*BR70+(1-EXP(-LN(2)/2))/(LN(2)/2)*BL71*BO71*VLOOKUP('Données projet'!$B$11,Paramètres!$A$1:$I$89,3,0)*0.475*44/12</f>
        <v>3.1507148515714262E-5</v>
      </c>
      <c r="BS71" s="24">
        <f t="shared" si="63"/>
        <v>3.5899183309930982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6.8</v>
      </c>
      <c r="BY71" s="13">
        <f>IF('Données projet'!$A$114&gt;35,BY70+BX71-CG70,IF(A71&lt;'Données projet'!$A$114,$BV$205^A71,IF(A71='Données projet'!$A$114,'Données projet'!$B$114,BY70+BX71-CG70)))</f>
        <v>249.39999999999995</v>
      </c>
      <c r="BZ71" s="14">
        <f>BY71*VLOOKUP('Données projet'!$B$12,Paramètres!$A$1:$I$89,3,0)*VLOOKUP('Données projet'!$B$12,Paramètres!$A$1:$I$89,5,0)</f>
        <v>225.65711999999994</v>
      </c>
      <c r="CA71" s="14">
        <f t="shared" si="93"/>
        <v>55.342610076561513</v>
      </c>
      <c r="CB71" s="22">
        <f t="shared" si="64"/>
        <v>489.40786321667775</v>
      </c>
      <c r="CC71" s="62">
        <f t="shared" si="65"/>
        <v>782.74119655001107</v>
      </c>
      <c r="CD71" s="62">
        <f ca="1">AVERAGE(OFFSET($CC$3,0,0,'Données projet'!$E$12+1,1))-AVERAGE(OFFSET($H$3,0,0,'Données projet'!$E$12+1,1))</f>
        <v>428.8489304403459</v>
      </c>
      <c r="CE71" s="62">
        <f t="shared" si="94"/>
        <v>247.01165577562966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3.8</v>
      </c>
      <c r="CT71" s="13">
        <f>IF('Données projet'!$A$140&gt;35,CT70+CS71-DB70,IF(A71&lt;'Données projet'!$A$140,$CQ$205^A71,IF(A71='Données projet'!$A$140,'Données projet'!$B$140,CT70+CS71-DB70)))</f>
        <v>266.39999999999992</v>
      </c>
      <c r="CU71" s="18">
        <f>CT71*VLOOKUP('Données projet'!$B$13,Paramètres!$A$1:$I$89,3,0)*VLOOKUP('Données projet'!$B$13,Paramètres!$A$1:$I$89,5,0)</f>
        <v>211.94783999999996</v>
      </c>
      <c r="CV71" s="14">
        <f t="shared" si="95"/>
        <v>52.361008754780862</v>
      </c>
      <c r="CW71" s="22">
        <f t="shared" si="67"/>
        <v>460.33791158124319</v>
      </c>
      <c r="CX71" s="62">
        <f t="shared" si="68"/>
        <v>753.6712449145765</v>
      </c>
      <c r="CY71" s="62">
        <f ca="1">AVERAGE(OFFSET($CX$3,0,0,'Données projet'!$E$13+1,1))-AVERAGE(OFFSET($H$3,0,0,'Données projet'!$E$13+1,1))</f>
        <v>312.53381881960331</v>
      </c>
      <c r="CZ71" s="62">
        <f t="shared" si="96"/>
        <v>342.06887933351783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3.8</v>
      </c>
      <c r="DO71" s="13">
        <f>IF('Données projet'!$A$166&gt;35,DO70+DN71-DW70,IF(A71&lt;'Données projet'!$A$166,$DL$205^A71,IF(A71='Données projet'!$A$166,'Données projet'!$B$166,DO70+DN71-DW70)))</f>
        <v>266.39999999999992</v>
      </c>
      <c r="DP71" s="18">
        <f>DO71*VLOOKUP('Données projet'!$B$14,Paramètres!$A$1:$I$89,3,0)*VLOOKUP('Données projet'!$B$14,Paramètres!$A$1:$I$89,5,0)</f>
        <v>195.32447999999994</v>
      </c>
      <c r="DQ71" s="14">
        <f t="shared" si="97"/>
        <v>48.715219584659224</v>
      </c>
      <c r="DR71" s="22">
        <f t="shared" si="70"/>
        <v>425.03581010994799</v>
      </c>
      <c r="DS71" s="62">
        <f t="shared" si="71"/>
        <v>718.36914344328125</v>
      </c>
      <c r="DT71" s="62">
        <f ca="1">AVERAGE(OFFSET($DS$3,0,0,'Données projet'!$E$14+1,1))-AVERAGE(OFFSET($H$3,0,0,'Données projet'!$E$14+1,1))</f>
        <v>290.85271051443431</v>
      </c>
      <c r="DU71" s="62">
        <f t="shared" si="98"/>
        <v>318.66958823451142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0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8.1999999999999993</v>
      </c>
      <c r="EJ71" s="13">
        <f>IF('Données projet'!$A$192&gt;35,EJ70+EI71-ER70,IF(A71&lt;'Données projet'!$A$192,$EG$205^A71,IF(A71='Données projet'!$A$192,'Données projet'!$B$192,EJ70+EI71-ER70)))</f>
        <v>241.59999999999988</v>
      </c>
      <c r="EK71" s="18">
        <f>EJ71*VLOOKUP('Données projet'!$B$15,Paramètres!$A$1:$I$89,3,0)*VLOOKUP('Données projet'!$B$15,Paramètres!$A$1:$I$89,5,0)</f>
        <v>207.29279999999991</v>
      </c>
      <c r="EL71" s="14">
        <f t="shared" si="99"/>
        <v>51.34354838235177</v>
      </c>
      <c r="EM71" s="22">
        <f t="shared" si="73"/>
        <v>450.45830676592914</v>
      </c>
      <c r="EN71" s="62">
        <f t="shared" si="74"/>
        <v>743.79164009926239</v>
      </c>
      <c r="EO71" s="62">
        <f ca="1">AVERAGE(OFFSET($EN$3,0,0,'Données projet'!$E$15+1,1))-AVERAGE(OFFSET($H$3,0,0,'Données projet'!$E$15+1,1))</f>
        <v>438.65317358403996</v>
      </c>
      <c r="EP71" s="62">
        <f t="shared" si="100"/>
        <v>176.81257896138806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0</v>
      </c>
      <c r="EW71" s="23">
        <f>EXP(-LN(2)/25)*EW70+(1-EXP(-LN(2)/25))/(LN(2)/25)*Calculateur!ER71*Calculateur!ET71*VLOOKUP('Données projet'!$B$15,Paramètres!$A$1:$I$89,3,0)*0.475*44/12</f>
        <v>0</v>
      </c>
      <c r="EX71" s="23">
        <f>EXP(-LN(2)/2)*EX70+(1-EXP(-LN(2)/2))/(LN(2)/2)*ER71*EU71*VLOOKUP('Données projet'!$B$15,Paramètres!$A$1:$I$89,3,0)*0.475*44/12</f>
        <v>0</v>
      </c>
      <c r="EY71" s="24">
        <f t="shared" si="75"/>
        <v>0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>
        <f>VLOOKUP(A72,'Données projet'!$A$35:$I$55,2,0)</f>
        <v>456.23076923076923</v>
      </c>
      <c r="L72" s="13">
        <f>VLOOKUP(A72,'Données projet'!$A$35:$I$55,9,0)</f>
        <v>13.373076923076932</v>
      </c>
      <c r="M72" s="13">
        <f t="array" ref="M72">INDEX(L:L,MIN(IF(ISNUMBER(L72:L268),ROW(L72:L268),"")))</f>
        <v>13.373076923076932</v>
      </c>
      <c r="N72" s="14">
        <f>IF('Données projet'!$A$36&gt;35,N71+M72-V71,IF(A72&lt;'Données projet'!$A$36,$K$205^A72,IF(A72='Données projet'!$A$36,'Données projet'!$B$36,N71+M72-V71)))</f>
        <v>456.23076923076945</v>
      </c>
      <c r="O72" s="14">
        <f>N72*VLOOKUP('Données projet'!$B$9,Paramètres!$A$1:$I$89,3,0)*VLOOKUP('Données projet'!$B$9,Paramètres!$A$1:$I$89,5,0)</f>
        <v>255.03300000000013</v>
      </c>
      <c r="P72" s="14">
        <f t="shared" si="87"/>
        <v>61.662428642904949</v>
      </c>
      <c r="Q72" s="22">
        <f t="shared" si="54"/>
        <v>551.57787155305971</v>
      </c>
      <c r="R72" s="62">
        <f t="shared" si="55"/>
        <v>844.91120488639308</v>
      </c>
      <c r="S72" s="62">
        <f ca="1">AVERAGE(OFFSET($R$3,0,0,'Données projet'!$E$9+1,1))-AVERAGE(OFFSET($H$3,0,0,'Données projet'!$E$9+1,1))</f>
        <v>323.98185264074681</v>
      </c>
      <c r="T72" s="62">
        <f t="shared" si="88"/>
        <v>301.22207291854005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2.0612344233371891</v>
      </c>
      <c r="AA72" s="23">
        <f>EXP(-LN(2)/25)*AA71+(1-EXP(-LN(2)/25))/(LN(2)/25)*Calculateur!V72*Calculateur!X72*VLOOKUP('Données projet'!$B$9,Paramètres!$A$1:$I$89,3,0)*0.475*44/12</f>
        <v>2.7970805957122811</v>
      </c>
      <c r="AB72" s="23">
        <f>EXP(-LN(2)/2)*AB71+(1-EXP(-LN(2)/2))/(LN(2)/2)*V72*Y72*VLOOKUP('Données projet'!$B$9,Paramètres!$A$1:$I$89,3,0)*0.475*44/12</f>
        <v>8.2106203828126005E-6</v>
      </c>
      <c r="AC72" s="24">
        <f t="shared" si="57"/>
        <v>4.8583232296698533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9.1830769230769249</v>
      </c>
      <c r="AI72" s="14">
        <f>IF('Données projet'!$A$62&gt;35,AI71+AH72-AQ71,IF(A72&lt;'Données projet'!$A$62,$AF$205^A72,IF(A72='Données projet'!$A$62,'Données projet'!$B$62,AI71+AH72-AQ71)))</f>
        <v>370.80923076923057</v>
      </c>
      <c r="AJ72" s="14">
        <f>AI72*VLOOKUP('Données projet'!$B$10,Paramètres!$A$1:$I$89,3,0)*VLOOKUP('Données projet'!$B$10,Paramètres!$A$1:$I$89,5,0)</f>
        <v>221.74391999999989</v>
      </c>
      <c r="AK72" s="14">
        <f t="shared" si="89"/>
        <v>54.493743764780973</v>
      </c>
      <c r="AL72" s="22">
        <f t="shared" si="58"/>
        <v>481.11393105699329</v>
      </c>
      <c r="AM72" s="62">
        <f t="shared" si="59"/>
        <v>774.44726439032661</v>
      </c>
      <c r="AN72" s="62">
        <f ca="1">AVERAGE(OFFSET($AM$3,0,0,'Données projet'!$E$10+1,1))-AVERAGE(OFFSET($H$3,0,0,'Données projet'!$E$10+1,1))</f>
        <v>289.12367833861299</v>
      </c>
      <c r="AO72" s="62">
        <f t="shared" si="90"/>
        <v>229.06617320689003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5.5928329546624017E-6</v>
      </c>
      <c r="AX72" s="23">
        <f t="shared" si="60"/>
        <v>5.5928329546624017E-6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>
        <f>BD72*VLOOKUP('Données projet'!$B$11,Paramètres!$A$1:$I$89,3,0)*VLOOKUP('Données projet'!$B$11,Paramètres!$A$1:$I$89,5,0)</f>
        <v>0</v>
      </c>
      <c r="BF72" s="14" t="e">
        <f t="shared" si="91"/>
        <v>#NUM!</v>
      </c>
      <c r="BG72" s="22" t="e">
        <f t="shared" si="61"/>
        <v>#NUM!</v>
      </c>
      <c r="BH72" s="62" t="e">
        <f t="shared" si="62"/>
        <v>#NUM!</v>
      </c>
      <c r="BI72" s="62">
        <f ca="1">AVERAGE(OFFSET($BH$3,0,0,'Données projet'!$E$11+1,1))-AVERAGE(OFFSET($H$3,0,0,'Données projet'!$E$11+1,1))</f>
        <v>240.22884864766218</v>
      </c>
      <c r="BJ72" s="62">
        <f t="shared" si="92"/>
        <v>343.23776884143166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3.4917211798626093</v>
      </c>
      <c r="BR72" s="23">
        <f>EXP(-LN(2)/2)*BR71+(1-EXP(-LN(2)/2))/(LN(2)/2)*BL72*BO72*VLOOKUP('Données projet'!$B$11,Paramètres!$A$1:$I$89,3,0)*0.475*44/12</f>
        <v>2.227891837131322E-5</v>
      </c>
      <c r="BS72" s="24">
        <f t="shared" si="63"/>
        <v>3.4917434587809808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6.8</v>
      </c>
      <c r="BY72" s="13">
        <f>IF('Données projet'!$A$114&gt;35,BY71+BX72-CG71,IF(A72&lt;'Données projet'!$A$114,$BV$205^A72,IF(A72='Données projet'!$A$114,'Données projet'!$B$114,BY71+BX72-CG71)))</f>
        <v>256.19999999999993</v>
      </c>
      <c r="BZ72" s="14">
        <f>BY72*VLOOKUP('Données projet'!$B$12,Paramètres!$A$1:$I$89,3,0)*VLOOKUP('Données projet'!$B$12,Paramètres!$A$1:$I$89,5,0)</f>
        <v>231.80975999999993</v>
      </c>
      <c r="CA72" s="14">
        <f t="shared" si="93"/>
        <v>56.673815277159328</v>
      </c>
      <c r="CB72" s="22">
        <f t="shared" si="64"/>
        <v>502.44222694105241</v>
      </c>
      <c r="CC72" s="62">
        <f t="shared" si="65"/>
        <v>795.77556027438573</v>
      </c>
      <c r="CD72" s="62">
        <f ca="1">AVERAGE(OFFSET($CC$3,0,0,'Données projet'!$E$12+1,1))-AVERAGE(OFFSET($H$3,0,0,'Données projet'!$E$12+1,1))</f>
        <v>428.8489304403459</v>
      </c>
      <c r="CE72" s="62">
        <f t="shared" si="94"/>
        <v>247.01165577562966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3.8</v>
      </c>
      <c r="CT72" s="13">
        <f>IF('Données projet'!$A$140&gt;35,CT71+CS72-DB71,IF(A72&lt;'Données projet'!$A$140,$CQ$205^A72,IF(A72='Données projet'!$A$140,'Données projet'!$B$140,CT71+CS72-DB71)))</f>
        <v>270.19999999999993</v>
      </c>
      <c r="CU72" s="18">
        <f>CT72*VLOOKUP('Données projet'!$B$13,Paramètres!$A$1:$I$89,3,0)*VLOOKUP('Données projet'!$B$13,Paramètres!$A$1:$I$89,5,0)</f>
        <v>214.97111999999996</v>
      </c>
      <c r="CV72" s="14">
        <f t="shared" si="95"/>
        <v>53.020416883940428</v>
      </c>
      <c r="CW72" s="22">
        <f t="shared" si="67"/>
        <v>466.75192673952944</v>
      </c>
      <c r="CX72" s="62">
        <f t="shared" si="68"/>
        <v>760.08526007286275</v>
      </c>
      <c r="CY72" s="62">
        <f ca="1">AVERAGE(OFFSET($CX$3,0,0,'Données projet'!$E$13+1,1))-AVERAGE(OFFSET($H$3,0,0,'Données projet'!$E$13+1,1))</f>
        <v>312.53381881960331</v>
      </c>
      <c r="CZ72" s="62">
        <f t="shared" si="96"/>
        <v>342.06887933351783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3.8</v>
      </c>
      <c r="DO72" s="13">
        <f>IF('Données projet'!$A$166&gt;35,DO71+DN72-DW71,IF(A72&lt;'Données projet'!$A$166,$DL$205^A72,IF(A72='Données projet'!$A$166,'Données projet'!$B$166,DO71+DN72-DW71)))</f>
        <v>270.19999999999993</v>
      </c>
      <c r="DP72" s="18">
        <f>DO72*VLOOKUP('Données projet'!$B$14,Paramètres!$A$1:$I$89,3,0)*VLOOKUP('Données projet'!$B$14,Paramètres!$A$1:$I$89,5,0)</f>
        <v>198.11063999999993</v>
      </c>
      <c r="DQ72" s="14">
        <f t="shared" si="97"/>
        <v>49.328714484239143</v>
      </c>
      <c r="DR72" s="22">
        <f t="shared" si="70"/>
        <v>430.95687572671636</v>
      </c>
      <c r="DS72" s="62">
        <f t="shared" si="71"/>
        <v>724.29020906004962</v>
      </c>
      <c r="DT72" s="62">
        <f ca="1">AVERAGE(OFFSET($DS$3,0,0,'Données projet'!$E$14+1,1))-AVERAGE(OFFSET($H$3,0,0,'Données projet'!$E$14+1,1))</f>
        <v>290.85271051443431</v>
      </c>
      <c r="DU72" s="62">
        <f t="shared" si="98"/>
        <v>318.66958823451142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0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8.1999999999999993</v>
      </c>
      <c r="EJ72" s="13">
        <f>IF('Données projet'!$A$192&gt;35,EJ71+EI72-ER71,IF(A72&lt;'Données projet'!$A$192,$EG$205^A72,IF(A72='Données projet'!$A$192,'Données projet'!$B$192,EJ71+EI72-ER71)))</f>
        <v>249.79999999999987</v>
      </c>
      <c r="EK72" s="18">
        <f>EJ72*VLOOKUP('Données projet'!$B$15,Paramètres!$A$1:$I$89,3,0)*VLOOKUP('Données projet'!$B$15,Paramètres!$A$1:$I$89,5,0)</f>
        <v>214.3283999999999</v>
      </c>
      <c r="EL72" s="14">
        <f t="shared" si="99"/>
        <v>52.880323963739635</v>
      </c>
      <c r="EM72" s="22">
        <f t="shared" si="73"/>
        <v>465.38852757017963</v>
      </c>
      <c r="EN72" s="62">
        <f t="shared" si="74"/>
        <v>758.72186090351295</v>
      </c>
      <c r="EO72" s="62">
        <f ca="1">AVERAGE(OFFSET($EN$3,0,0,'Données projet'!$E$15+1,1))-AVERAGE(OFFSET($H$3,0,0,'Données projet'!$E$15+1,1))</f>
        <v>438.65317358403996</v>
      </c>
      <c r="EP72" s="62">
        <f t="shared" si="100"/>
        <v>176.81257896138806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0</v>
      </c>
      <c r="EW72" s="23">
        <f>EXP(-LN(2)/25)*EW71+(1-EXP(-LN(2)/25))/(LN(2)/25)*Calculateur!ER72*Calculateur!ET72*VLOOKUP('Données projet'!$B$15,Paramètres!$A$1:$I$89,3,0)*0.475*44/12</f>
        <v>0</v>
      </c>
      <c r="EX72" s="23">
        <f>EXP(-LN(2)/2)*EX71+(1-EXP(-LN(2)/2))/(LN(2)/2)*ER72*EU72*VLOOKUP('Données projet'!$B$15,Paramètres!$A$1:$I$89,3,0)*0.475*44/12</f>
        <v>0</v>
      </c>
      <c r="EY72" s="24">
        <f t="shared" si="75"/>
        <v>0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469.06923076923073</v>
      </c>
      <c r="L73" s="13">
        <f>VLOOKUP(A73,'Données projet'!$A$35:$I$55,9,0)</f>
        <v>12.838461538461502</v>
      </c>
      <c r="M73" s="13">
        <f t="array" ref="M73">INDEX(L:L,MIN(IF(ISNUMBER(L73:L269),ROW(L73:L269),"")))</f>
        <v>12.838461538461502</v>
      </c>
      <c r="N73" s="14">
        <f>IF('Données projet'!$A$36&gt;35,N72+M73-V72,IF(A73&lt;'Données projet'!$A$36,$K$205^A73,IF(A73='Données projet'!$A$36,'Données projet'!$B$36,N72+M73-V72)))</f>
        <v>469.06923076923096</v>
      </c>
      <c r="O73" s="14">
        <f>N73*VLOOKUP('Données projet'!$B$9,Paramètres!$A$1:$I$89,3,0)*VLOOKUP('Données projet'!$B$9,Paramètres!$A$1:$I$89,5,0)</f>
        <v>262.20970000000011</v>
      </c>
      <c r="P73" s="14">
        <f t="shared" si="87"/>
        <v>63.193164452376678</v>
      </c>
      <c r="Q73" s="22">
        <f t="shared" si="54"/>
        <v>566.74332225455612</v>
      </c>
      <c r="R73" s="62">
        <f t="shared" si="55"/>
        <v>860.07665558788949</v>
      </c>
      <c r="S73" s="62">
        <f ca="1">AVERAGE(OFFSET($R$3,0,0,'Données projet'!$E$9+1,1))-AVERAGE(OFFSET($H$3,0,0,'Données projet'!$E$9+1,1))</f>
        <v>323.98185264074681</v>
      </c>
      <c r="T73" s="62">
        <f t="shared" si="88"/>
        <v>301.22207291854005</v>
      </c>
      <c r="U73" s="16">
        <f>IF(ISNA(VLOOKUP(A73,'Données projet'!$A$35:$I$55,3,0)),0,VLOOKUP(A73,'Données projet'!$A$35:$I$55,3,0))</f>
        <v>8</v>
      </c>
      <c r="V73" s="16">
        <f>IF(ISNA(VLOOKUP(A73,'Données projet'!$A$35:$I$55,4,0)),0,VLOOKUP(A73,'Données projet'!$A$35:$I$55,4,0))</f>
        <v>469.06923076923073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2.020814873524404</v>
      </c>
      <c r="AA73" s="23">
        <f>EXP(-LN(2)/25)*AA72+(1-EXP(-LN(2)/25))/(LN(2)/25)*Calculateur!V73*Calculateur!X73*VLOOKUP('Données projet'!$B$9,Paramètres!$A$1:$I$89,3,0)*0.475*44/12</f>
        <v>2.7205942797304532</v>
      </c>
      <c r="AB73" s="23">
        <f>EXP(-LN(2)/2)*AB72+(1-EXP(-LN(2)/2))/(LN(2)/2)*V73*Y73*VLOOKUP('Données projet'!$B$9,Paramètres!$A$1:$I$89,3,0)*0.475*44/12</f>
        <v>5.8057853504352766E-6</v>
      </c>
      <c r="AC73" s="24">
        <f t="shared" si="57"/>
        <v>4.741414959040207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379.99230769230769</v>
      </c>
      <c r="AG73" s="13">
        <f>VLOOKUP(A73,'Données projet'!$A$61:$I$81,9,0)</f>
        <v>9.1830769230769249</v>
      </c>
      <c r="AH73" s="13">
        <f t="array" ref="AH73">INDEX(AG:AG,MIN(IF(ISNUMBER(AG73:AG269),ROW(AG73:AG269),"")))</f>
        <v>9.1830769230769249</v>
      </c>
      <c r="AI73" s="14">
        <f>IF('Données projet'!$A$62&gt;35,AI72+AH73-AQ72,IF(A73&lt;'Données projet'!$A$62,$AF$205^A73,IF(A73='Données projet'!$A$62,'Données projet'!$B$62,AI72+AH73-AQ72)))</f>
        <v>379.99230769230746</v>
      </c>
      <c r="AJ73" s="14">
        <f>AI73*VLOOKUP('Données projet'!$B$10,Paramètres!$A$1:$I$89,3,0)*VLOOKUP('Données projet'!$B$10,Paramètres!$A$1:$I$89,5,0)</f>
        <v>227.23539999999988</v>
      </c>
      <c r="AK73" s="14">
        <f t="shared" si="89"/>
        <v>55.684490313081348</v>
      </c>
      <c r="AL73" s="22">
        <f t="shared" si="58"/>
        <v>492.75214229528314</v>
      </c>
      <c r="AM73" s="62">
        <f t="shared" si="59"/>
        <v>786.08547562861645</v>
      </c>
      <c r="AN73" s="62">
        <f ca="1">AVERAGE(OFFSET($AM$3,0,0,'Données projet'!$E$10+1,1))-AVERAGE(OFFSET($H$3,0,0,'Données projet'!$E$10+1,1))</f>
        <v>289.12367833861299</v>
      </c>
      <c r="AO73" s="62">
        <f t="shared" si="90"/>
        <v>229.06617320689003</v>
      </c>
      <c r="AP73" s="16">
        <f>IF(ISNA(VLOOKUP(A73,'Données projet'!$A$61:$I$81,3,0)),0,VLOOKUP(A73,'Données projet'!$A$61:$I$81,3,0))</f>
        <v>7</v>
      </c>
      <c r="AQ73" s="16">
        <f>IF(ISNA(VLOOKUP(A73,'Données projet'!$A$61:$I$81,4,0)),0,VLOOKUP(A73,'Données projet'!$A$61:$I$81,4,0))</f>
        <v>52.669230769230765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3.9547301082853789E-6</v>
      </c>
      <c r="AX73" s="23">
        <f t="shared" si="60"/>
        <v>3.9547301082853789E-6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>
        <f>BD73*VLOOKUP('Données projet'!$B$11,Paramètres!$A$1:$I$89,3,0)*VLOOKUP('Données projet'!$B$11,Paramètres!$A$1:$I$89,5,0)</f>
        <v>0</v>
      </c>
      <c r="BF73" s="14" t="e">
        <f t="shared" si="91"/>
        <v>#NUM!</v>
      </c>
      <c r="BG73" s="22" t="e">
        <f t="shared" si="61"/>
        <v>#NUM!</v>
      </c>
      <c r="BH73" s="62" t="e">
        <f t="shared" si="62"/>
        <v>#NUM!</v>
      </c>
      <c r="BI73" s="62">
        <f ca="1">AVERAGE(OFFSET($BH$3,0,0,'Données projet'!$E$11+1,1))-AVERAGE(OFFSET($H$3,0,0,'Données projet'!$E$11+1,1))</f>
        <v>240.22884864766218</v>
      </c>
      <c r="BJ73" s="62">
        <f t="shared" si="92"/>
        <v>343.23776884143166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3.3962398805776299</v>
      </c>
      <c r="BR73" s="23">
        <f>EXP(-LN(2)/2)*BR72+(1-EXP(-LN(2)/2))/(LN(2)/2)*BL73*BO73*VLOOKUP('Données projet'!$B$11,Paramètres!$A$1:$I$89,3,0)*0.475*44/12</f>
        <v>1.5753574257857131E-5</v>
      </c>
      <c r="BS73" s="24">
        <f t="shared" si="63"/>
        <v>3.3962556341518879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263</v>
      </c>
      <c r="BW73" s="13">
        <f>VLOOKUP(A73,'Données projet'!$A$113:$I$133,9,0)</f>
        <v>6.8</v>
      </c>
      <c r="BX73" s="13">
        <f t="array" ref="BX73">INDEX(BW:BW,MIN(IF(ISNUMBER(BW73:BW269),ROW(BW73:BW269),"")))</f>
        <v>6.8</v>
      </c>
      <c r="BY73" s="13">
        <f>IF('Données projet'!$A$114&gt;35,BY72+BX73-CG72,IF(A73&lt;'Données projet'!$A$114,$BV$205^A73,IF(A73='Données projet'!$A$114,'Données projet'!$B$114,BY72+BX73-CG72)))</f>
        <v>262.99999999999994</v>
      </c>
      <c r="BZ73" s="14">
        <f>BY73*VLOOKUP('Données projet'!$B$12,Paramètres!$A$1:$I$89,3,0)*VLOOKUP('Données projet'!$B$12,Paramètres!$A$1:$I$89,5,0)</f>
        <v>237.96239999999995</v>
      </c>
      <c r="CA73" s="14">
        <f t="shared" si="93"/>
        <v>58.00091360766335</v>
      </c>
      <c r="CB73" s="22">
        <f t="shared" si="64"/>
        <v>515.4694378666801</v>
      </c>
      <c r="CC73" s="62">
        <f t="shared" si="65"/>
        <v>808.80277120001347</v>
      </c>
      <c r="CD73" s="62">
        <f ca="1">AVERAGE(OFFSET($CC$3,0,0,'Données projet'!$E$12+1,1))-AVERAGE(OFFSET($H$3,0,0,'Données projet'!$E$12+1,1))</f>
        <v>428.8489304403459</v>
      </c>
      <c r="CE73" s="62">
        <f t="shared" si="94"/>
        <v>247.01165577562966</v>
      </c>
      <c r="CF73" s="16">
        <f>IF(ISNA(VLOOKUP(A73,'Données projet'!$A$113:$I$133,3,0)),0,VLOOKUP(A73,'Données projet'!$A$113:$I$133,3,0))</f>
        <v>5</v>
      </c>
      <c r="CG73" s="16">
        <f>IF(ISNA(VLOOKUP(A73,'Données projet'!$A$113:$I$133,4,0)),0,VLOOKUP(A73,'Données projet'!$A$113:$I$133,4,0))</f>
        <v>42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274</v>
      </c>
      <c r="CR73" s="13">
        <f>VLOOKUP(A73,'Données projet'!$A$139:$I$159,9,0)</f>
        <v>3.8</v>
      </c>
      <c r="CS73" s="13">
        <f t="array" ref="CS73">INDEX(CR:CR,MIN(IF(ISNUMBER(CR73:CR269),ROW(CR73:CR269),"")))</f>
        <v>3.8</v>
      </c>
      <c r="CT73" s="13">
        <f>IF('Données projet'!$A$140&gt;35,CT72+CS73-DB72,IF(A73&lt;'Données projet'!$A$140,$CQ$205^A73,IF(A73='Données projet'!$A$140,'Données projet'!$B$140,CT72+CS73-DB72)))</f>
        <v>273.99999999999994</v>
      </c>
      <c r="CU73" s="18">
        <f>CT73*VLOOKUP('Données projet'!$B$13,Paramètres!$A$1:$I$89,3,0)*VLOOKUP('Données projet'!$B$13,Paramètres!$A$1:$I$89,5,0)</f>
        <v>217.99439999999998</v>
      </c>
      <c r="CV73" s="14">
        <f t="shared" si="95"/>
        <v>53.678746401110374</v>
      </c>
      <c r="CW73" s="22">
        <f t="shared" si="67"/>
        <v>473.16406331526713</v>
      </c>
      <c r="CX73" s="62">
        <f t="shared" si="68"/>
        <v>766.49739664860044</v>
      </c>
      <c r="CY73" s="62">
        <f ca="1">AVERAGE(OFFSET($CX$3,0,0,'Données projet'!$E$13+1,1))-AVERAGE(OFFSET($H$3,0,0,'Données projet'!$E$13+1,1))</f>
        <v>312.53381881960331</v>
      </c>
      <c r="CZ73" s="62">
        <f t="shared" si="96"/>
        <v>342.06887933351783</v>
      </c>
      <c r="DA73" s="16">
        <f>IF(ISNA(VLOOKUP(A73,'Données projet'!$A$139:$I$159,3,0)),0,VLOOKUP(A73,'Données projet'!$A$139:$I$159,3,0))</f>
        <v>6</v>
      </c>
      <c r="DB73" s="16">
        <f>IF(ISNA(VLOOKUP(A73,'Données projet'!$A$139:$I$159,4,0)),0,VLOOKUP(A73,'Données projet'!$A$139:$I$159,4,0))</f>
        <v>21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274</v>
      </c>
      <c r="DM73" s="13">
        <f>VLOOKUP(A73,'Données projet'!$A$165:$I$185,9,0)</f>
        <v>3.8</v>
      </c>
      <c r="DN73" s="13">
        <f t="array" ref="DN73">INDEX(DM:DM,MIN(IF(ISNUMBER(DM73:DM269),ROW(DM73:DM269),"")))</f>
        <v>3.8</v>
      </c>
      <c r="DO73" s="13">
        <f>IF('Données projet'!$A$166&gt;35,DO72+DN73-DW72,IF(A73&lt;'Données projet'!$A$166,$DL$205^A73,IF(A73='Données projet'!$A$166,'Données projet'!$B$166,DO72+DN73-DW72)))</f>
        <v>273.99999999999994</v>
      </c>
      <c r="DP73" s="18">
        <f>DO73*VLOOKUP('Données projet'!$B$14,Paramètres!$A$1:$I$89,3,0)*VLOOKUP('Données projet'!$B$14,Paramètres!$A$1:$I$89,5,0)</f>
        <v>200.89679999999996</v>
      </c>
      <c r="DQ73" s="14">
        <f t="shared" si="97"/>
        <v>49.941205873360218</v>
      </c>
      <c r="DR73" s="22">
        <f t="shared" si="70"/>
        <v>436.87619356276895</v>
      </c>
      <c r="DS73" s="62">
        <f t="shared" si="71"/>
        <v>730.20952689610226</v>
      </c>
      <c r="DT73" s="62">
        <f ca="1">AVERAGE(OFFSET($DS$3,0,0,'Données projet'!$E$14+1,1))-AVERAGE(OFFSET($H$3,0,0,'Données projet'!$E$14+1,1))</f>
        <v>290.85271051443431</v>
      </c>
      <c r="DU73" s="62">
        <f t="shared" si="98"/>
        <v>318.66958823451142</v>
      </c>
      <c r="DV73" s="16">
        <f>IF(ISNA(VLOOKUP(A73,'Données projet'!$A$165:$I$185,3,0)),0,VLOOKUP(A73,'Données projet'!$A$165:$I$185,3,0))</f>
        <v>6</v>
      </c>
      <c r="DW73" s="16">
        <f>IF(ISNA(VLOOKUP(A73,'Données projet'!$A$165:$I$185,4,0)),0,VLOOKUP(A73,'Données projet'!$A$165:$I$185,4,0))</f>
        <v>21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0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>
        <f>VLOOKUP(A73,'Données projet'!$A$191:$I$211,2,0)</f>
        <v>258</v>
      </c>
      <c r="EH73" s="13">
        <f>VLOOKUP(A73,'Données projet'!$A$191:$I$211,9,0)</f>
        <v>8.1999999999999993</v>
      </c>
      <c r="EI73" s="13">
        <f t="array" ref="EI73">INDEX(EH:EH,MIN(IF(ISNUMBER(EH73:EH269),ROW(EH73:EH269),"")))</f>
        <v>8.1999999999999993</v>
      </c>
      <c r="EJ73" s="13">
        <f>IF('Données projet'!$A$192&gt;35,EJ72+EI73-ER72,IF(A73&lt;'Données projet'!$A$192,$EG$205^A73,IF(A73='Données projet'!$A$192,'Données projet'!$B$192,EJ72+EI73-ER72)))</f>
        <v>257.99999999999989</v>
      </c>
      <c r="EK73" s="18">
        <f>EJ73*VLOOKUP('Données projet'!$B$15,Paramètres!$A$1:$I$89,3,0)*VLOOKUP('Données projet'!$B$15,Paramètres!$A$1:$I$89,5,0)</f>
        <v>221.36399999999992</v>
      </c>
      <c r="EL73" s="14">
        <f t="shared" si="99"/>
        <v>54.411237653200743</v>
      </c>
      <c r="EM73" s="22">
        <f t="shared" si="73"/>
        <v>480.30853891265775</v>
      </c>
      <c r="EN73" s="62">
        <f t="shared" si="74"/>
        <v>773.64187224599107</v>
      </c>
      <c r="EO73" s="62">
        <f ca="1">AVERAGE(OFFSET($EN$3,0,0,'Données projet'!$E$15+1,1))-AVERAGE(OFFSET($H$3,0,0,'Données projet'!$E$15+1,1))</f>
        <v>438.65317358403996</v>
      </c>
      <c r="EP73" s="62">
        <f t="shared" si="100"/>
        <v>176.81257896138806</v>
      </c>
      <c r="EQ73" s="16">
        <f>IF(ISNA(VLOOKUP(A73,'Données projet'!$A$191:$I$211,3,0)),0,VLOOKUP(A73,'Données projet'!$A$191:$I$211,3,0))</f>
        <v>5</v>
      </c>
      <c r="ER73" s="16">
        <f>IF(ISNA(VLOOKUP(A73,'Données projet'!$A$191:$I$211,4,0)),0,VLOOKUP(A73,'Données projet'!$A$191:$I$211,4,0))</f>
        <v>42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projet'!$B$15,Paramètres!$A$1:$I$89,3,0)*0.475*44/12</f>
        <v>0</v>
      </c>
      <c r="EW73" s="23">
        <f>EXP(-LN(2)/25)*EW72+(1-EXP(-LN(2)/25))/(LN(2)/25)*Calculateur!ER73*Calculateur!ET73*VLOOKUP('Données projet'!$B$15,Paramètres!$A$1:$I$89,3,0)*0.475*44/12</f>
        <v>0</v>
      </c>
      <c r="EX73" s="23">
        <f>EXP(-LN(2)/2)*EX72+(1-EXP(-LN(2)/2))/(LN(2)/2)*ER73*EU73*VLOOKUP('Données projet'!$B$15,Paramètres!$A$1:$I$89,3,0)*0.475*44/12</f>
        <v>0</v>
      </c>
      <c r="EY73" s="24">
        <f t="shared" si="75"/>
        <v>0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2.2737367544323206E-13</v>
      </c>
      <c r="O74" s="14">
        <f>N74*VLOOKUP('Données projet'!$B$9,Paramètres!$A$1:$I$89,3,0)*VLOOKUP('Données projet'!$B$9,Paramètres!$A$1:$I$89,5,0)</f>
        <v>1.2710188457276673E-13</v>
      </c>
      <c r="P74" s="14">
        <f t="shared" si="87"/>
        <v>1.856866851063998E-12</v>
      </c>
      <c r="Q74" s="22">
        <f t="shared" si="54"/>
        <v>3.4554122145673649E-12</v>
      </c>
      <c r="R74" s="62">
        <f t="shared" si="55"/>
        <v>293.33333333333678</v>
      </c>
      <c r="S74" s="62">
        <f ca="1">AVERAGE(OFFSET($R$3,0,0,'Données projet'!$E$9+1,1))-AVERAGE(OFFSET($H$3,0,0,'Données projet'!$E$9+1,1))</f>
        <v>323.98185264074681</v>
      </c>
      <c r="T74" s="62">
        <f t="shared" si="88"/>
        <v>301.22207291854005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1.9811879264299566</v>
      </c>
      <c r="AA74" s="23">
        <f>EXP(-LN(2)/25)*AA73+(1-EXP(-LN(2)/25))/(LN(2)/25)*Calculateur!V74*Calculateur!X74*VLOOKUP('Données projet'!$B$9,Paramètres!$A$1:$I$89,3,0)*0.475*44/12</f>
        <v>2.6461994860813887</v>
      </c>
      <c r="AB74" s="23">
        <f>EXP(-LN(2)/2)*AB73+(1-EXP(-LN(2)/2))/(LN(2)/2)*V74*Y74*VLOOKUP('Données projet'!$B$9,Paramètres!$A$1:$I$89,3,0)*0.475*44/12</f>
        <v>4.1053101914063002E-6</v>
      </c>
      <c r="AC74" s="24">
        <f t="shared" si="57"/>
        <v>4.6273915178215361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7.5584615384615343</v>
      </c>
      <c r="AI74" s="14">
        <f>IF('Données projet'!$A$62&gt;35,AI73+AH74-AQ73,IF(A74&lt;'Données projet'!$A$62,$AF$205^A74,IF(A74='Données projet'!$A$62,'Données projet'!$B$62,AI73+AH74-AQ73)))</f>
        <v>334.88153846153824</v>
      </c>
      <c r="AJ74" s="14">
        <f>AI74*VLOOKUP('Données projet'!$B$10,Paramètres!$A$1:$I$89,3,0)*VLOOKUP('Données projet'!$B$10,Paramètres!$A$1:$I$89,5,0)</f>
        <v>200.25915999999989</v>
      </c>
      <c r="AK74" s="14">
        <f t="shared" si="89"/>
        <v>49.801118956127333</v>
      </c>
      <c r="AL74" s="22">
        <f t="shared" si="58"/>
        <v>435.52165251525486</v>
      </c>
      <c r="AM74" s="62">
        <f t="shared" si="59"/>
        <v>728.85498584858817</v>
      </c>
      <c r="AN74" s="62">
        <f ca="1">AVERAGE(OFFSET($AM$3,0,0,'Données projet'!$E$10+1,1))-AVERAGE(OFFSET($H$3,0,0,'Données projet'!$E$10+1,1))</f>
        <v>289.12367833861299</v>
      </c>
      <c r="AO74" s="62">
        <f t="shared" si="90"/>
        <v>229.06617320689003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2.7964164773312009E-6</v>
      </c>
      <c r="AX74" s="23">
        <f t="shared" si="60"/>
        <v>2.7964164773312009E-6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>
        <f>BD74*VLOOKUP('Données projet'!$B$11,Paramètres!$A$1:$I$89,3,0)*VLOOKUP('Données projet'!$B$11,Paramètres!$A$1:$I$89,5,0)</f>
        <v>0</v>
      </c>
      <c r="BF74" s="14" t="e">
        <f t="shared" si="91"/>
        <v>#NUM!</v>
      </c>
      <c r="BG74" s="22" t="e">
        <f t="shared" si="61"/>
        <v>#NUM!</v>
      </c>
      <c r="BH74" s="62" t="e">
        <f t="shared" si="62"/>
        <v>#NUM!</v>
      </c>
      <c r="BI74" s="62">
        <f ca="1">AVERAGE(OFFSET($BH$3,0,0,'Données projet'!$E$11+1,1))-AVERAGE(OFFSET($H$3,0,0,'Données projet'!$E$11+1,1))</f>
        <v>240.22884864766218</v>
      </c>
      <c r="BJ74" s="62">
        <f t="shared" si="92"/>
        <v>343.23776884143166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3.3033695224427415</v>
      </c>
      <c r="BR74" s="23">
        <f>EXP(-LN(2)/2)*BR73+(1-EXP(-LN(2)/2))/(LN(2)/2)*BL74*BO74*VLOOKUP('Données projet'!$B$11,Paramètres!$A$1:$I$89,3,0)*0.475*44/12</f>
        <v>1.113945918565661E-5</v>
      </c>
      <c r="BS74" s="24">
        <f t="shared" si="63"/>
        <v>3.3033806619019273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6.2</v>
      </c>
      <c r="BY74" s="13">
        <f>IF('Données projet'!$A$114&gt;35,BY73+BX74-CG73,IF(A74&lt;'Données projet'!$A$114,$BV$205^A74,IF(A74='Données projet'!$A$114,'Données projet'!$B$114,BY73+BX74-CG73)))</f>
        <v>227.19999999999993</v>
      </c>
      <c r="BZ74" s="14">
        <f>BY74*VLOOKUP('Données projet'!$B$12,Paramètres!$A$1:$I$89,3,0)*VLOOKUP('Données projet'!$B$12,Paramètres!$A$1:$I$89,5,0)</f>
        <v>205.57055999999994</v>
      </c>
      <c r="CA74" s="14">
        <f t="shared" si="93"/>
        <v>50.966443946767392</v>
      </c>
      <c r="CB74" s="22">
        <f t="shared" si="64"/>
        <v>446.80194854061978</v>
      </c>
      <c r="CC74" s="62">
        <f t="shared" si="65"/>
        <v>740.13528187395309</v>
      </c>
      <c r="CD74" s="62">
        <f ca="1">AVERAGE(OFFSET($CC$3,0,0,'Données projet'!$E$12+1,1))-AVERAGE(OFFSET($H$3,0,0,'Données projet'!$E$12+1,1))</f>
        <v>428.8489304403459</v>
      </c>
      <c r="CE74" s="62">
        <f t="shared" si="94"/>
        <v>247.01165577562966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3.4</v>
      </c>
      <c r="CT74" s="13">
        <f>IF('Données projet'!$A$140&gt;35,CT73+CS74-DB73,IF(A74&lt;'Données projet'!$A$140,$CQ$205^A74,IF(A74='Données projet'!$A$140,'Données projet'!$B$140,CT73+CS74-DB73)))</f>
        <v>256.39999999999992</v>
      </c>
      <c r="CU74" s="18">
        <f>CT74*VLOOKUP('Données projet'!$B$13,Paramètres!$A$1:$I$89,3,0)*VLOOKUP('Données projet'!$B$13,Paramètres!$A$1:$I$89,5,0)</f>
        <v>203.99183999999994</v>
      </c>
      <c r="CV74" s="14">
        <f t="shared" si="95"/>
        <v>50.620441749347997</v>
      </c>
      <c r="CW74" s="22">
        <f t="shared" si="67"/>
        <v>443.449724046781</v>
      </c>
      <c r="CX74" s="62">
        <f t="shared" si="68"/>
        <v>736.78305738011431</v>
      </c>
      <c r="CY74" s="62">
        <f ca="1">AVERAGE(OFFSET($CX$3,0,0,'Données projet'!$E$13+1,1))-AVERAGE(OFFSET($H$3,0,0,'Données projet'!$E$13+1,1))</f>
        <v>312.53381881960331</v>
      </c>
      <c r="CZ74" s="62">
        <f t="shared" si="96"/>
        <v>342.06887933351783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3.4</v>
      </c>
      <c r="DO74" s="13">
        <f>IF('Données projet'!$A$166&gt;35,DO73+DN74-DW73,IF(A74&lt;'Données projet'!$A$166,$DL$205^A74,IF(A74='Données projet'!$A$166,'Données projet'!$B$166,DO73+DN74-DW73)))</f>
        <v>256.39999999999992</v>
      </c>
      <c r="DP74" s="18">
        <f>DO74*VLOOKUP('Données projet'!$B$14,Paramètres!$A$1:$I$89,3,0)*VLOOKUP('Données projet'!$B$14,Paramètres!$A$1:$I$89,5,0)</f>
        <v>187.99247999999994</v>
      </c>
      <c r="DQ74" s="14">
        <f t="shared" si="97"/>
        <v>47.095844674053957</v>
      </c>
      <c r="DR74" s="22">
        <f t="shared" si="70"/>
        <v>409.44549880731051</v>
      </c>
      <c r="DS74" s="62">
        <f t="shared" si="71"/>
        <v>702.77883214064377</v>
      </c>
      <c r="DT74" s="62">
        <f ca="1">AVERAGE(OFFSET($DS$3,0,0,'Données projet'!$E$14+1,1))-AVERAGE(OFFSET($H$3,0,0,'Données projet'!$E$14+1,1))</f>
        <v>290.85271051443431</v>
      </c>
      <c r="DU74" s="62">
        <f t="shared" si="98"/>
        <v>318.66958823451142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0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7.6</v>
      </c>
      <c r="EJ74" s="13">
        <f>IF('Données projet'!$A$192&gt;35,EJ73+EI74-ER73,IF(A74&lt;'Données projet'!$A$192,$EG$205^A74,IF(A74='Données projet'!$A$192,'Données projet'!$B$192,EJ73+EI74-ER73)))</f>
        <v>223.59999999999991</v>
      </c>
      <c r="EK74" s="18">
        <f>EJ74*VLOOKUP('Données projet'!$B$15,Paramètres!$A$1:$I$89,3,0)*VLOOKUP('Données projet'!$B$15,Paramètres!$A$1:$I$89,5,0)</f>
        <v>191.84879999999995</v>
      </c>
      <c r="EL74" s="14">
        <f t="shared" si="99"/>
        <v>47.948465637272854</v>
      </c>
      <c r="EM74" s="22">
        <f t="shared" si="73"/>
        <v>417.64690431825011</v>
      </c>
      <c r="EN74" s="62">
        <f t="shared" si="74"/>
        <v>710.98023765158337</v>
      </c>
      <c r="EO74" s="62">
        <f ca="1">AVERAGE(OFFSET($EN$3,0,0,'Données projet'!$E$15+1,1))-AVERAGE(OFFSET($H$3,0,0,'Données projet'!$E$15+1,1))</f>
        <v>438.65317358403996</v>
      </c>
      <c r="EP74" s="62">
        <f t="shared" si="100"/>
        <v>176.81257896138806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0</v>
      </c>
      <c r="EW74" s="23">
        <f>EXP(-LN(2)/25)*EW73+(1-EXP(-LN(2)/25))/(LN(2)/25)*Calculateur!ER74*Calculateur!ET74*VLOOKUP('Données projet'!$B$15,Paramètres!$A$1:$I$89,3,0)*0.475*44/12</f>
        <v>0</v>
      </c>
      <c r="EX74" s="23">
        <f>EXP(-LN(2)/2)*EX73+(1-EXP(-LN(2)/2))/(LN(2)/2)*ER74*EU74*VLOOKUP('Données projet'!$B$15,Paramètres!$A$1:$I$89,3,0)*0.475*44/12</f>
        <v>0</v>
      </c>
      <c r="EY74" s="24">
        <f t="shared" si="75"/>
        <v>0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2.2737367544323206E-13</v>
      </c>
      <c r="O75" s="14">
        <f>N75*VLOOKUP('Données projet'!$B$9,Paramètres!$A$1:$I$89,3,0)*VLOOKUP('Données projet'!$B$9,Paramètres!$A$1:$I$89,5,0)</f>
        <v>1.2710188457276673E-13</v>
      </c>
      <c r="P75" s="14">
        <f t="shared" si="87"/>
        <v>1.856866851063998E-12</v>
      </c>
      <c r="Q75" s="22">
        <f t="shared" si="54"/>
        <v>3.4554122145673649E-12</v>
      </c>
      <c r="R75" s="62">
        <f t="shared" si="55"/>
        <v>293.33333333333678</v>
      </c>
      <c r="S75" s="62">
        <f ca="1">AVERAGE(OFFSET($R$3,0,0,'Données projet'!$E$9+1,1))-AVERAGE(OFFSET($H$3,0,0,'Données projet'!$E$9+1,1))</f>
        <v>323.98185264074681</v>
      </c>
      <c r="T75" s="62">
        <f t="shared" si="88"/>
        <v>301.22207291854005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1.9423380395979801</v>
      </c>
      <c r="AA75" s="23">
        <f>EXP(-LN(2)/25)*AA74+(1-EXP(-LN(2)/25))/(LN(2)/25)*Calculateur!V75*Calculateur!X75*VLOOKUP('Données projet'!$B$9,Paramètres!$A$1:$I$89,3,0)*0.475*44/12</f>
        <v>2.5738390219769101</v>
      </c>
      <c r="AB75" s="23">
        <f>EXP(-LN(2)/2)*AB74+(1-EXP(-LN(2)/2))/(LN(2)/2)*V75*Y75*VLOOKUP('Données projet'!$B$9,Paramètres!$A$1:$I$89,3,0)*0.475*44/12</f>
        <v>2.9028926752176383E-6</v>
      </c>
      <c r="AC75" s="24">
        <f t="shared" si="57"/>
        <v>4.5161799644675655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7.5584615384615343</v>
      </c>
      <c r="AI75" s="14">
        <f>IF('Données projet'!$A$62&gt;35,AI74+AH75-AQ74,IF(A75&lt;'Données projet'!$A$62,$AF$205^A75,IF(A75='Données projet'!$A$62,'Données projet'!$B$62,AI74+AH75-AQ74)))</f>
        <v>342.43999999999977</v>
      </c>
      <c r="AJ75" s="14">
        <f>AI75*VLOOKUP('Données projet'!$B$10,Paramètres!$A$1:$I$89,3,0)*VLOOKUP('Données projet'!$B$10,Paramètres!$A$1:$I$89,5,0)</f>
        <v>204.77911999999986</v>
      </c>
      <c r="AK75" s="14">
        <f t="shared" si="89"/>
        <v>50.79302579334589</v>
      </c>
      <c r="AL75" s="22">
        <f t="shared" si="58"/>
        <v>445.12148725674388</v>
      </c>
      <c r="AM75" s="62">
        <f t="shared" si="59"/>
        <v>738.45482059007713</v>
      </c>
      <c r="AN75" s="62">
        <f ca="1">AVERAGE(OFFSET($AM$3,0,0,'Données projet'!$E$10+1,1))-AVERAGE(OFFSET($H$3,0,0,'Données projet'!$E$10+1,1))</f>
        <v>289.12367833861299</v>
      </c>
      <c r="AO75" s="62">
        <f t="shared" si="90"/>
        <v>229.06617320689003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1.9773650541426895E-6</v>
      </c>
      <c r="AX75" s="23">
        <f t="shared" si="60"/>
        <v>1.9773650541426895E-6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>
        <f>BD75*VLOOKUP('Données projet'!$B$11,Paramètres!$A$1:$I$89,3,0)*VLOOKUP('Données projet'!$B$11,Paramètres!$A$1:$I$89,5,0)</f>
        <v>0</v>
      </c>
      <c r="BF75" s="14" t="e">
        <f t="shared" si="91"/>
        <v>#NUM!</v>
      </c>
      <c r="BG75" s="22" t="e">
        <f t="shared" si="61"/>
        <v>#NUM!</v>
      </c>
      <c r="BH75" s="62" t="e">
        <f t="shared" si="62"/>
        <v>#NUM!</v>
      </c>
      <c r="BI75" s="62">
        <f ca="1">AVERAGE(OFFSET($BH$3,0,0,'Données projet'!$E$11+1,1))-AVERAGE(OFFSET($H$3,0,0,'Données projet'!$E$11+1,1))</f>
        <v>240.22884864766218</v>
      </c>
      <c r="BJ75" s="62">
        <f t="shared" si="92"/>
        <v>343.23776884143166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3.2130387091348913</v>
      </c>
      <c r="BR75" s="23">
        <f>EXP(-LN(2)/2)*BR74+(1-EXP(-LN(2)/2))/(LN(2)/2)*BL75*BO75*VLOOKUP('Données projet'!$B$11,Paramètres!$A$1:$I$89,3,0)*0.475*44/12</f>
        <v>7.8767871289285654E-6</v>
      </c>
      <c r="BS75" s="24">
        <f t="shared" si="63"/>
        <v>3.2130465859220201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6.2</v>
      </c>
      <c r="BY75" s="13">
        <f>IF('Données projet'!$A$114&gt;35,BY74+BX75-CG74,IF(A75&lt;'Données projet'!$A$114,$BV$205^A75,IF(A75='Données projet'!$A$114,'Données projet'!$B$114,BY74+BX75-CG74)))</f>
        <v>233.39999999999992</v>
      </c>
      <c r="BZ75" s="14">
        <f>BY75*VLOOKUP('Données projet'!$B$12,Paramètres!$A$1:$I$89,3,0)*VLOOKUP('Données projet'!$B$12,Paramètres!$A$1:$I$89,5,0)</f>
        <v>211.18031999999994</v>
      </c>
      <c r="CA75" s="14">
        <f t="shared" si="93"/>
        <v>52.193431117443019</v>
      </c>
      <c r="CB75" s="22">
        <f t="shared" si="64"/>
        <v>458.70928319621316</v>
      </c>
      <c r="CC75" s="62">
        <f t="shared" si="65"/>
        <v>752.04261652954642</v>
      </c>
      <c r="CD75" s="62">
        <f ca="1">AVERAGE(OFFSET($CC$3,0,0,'Données projet'!$E$12+1,1))-AVERAGE(OFFSET($H$3,0,0,'Données projet'!$E$12+1,1))</f>
        <v>428.8489304403459</v>
      </c>
      <c r="CE75" s="62">
        <f t="shared" si="94"/>
        <v>247.01165577562966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3.4</v>
      </c>
      <c r="CT75" s="13">
        <f>IF('Données projet'!$A$140&gt;35,CT74+CS75-DB74,IF(A75&lt;'Données projet'!$A$140,$CQ$205^A75,IF(A75='Données projet'!$A$140,'Données projet'!$B$140,CT74+CS75-DB74)))</f>
        <v>259.7999999999999</v>
      </c>
      <c r="CU75" s="18">
        <f>CT75*VLOOKUP('Données projet'!$B$13,Paramètres!$A$1:$I$89,3,0)*VLOOKUP('Données projet'!$B$13,Paramètres!$A$1:$I$89,5,0)</f>
        <v>206.69687999999994</v>
      </c>
      <c r="CV75" s="14">
        <f t="shared" si="95"/>
        <v>51.213106197404436</v>
      </c>
      <c r="CW75" s="22">
        <f t="shared" si="67"/>
        <v>449.1932259604792</v>
      </c>
      <c r="CX75" s="62">
        <f t="shared" si="68"/>
        <v>742.52655929381251</v>
      </c>
      <c r="CY75" s="62">
        <f ca="1">AVERAGE(OFFSET($CX$3,0,0,'Données projet'!$E$13+1,1))-AVERAGE(OFFSET($H$3,0,0,'Données projet'!$E$13+1,1))</f>
        <v>312.53381881960331</v>
      </c>
      <c r="CZ75" s="62">
        <f t="shared" si="96"/>
        <v>342.06887933351783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3.4</v>
      </c>
      <c r="DO75" s="13">
        <f>IF('Données projet'!$A$166&gt;35,DO74+DN75-DW74,IF(A75&lt;'Données projet'!$A$166,$DL$205^A75,IF(A75='Données projet'!$A$166,'Données projet'!$B$166,DO74+DN75-DW74)))</f>
        <v>259.7999999999999</v>
      </c>
      <c r="DP75" s="18">
        <f>DO75*VLOOKUP('Données projet'!$B$14,Paramètres!$A$1:$I$89,3,0)*VLOOKUP('Données projet'!$B$14,Paramètres!$A$1:$I$89,5,0)</f>
        <v>190.48535999999993</v>
      </c>
      <c r="DQ75" s="14">
        <f t="shared" si="97"/>
        <v>47.647243117546594</v>
      </c>
      <c r="DR75" s="22">
        <f t="shared" si="70"/>
        <v>414.74761709639353</v>
      </c>
      <c r="DS75" s="62">
        <f t="shared" si="71"/>
        <v>708.08095042972684</v>
      </c>
      <c r="DT75" s="62">
        <f ca="1">AVERAGE(OFFSET($DS$3,0,0,'Données projet'!$E$14+1,1))-AVERAGE(OFFSET($H$3,0,0,'Données projet'!$E$14+1,1))</f>
        <v>290.85271051443431</v>
      </c>
      <c r="DU75" s="62">
        <f t="shared" si="98"/>
        <v>318.66958823451142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0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7.6</v>
      </c>
      <c r="EJ75" s="13">
        <f>IF('Données projet'!$A$192&gt;35,EJ74+EI75-ER74,IF(A75&lt;'Données projet'!$A$192,$EG$205^A75,IF(A75='Données projet'!$A$192,'Données projet'!$B$192,EJ74+EI75-ER74)))</f>
        <v>231.1999999999999</v>
      </c>
      <c r="EK75" s="18">
        <f>EJ75*VLOOKUP('Données projet'!$B$15,Paramètres!$A$1:$I$89,3,0)*VLOOKUP('Données projet'!$B$15,Paramètres!$A$1:$I$89,5,0)</f>
        <v>198.36959999999993</v>
      </c>
      <c r="EL75" s="14">
        <f t="shared" si="99"/>
        <v>49.385684634618876</v>
      </c>
      <c r="EM75" s="22">
        <f t="shared" si="73"/>
        <v>431.50712073862775</v>
      </c>
      <c r="EN75" s="62">
        <f t="shared" si="74"/>
        <v>724.84045407196106</v>
      </c>
      <c r="EO75" s="62">
        <f ca="1">AVERAGE(OFFSET($EN$3,0,0,'Données projet'!$E$15+1,1))-AVERAGE(OFFSET($H$3,0,0,'Données projet'!$E$15+1,1))</f>
        <v>438.65317358403996</v>
      </c>
      <c r="EP75" s="62">
        <f t="shared" si="100"/>
        <v>176.81257896138806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0</v>
      </c>
      <c r="EW75" s="23">
        <f>EXP(-LN(2)/25)*EW74+(1-EXP(-LN(2)/25))/(LN(2)/25)*Calculateur!ER75*Calculateur!ET75*VLOOKUP('Données projet'!$B$15,Paramètres!$A$1:$I$89,3,0)*0.475*44/12</f>
        <v>0</v>
      </c>
      <c r="EX75" s="23">
        <f>EXP(-LN(2)/2)*EX74+(1-EXP(-LN(2)/2))/(LN(2)/2)*ER75*EU75*VLOOKUP('Données projet'!$B$15,Paramètres!$A$1:$I$89,3,0)*0.475*44/12</f>
        <v>0</v>
      </c>
      <c r="EY75" s="24">
        <f t="shared" si="75"/>
        <v>0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2.2737367544323206E-13</v>
      </c>
      <c r="O76" s="14">
        <f>N76*VLOOKUP('Données projet'!$B$9,Paramètres!$A$1:$I$89,3,0)*VLOOKUP('Données projet'!$B$9,Paramètres!$A$1:$I$89,5,0)</f>
        <v>1.2710188457276673E-13</v>
      </c>
      <c r="P76" s="14">
        <f t="shared" si="87"/>
        <v>1.856866851063998E-12</v>
      </c>
      <c r="Q76" s="22">
        <f t="shared" si="54"/>
        <v>3.4554122145673649E-12</v>
      </c>
      <c r="R76" s="62">
        <f t="shared" si="55"/>
        <v>293.33333333333678</v>
      </c>
      <c r="S76" s="62">
        <f ca="1">AVERAGE(OFFSET($R$3,0,0,'Données projet'!$E$9+1,1))-AVERAGE(OFFSET($H$3,0,0,'Données projet'!$E$9+1,1))</f>
        <v>323.98185264074681</v>
      </c>
      <c r="T76" s="62">
        <f t="shared" si="88"/>
        <v>301.22207291854005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1.9042499753506876</v>
      </c>
      <c r="AA76" s="23">
        <f>EXP(-LN(2)/25)*AA75+(1-EXP(-LN(2)/25))/(LN(2)/25)*Calculateur!V76*Calculateur!X76*VLOOKUP('Données projet'!$B$9,Paramètres!$A$1:$I$89,3,0)*0.475*44/12</f>
        <v>2.5034572585686399</v>
      </c>
      <c r="AB76" s="23">
        <f>EXP(-LN(2)/2)*AB75+(1-EXP(-LN(2)/2))/(LN(2)/2)*V76*Y76*VLOOKUP('Données projet'!$B$9,Paramètres!$A$1:$I$89,3,0)*0.475*44/12</f>
        <v>2.0526550957031501E-6</v>
      </c>
      <c r="AC76" s="24">
        <f t="shared" si="57"/>
        <v>4.4077092865744234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7.5584615384615343</v>
      </c>
      <c r="AI76" s="14">
        <f>IF('Données projet'!$A$62&gt;35,AI75+AH76-AQ75,IF(A76&lt;'Données projet'!$A$62,$AF$205^A76,IF(A76='Données projet'!$A$62,'Données projet'!$B$62,AI75+AH76-AQ75)))</f>
        <v>349.9984615384613</v>
      </c>
      <c r="AJ76" s="14">
        <f>AI76*VLOOKUP('Données projet'!$B$10,Paramètres!$A$1:$I$89,3,0)*VLOOKUP('Données projet'!$B$10,Paramètres!$A$1:$I$89,5,0)</f>
        <v>209.29907999999986</v>
      </c>
      <c r="AK76" s="14">
        <f t="shared" si="89"/>
        <v>51.782387252616175</v>
      </c>
      <c r="AL76" s="22">
        <f t="shared" si="58"/>
        <v>454.71688879830623</v>
      </c>
      <c r="AM76" s="62">
        <f t="shared" si="59"/>
        <v>748.05022213163954</v>
      </c>
      <c r="AN76" s="62">
        <f ca="1">AVERAGE(OFFSET($AM$3,0,0,'Données projet'!$E$10+1,1))-AVERAGE(OFFSET($H$3,0,0,'Données projet'!$E$10+1,1))</f>
        <v>289.12367833861299</v>
      </c>
      <c r="AO76" s="62">
        <f t="shared" si="90"/>
        <v>229.06617320689003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1.3982082386656004E-6</v>
      </c>
      <c r="AX76" s="23">
        <f t="shared" si="60"/>
        <v>1.3982082386656004E-6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>
        <f>BD76*VLOOKUP('Données projet'!$B$11,Paramètres!$A$1:$I$89,3,0)*VLOOKUP('Données projet'!$B$11,Paramètres!$A$1:$I$89,5,0)</f>
        <v>0</v>
      </c>
      <c r="BF76" s="14" t="e">
        <f t="shared" si="91"/>
        <v>#NUM!</v>
      </c>
      <c r="BG76" s="22" t="e">
        <f t="shared" si="61"/>
        <v>#NUM!</v>
      </c>
      <c r="BH76" s="62" t="e">
        <f t="shared" si="62"/>
        <v>#NUM!</v>
      </c>
      <c r="BI76" s="62">
        <f ca="1">AVERAGE(OFFSET($BH$3,0,0,'Données projet'!$E$11+1,1))-AVERAGE(OFFSET($H$3,0,0,'Données projet'!$E$11+1,1))</f>
        <v>240.22884864766218</v>
      </c>
      <c r="BJ76" s="62">
        <f t="shared" si="92"/>
        <v>343.23776884143166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3.1251779966672353</v>
      </c>
      <c r="BR76" s="23">
        <f>EXP(-LN(2)/2)*BR75+(1-EXP(-LN(2)/2))/(LN(2)/2)*BL76*BO76*VLOOKUP('Données projet'!$B$11,Paramètres!$A$1:$I$89,3,0)*0.475*44/12</f>
        <v>5.569729592828305E-6</v>
      </c>
      <c r="BS76" s="24">
        <f t="shared" si="63"/>
        <v>3.1251835663968279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6.2</v>
      </c>
      <c r="BY76" s="13">
        <f>IF('Données projet'!$A$114&gt;35,BY75+BX76-CG75,IF(A76&lt;'Données projet'!$A$114,$BV$205^A76,IF(A76='Données projet'!$A$114,'Données projet'!$B$114,BY75+BX76-CG75)))</f>
        <v>239.59999999999991</v>
      </c>
      <c r="BZ76" s="14">
        <f>BY76*VLOOKUP('Données projet'!$B$12,Paramètres!$A$1:$I$89,3,0)*VLOOKUP('Données projet'!$B$12,Paramètres!$A$1:$I$89,5,0)</f>
        <v>216.7900799999999</v>
      </c>
      <c r="CA76" s="14">
        <f t="shared" si="93"/>
        <v>53.416629794462551</v>
      </c>
      <c r="CB76" s="22">
        <f t="shared" si="64"/>
        <v>470.61001955868869</v>
      </c>
      <c r="CC76" s="62">
        <f t="shared" si="65"/>
        <v>763.94335289202195</v>
      </c>
      <c r="CD76" s="62">
        <f ca="1">AVERAGE(OFFSET($CC$3,0,0,'Données projet'!$E$12+1,1))-AVERAGE(OFFSET($H$3,0,0,'Données projet'!$E$12+1,1))</f>
        <v>428.8489304403459</v>
      </c>
      <c r="CE76" s="62">
        <f t="shared" si="94"/>
        <v>247.01165577562966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3.4</v>
      </c>
      <c r="CT76" s="13">
        <f>IF('Données projet'!$A$140&gt;35,CT75+CS76-DB75,IF(A76&lt;'Données projet'!$A$140,$CQ$205^A76,IF(A76='Données projet'!$A$140,'Données projet'!$B$140,CT75+CS76-DB75)))</f>
        <v>263.19999999999987</v>
      </c>
      <c r="CU76" s="18">
        <f>CT76*VLOOKUP('Données projet'!$B$13,Paramètres!$A$1:$I$89,3,0)*VLOOKUP('Données projet'!$B$13,Paramètres!$A$1:$I$89,5,0)</f>
        <v>209.4019199999999</v>
      </c>
      <c r="CV76" s="14">
        <f t="shared" si="95"/>
        <v>51.804868484579039</v>
      </c>
      <c r="CW76" s="22">
        <f t="shared" si="67"/>
        <v>454.93515661064163</v>
      </c>
      <c r="CX76" s="62">
        <f t="shared" si="68"/>
        <v>748.26848994397494</v>
      </c>
      <c r="CY76" s="62">
        <f ca="1">AVERAGE(OFFSET($CX$3,0,0,'Données projet'!$E$13+1,1))-AVERAGE(OFFSET($H$3,0,0,'Données projet'!$E$13+1,1))</f>
        <v>312.53381881960331</v>
      </c>
      <c r="CZ76" s="62">
        <f t="shared" si="96"/>
        <v>342.06887933351783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3.4</v>
      </c>
      <c r="DO76" s="13">
        <f>IF('Données projet'!$A$166&gt;35,DO75+DN76-DW75,IF(A76&lt;'Données projet'!$A$166,$DL$205^A76,IF(A76='Données projet'!$A$166,'Données projet'!$B$166,DO75+DN76-DW75)))</f>
        <v>263.19999999999987</v>
      </c>
      <c r="DP76" s="18">
        <f>DO76*VLOOKUP('Données projet'!$B$14,Paramètres!$A$1:$I$89,3,0)*VLOOKUP('Données projet'!$B$14,Paramètres!$A$1:$I$89,5,0)</f>
        <v>192.97823999999991</v>
      </c>
      <c r="DQ76" s="14">
        <f t="shared" si="97"/>
        <v>48.197802215761044</v>
      </c>
      <c r="DR76" s="22">
        <f t="shared" si="70"/>
        <v>420.0482735257836</v>
      </c>
      <c r="DS76" s="62">
        <f t="shared" si="71"/>
        <v>713.38160685911691</v>
      </c>
      <c r="DT76" s="62">
        <f ca="1">AVERAGE(OFFSET($DS$3,0,0,'Données projet'!$E$14+1,1))-AVERAGE(OFFSET($H$3,0,0,'Données projet'!$E$14+1,1))</f>
        <v>290.85271051443431</v>
      </c>
      <c r="DU76" s="62">
        <f t="shared" si="98"/>
        <v>318.66958823451142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0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7.6</v>
      </c>
      <c r="EJ76" s="13">
        <f>IF('Données projet'!$A$192&gt;35,EJ75+EI76-ER75,IF(A76&lt;'Données projet'!$A$192,$EG$205^A76,IF(A76='Données projet'!$A$192,'Données projet'!$B$192,EJ75+EI76-ER75)))</f>
        <v>238.7999999999999</v>
      </c>
      <c r="EK76" s="18">
        <f>EJ76*VLOOKUP('Données projet'!$B$15,Paramètres!$A$1:$I$89,3,0)*VLOOKUP('Données projet'!$B$15,Paramètres!$A$1:$I$89,5,0)</f>
        <v>204.89039999999991</v>
      </c>
      <c r="EL76" s="14">
        <f t="shared" si="99"/>
        <v>50.817413867340996</v>
      </c>
      <c r="EM76" s="22">
        <f t="shared" si="73"/>
        <v>445.35777581895212</v>
      </c>
      <c r="EN76" s="62">
        <f t="shared" si="74"/>
        <v>738.69110915228543</v>
      </c>
      <c r="EO76" s="62">
        <f ca="1">AVERAGE(OFFSET($EN$3,0,0,'Données projet'!$E$15+1,1))-AVERAGE(OFFSET($H$3,0,0,'Données projet'!$E$15+1,1))</f>
        <v>438.65317358403996</v>
      </c>
      <c r="EP76" s="62">
        <f t="shared" si="100"/>
        <v>176.81257896138806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projet'!$B$15,Paramètres!$A$1:$I$89,3,0)*0.475*44/12</f>
        <v>0</v>
      </c>
      <c r="EW76" s="23">
        <f>EXP(-LN(2)/25)*EW75+(1-EXP(-LN(2)/25))/(LN(2)/25)*Calculateur!ER76*Calculateur!ET76*VLOOKUP('Données projet'!$B$15,Paramètres!$A$1:$I$89,3,0)*0.475*44/12</f>
        <v>0</v>
      </c>
      <c r="EX76" s="23">
        <f>EXP(-LN(2)/2)*EX75+(1-EXP(-LN(2)/2))/(LN(2)/2)*ER76*EU76*VLOOKUP('Données projet'!$B$15,Paramètres!$A$1:$I$89,3,0)*0.475*44/12</f>
        <v>0</v>
      </c>
      <c r="EY76" s="24">
        <f t="shared" si="75"/>
        <v>0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2.2737367544323206E-13</v>
      </c>
      <c r="O77" s="14">
        <f>N77*VLOOKUP('Données projet'!$B$9,Paramètres!$A$1:$I$89,3,0)*VLOOKUP('Données projet'!$B$9,Paramètres!$A$1:$I$89,5,0)</f>
        <v>1.2710188457276673E-13</v>
      </c>
      <c r="P77" s="14">
        <f t="shared" si="87"/>
        <v>1.856866851063998E-12</v>
      </c>
      <c r="Q77" s="22">
        <f t="shared" si="54"/>
        <v>3.4554122145673649E-12</v>
      </c>
      <c r="R77" s="62">
        <f t="shared" si="55"/>
        <v>293.33333333333678</v>
      </c>
      <c r="S77" s="62">
        <f ca="1">AVERAGE(OFFSET($R$3,0,0,'Données projet'!$E$9+1,1))-AVERAGE(OFFSET($H$3,0,0,'Données projet'!$E$9+1,1))</f>
        <v>323.98185264074681</v>
      </c>
      <c r="T77" s="62">
        <f t="shared" si="88"/>
        <v>301.22207291854005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1.8669087948118592</v>
      </c>
      <c r="AA77" s="23">
        <f>EXP(-LN(2)/25)*AA76+(1-EXP(-LN(2)/25))/(LN(2)/25)*Calculateur!V77*Calculateur!X77*VLOOKUP('Données projet'!$B$9,Paramètres!$A$1:$I$89,3,0)*0.475*44/12</f>
        <v>2.4350000881819849</v>
      </c>
      <c r="AB77" s="23">
        <f>EXP(-LN(2)/2)*AB76+(1-EXP(-LN(2)/2))/(LN(2)/2)*V77*Y77*VLOOKUP('Données projet'!$B$9,Paramètres!$A$1:$I$89,3,0)*0.475*44/12</f>
        <v>1.4514463376088192E-6</v>
      </c>
      <c r="AC77" s="24">
        <f t="shared" si="57"/>
        <v>4.3019103344401817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7.5584615384615343</v>
      </c>
      <c r="AI77" s="14">
        <f>IF('Données projet'!$A$62&gt;35,AI76+AH77-AQ76,IF(A77&lt;'Données projet'!$A$62,$AF$205^A77,IF(A77='Données projet'!$A$62,'Données projet'!$B$62,AI76+AH77-AQ76)))</f>
        <v>357.55692307692283</v>
      </c>
      <c r="AJ77" s="14">
        <f>AI77*VLOOKUP('Données projet'!$B$10,Paramètres!$A$1:$I$89,3,0)*VLOOKUP('Données projet'!$B$10,Paramètres!$A$1:$I$89,5,0)</f>
        <v>213.81903999999986</v>
      </c>
      <c r="AK77" s="14">
        <f t="shared" si="89"/>
        <v>52.769264634128973</v>
      </c>
      <c r="AL77" s="22">
        <f t="shared" si="58"/>
        <v>464.30796390444101</v>
      </c>
      <c r="AM77" s="62">
        <f t="shared" si="59"/>
        <v>757.64129723777432</v>
      </c>
      <c r="AN77" s="62">
        <f ca="1">AVERAGE(OFFSET($AM$3,0,0,'Données projet'!$E$10+1,1))-AVERAGE(OFFSET($H$3,0,0,'Données projet'!$E$10+1,1))</f>
        <v>289.12367833861299</v>
      </c>
      <c r="AO77" s="62">
        <f t="shared" si="90"/>
        <v>229.06617320689003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9.8868252707134473E-7</v>
      </c>
      <c r="AX77" s="23">
        <f t="shared" si="60"/>
        <v>9.8868252707134473E-7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>
        <f>BD77*VLOOKUP('Données projet'!$B$11,Paramètres!$A$1:$I$89,3,0)*VLOOKUP('Données projet'!$B$11,Paramètres!$A$1:$I$89,5,0)</f>
        <v>0</v>
      </c>
      <c r="BF77" s="14" t="e">
        <f t="shared" si="91"/>
        <v>#NUM!</v>
      </c>
      <c r="BG77" s="22" t="e">
        <f t="shared" si="61"/>
        <v>#NUM!</v>
      </c>
      <c r="BH77" s="62" t="e">
        <f t="shared" si="62"/>
        <v>#NUM!</v>
      </c>
      <c r="BI77" s="62">
        <f ca="1">AVERAGE(OFFSET($BH$3,0,0,'Données projet'!$E$11+1,1))-AVERAGE(OFFSET($H$3,0,0,'Données projet'!$E$11+1,1))</f>
        <v>240.22884864766218</v>
      </c>
      <c r="BJ77" s="62">
        <f t="shared" si="92"/>
        <v>343.23776884143166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3.0397198400024017</v>
      </c>
      <c r="BR77" s="23">
        <f>EXP(-LN(2)/2)*BR76+(1-EXP(-LN(2)/2))/(LN(2)/2)*BL77*BO77*VLOOKUP('Données projet'!$B$11,Paramètres!$A$1:$I$89,3,0)*0.475*44/12</f>
        <v>3.9383935644642827E-6</v>
      </c>
      <c r="BS77" s="24">
        <f t="shared" si="63"/>
        <v>3.0397237783959663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6.2</v>
      </c>
      <c r="BY77" s="13">
        <f>IF('Données projet'!$A$114&gt;35,BY76+BX77-CG76,IF(A77&lt;'Données projet'!$A$114,$BV$205^A77,IF(A77='Données projet'!$A$114,'Données projet'!$B$114,BY76+BX77-CG76)))</f>
        <v>245.7999999999999</v>
      </c>
      <c r="BZ77" s="14">
        <f>BY77*VLOOKUP('Données projet'!$B$12,Paramètres!$A$1:$I$89,3,0)*VLOOKUP('Données projet'!$B$12,Paramètres!$A$1:$I$89,5,0)</f>
        <v>222.3998399999999</v>
      </c>
      <c r="CA77" s="14">
        <f t="shared" si="93"/>
        <v>54.636149281681448</v>
      </c>
      <c r="CB77" s="22">
        <f t="shared" si="64"/>
        <v>482.50434799892832</v>
      </c>
      <c r="CC77" s="62">
        <f t="shared" si="65"/>
        <v>775.83768133226158</v>
      </c>
      <c r="CD77" s="62">
        <f ca="1">AVERAGE(OFFSET($CC$3,0,0,'Données projet'!$E$12+1,1))-AVERAGE(OFFSET($H$3,0,0,'Données projet'!$E$12+1,1))</f>
        <v>428.8489304403459</v>
      </c>
      <c r="CE77" s="62">
        <f t="shared" si="94"/>
        <v>247.01165577562966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3.4</v>
      </c>
      <c r="CT77" s="13">
        <f>IF('Données projet'!$A$140&gt;35,CT76+CS77-DB76,IF(A77&lt;'Données projet'!$A$140,$CQ$205^A77,IF(A77='Données projet'!$A$140,'Données projet'!$B$140,CT76+CS77-DB76)))</f>
        <v>266.59999999999985</v>
      </c>
      <c r="CU77" s="18">
        <f>CT77*VLOOKUP('Données projet'!$B$13,Paramètres!$A$1:$I$89,3,0)*VLOOKUP('Données projet'!$B$13,Paramètres!$A$1:$I$89,5,0)</f>
        <v>212.10695999999987</v>
      </c>
      <c r="CV77" s="14">
        <f t="shared" si="95"/>
        <v>52.395741612408194</v>
      </c>
      <c r="CW77" s="22">
        <f t="shared" si="67"/>
        <v>460.67553864161073</v>
      </c>
      <c r="CX77" s="62">
        <f t="shared" si="68"/>
        <v>754.00887197494399</v>
      </c>
      <c r="CY77" s="62">
        <f ca="1">AVERAGE(OFFSET($CX$3,0,0,'Données projet'!$E$13+1,1))-AVERAGE(OFFSET($H$3,0,0,'Données projet'!$E$13+1,1))</f>
        <v>312.53381881960331</v>
      </c>
      <c r="CZ77" s="62">
        <f t="shared" si="96"/>
        <v>342.06887933351783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3.4</v>
      </c>
      <c r="DO77" s="13">
        <f>IF('Données projet'!$A$166&gt;35,DO76+DN77-DW76,IF(A77&lt;'Données projet'!$A$166,$DL$205^A77,IF(A77='Données projet'!$A$166,'Données projet'!$B$166,DO76+DN77-DW76)))</f>
        <v>266.59999999999985</v>
      </c>
      <c r="DP77" s="18">
        <f>DO77*VLOOKUP('Données projet'!$B$14,Paramètres!$A$1:$I$89,3,0)*VLOOKUP('Données projet'!$B$14,Paramètres!$A$1:$I$89,5,0)</f>
        <v>195.47111999999987</v>
      </c>
      <c r="DQ77" s="14">
        <f t="shared" si="97"/>
        <v>48.747534064963503</v>
      </c>
      <c r="DR77" s="22">
        <f t="shared" si="70"/>
        <v>425.34748916314453</v>
      </c>
      <c r="DS77" s="62">
        <f t="shared" si="71"/>
        <v>718.68082249647784</v>
      </c>
      <c r="DT77" s="62">
        <f ca="1">AVERAGE(OFFSET($DS$3,0,0,'Données projet'!$E$14+1,1))-AVERAGE(OFFSET($H$3,0,0,'Données projet'!$E$14+1,1))</f>
        <v>290.85271051443431</v>
      </c>
      <c r="DU77" s="62">
        <f t="shared" si="98"/>
        <v>318.66958823451142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0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7.6</v>
      </c>
      <c r="EJ77" s="13">
        <f>IF('Données projet'!$A$192&gt;35,EJ76+EI77-ER76,IF(A77&lt;'Données projet'!$A$192,$EG$205^A77,IF(A77='Données projet'!$A$192,'Données projet'!$B$192,EJ76+EI77-ER76)))</f>
        <v>246.39999999999989</v>
      </c>
      <c r="EK77" s="18">
        <f>EJ77*VLOOKUP('Données projet'!$B$15,Paramètres!$A$1:$I$89,3,0)*VLOOKUP('Données projet'!$B$15,Paramètres!$A$1:$I$89,5,0)</f>
        <v>211.41119999999992</v>
      </c>
      <c r="EL77" s="14">
        <f t="shared" si="99"/>
        <v>52.243848094411156</v>
      </c>
      <c r="EM77" s="22">
        <f t="shared" si="73"/>
        <v>459.19920876443263</v>
      </c>
      <c r="EN77" s="62">
        <f t="shared" si="74"/>
        <v>752.53254209776594</v>
      </c>
      <c r="EO77" s="62">
        <f ca="1">AVERAGE(OFFSET($EN$3,0,0,'Données projet'!$E$15+1,1))-AVERAGE(OFFSET($H$3,0,0,'Données projet'!$E$15+1,1))</f>
        <v>438.65317358403996</v>
      </c>
      <c r="EP77" s="62">
        <f t="shared" si="100"/>
        <v>176.81257896138806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0</v>
      </c>
      <c r="EW77" s="23">
        <f>EXP(-LN(2)/25)*EW76+(1-EXP(-LN(2)/25))/(LN(2)/25)*Calculateur!ER77*Calculateur!ET77*VLOOKUP('Données projet'!$B$15,Paramètres!$A$1:$I$89,3,0)*0.475*44/12</f>
        <v>0</v>
      </c>
      <c r="EX77" s="23">
        <f>EXP(-LN(2)/2)*EX76+(1-EXP(-LN(2)/2))/(LN(2)/2)*ER77*EU77*VLOOKUP('Données projet'!$B$15,Paramètres!$A$1:$I$89,3,0)*0.475*44/12</f>
        <v>0</v>
      </c>
      <c r="EY77" s="24">
        <f t="shared" si="75"/>
        <v>0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2.2737367544323206E-13</v>
      </c>
      <c r="O78" s="14">
        <f>N78*VLOOKUP('Données projet'!$B$9,Paramètres!$A$1:$I$89,3,0)*VLOOKUP('Données projet'!$B$9,Paramètres!$A$1:$I$89,5,0)</f>
        <v>1.2710188457276673E-13</v>
      </c>
      <c r="P78" s="14">
        <f t="shared" si="87"/>
        <v>1.856866851063998E-12</v>
      </c>
      <c r="Q78" s="22">
        <f t="shared" si="54"/>
        <v>3.4554122145673649E-12</v>
      </c>
      <c r="R78" s="62">
        <f t="shared" si="55"/>
        <v>293.33333333333678</v>
      </c>
      <c r="S78" s="62">
        <f ca="1">AVERAGE(OFFSET($R$3,0,0,'Données projet'!$E$9+1,1))-AVERAGE(OFFSET($H$3,0,0,'Données projet'!$E$9+1,1))</f>
        <v>323.98185264074681</v>
      </c>
      <c r="T78" s="62">
        <f t="shared" si="88"/>
        <v>301.22207291854005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1.830299852047526</v>
      </c>
      <c r="AA78" s="23">
        <f>EXP(-LN(2)/25)*AA77+(1-EXP(-LN(2)/25))/(LN(2)/25)*Calculateur!V78*Calculateur!X78*VLOOKUP('Données projet'!$B$9,Paramètres!$A$1:$I$89,3,0)*0.475*44/12</f>
        <v>2.3684148827195592</v>
      </c>
      <c r="AB78" s="23">
        <f>EXP(-LN(2)/2)*AB77+(1-EXP(-LN(2)/2))/(LN(2)/2)*V78*Y78*VLOOKUP('Données projet'!$B$9,Paramètres!$A$1:$I$89,3,0)*0.475*44/12</f>
        <v>1.0263275478515751E-6</v>
      </c>
      <c r="AC78" s="24">
        <f t="shared" si="57"/>
        <v>4.1987157610946335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7.5584615384615343</v>
      </c>
      <c r="AI78" s="14">
        <f>IF('Données projet'!$A$62&gt;35,AI77+AH78-AQ77,IF(A78&lt;'Données projet'!$A$62,$AF$205^A78,IF(A78='Données projet'!$A$62,'Données projet'!$B$62,AI77+AH78-AQ77)))</f>
        <v>365.11538461538436</v>
      </c>
      <c r="AJ78" s="14">
        <f>AI78*VLOOKUP('Données projet'!$B$10,Paramètres!$A$1:$I$89,3,0)*VLOOKUP('Données projet'!$B$10,Paramètres!$A$1:$I$89,5,0)</f>
        <v>218.33899999999988</v>
      </c>
      <c r="AK78" s="14">
        <f t="shared" si="89"/>
        <v>53.753716498326504</v>
      </c>
      <c r="AL78" s="22">
        <f t="shared" si="58"/>
        <v>473.8948145679185</v>
      </c>
      <c r="AM78" s="62">
        <f t="shared" si="59"/>
        <v>767.22814790125176</v>
      </c>
      <c r="AN78" s="62">
        <f ca="1">AVERAGE(OFFSET($AM$3,0,0,'Données projet'!$E$10+1,1))-AVERAGE(OFFSET($H$3,0,0,'Données projet'!$E$10+1,1))</f>
        <v>289.12367833861299</v>
      </c>
      <c r="AO78" s="62">
        <f t="shared" si="90"/>
        <v>229.06617320689003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6.9910411933280022E-7</v>
      </c>
      <c r="AX78" s="23">
        <f t="shared" si="60"/>
        <v>6.9910411933280022E-7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>
        <f>BD78*VLOOKUP('Données projet'!$B$11,Paramètres!$A$1:$I$89,3,0)*VLOOKUP('Données projet'!$B$11,Paramètres!$A$1:$I$89,5,0)</f>
        <v>0</v>
      </c>
      <c r="BF78" s="14" t="e">
        <f t="shared" si="91"/>
        <v>#NUM!</v>
      </c>
      <c r="BG78" s="22" t="e">
        <f t="shared" si="61"/>
        <v>#NUM!</v>
      </c>
      <c r="BH78" s="62" t="e">
        <f t="shared" si="62"/>
        <v>#NUM!</v>
      </c>
      <c r="BI78" s="62">
        <f ca="1">AVERAGE(OFFSET($BH$3,0,0,'Données projet'!$E$11+1,1))-AVERAGE(OFFSET($H$3,0,0,'Données projet'!$E$11+1,1))</f>
        <v>240.22884864766218</v>
      </c>
      <c r="BJ78" s="62">
        <f t="shared" si="92"/>
        <v>343.23776884143166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2.9565985411256168</v>
      </c>
      <c r="BR78" s="23">
        <f>EXP(-LN(2)/2)*BR77+(1-EXP(-LN(2)/2))/(LN(2)/2)*BL78*BO78*VLOOKUP('Données projet'!$B$11,Paramètres!$A$1:$I$89,3,0)*0.475*44/12</f>
        <v>2.7848647964141525E-6</v>
      </c>
      <c r="BS78" s="24">
        <f t="shared" si="63"/>
        <v>2.9566013259904134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252</v>
      </c>
      <c r="BW78" s="13">
        <f>VLOOKUP(A78,'Données projet'!$A$113:$I$133,9,0)</f>
        <v>6.2</v>
      </c>
      <c r="BX78" s="13">
        <f t="array" ref="BX78">INDEX(BW:BW,MIN(IF(ISNUMBER(BW78:BW274),ROW(BW78:BW274),"")))</f>
        <v>6.2</v>
      </c>
      <c r="BY78" s="13">
        <f>IF('Données projet'!$A$114&gt;35,BY77+BX78-CG77,IF(A78&lt;'Données projet'!$A$114,$BV$205^A78,IF(A78='Données projet'!$A$114,'Données projet'!$B$114,BY77+BX78-CG77)))</f>
        <v>251.99999999999989</v>
      </c>
      <c r="BZ78" s="14">
        <f>BY78*VLOOKUP('Données projet'!$B$12,Paramètres!$A$1:$I$89,3,0)*VLOOKUP('Données projet'!$B$12,Paramètres!$A$1:$I$89,5,0)</f>
        <v>228.00959999999986</v>
      </c>
      <c r="CA78" s="14">
        <f t="shared" si="93"/>
        <v>55.852093054619779</v>
      </c>
      <c r="CB78" s="22">
        <f t="shared" si="64"/>
        <v>494.39244873679587</v>
      </c>
      <c r="CC78" s="62">
        <f t="shared" si="65"/>
        <v>787.72578207012918</v>
      </c>
      <c r="CD78" s="62">
        <f ca="1">AVERAGE(OFFSET($CC$3,0,0,'Données projet'!$E$12+1,1))-AVERAGE(OFFSET($H$3,0,0,'Données projet'!$E$12+1,1))</f>
        <v>428.8489304403459</v>
      </c>
      <c r="CE78" s="62">
        <f t="shared" si="94"/>
        <v>247.01165577562966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270</v>
      </c>
      <c r="CR78" s="13">
        <f>VLOOKUP(A78,'Données projet'!$A$139:$I$159,9,0)</f>
        <v>3.4</v>
      </c>
      <c r="CS78" s="13">
        <f t="array" ref="CS78">INDEX(CR:CR,MIN(IF(ISNUMBER(CR78:CR274),ROW(CR78:CR274),"")))</f>
        <v>3.4</v>
      </c>
      <c r="CT78" s="13">
        <f>IF('Données projet'!$A$140&gt;35,CT77+CS78-DB77,IF(A78&lt;'Données projet'!$A$140,$CQ$205^A78,IF(A78='Données projet'!$A$140,'Données projet'!$B$140,CT77+CS78-DB77)))</f>
        <v>269.99999999999983</v>
      </c>
      <c r="CU78" s="18">
        <f>CT78*VLOOKUP('Données projet'!$B$13,Paramètres!$A$1:$I$89,3,0)*VLOOKUP('Données projet'!$B$13,Paramètres!$A$1:$I$89,5,0)</f>
        <v>214.81199999999987</v>
      </c>
      <c r="CV78" s="14">
        <f t="shared" si="95"/>
        <v>52.985738231738011</v>
      </c>
      <c r="CW78" s="22">
        <f t="shared" si="67"/>
        <v>466.41439408694345</v>
      </c>
      <c r="CX78" s="62">
        <f t="shared" si="68"/>
        <v>759.74772742027676</v>
      </c>
      <c r="CY78" s="62">
        <f ca="1">AVERAGE(OFFSET($CX$3,0,0,'Données projet'!$E$13+1,1))-AVERAGE(OFFSET($H$3,0,0,'Données projet'!$E$13+1,1))</f>
        <v>312.53381881960331</v>
      </c>
      <c r="CZ78" s="62">
        <f t="shared" si="96"/>
        <v>342.06887933351783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>
        <f>VLOOKUP(A78,'Données projet'!$A$165:$I$185,2,0)</f>
        <v>270</v>
      </c>
      <c r="DM78" s="13">
        <f>VLOOKUP(A78,'Données projet'!$A$165:$I$185,9,0)</f>
        <v>3.4</v>
      </c>
      <c r="DN78" s="13">
        <f t="array" ref="DN78">INDEX(DM:DM,MIN(IF(ISNUMBER(DM78:DM274),ROW(DM78:DM274),"")))</f>
        <v>3.4</v>
      </c>
      <c r="DO78" s="13">
        <f>IF('Données projet'!$A$166&gt;35,DO77+DN78-DW77,IF(A78&lt;'Données projet'!$A$166,$DL$205^A78,IF(A78='Données projet'!$A$166,'Données projet'!$B$166,DO77+DN78-DW77)))</f>
        <v>269.99999999999983</v>
      </c>
      <c r="DP78" s="18">
        <f>DO78*VLOOKUP('Données projet'!$B$14,Paramètres!$A$1:$I$89,3,0)*VLOOKUP('Données projet'!$B$14,Paramètres!$A$1:$I$89,5,0)</f>
        <v>197.96399999999986</v>
      </c>
      <c r="DQ78" s="14">
        <f t="shared" si="97"/>
        <v>49.296450435147719</v>
      </c>
      <c r="DR78" s="22">
        <f t="shared" si="70"/>
        <v>430.64528450788202</v>
      </c>
      <c r="DS78" s="62">
        <f t="shared" si="71"/>
        <v>723.97861784121528</v>
      </c>
      <c r="DT78" s="62">
        <f ca="1">AVERAGE(OFFSET($DS$3,0,0,'Données projet'!$E$14+1,1))-AVERAGE(OFFSET($H$3,0,0,'Données projet'!$E$14+1,1))</f>
        <v>290.85271051443431</v>
      </c>
      <c r="DU78" s="62">
        <f t="shared" si="98"/>
        <v>318.66958823451142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0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>
        <f>VLOOKUP(A78,'Données projet'!$A$191:$I$211,2,0)</f>
        <v>254</v>
      </c>
      <c r="EH78" s="13">
        <f>VLOOKUP(A78,'Données projet'!$A$191:$I$211,9,0)</f>
        <v>7.6</v>
      </c>
      <c r="EI78" s="13">
        <f t="array" ref="EI78">INDEX(EH:EH,MIN(IF(ISNUMBER(EH78:EH274),ROW(EH78:EH274),"")))</f>
        <v>7.6</v>
      </c>
      <c r="EJ78" s="13">
        <f>IF('Données projet'!$A$192&gt;35,EJ77+EI78-ER77,IF(A78&lt;'Données projet'!$A$192,$EG$205^A78,IF(A78='Données projet'!$A$192,'Données projet'!$B$192,EJ77+EI78-ER77)))</f>
        <v>253.99999999999989</v>
      </c>
      <c r="EK78" s="18">
        <f>EJ78*VLOOKUP('Données projet'!$B$15,Paramètres!$A$1:$I$89,3,0)*VLOOKUP('Données projet'!$B$15,Paramètres!$A$1:$I$89,5,0)</f>
        <v>217.93199999999996</v>
      </c>
      <c r="EL78" s="14">
        <f t="shared" si="99"/>
        <v>53.665169377903311</v>
      </c>
      <c r="EM78" s="22">
        <f t="shared" si="73"/>
        <v>473.03173666651475</v>
      </c>
      <c r="EN78" s="62">
        <f t="shared" si="74"/>
        <v>766.36506999984806</v>
      </c>
      <c r="EO78" s="62">
        <f ca="1">AVERAGE(OFFSET($EN$3,0,0,'Données projet'!$E$15+1,1))-AVERAGE(OFFSET($H$3,0,0,'Données projet'!$E$15+1,1))</f>
        <v>438.65317358403996</v>
      </c>
      <c r="EP78" s="62">
        <f t="shared" si="100"/>
        <v>176.81257896138806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0</v>
      </c>
      <c r="EW78" s="23">
        <f>EXP(-LN(2)/25)*EW77+(1-EXP(-LN(2)/25))/(LN(2)/25)*Calculateur!ER78*Calculateur!ET78*VLOOKUP('Données projet'!$B$15,Paramètres!$A$1:$I$89,3,0)*0.475*44/12</f>
        <v>0</v>
      </c>
      <c r="EX78" s="23">
        <f>EXP(-LN(2)/2)*EX77+(1-EXP(-LN(2)/2))/(LN(2)/2)*ER78*EU78*VLOOKUP('Données projet'!$B$15,Paramètres!$A$1:$I$89,3,0)*0.475*44/12</f>
        <v>0</v>
      </c>
      <c r="EY78" s="24">
        <f t="shared" si="75"/>
        <v>0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2.2737367544323206E-13</v>
      </c>
      <c r="O79" s="14">
        <f>N79*VLOOKUP('Données projet'!$B$9,Paramètres!$A$1:$I$89,3,0)*VLOOKUP('Données projet'!$B$9,Paramètres!$A$1:$I$89,5,0)</f>
        <v>1.2710188457276673E-13</v>
      </c>
      <c r="P79" s="14">
        <f t="shared" si="87"/>
        <v>1.856866851063998E-12</v>
      </c>
      <c r="Q79" s="22">
        <f t="shared" si="54"/>
        <v>3.4554122145673649E-12</v>
      </c>
      <c r="R79" s="62">
        <f t="shared" si="55"/>
        <v>293.33333333333678</v>
      </c>
      <c r="S79" s="62">
        <f ca="1">AVERAGE(OFFSET($R$3,0,0,'Données projet'!$E$9+1,1))-AVERAGE(OFFSET($H$3,0,0,'Données projet'!$E$9+1,1))</f>
        <v>323.98185264074681</v>
      </c>
      <c r="T79" s="62">
        <f t="shared" si="88"/>
        <v>301.22207291854005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1.7944087883215512</v>
      </c>
      <c r="AA79" s="23">
        <f>EXP(-LN(2)/25)*AA78+(1-EXP(-LN(2)/25))/(LN(2)/25)*Calculateur!V79*Calculateur!X79*VLOOKUP('Données projet'!$B$9,Paramètres!$A$1:$I$89,3,0)*0.475*44/12</f>
        <v>2.3036504532020672</v>
      </c>
      <c r="AB79" s="23">
        <f>EXP(-LN(2)/2)*AB78+(1-EXP(-LN(2)/2))/(LN(2)/2)*V79*Y79*VLOOKUP('Données projet'!$B$9,Paramètres!$A$1:$I$89,3,0)*0.475*44/12</f>
        <v>7.2572316880440958E-7</v>
      </c>
      <c r="AC79" s="24">
        <f t="shared" si="57"/>
        <v>4.0980599672467868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7.5584615384615343</v>
      </c>
      <c r="AI79" s="14">
        <f>IF('Données projet'!$A$62&gt;35,AI78+AH79-AQ78,IF(A79&lt;'Données projet'!$A$62,$AF$205^A79,IF(A79='Données projet'!$A$62,'Données projet'!$B$62,AI78+AH79-AQ78)))</f>
        <v>372.67384615384589</v>
      </c>
      <c r="AJ79" s="14">
        <f>AI79*VLOOKUP('Données projet'!$B$10,Paramètres!$A$1:$I$89,3,0)*VLOOKUP('Données projet'!$B$10,Paramètres!$A$1:$I$89,5,0)</f>
        <v>222.85895999999985</v>
      </c>
      <c r="AK79" s="14">
        <f t="shared" si="89"/>
        <v>54.735798842493168</v>
      </c>
      <c r="AL79" s="22">
        <f t="shared" si="58"/>
        <v>483.47753831734195</v>
      </c>
      <c r="AM79" s="62">
        <f t="shared" si="59"/>
        <v>776.81087165067527</v>
      </c>
      <c r="AN79" s="62">
        <f ca="1">AVERAGE(OFFSET($AM$3,0,0,'Données projet'!$E$10+1,1))-AVERAGE(OFFSET($H$3,0,0,'Données projet'!$E$10+1,1))</f>
        <v>289.12367833861299</v>
      </c>
      <c r="AO79" s="62">
        <f t="shared" si="90"/>
        <v>229.06617320689003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4.9434126353567236E-7</v>
      </c>
      <c r="AX79" s="23">
        <f t="shared" si="60"/>
        <v>4.9434126353567236E-7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>
        <f>BD79*VLOOKUP('Données projet'!$B$11,Paramètres!$A$1:$I$89,3,0)*VLOOKUP('Données projet'!$B$11,Paramètres!$A$1:$I$89,5,0)</f>
        <v>0</v>
      </c>
      <c r="BF79" s="14" t="e">
        <f t="shared" si="91"/>
        <v>#NUM!</v>
      </c>
      <c r="BG79" s="22" t="e">
        <f t="shared" si="61"/>
        <v>#NUM!</v>
      </c>
      <c r="BH79" s="62" t="e">
        <f t="shared" si="62"/>
        <v>#NUM!</v>
      </c>
      <c r="BI79" s="62">
        <f ca="1">AVERAGE(OFFSET($BH$3,0,0,'Données projet'!$E$11+1,1))-AVERAGE(OFFSET($H$3,0,0,'Données projet'!$E$11+1,1))</f>
        <v>240.22884864766218</v>
      </c>
      <c r="BJ79" s="62">
        <f t="shared" si="92"/>
        <v>343.23776884143166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2.8757501985377769</v>
      </c>
      <c r="BR79" s="23">
        <f>EXP(-LN(2)/2)*BR78+(1-EXP(-LN(2)/2))/(LN(2)/2)*BL79*BO79*VLOOKUP('Données projet'!$B$11,Paramètres!$A$1:$I$89,3,0)*0.475*44/12</f>
        <v>1.9691967822321413E-6</v>
      </c>
      <c r="BS79" s="24">
        <f t="shared" si="63"/>
        <v>2.875752167734559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6</v>
      </c>
      <c r="BY79" s="13">
        <f>IF('Données projet'!$A$114&gt;35,BY78+BX79-CG78,IF(A79&lt;'Données projet'!$A$114,$BV$205^A79,IF(A79='Données projet'!$A$114,'Données projet'!$B$114,BY78+BX79-CG78)))</f>
        <v>257.99999999999989</v>
      </c>
      <c r="BZ79" s="14">
        <f>BY79*VLOOKUP('Données projet'!$B$12,Paramètres!$A$1:$I$89,3,0)*VLOOKUP('Données projet'!$B$12,Paramètres!$A$1:$I$89,5,0)</f>
        <v>233.43839999999989</v>
      </c>
      <c r="CA79" s="14">
        <f t="shared" si="93"/>
        <v>57.025500710931624</v>
      </c>
      <c r="CB79" s="22">
        <f t="shared" si="64"/>
        <v>505.89129373820577</v>
      </c>
      <c r="CC79" s="62">
        <f t="shared" si="65"/>
        <v>799.22462707153909</v>
      </c>
      <c r="CD79" s="62">
        <f ca="1">AVERAGE(OFFSET($CC$3,0,0,'Données projet'!$E$12+1,1))-AVERAGE(OFFSET($H$3,0,0,'Données projet'!$E$12+1,1))</f>
        <v>428.8489304403459</v>
      </c>
      <c r="CE79" s="62">
        <f t="shared" si="94"/>
        <v>247.01165577562966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3</v>
      </c>
      <c r="CT79" s="13">
        <f>IF('Données projet'!$A$140&gt;35,CT78+CS79-DB78,IF(A79&lt;'Données projet'!$A$140,$CQ$205^A79,IF(A79='Données projet'!$A$140,'Données projet'!$B$140,CT78+CS79-DB78)))</f>
        <v>272.99999999999983</v>
      </c>
      <c r="CU79" s="18">
        <f>CT79*VLOOKUP('Données projet'!$B$13,Paramètres!$A$1:$I$89,3,0)*VLOOKUP('Données projet'!$B$13,Paramètres!$A$1:$I$89,5,0)</f>
        <v>217.19879999999986</v>
      </c>
      <c r="CV79" s="14">
        <f t="shared" si="95"/>
        <v>53.505605420483995</v>
      </c>
      <c r="CW79" s="22">
        <f t="shared" si="67"/>
        <v>471.47683944067597</v>
      </c>
      <c r="CX79" s="62">
        <f t="shared" si="68"/>
        <v>764.81017277400929</v>
      </c>
      <c r="CY79" s="62">
        <f ca="1">AVERAGE(OFFSET($CX$3,0,0,'Données projet'!$E$13+1,1))-AVERAGE(OFFSET($H$3,0,0,'Données projet'!$E$13+1,1))</f>
        <v>312.53381881960331</v>
      </c>
      <c r="CZ79" s="62">
        <f t="shared" si="96"/>
        <v>342.06887933351783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3</v>
      </c>
      <c r="DO79" s="13">
        <f>IF('Données projet'!$A$166&gt;35,DO78+DN79-DW78,IF(A79&lt;'Données projet'!$A$166,$DL$205^A79,IF(A79='Données projet'!$A$166,'Données projet'!$B$166,DO78+DN79-DW78)))</f>
        <v>272.99999999999983</v>
      </c>
      <c r="DP79" s="18">
        <f>DO79*VLOOKUP('Données projet'!$B$14,Paramètres!$A$1:$I$89,3,0)*VLOOKUP('Données projet'!$B$14,Paramètres!$A$1:$I$89,5,0)</f>
        <v>200.16359999999989</v>
      </c>
      <c r="DQ79" s="14">
        <f t="shared" si="97"/>
        <v>49.78012034252523</v>
      </c>
      <c r="DR79" s="22">
        <f t="shared" si="70"/>
        <v>435.31864626323119</v>
      </c>
      <c r="DS79" s="62">
        <f t="shared" si="71"/>
        <v>728.6519795965645</v>
      </c>
      <c r="DT79" s="62">
        <f ca="1">AVERAGE(OFFSET($DS$3,0,0,'Données projet'!$E$14+1,1))-AVERAGE(OFFSET($H$3,0,0,'Données projet'!$E$14+1,1))</f>
        <v>290.85271051443431</v>
      </c>
      <c r="DU79" s="62">
        <f t="shared" si="98"/>
        <v>318.66958823451142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0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7.4</v>
      </c>
      <c r="EJ79" s="13">
        <f>IF('Données projet'!$A$192&gt;35,EJ78+EI79-ER78,IF(A79&lt;'Données projet'!$A$192,$EG$205^A79,IF(A79='Données projet'!$A$192,'Données projet'!$B$192,EJ78+EI79-ER78)))</f>
        <v>261.39999999999986</v>
      </c>
      <c r="EK79" s="18">
        <f>EJ79*VLOOKUP('Données projet'!$B$15,Paramètres!$A$1:$I$89,3,0)*VLOOKUP('Données projet'!$B$15,Paramètres!$A$1:$I$89,5,0)</f>
        <v>224.2811999999999</v>
      </c>
      <c r="EL79" s="14">
        <f t="shared" si="99"/>
        <v>55.044337086497663</v>
      </c>
      <c r="EM79" s="22">
        <f t="shared" si="73"/>
        <v>486.49197709231652</v>
      </c>
      <c r="EN79" s="62">
        <f t="shared" si="74"/>
        <v>779.82531042564983</v>
      </c>
      <c r="EO79" s="62">
        <f ca="1">AVERAGE(OFFSET($EN$3,0,0,'Données projet'!$E$15+1,1))-AVERAGE(OFFSET($H$3,0,0,'Données projet'!$E$15+1,1))</f>
        <v>438.65317358403996</v>
      </c>
      <c r="EP79" s="62">
        <f t="shared" si="100"/>
        <v>176.81257896138806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0</v>
      </c>
      <c r="EW79" s="23">
        <f>EXP(-LN(2)/25)*EW78+(1-EXP(-LN(2)/25))/(LN(2)/25)*Calculateur!ER79*Calculateur!ET79*VLOOKUP('Données projet'!$B$15,Paramètres!$A$1:$I$89,3,0)*0.475*44/12</f>
        <v>0</v>
      </c>
      <c r="EX79" s="23">
        <f>EXP(-LN(2)/2)*EX78+(1-EXP(-LN(2)/2))/(LN(2)/2)*ER79*EU79*VLOOKUP('Données projet'!$B$15,Paramètres!$A$1:$I$89,3,0)*0.475*44/12</f>
        <v>0</v>
      </c>
      <c r="EY79" s="24">
        <f t="shared" si="75"/>
        <v>0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2.2737367544323206E-13</v>
      </c>
      <c r="O80" s="14">
        <f>N80*VLOOKUP('Données projet'!$B$9,Paramètres!$A$1:$I$89,3,0)*VLOOKUP('Données projet'!$B$9,Paramètres!$A$1:$I$89,5,0)</f>
        <v>1.2710188457276673E-13</v>
      </c>
      <c r="P80" s="14">
        <f t="shared" si="87"/>
        <v>1.856866851063998E-12</v>
      </c>
      <c r="Q80" s="22">
        <f t="shared" si="54"/>
        <v>3.4554122145673649E-12</v>
      </c>
      <c r="R80" s="62">
        <f t="shared" si="55"/>
        <v>293.33333333333678</v>
      </c>
      <c r="S80" s="62">
        <f ca="1">AVERAGE(OFFSET($R$3,0,0,'Données projet'!$E$9+1,1))-AVERAGE(OFFSET($H$3,0,0,'Données projet'!$E$9+1,1))</f>
        <v>323.98185264074681</v>
      </c>
      <c r="T80" s="62">
        <f t="shared" si="88"/>
        <v>301.22207291854005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1.7592215264638553</v>
      </c>
      <c r="AA80" s="23">
        <f>EXP(-LN(2)/25)*AA79+(1-EXP(-LN(2)/25))/(LN(2)/25)*Calculateur!V80*Calculateur!X80*VLOOKUP('Données projet'!$B$9,Paramètres!$A$1:$I$89,3,0)*0.475*44/12</f>
        <v>2.2406570104155445</v>
      </c>
      <c r="AB80" s="23">
        <f>EXP(-LN(2)/2)*AB79+(1-EXP(-LN(2)/2))/(LN(2)/2)*V80*Y80*VLOOKUP('Données projet'!$B$9,Paramètres!$A$1:$I$89,3,0)*0.475*44/12</f>
        <v>5.1316377392578753E-7</v>
      </c>
      <c r="AC80" s="24">
        <f t="shared" si="57"/>
        <v>3.999879050043174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7.5584615384615343</v>
      </c>
      <c r="AI80" s="14">
        <f>IF('Données projet'!$A$62&gt;35,AI79+AH80-AQ79,IF(A80&lt;'Données projet'!$A$62,$AF$205^A80,IF(A80='Données projet'!$A$62,'Données projet'!$B$62,AI79+AH80-AQ79)))</f>
        <v>380.23230769230742</v>
      </c>
      <c r="AJ80" s="14">
        <f>AI80*VLOOKUP('Données projet'!$B$10,Paramètres!$A$1:$I$89,3,0)*VLOOKUP('Données projet'!$B$10,Paramètres!$A$1:$I$89,5,0)</f>
        <v>227.37891999999985</v>
      </c>
      <c r="AK80" s="14">
        <f t="shared" si="89"/>
        <v>55.715565262615499</v>
      </c>
      <c r="AL80" s="22">
        <f t="shared" si="58"/>
        <v>493.05622849905507</v>
      </c>
      <c r="AM80" s="62">
        <f t="shared" si="59"/>
        <v>786.38956183238838</v>
      </c>
      <c r="AN80" s="62">
        <f ca="1">AVERAGE(OFFSET($AM$3,0,0,'Données projet'!$E$10+1,1))-AVERAGE(OFFSET($H$3,0,0,'Données projet'!$E$10+1,1))</f>
        <v>289.12367833861299</v>
      </c>
      <c r="AO80" s="62">
        <f t="shared" si="90"/>
        <v>229.06617320689003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3.4955205966640011E-7</v>
      </c>
      <c r="AX80" s="23">
        <f t="shared" si="60"/>
        <v>3.4955205966640011E-7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>
        <f>BD80*VLOOKUP('Données projet'!$B$11,Paramètres!$A$1:$I$89,3,0)*VLOOKUP('Données projet'!$B$11,Paramètres!$A$1:$I$89,5,0)</f>
        <v>0</v>
      </c>
      <c r="BF80" s="14" t="e">
        <f t="shared" si="91"/>
        <v>#NUM!</v>
      </c>
      <c r="BG80" s="22" t="e">
        <f t="shared" si="61"/>
        <v>#NUM!</v>
      </c>
      <c r="BH80" s="62" t="e">
        <f t="shared" si="62"/>
        <v>#NUM!</v>
      </c>
      <c r="BI80" s="62">
        <f ca="1">AVERAGE(OFFSET($BH$3,0,0,'Données projet'!$E$11+1,1))-AVERAGE(OFFSET($H$3,0,0,'Données projet'!$E$11+1,1))</f>
        <v>240.22884864766218</v>
      </c>
      <c r="BJ80" s="62">
        <f t="shared" si="92"/>
        <v>343.23776884143166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2.7971126581296311</v>
      </c>
      <c r="BR80" s="23">
        <f>EXP(-LN(2)/2)*BR79+(1-EXP(-LN(2)/2))/(LN(2)/2)*BL80*BO80*VLOOKUP('Données projet'!$B$11,Paramètres!$A$1:$I$89,3,0)*0.475*44/12</f>
        <v>1.3924323982070763E-6</v>
      </c>
      <c r="BS80" s="24">
        <f t="shared" si="63"/>
        <v>2.7971140505620293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6</v>
      </c>
      <c r="BY80" s="13">
        <f>IF('Données projet'!$A$114&gt;35,BY79+BX80-CG79,IF(A80&lt;'Données projet'!$A$114,$BV$205^A80,IF(A80='Données projet'!$A$114,'Données projet'!$B$114,BY79+BX80-CG79)))</f>
        <v>263.99999999999989</v>
      </c>
      <c r="BZ80" s="14">
        <f>BY80*VLOOKUP('Données projet'!$B$12,Paramètres!$A$1:$I$89,3,0)*VLOOKUP('Données projet'!$B$12,Paramètres!$A$1:$I$89,5,0)</f>
        <v>238.86719999999988</v>
      </c>
      <c r="CA80" s="14">
        <f t="shared" si="93"/>
        <v>58.195735973104156</v>
      </c>
      <c r="CB80" s="22">
        <f t="shared" si="64"/>
        <v>517.38461348648957</v>
      </c>
      <c r="CC80" s="62">
        <f t="shared" si="65"/>
        <v>810.71794681982283</v>
      </c>
      <c r="CD80" s="62">
        <f ca="1">AVERAGE(OFFSET($CC$3,0,0,'Données projet'!$E$12+1,1))-AVERAGE(OFFSET($H$3,0,0,'Données projet'!$E$12+1,1))</f>
        <v>428.8489304403459</v>
      </c>
      <c r="CE80" s="62">
        <f t="shared" si="94"/>
        <v>247.01165577562966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3</v>
      </c>
      <c r="CT80" s="13">
        <f>IF('Données projet'!$A$140&gt;35,CT79+CS80-DB79,IF(A80&lt;'Données projet'!$A$140,$CQ$205^A80,IF(A80='Données projet'!$A$140,'Données projet'!$B$140,CT79+CS80-DB79)))</f>
        <v>275.99999999999983</v>
      </c>
      <c r="CU80" s="18">
        <f>CT80*VLOOKUP('Données projet'!$B$13,Paramètres!$A$1:$I$89,3,0)*VLOOKUP('Données projet'!$B$13,Paramètres!$A$1:$I$89,5,0)</f>
        <v>219.58559999999986</v>
      </c>
      <c r="CV80" s="14">
        <f t="shared" si="95"/>
        <v>54.024808047218499</v>
      </c>
      <c r="CW80" s="22">
        <f t="shared" si="67"/>
        <v>476.53812734890533</v>
      </c>
      <c r="CX80" s="62">
        <f t="shared" si="68"/>
        <v>769.87146068223865</v>
      </c>
      <c r="CY80" s="62">
        <f ca="1">AVERAGE(OFFSET($CX$3,0,0,'Données projet'!$E$13+1,1))-AVERAGE(OFFSET($H$3,0,0,'Données projet'!$E$13+1,1))</f>
        <v>312.53381881960331</v>
      </c>
      <c r="CZ80" s="62">
        <f t="shared" si="96"/>
        <v>342.06887933351783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3</v>
      </c>
      <c r="DO80" s="13">
        <f>IF('Données projet'!$A$166&gt;35,DO79+DN80-DW79,IF(A80&lt;'Données projet'!$A$166,$DL$205^A80,IF(A80='Données projet'!$A$166,'Données projet'!$B$166,DO79+DN80-DW79)))</f>
        <v>275.99999999999983</v>
      </c>
      <c r="DP80" s="18">
        <f>DO80*VLOOKUP('Données projet'!$B$14,Paramètres!$A$1:$I$89,3,0)*VLOOKUP('Données projet'!$B$14,Paramètres!$A$1:$I$89,5,0)</f>
        <v>202.36319999999986</v>
      </c>
      <c r="DQ80" s="14">
        <f t="shared" si="97"/>
        <v>50.263171959975132</v>
      </c>
      <c r="DR80" s="22">
        <f t="shared" si="70"/>
        <v>439.99093116362309</v>
      </c>
      <c r="DS80" s="62">
        <f t="shared" si="71"/>
        <v>733.3242644969564</v>
      </c>
      <c r="DT80" s="62">
        <f ca="1">AVERAGE(OFFSET($DS$3,0,0,'Données projet'!$E$14+1,1))-AVERAGE(OFFSET($H$3,0,0,'Données projet'!$E$14+1,1))</f>
        <v>290.85271051443431</v>
      </c>
      <c r="DU80" s="62">
        <f t="shared" si="98"/>
        <v>318.66958823451142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0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7.4</v>
      </c>
      <c r="EJ80" s="13">
        <f>IF('Données projet'!$A$192&gt;35,EJ79+EI80-ER79,IF(A80&lt;'Données projet'!$A$192,$EG$205^A80,IF(A80='Données projet'!$A$192,'Données projet'!$B$192,EJ79+EI80-ER79)))</f>
        <v>268.79999999999984</v>
      </c>
      <c r="EK80" s="18">
        <f>EJ80*VLOOKUP('Données projet'!$B$15,Paramètres!$A$1:$I$89,3,0)*VLOOKUP('Données projet'!$B$15,Paramètres!$A$1:$I$89,5,0)</f>
        <v>230.63039999999987</v>
      </c>
      <c r="EL80" s="14">
        <f t="shared" si="99"/>
        <v>56.418967028503204</v>
      </c>
      <c r="EM80" s="22">
        <f t="shared" si="73"/>
        <v>499.94431424130948</v>
      </c>
      <c r="EN80" s="62">
        <f t="shared" si="74"/>
        <v>793.27764757464274</v>
      </c>
      <c r="EO80" s="62">
        <f ca="1">AVERAGE(OFFSET($EN$3,0,0,'Données projet'!$E$15+1,1))-AVERAGE(OFFSET($H$3,0,0,'Données projet'!$E$15+1,1))</f>
        <v>438.65317358403996</v>
      </c>
      <c r="EP80" s="62">
        <f t="shared" si="100"/>
        <v>176.81257896138806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0</v>
      </c>
      <c r="EW80" s="23">
        <f>EXP(-LN(2)/25)*EW79+(1-EXP(-LN(2)/25))/(LN(2)/25)*Calculateur!ER80*Calculateur!ET80*VLOOKUP('Données projet'!$B$15,Paramètres!$A$1:$I$89,3,0)*0.475*44/12</f>
        <v>0</v>
      </c>
      <c r="EX80" s="23">
        <f>EXP(-LN(2)/2)*EX79+(1-EXP(-LN(2)/2))/(LN(2)/2)*ER80*EU80*VLOOKUP('Données projet'!$B$15,Paramètres!$A$1:$I$89,3,0)*0.475*44/12</f>
        <v>0</v>
      </c>
      <c r="EY80" s="24">
        <f t="shared" si="75"/>
        <v>0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2.2737367544323206E-13</v>
      </c>
      <c r="O81" s="14">
        <f>N81*VLOOKUP('Données projet'!$B$9,Paramètres!$A$1:$I$89,3,0)*VLOOKUP('Données projet'!$B$9,Paramètres!$A$1:$I$89,5,0)</f>
        <v>1.2710188457276673E-13</v>
      </c>
      <c r="P81" s="14">
        <f t="shared" si="87"/>
        <v>1.856866851063998E-12</v>
      </c>
      <c r="Q81" s="22">
        <f t="shared" si="54"/>
        <v>3.4554122145673649E-12</v>
      </c>
      <c r="R81" s="62">
        <f t="shared" si="55"/>
        <v>293.33333333333678</v>
      </c>
      <c r="S81" s="62">
        <f ca="1">AVERAGE(OFFSET($R$3,0,0,'Données projet'!$E$9+1,1))-AVERAGE(OFFSET($H$3,0,0,'Données projet'!$E$9+1,1))</f>
        <v>323.98185264074681</v>
      </c>
      <c r="T81" s="62">
        <f t="shared" si="88"/>
        <v>301.22207291854005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1.7247242653490784</v>
      </c>
      <c r="AA81" s="23">
        <f>EXP(-LN(2)/25)*AA80+(1-EXP(-LN(2)/25))/(LN(2)/25)*Calculateur!V81*Calculateur!X81*VLOOKUP('Données projet'!$B$9,Paramètres!$A$1:$I$89,3,0)*0.475*44/12</f>
        <v>2.1793861266347005</v>
      </c>
      <c r="AB81" s="23">
        <f>EXP(-LN(2)/2)*AB80+(1-EXP(-LN(2)/2))/(LN(2)/2)*V81*Y81*VLOOKUP('Données projet'!$B$9,Paramètres!$A$1:$I$89,3,0)*0.475*44/12</f>
        <v>3.6286158440220479E-7</v>
      </c>
      <c r="AC81" s="24">
        <f t="shared" si="57"/>
        <v>3.9041107548453633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7.5584615384615343</v>
      </c>
      <c r="AI81" s="14">
        <f>IF('Données projet'!$A$62&gt;35,AI80+AH81-AQ80,IF(A81&lt;'Données projet'!$A$62,$AF$205^A81,IF(A81='Données projet'!$A$62,'Données projet'!$B$62,AI80+AH81-AQ80)))</f>
        <v>387.79076923076894</v>
      </c>
      <c r="AJ81" s="14">
        <f>AI81*VLOOKUP('Données projet'!$B$10,Paramètres!$A$1:$I$89,3,0)*VLOOKUP('Données projet'!$B$10,Paramètres!$A$1:$I$89,5,0)</f>
        <v>231.89887999999985</v>
      </c>
      <c r="AK81" s="14">
        <f t="shared" si="89"/>
        <v>56.693067102008712</v>
      </c>
      <c r="AL81" s="22">
        <f t="shared" si="58"/>
        <v>502.63097453599829</v>
      </c>
      <c r="AM81" s="62">
        <f t="shared" si="59"/>
        <v>795.96430786933161</v>
      </c>
      <c r="AN81" s="62">
        <f ca="1">AVERAGE(OFFSET($AM$3,0,0,'Données projet'!$E$10+1,1))-AVERAGE(OFFSET($H$3,0,0,'Données projet'!$E$10+1,1))</f>
        <v>289.12367833861299</v>
      </c>
      <c r="AO81" s="62">
        <f t="shared" si="90"/>
        <v>229.06617320689003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2.4717063176783618E-7</v>
      </c>
      <c r="AX81" s="23">
        <f t="shared" si="60"/>
        <v>2.4717063176783618E-7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>
        <f>BD81*VLOOKUP('Données projet'!$B$11,Paramètres!$A$1:$I$89,3,0)*VLOOKUP('Données projet'!$B$11,Paramètres!$A$1:$I$89,5,0)</f>
        <v>0</v>
      </c>
      <c r="BF81" s="14" t="e">
        <f t="shared" si="91"/>
        <v>#NUM!</v>
      </c>
      <c r="BG81" s="22" t="e">
        <f t="shared" si="61"/>
        <v>#NUM!</v>
      </c>
      <c r="BH81" s="62" t="e">
        <f t="shared" si="62"/>
        <v>#NUM!</v>
      </c>
      <c r="BI81" s="62">
        <f ca="1">AVERAGE(OFFSET($BH$3,0,0,'Données projet'!$E$11+1,1))-AVERAGE(OFFSET($H$3,0,0,'Données projet'!$E$11+1,1))</f>
        <v>240.22884864766218</v>
      </c>
      <c r="BJ81" s="62">
        <f t="shared" si="92"/>
        <v>343.23776884143166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2.7206254653993147</v>
      </c>
      <c r="BR81" s="23">
        <f>EXP(-LN(2)/2)*BR80+(1-EXP(-LN(2)/2))/(LN(2)/2)*BL81*BO81*VLOOKUP('Données projet'!$B$11,Paramètres!$A$1:$I$89,3,0)*0.475*44/12</f>
        <v>9.8459839111607067E-7</v>
      </c>
      <c r="BS81" s="24">
        <f t="shared" si="63"/>
        <v>2.720626449997706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6</v>
      </c>
      <c r="BY81" s="13">
        <f>IF('Données projet'!$A$114&gt;35,BY80+BX81-CG80,IF(A81&lt;'Données projet'!$A$114,$BV$205^A81,IF(A81='Données projet'!$A$114,'Données projet'!$B$114,BY80+BX81-CG80)))</f>
        <v>269.99999999999989</v>
      </c>
      <c r="BZ81" s="14">
        <f>BY81*VLOOKUP('Données projet'!$B$12,Paramètres!$A$1:$I$89,3,0)*VLOOKUP('Données projet'!$B$12,Paramètres!$A$1:$I$89,5,0)</f>
        <v>244.29599999999991</v>
      </c>
      <c r="CA81" s="14">
        <f t="shared" si="93"/>
        <v>59.362879241040318</v>
      </c>
      <c r="CB81" s="22">
        <f t="shared" si="64"/>
        <v>528.87254801147833</v>
      </c>
      <c r="CC81" s="62">
        <f t="shared" si="65"/>
        <v>822.20588134481159</v>
      </c>
      <c r="CD81" s="62">
        <f ca="1">AVERAGE(OFFSET($CC$3,0,0,'Données projet'!$E$12+1,1))-AVERAGE(OFFSET($H$3,0,0,'Données projet'!$E$12+1,1))</f>
        <v>428.8489304403459</v>
      </c>
      <c r="CE81" s="62">
        <f t="shared" si="94"/>
        <v>247.01165577562966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3</v>
      </c>
      <c r="CT81" s="13">
        <f>IF('Données projet'!$A$140&gt;35,CT80+CS81-DB80,IF(A81&lt;'Données projet'!$A$140,$CQ$205^A81,IF(A81='Données projet'!$A$140,'Données projet'!$B$140,CT80+CS81-DB80)))</f>
        <v>278.99999999999983</v>
      </c>
      <c r="CU81" s="18">
        <f>CT81*VLOOKUP('Données projet'!$B$13,Paramètres!$A$1:$I$89,3,0)*VLOOKUP('Données projet'!$B$13,Paramètres!$A$1:$I$89,5,0)</f>
        <v>221.97239999999985</v>
      </c>
      <c r="CV81" s="14">
        <f t="shared" si="95"/>
        <v>54.543354171476771</v>
      </c>
      <c r="CW81" s="22">
        <f t="shared" si="67"/>
        <v>481.59827184865503</v>
      </c>
      <c r="CX81" s="62">
        <f t="shared" si="68"/>
        <v>774.93160518198829</v>
      </c>
      <c r="CY81" s="62">
        <f ca="1">AVERAGE(OFFSET($CX$3,0,0,'Données projet'!$E$13+1,1))-AVERAGE(OFFSET($H$3,0,0,'Données projet'!$E$13+1,1))</f>
        <v>312.53381881960331</v>
      </c>
      <c r="CZ81" s="62">
        <f t="shared" si="96"/>
        <v>342.06887933351783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3</v>
      </c>
      <c r="DO81" s="13">
        <f>IF('Données projet'!$A$166&gt;35,DO80+DN81-DW80,IF(A81&lt;'Données projet'!$A$166,$DL$205^A81,IF(A81='Données projet'!$A$166,'Données projet'!$B$166,DO80+DN81-DW80)))</f>
        <v>278.99999999999983</v>
      </c>
      <c r="DP81" s="18">
        <f>DO81*VLOOKUP('Données projet'!$B$14,Paramètres!$A$1:$I$89,3,0)*VLOOKUP('Données projet'!$B$14,Paramètres!$A$1:$I$89,5,0)</f>
        <v>204.56279999999987</v>
      </c>
      <c r="DQ81" s="14">
        <f t="shared" si="97"/>
        <v>50.74561278586372</v>
      </c>
      <c r="DR81" s="22">
        <f t="shared" si="70"/>
        <v>444.66215226871242</v>
      </c>
      <c r="DS81" s="62">
        <f t="shared" si="71"/>
        <v>737.99548560204573</v>
      </c>
      <c r="DT81" s="62">
        <f ca="1">AVERAGE(OFFSET($DS$3,0,0,'Données projet'!$E$14+1,1))-AVERAGE(OFFSET($H$3,0,0,'Données projet'!$E$14+1,1))</f>
        <v>290.85271051443431</v>
      </c>
      <c r="DU81" s="62">
        <f t="shared" si="98"/>
        <v>318.66958823451142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0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7.4</v>
      </c>
      <c r="EJ81" s="13">
        <f>IF('Données projet'!$A$192&gt;35,EJ80+EI81-ER80,IF(A81&lt;'Données projet'!$A$192,$EG$205^A81,IF(A81='Données projet'!$A$192,'Données projet'!$B$192,EJ80+EI81-ER80)))</f>
        <v>276.19999999999982</v>
      </c>
      <c r="EK81" s="18">
        <f>EJ81*VLOOKUP('Données projet'!$B$15,Paramètres!$A$1:$I$89,3,0)*VLOOKUP('Données projet'!$B$15,Paramètres!$A$1:$I$89,5,0)</f>
        <v>236.97959999999986</v>
      </c>
      <c r="EL81" s="14">
        <f t="shared" si="99"/>
        <v>57.789198481081975</v>
      </c>
      <c r="EM81" s="22">
        <f t="shared" si="73"/>
        <v>513.38899068788419</v>
      </c>
      <c r="EN81" s="62">
        <f t="shared" si="74"/>
        <v>806.72232402121745</v>
      </c>
      <c r="EO81" s="62">
        <f ca="1">AVERAGE(OFFSET($EN$3,0,0,'Données projet'!$E$15+1,1))-AVERAGE(OFFSET($H$3,0,0,'Données projet'!$E$15+1,1))</f>
        <v>438.65317358403996</v>
      </c>
      <c r="EP81" s="62">
        <f t="shared" si="100"/>
        <v>176.81257896138806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0</v>
      </c>
      <c r="EW81" s="23">
        <f>EXP(-LN(2)/25)*EW80+(1-EXP(-LN(2)/25))/(LN(2)/25)*Calculateur!ER81*Calculateur!ET81*VLOOKUP('Données projet'!$B$15,Paramètres!$A$1:$I$89,3,0)*0.475*44/12</f>
        <v>0</v>
      </c>
      <c r="EX81" s="23">
        <f>EXP(-LN(2)/2)*EX80+(1-EXP(-LN(2)/2))/(LN(2)/2)*ER81*EU81*VLOOKUP('Données projet'!$B$15,Paramètres!$A$1:$I$89,3,0)*0.475*44/12</f>
        <v>0</v>
      </c>
      <c r="EY81" s="24">
        <f t="shared" si="75"/>
        <v>0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2.2737367544323206E-13</v>
      </c>
      <c r="O82" s="14">
        <f>N82*VLOOKUP('Données projet'!$B$9,Paramètres!$A$1:$I$89,3,0)*VLOOKUP('Données projet'!$B$9,Paramètres!$A$1:$I$89,5,0)</f>
        <v>1.2710188457276673E-13</v>
      </c>
      <c r="P82" s="14">
        <f t="shared" si="87"/>
        <v>1.856866851063998E-12</v>
      </c>
      <c r="Q82" s="22">
        <f t="shared" si="54"/>
        <v>3.4554122145673649E-12</v>
      </c>
      <c r="R82" s="62">
        <f t="shared" si="55"/>
        <v>293.33333333333678</v>
      </c>
      <c r="S82" s="62">
        <f ca="1">AVERAGE(OFFSET($R$3,0,0,'Données projet'!$E$9+1,1))-AVERAGE(OFFSET($H$3,0,0,'Données projet'!$E$9+1,1))</f>
        <v>323.98185264074681</v>
      </c>
      <c r="T82" s="62">
        <f t="shared" si="88"/>
        <v>301.22207291854005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1.6909034744835107</v>
      </c>
      <c r="AA82" s="23">
        <f>EXP(-LN(2)/25)*AA81+(1-EXP(-LN(2)/25))/(LN(2)/25)*Calculateur!V82*Calculateur!X82*VLOOKUP('Données projet'!$B$9,Paramètres!$A$1:$I$89,3,0)*0.475*44/12</f>
        <v>2.1197906983929391</v>
      </c>
      <c r="AB82" s="23">
        <f>EXP(-LN(2)/2)*AB81+(1-EXP(-LN(2)/2))/(LN(2)/2)*V82*Y82*VLOOKUP('Données projet'!$B$9,Paramètres!$A$1:$I$89,3,0)*0.475*44/12</f>
        <v>2.5658188696289376E-7</v>
      </c>
      <c r="AC82" s="24">
        <f t="shared" si="57"/>
        <v>3.8106944294583367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7.5584615384615343</v>
      </c>
      <c r="AI82" s="14">
        <f>IF('Données projet'!$A$62&gt;35,AI81+AH82-AQ81,IF(A82&lt;'Données projet'!$A$62,$AF$205^A82,IF(A82='Données projet'!$A$62,'Données projet'!$B$62,AI81+AH82-AQ81)))</f>
        <v>395.34923076923047</v>
      </c>
      <c r="AJ82" s="14">
        <f>AI82*VLOOKUP('Données projet'!$B$10,Paramètres!$A$1:$I$89,3,0)*VLOOKUP('Données projet'!$B$10,Paramètres!$A$1:$I$89,5,0)</f>
        <v>236.41883999999985</v>
      </c>
      <c r="AK82" s="14">
        <f t="shared" si="89"/>
        <v>57.668353588027863</v>
      </c>
      <c r="AL82" s="22">
        <f t="shared" si="58"/>
        <v>512.20186216581487</v>
      </c>
      <c r="AM82" s="62">
        <f t="shared" si="59"/>
        <v>805.53519549914813</v>
      </c>
      <c r="AN82" s="62">
        <f ca="1">AVERAGE(OFFSET($AM$3,0,0,'Données projet'!$E$10+1,1))-AVERAGE(OFFSET($H$3,0,0,'Données projet'!$E$10+1,1))</f>
        <v>289.12367833861299</v>
      </c>
      <c r="AO82" s="62">
        <f t="shared" si="90"/>
        <v>229.06617320689003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1.7477602983320005E-7</v>
      </c>
      <c r="AX82" s="23">
        <f t="shared" si="60"/>
        <v>1.7477602983320005E-7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>
        <f>BD82*VLOOKUP('Données projet'!$B$11,Paramètres!$A$1:$I$89,3,0)*VLOOKUP('Données projet'!$B$11,Paramètres!$A$1:$I$89,5,0)</f>
        <v>0</v>
      </c>
      <c r="BF82" s="14" t="e">
        <f t="shared" si="91"/>
        <v>#NUM!</v>
      </c>
      <c r="BG82" s="22" t="e">
        <f t="shared" si="61"/>
        <v>#NUM!</v>
      </c>
      <c r="BH82" s="62" t="e">
        <f t="shared" si="62"/>
        <v>#NUM!</v>
      </c>
      <c r="BI82" s="62">
        <f ca="1">AVERAGE(OFFSET($BH$3,0,0,'Données projet'!$E$11+1,1))-AVERAGE(OFFSET($H$3,0,0,'Données projet'!$E$11+1,1))</f>
        <v>240.22884864766218</v>
      </c>
      <c r="BJ82" s="62">
        <f t="shared" si="92"/>
        <v>343.23776884143166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2.6462298189764955</v>
      </c>
      <c r="BR82" s="23">
        <f>EXP(-LN(2)/2)*BR81+(1-EXP(-LN(2)/2))/(LN(2)/2)*BL82*BO82*VLOOKUP('Données projet'!$B$11,Paramètres!$A$1:$I$89,3,0)*0.475*44/12</f>
        <v>6.9621619910353813E-7</v>
      </c>
      <c r="BS82" s="24">
        <f t="shared" si="63"/>
        <v>2.6462305151926944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6</v>
      </c>
      <c r="BY82" s="13">
        <f>IF('Données projet'!$A$114&gt;35,BY81+BX82-CG81,IF(A82&lt;'Données projet'!$A$114,$BV$205^A82,IF(A82='Données projet'!$A$114,'Données projet'!$B$114,BY81+BX82-CG81)))</f>
        <v>275.99999999999989</v>
      </c>
      <c r="BZ82" s="14">
        <f>BY82*VLOOKUP('Données projet'!$B$12,Paramètres!$A$1:$I$89,3,0)*VLOOKUP('Données projet'!$B$12,Paramètres!$A$1:$I$89,5,0)</f>
        <v>249.7247999999999</v>
      </c>
      <c r="CA82" s="14">
        <f t="shared" si="93"/>
        <v>60.527007137298092</v>
      </c>
      <c r="CB82" s="22">
        <f t="shared" si="64"/>
        <v>540.35523076412733</v>
      </c>
      <c r="CC82" s="62">
        <f t="shared" si="65"/>
        <v>833.68856409746058</v>
      </c>
      <c r="CD82" s="62">
        <f ca="1">AVERAGE(OFFSET($CC$3,0,0,'Données projet'!$E$12+1,1))-AVERAGE(OFFSET($H$3,0,0,'Données projet'!$E$12+1,1))</f>
        <v>428.8489304403459</v>
      </c>
      <c r="CE82" s="62">
        <f t="shared" si="94"/>
        <v>247.01165577562966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3</v>
      </c>
      <c r="CT82" s="13">
        <f>IF('Données projet'!$A$140&gt;35,CT81+CS82-DB81,IF(A82&lt;'Données projet'!$A$140,$CQ$205^A82,IF(A82='Données projet'!$A$140,'Données projet'!$B$140,CT81+CS82-DB81)))</f>
        <v>281.99999999999983</v>
      </c>
      <c r="CU82" s="18">
        <f>CT82*VLOOKUP('Données projet'!$B$13,Paramètres!$A$1:$I$89,3,0)*VLOOKUP('Données projet'!$B$13,Paramètres!$A$1:$I$89,5,0)</f>
        <v>224.35919999999987</v>
      </c>
      <c r="CV82" s="14">
        <f t="shared" si="95"/>
        <v>55.061251669487255</v>
      </c>
      <c r="CW82" s="22">
        <f t="shared" si="67"/>
        <v>486.65728665769001</v>
      </c>
      <c r="CX82" s="62">
        <f t="shared" si="68"/>
        <v>779.99061999102332</v>
      </c>
      <c r="CY82" s="62">
        <f ca="1">AVERAGE(OFFSET($CX$3,0,0,'Données projet'!$E$13+1,1))-AVERAGE(OFFSET($H$3,0,0,'Données projet'!$E$13+1,1))</f>
        <v>312.53381881960331</v>
      </c>
      <c r="CZ82" s="62">
        <f t="shared" si="96"/>
        <v>342.06887933351783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3</v>
      </c>
      <c r="DO82" s="13">
        <f>IF('Données projet'!$A$166&gt;35,DO81+DN82-DW81,IF(A82&lt;'Données projet'!$A$166,$DL$205^A82,IF(A82='Données projet'!$A$166,'Données projet'!$B$166,DO81+DN82-DW81)))</f>
        <v>281.99999999999983</v>
      </c>
      <c r="DP82" s="18">
        <f>DO82*VLOOKUP('Données projet'!$B$14,Paramètres!$A$1:$I$89,3,0)*VLOOKUP('Données projet'!$B$14,Paramètres!$A$1:$I$89,5,0)</f>
        <v>206.76239999999987</v>
      </c>
      <c r="DQ82" s="14">
        <f t="shared" si="97"/>
        <v>51.227450148013851</v>
      </c>
      <c r="DR82" s="22">
        <f t="shared" si="70"/>
        <v>449.33232234112387</v>
      </c>
      <c r="DS82" s="62">
        <f t="shared" si="71"/>
        <v>742.66565567445718</v>
      </c>
      <c r="DT82" s="62">
        <f ca="1">AVERAGE(OFFSET($DS$3,0,0,'Données projet'!$E$14+1,1))-AVERAGE(OFFSET($H$3,0,0,'Données projet'!$E$14+1,1))</f>
        <v>290.85271051443431</v>
      </c>
      <c r="DU82" s="62">
        <f t="shared" si="98"/>
        <v>318.66958823451142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0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7.4</v>
      </c>
      <c r="EJ82" s="13">
        <f>IF('Données projet'!$A$192&gt;35,EJ81+EI82-ER81,IF(A82&lt;'Données projet'!$A$192,$EG$205^A82,IF(A82='Données projet'!$A$192,'Données projet'!$B$192,EJ81+EI82-ER81)))</f>
        <v>283.5999999999998</v>
      </c>
      <c r="EK82" s="18">
        <f>EJ82*VLOOKUP('Données projet'!$B$15,Paramètres!$A$1:$I$89,3,0)*VLOOKUP('Données projet'!$B$15,Paramètres!$A$1:$I$89,5,0)</f>
        <v>243.32879999999986</v>
      </c>
      <c r="EL82" s="14">
        <f t="shared" si="99"/>
        <v>59.155162833418565</v>
      </c>
      <c r="EM82" s="22">
        <f t="shared" si="73"/>
        <v>526.82623526820373</v>
      </c>
      <c r="EN82" s="62">
        <f t="shared" si="74"/>
        <v>820.1595686015371</v>
      </c>
      <c r="EO82" s="62">
        <f ca="1">AVERAGE(OFFSET($EN$3,0,0,'Données projet'!$E$15+1,1))-AVERAGE(OFFSET($H$3,0,0,'Données projet'!$E$15+1,1))</f>
        <v>438.65317358403996</v>
      </c>
      <c r="EP82" s="62">
        <f t="shared" si="100"/>
        <v>176.81257896138806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0</v>
      </c>
      <c r="EW82" s="23">
        <f>EXP(-LN(2)/25)*EW81+(1-EXP(-LN(2)/25))/(LN(2)/25)*Calculateur!ER82*Calculateur!ET82*VLOOKUP('Données projet'!$B$15,Paramètres!$A$1:$I$89,3,0)*0.475*44/12</f>
        <v>0</v>
      </c>
      <c r="EX82" s="23">
        <f>EXP(-LN(2)/2)*EX81+(1-EXP(-LN(2)/2))/(LN(2)/2)*ER82*EU82*VLOOKUP('Données projet'!$B$15,Paramètres!$A$1:$I$89,3,0)*0.475*44/12</f>
        <v>0</v>
      </c>
      <c r="EY82" s="24">
        <f t="shared" si="75"/>
        <v>0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2.2737367544323206E-13</v>
      </c>
      <c r="O83" s="14">
        <f>N83*VLOOKUP('Données projet'!$B$9,Paramètres!$A$1:$I$89,3,0)*VLOOKUP('Données projet'!$B$9,Paramètres!$A$1:$I$89,5,0)</f>
        <v>1.2710188457276673E-13</v>
      </c>
      <c r="P83" s="14">
        <f t="shared" si="87"/>
        <v>1.856866851063998E-12</v>
      </c>
      <c r="Q83" s="22">
        <f t="shared" si="54"/>
        <v>3.4554122145673649E-12</v>
      </c>
      <c r="R83" s="62">
        <f t="shared" si="55"/>
        <v>293.33333333333678</v>
      </c>
      <c r="S83" s="62">
        <f ca="1">AVERAGE(OFFSET($R$3,0,0,'Données projet'!$E$9+1,1))-AVERAGE(OFFSET($H$3,0,0,'Données projet'!$E$9+1,1))</f>
        <v>323.98185264074681</v>
      </c>
      <c r="T83" s="62">
        <f t="shared" si="88"/>
        <v>301.22207291854005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1.6577458886981713</v>
      </c>
      <c r="AA83" s="23">
        <f>EXP(-LN(2)/25)*AA82+(1-EXP(-LN(2)/25))/(LN(2)/25)*Calculateur!V83*Calculateur!X83*VLOOKUP('Données projet'!$B$9,Paramètres!$A$1:$I$89,3,0)*0.475*44/12</f>
        <v>2.061824910270436</v>
      </c>
      <c r="AB83" s="23">
        <f>EXP(-LN(2)/2)*AB82+(1-EXP(-LN(2)/2))/(LN(2)/2)*V83*Y83*VLOOKUP('Données projet'!$B$9,Paramètres!$A$1:$I$89,3,0)*0.475*44/12</f>
        <v>1.814307922011024E-7</v>
      </c>
      <c r="AC83" s="24">
        <f t="shared" si="57"/>
        <v>3.7195709803993995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402.90769230769229</v>
      </c>
      <c r="AG83" s="13">
        <f>VLOOKUP(A83,'Données projet'!$A$61:$I$81,9,0)</f>
        <v>7.5584615384615343</v>
      </c>
      <c r="AH83" s="13">
        <f t="array" ref="AH83">INDEX(AG:AG,MIN(IF(ISNUMBER(AG83:AG279),ROW(AG83:AG279),"")))</f>
        <v>7.5584615384615343</v>
      </c>
      <c r="AI83" s="14">
        <f>IF('Données projet'!$A$62&gt;35,AI82+AH83-AQ82,IF(A83&lt;'Données projet'!$A$62,$AF$205^A83,IF(A83='Données projet'!$A$62,'Données projet'!$B$62,AI82+AH83-AQ82)))</f>
        <v>402.907692307692</v>
      </c>
      <c r="AJ83" s="14">
        <f>AI83*VLOOKUP('Données projet'!$B$10,Paramètres!$A$1:$I$89,3,0)*VLOOKUP('Données projet'!$B$10,Paramètres!$A$1:$I$89,5,0)</f>
        <v>240.93879999999982</v>
      </c>
      <c r="AK83" s="14">
        <f t="shared" si="89"/>
        <v>58.64147195802866</v>
      </c>
      <c r="AL83" s="22">
        <f t="shared" si="58"/>
        <v>521.76897366023286</v>
      </c>
      <c r="AM83" s="62">
        <f t="shared" si="59"/>
        <v>815.10230699356612</v>
      </c>
      <c r="AN83" s="62">
        <f ca="1">AVERAGE(OFFSET($AM$3,0,0,'Données projet'!$E$10+1,1))-AVERAGE(OFFSET($H$3,0,0,'Données projet'!$E$10+1,1))</f>
        <v>289.12367833861299</v>
      </c>
      <c r="AO83" s="62">
        <f t="shared" si="90"/>
        <v>229.06617320689003</v>
      </c>
      <c r="AP83" s="16">
        <f>IF(ISNA(VLOOKUP(A83,'Données projet'!$A$61:$I$81,3,0)),0,VLOOKUP(A83,'Données projet'!$A$61:$I$81,3,0))</f>
        <v>8</v>
      </c>
      <c r="AQ83" s="16">
        <f>IF(ISNA(VLOOKUP(A83,'Données projet'!$A$61:$I$81,4,0)),0,VLOOKUP(A83,'Données projet'!$A$61:$I$81,4,0))</f>
        <v>402.90769230769229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1.2358531588391809E-7</v>
      </c>
      <c r="AX83" s="23">
        <f t="shared" si="60"/>
        <v>1.2358531588391809E-7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>
        <f>BD83*VLOOKUP('Données projet'!$B$11,Paramètres!$A$1:$I$89,3,0)*VLOOKUP('Données projet'!$B$11,Paramètres!$A$1:$I$89,5,0)</f>
        <v>0</v>
      </c>
      <c r="BF83" s="14" t="e">
        <f t="shared" si="91"/>
        <v>#NUM!</v>
      </c>
      <c r="BG83" s="22" t="e">
        <f t="shared" si="61"/>
        <v>#NUM!</v>
      </c>
      <c r="BH83" s="62" t="e">
        <f t="shared" si="62"/>
        <v>#NUM!</v>
      </c>
      <c r="BI83" s="62">
        <f ca="1">AVERAGE(OFFSET($BH$3,0,0,'Données projet'!$E$11+1,1))-AVERAGE(OFFSET($H$3,0,0,'Données projet'!$E$11+1,1))</f>
        <v>240.22884864766218</v>
      </c>
      <c r="BJ83" s="62">
        <f t="shared" si="92"/>
        <v>343.23776884143166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2.5738685254174052</v>
      </c>
      <c r="BR83" s="23">
        <f>EXP(-LN(2)/2)*BR82+(1-EXP(-LN(2)/2))/(LN(2)/2)*BL83*BO83*VLOOKUP('Données projet'!$B$11,Paramètres!$A$1:$I$89,3,0)*0.475*44/12</f>
        <v>4.9229919555803534E-7</v>
      </c>
      <c r="BS83" s="24">
        <f t="shared" si="63"/>
        <v>2.5738690177166008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282</v>
      </c>
      <c r="BW83" s="13">
        <f>VLOOKUP(A83,'Données projet'!$A$113:$I$133,9,0)</f>
        <v>6</v>
      </c>
      <c r="BX83" s="13">
        <f t="array" ref="BX83">INDEX(BW:BW,MIN(IF(ISNUMBER(BW83:BW279),ROW(BW83:BW279),"")))</f>
        <v>6</v>
      </c>
      <c r="BY83" s="13">
        <f>IF('Données projet'!$A$114&gt;35,BY82+BX83-CG82,IF(A83&lt;'Données projet'!$A$114,$BV$205^A83,IF(A83='Données projet'!$A$114,'Données projet'!$B$114,BY82+BX83-CG82)))</f>
        <v>281.99999999999989</v>
      </c>
      <c r="BZ83" s="14">
        <f>BY83*VLOOKUP('Données projet'!$B$12,Paramètres!$A$1:$I$89,3,0)*VLOOKUP('Données projet'!$B$12,Paramètres!$A$1:$I$89,5,0)</f>
        <v>255.15359999999987</v>
      </c>
      <c r="CA83" s="14">
        <f t="shared" si="93"/>
        <v>61.688192762754376</v>
      </c>
      <c r="CB83" s="22">
        <f t="shared" si="64"/>
        <v>551.83278906179692</v>
      </c>
      <c r="CC83" s="62">
        <f t="shared" si="65"/>
        <v>845.16612239513029</v>
      </c>
      <c r="CD83" s="62">
        <f ca="1">AVERAGE(OFFSET($CC$3,0,0,'Données projet'!$E$12+1,1))-AVERAGE(OFFSET($H$3,0,0,'Données projet'!$E$12+1,1))</f>
        <v>428.8489304403459</v>
      </c>
      <c r="CE83" s="62">
        <f t="shared" si="94"/>
        <v>247.01165577562966</v>
      </c>
      <c r="CF83" s="16">
        <f>IF(ISNA(VLOOKUP(A83,'Données projet'!$A$113:$I$133,3,0)),0,VLOOKUP(A83,'Données projet'!$A$113:$I$133,3,0))</f>
        <v>6</v>
      </c>
      <c r="CG83" s="16">
        <f>IF(ISNA(VLOOKUP(A83,'Données projet'!$A$113:$I$133,4,0)),0,VLOOKUP(A83,'Données projet'!$A$113:$I$133,4,0))</f>
        <v>42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285</v>
      </c>
      <c r="CR83" s="13">
        <f>VLOOKUP(A83,'Données projet'!$A$139:$I$159,9,0)</f>
        <v>3</v>
      </c>
      <c r="CS83" s="13">
        <f t="array" ref="CS83">INDEX(CR:CR,MIN(IF(ISNUMBER(CR83:CR279),ROW(CR83:CR279),"")))</f>
        <v>3</v>
      </c>
      <c r="CT83" s="13">
        <f>IF('Données projet'!$A$140&gt;35,CT82+CS83-DB82,IF(A83&lt;'Données projet'!$A$140,$CQ$205^A83,IF(A83='Données projet'!$A$140,'Données projet'!$B$140,CT82+CS83-DB82)))</f>
        <v>284.99999999999983</v>
      </c>
      <c r="CU83" s="18">
        <f>CT83*VLOOKUP('Données projet'!$B$13,Paramètres!$A$1:$I$89,3,0)*VLOOKUP('Données projet'!$B$13,Paramètres!$A$1:$I$89,5,0)</f>
        <v>226.74599999999987</v>
      </c>
      <c r="CV83" s="14">
        <f t="shared" si="95"/>
        <v>55.578508240245917</v>
      </c>
      <c r="CW83" s="22">
        <f t="shared" si="67"/>
        <v>491.71518518509475</v>
      </c>
      <c r="CX83" s="62">
        <f t="shared" si="68"/>
        <v>785.04851851842807</v>
      </c>
      <c r="CY83" s="62">
        <f ca="1">AVERAGE(OFFSET($CX$3,0,0,'Données projet'!$E$13+1,1))-AVERAGE(OFFSET($H$3,0,0,'Données projet'!$E$13+1,1))</f>
        <v>312.53381881960331</v>
      </c>
      <c r="CZ83" s="62">
        <f t="shared" si="96"/>
        <v>342.06887933351783</v>
      </c>
      <c r="DA83" s="16">
        <f>IF(ISNA(VLOOKUP(A83,'Données projet'!$A$139:$I$159,3,0)),0,VLOOKUP(A83,'Données projet'!$A$139:$I$159,3,0))</f>
        <v>7</v>
      </c>
      <c r="DB83" s="16">
        <f>IF(ISNA(VLOOKUP(A83,'Données projet'!$A$139:$I$159,4,0)),0,VLOOKUP(A83,'Données projet'!$A$139:$I$159,4,0))</f>
        <v>285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>
        <f>VLOOKUP(A83,'Données projet'!$A$165:$I$185,2,0)</f>
        <v>285</v>
      </c>
      <c r="DM83" s="13">
        <f>VLOOKUP(A83,'Données projet'!$A$165:$I$185,9,0)</f>
        <v>3</v>
      </c>
      <c r="DN83" s="13">
        <f t="array" ref="DN83">INDEX(DM:DM,MIN(IF(ISNUMBER(DM83:DM279),ROW(DM83:DM279),"")))</f>
        <v>3</v>
      </c>
      <c r="DO83" s="13">
        <f>IF('Données projet'!$A$166&gt;35,DO82+DN83-DW82,IF(A83&lt;'Données projet'!$A$166,$DL$205^A83,IF(A83='Données projet'!$A$166,'Données projet'!$B$166,DO82+DN83-DW82)))</f>
        <v>284.99999999999983</v>
      </c>
      <c r="DP83" s="18">
        <f>DO83*VLOOKUP('Données projet'!$B$14,Paramètres!$A$1:$I$89,3,0)*VLOOKUP('Données projet'!$B$14,Paramètres!$A$1:$I$89,5,0)</f>
        <v>208.96199999999985</v>
      </c>
      <c r="DQ83" s="14">
        <f t="shared" si="97"/>
        <v>51.708691209356381</v>
      </c>
      <c r="DR83" s="22">
        <f t="shared" si="70"/>
        <v>454.00145385629543</v>
      </c>
      <c r="DS83" s="62">
        <f t="shared" si="71"/>
        <v>747.33478718962874</v>
      </c>
      <c r="DT83" s="62">
        <f ca="1">AVERAGE(OFFSET($DS$3,0,0,'Données projet'!$E$14+1,1))-AVERAGE(OFFSET($H$3,0,0,'Données projet'!$E$14+1,1))</f>
        <v>290.85271051443431</v>
      </c>
      <c r="DU83" s="62">
        <f t="shared" si="98"/>
        <v>318.66958823451142</v>
      </c>
      <c r="DV83" s="16">
        <f>IF(ISNA(VLOOKUP(A83,'Données projet'!$A$165:$I$185,3,0)),0,VLOOKUP(A83,'Données projet'!$A$165:$I$185,3,0))</f>
        <v>7</v>
      </c>
      <c r="DW83" s="16">
        <f>IF(ISNA(VLOOKUP(A83,'Données projet'!$A$165:$I$185,4,0)),0,VLOOKUP(A83,'Données projet'!$A$165:$I$185,4,0))</f>
        <v>285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0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>
        <f>VLOOKUP(A83,'Données projet'!$A$191:$I$211,2,0)</f>
        <v>291</v>
      </c>
      <c r="EH83" s="13">
        <f>VLOOKUP(A83,'Données projet'!$A$191:$I$211,9,0)</f>
        <v>7.4</v>
      </c>
      <c r="EI83" s="13">
        <f t="array" ref="EI83">INDEX(EH:EH,MIN(IF(ISNUMBER(EH83:EH279),ROW(EH83:EH279),"")))</f>
        <v>7.4</v>
      </c>
      <c r="EJ83" s="13">
        <f>IF('Données projet'!$A$192&gt;35,EJ82+EI83-ER82,IF(A83&lt;'Données projet'!$A$192,$EG$205^A83,IF(A83='Données projet'!$A$192,'Données projet'!$B$192,EJ82+EI83-ER82)))</f>
        <v>290.99999999999977</v>
      </c>
      <c r="EK83" s="18">
        <f>EJ83*VLOOKUP('Données projet'!$B$15,Paramètres!$A$1:$I$89,3,0)*VLOOKUP('Données projet'!$B$15,Paramètres!$A$1:$I$89,5,0)</f>
        <v>249.67799999999986</v>
      </c>
      <c r="EL83" s="14">
        <f t="shared" si="99"/>
        <v>60.516984227464135</v>
      </c>
      <c r="EM83" s="22">
        <f t="shared" si="73"/>
        <v>540.2562641961664</v>
      </c>
      <c r="EN83" s="62">
        <f t="shared" si="74"/>
        <v>833.58959752949977</v>
      </c>
      <c r="EO83" s="62">
        <f ca="1">AVERAGE(OFFSET($EN$3,0,0,'Données projet'!$E$15+1,1))-AVERAGE(OFFSET($H$3,0,0,'Données projet'!$E$15+1,1))</f>
        <v>438.65317358403996</v>
      </c>
      <c r="EP83" s="62">
        <f t="shared" si="100"/>
        <v>176.81257896138806</v>
      </c>
      <c r="EQ83" s="16">
        <f>IF(ISNA(VLOOKUP(A83,'Données projet'!$A$191:$I$211,3,0)),0,VLOOKUP(A83,'Données projet'!$A$191:$I$211,3,0))</f>
        <v>6</v>
      </c>
      <c r="ER83" s="16">
        <f>IF(ISNA(VLOOKUP(A83,'Données projet'!$A$191:$I$211,4,0)),0,VLOOKUP(A83,'Données projet'!$A$191:$I$211,4,0))</f>
        <v>42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projet'!$B$15,Paramètres!$A$1:$I$89,3,0)*0.475*44/12</f>
        <v>0</v>
      </c>
      <c r="EW83" s="23">
        <f>EXP(-LN(2)/25)*EW82+(1-EXP(-LN(2)/25))/(LN(2)/25)*Calculateur!ER83*Calculateur!ET83*VLOOKUP('Données projet'!$B$15,Paramètres!$A$1:$I$89,3,0)*0.475*44/12</f>
        <v>0</v>
      </c>
      <c r="EX83" s="23">
        <f>EXP(-LN(2)/2)*EX82+(1-EXP(-LN(2)/2))/(LN(2)/2)*ER83*EU83*VLOOKUP('Données projet'!$B$15,Paramètres!$A$1:$I$89,3,0)*0.475*44/12</f>
        <v>0</v>
      </c>
      <c r="EY83" s="24">
        <f t="shared" si="75"/>
        <v>0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2.2737367544323206E-13</v>
      </c>
      <c r="O84" s="14">
        <f>N84*VLOOKUP('Données projet'!$B$9,Paramètres!$A$1:$I$89,3,0)*VLOOKUP('Données projet'!$B$9,Paramètres!$A$1:$I$89,5,0)</f>
        <v>1.2710188457276673E-13</v>
      </c>
      <c r="P84" s="14">
        <f t="shared" si="87"/>
        <v>1.856866851063998E-12</v>
      </c>
      <c r="Q84" s="22">
        <f t="shared" si="54"/>
        <v>3.4554122145673649E-12</v>
      </c>
      <c r="R84" s="62">
        <f t="shared" si="55"/>
        <v>293.33333333333678</v>
      </c>
      <c r="S84" s="62">
        <f ca="1">AVERAGE(OFFSET($R$3,0,0,'Données projet'!$E$9+1,1))-AVERAGE(OFFSET($H$3,0,0,'Données projet'!$E$9+1,1))</f>
        <v>323.98185264074681</v>
      </c>
      <c r="T84" s="62">
        <f t="shared" si="88"/>
        <v>301.22207291854005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1.625238502945952</v>
      </c>
      <c r="AA84" s="23">
        <f>EXP(-LN(2)/25)*AA83+(1-EXP(-LN(2)/25))/(LN(2)/25)*Calculateur!V84*Calculateur!X84*VLOOKUP('Données projet'!$B$9,Paramètres!$A$1:$I$89,3,0)*0.475*44/12</f>
        <v>2.0054441996724313</v>
      </c>
      <c r="AB84" s="23">
        <f>EXP(-LN(2)/2)*AB83+(1-EXP(-LN(2)/2))/(LN(2)/2)*V84*Y84*VLOOKUP('Données projet'!$B$9,Paramètres!$A$1:$I$89,3,0)*0.475*44/12</f>
        <v>1.2829094348144688E-7</v>
      </c>
      <c r="AC84" s="24">
        <f t="shared" si="57"/>
        <v>3.6306828309093269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-2.8421709430404007E-13</v>
      </c>
      <c r="AJ84" s="14">
        <f>AI84*VLOOKUP('Données projet'!$B$10,Paramètres!$A$1:$I$89,3,0)*VLOOKUP('Données projet'!$B$10,Paramètres!$A$1:$I$89,5,0)</f>
        <v>-1.69961822393816E-13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289.12367833861299</v>
      </c>
      <c r="AO84" s="62">
        <f t="shared" si="90"/>
        <v>229.06617320689003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8.7388014916600027E-8</v>
      </c>
      <c r="AX84" s="23">
        <f t="shared" si="60"/>
        <v>8.7388014916600027E-8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>
        <f>BD84*VLOOKUP('Données projet'!$B$11,Paramètres!$A$1:$I$89,3,0)*VLOOKUP('Données projet'!$B$11,Paramètres!$A$1:$I$89,5,0)</f>
        <v>0</v>
      </c>
      <c r="BF84" s="14" t="e">
        <f t="shared" si="91"/>
        <v>#NUM!</v>
      </c>
      <c r="BG84" s="22" t="e">
        <f t="shared" si="61"/>
        <v>#NUM!</v>
      </c>
      <c r="BH84" s="62" t="e">
        <f t="shared" si="62"/>
        <v>#NUM!</v>
      </c>
      <c r="BI84" s="62">
        <f ca="1">AVERAGE(OFFSET($BH$3,0,0,'Données projet'!$E$11+1,1))-AVERAGE(OFFSET($H$3,0,0,'Données projet'!$E$11+1,1))</f>
        <v>240.22884864766218</v>
      </c>
      <c r="BJ84" s="62">
        <f t="shared" si="92"/>
        <v>343.23776884143166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2.5034859552360031</v>
      </c>
      <c r="BR84" s="23">
        <f>EXP(-LN(2)/2)*BR83+(1-EXP(-LN(2)/2))/(LN(2)/2)*BL84*BO84*VLOOKUP('Données projet'!$B$11,Paramètres!$A$1:$I$89,3,0)*0.475*44/12</f>
        <v>3.4810809955176907E-7</v>
      </c>
      <c r="BS84" s="24">
        <f t="shared" si="63"/>
        <v>2.5034863033441028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5.6</v>
      </c>
      <c r="BY84" s="13">
        <f>IF('Données projet'!$A$114&gt;35,BY83+BX84-CG83,IF(A84&lt;'Données projet'!$A$114,$BV$205^A84,IF(A84='Données projet'!$A$114,'Données projet'!$B$114,BY83+BX84-CG83)))</f>
        <v>245.59999999999991</v>
      </c>
      <c r="BZ84" s="14">
        <f>BY84*VLOOKUP('Données projet'!$B$12,Paramètres!$A$1:$I$89,3,0)*VLOOKUP('Données projet'!$B$12,Paramètres!$A$1:$I$89,5,0)</f>
        <v>222.21887999999993</v>
      </c>
      <c r="CA84" s="14">
        <f t="shared" si="93"/>
        <v>54.596866296848852</v>
      </c>
      <c r="CB84" s="22">
        <f t="shared" si="64"/>
        <v>482.12075813367829</v>
      </c>
      <c r="CC84" s="62">
        <f t="shared" si="65"/>
        <v>775.45409146701161</v>
      </c>
      <c r="CD84" s="62">
        <f ca="1">AVERAGE(OFFSET($CC$3,0,0,'Données projet'!$E$12+1,1))-AVERAGE(OFFSET($H$3,0,0,'Données projet'!$E$12+1,1))</f>
        <v>428.8489304403459</v>
      </c>
      <c r="CE84" s="62">
        <f t="shared" si="94"/>
        <v>247.01165577562966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-1.7053025658242404E-13</v>
      </c>
      <c r="CU84" s="18">
        <f>CT84*VLOOKUP('Données projet'!$B$13,Paramètres!$A$1:$I$89,3,0)*VLOOKUP('Données projet'!$B$13,Paramètres!$A$1:$I$89,5,0)</f>
        <v>-1.3567387213697657E-13</v>
      </c>
      <c r="CV84" s="14" t="e">
        <f t="shared" si="95"/>
        <v>#NUM!</v>
      </c>
      <c r="CW84" s="22" t="e">
        <f t="shared" si="67"/>
        <v>#NUM!</v>
      </c>
      <c r="CX84" s="62" t="e">
        <f t="shared" si="68"/>
        <v>#NUM!</v>
      </c>
      <c r="CY84" s="62">
        <f ca="1">AVERAGE(OFFSET($CX$3,0,0,'Données projet'!$E$13+1,1))-AVERAGE(OFFSET($H$3,0,0,'Données projet'!$E$13+1,1))</f>
        <v>312.53381881960331</v>
      </c>
      <c r="CZ84" s="62">
        <f t="shared" si="96"/>
        <v>342.06887933351783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-1.7053025658242404E-13</v>
      </c>
      <c r="DP84" s="18">
        <f>DO84*VLOOKUP('Données projet'!$B$14,Paramètres!$A$1:$I$89,3,0)*VLOOKUP('Données projet'!$B$14,Paramètres!$A$1:$I$89,5,0)</f>
        <v>-1.250327841262333E-13</v>
      </c>
      <c r="DQ84" s="14" t="e">
        <f t="shared" si="97"/>
        <v>#NUM!</v>
      </c>
      <c r="DR84" s="22" t="e">
        <f t="shared" si="70"/>
        <v>#NUM!</v>
      </c>
      <c r="DS84" s="62" t="e">
        <f t="shared" si="71"/>
        <v>#NUM!</v>
      </c>
      <c r="DT84" s="62">
        <f ca="1">AVERAGE(OFFSET($DS$3,0,0,'Données projet'!$E$14+1,1))-AVERAGE(OFFSET($H$3,0,0,'Données projet'!$E$14+1,1))</f>
        <v>290.85271051443431</v>
      </c>
      <c r="DU84" s="62">
        <f t="shared" si="98"/>
        <v>318.66958823451142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0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7</v>
      </c>
      <c r="EJ84" s="13">
        <f>IF('Données projet'!$A$192&gt;35,EJ83+EI84-ER83,IF(A84&lt;'Données projet'!$A$192,$EG$205^A84,IF(A84='Données projet'!$A$192,'Données projet'!$B$192,EJ83+EI84-ER83)))</f>
        <v>255.99999999999977</v>
      </c>
      <c r="EK84" s="18">
        <f>EJ84*VLOOKUP('Données projet'!$B$15,Paramètres!$A$1:$I$89,3,0)*VLOOKUP('Données projet'!$B$15,Paramètres!$A$1:$I$89,5,0)</f>
        <v>219.64799999999985</v>
      </c>
      <c r="EL84" s="14">
        <f t="shared" si="99"/>
        <v>54.03837313132567</v>
      </c>
      <c r="EM84" s="22">
        <f t="shared" si="73"/>
        <v>476.67043320372522</v>
      </c>
      <c r="EN84" s="62">
        <f t="shared" si="74"/>
        <v>770.00376653705848</v>
      </c>
      <c r="EO84" s="62">
        <f ca="1">AVERAGE(OFFSET($EN$3,0,0,'Données projet'!$E$15+1,1))-AVERAGE(OFFSET($H$3,0,0,'Données projet'!$E$15+1,1))</f>
        <v>438.65317358403996</v>
      </c>
      <c r="EP84" s="62">
        <f t="shared" si="100"/>
        <v>176.81257896138806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0</v>
      </c>
      <c r="EW84" s="23">
        <f>EXP(-LN(2)/25)*EW83+(1-EXP(-LN(2)/25))/(LN(2)/25)*Calculateur!ER84*Calculateur!ET84*VLOOKUP('Données projet'!$B$15,Paramètres!$A$1:$I$89,3,0)*0.475*44/12</f>
        <v>0</v>
      </c>
      <c r="EX84" s="23">
        <f>EXP(-LN(2)/2)*EX83+(1-EXP(-LN(2)/2))/(LN(2)/2)*ER84*EU84*VLOOKUP('Données projet'!$B$15,Paramètres!$A$1:$I$89,3,0)*0.475*44/12</f>
        <v>0</v>
      </c>
      <c r="EY84" s="24">
        <f t="shared" si="75"/>
        <v>0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2.2737367544323206E-13</v>
      </c>
      <c r="O85" s="14">
        <f>N85*VLOOKUP('Données projet'!$B$9,Paramètres!$A$1:$I$89,3,0)*VLOOKUP('Données projet'!$B$9,Paramètres!$A$1:$I$89,5,0)</f>
        <v>1.2710188457276673E-13</v>
      </c>
      <c r="P85" s="14">
        <f t="shared" si="87"/>
        <v>1.856866851063998E-12</v>
      </c>
      <c r="Q85" s="22">
        <f t="shared" si="54"/>
        <v>3.4554122145673649E-12</v>
      </c>
      <c r="R85" s="62">
        <f t="shared" si="55"/>
        <v>293.33333333333678</v>
      </c>
      <c r="S85" s="62">
        <f ca="1">AVERAGE(OFFSET($R$3,0,0,'Données projet'!$E$9+1,1))-AVERAGE(OFFSET($H$3,0,0,'Données projet'!$E$9+1,1))</f>
        <v>323.98185264074681</v>
      </c>
      <c r="T85" s="62">
        <f t="shared" si="88"/>
        <v>301.22207291854005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1.5933685672007862</v>
      </c>
      <c r="AA85" s="23">
        <f>EXP(-LN(2)/25)*AA84+(1-EXP(-LN(2)/25))/(LN(2)/25)*Calculateur!V85*Calculateur!X85*VLOOKUP('Données projet'!$B$9,Paramètres!$A$1:$I$89,3,0)*0.475*44/12</f>
        <v>1.9506052225706616</v>
      </c>
      <c r="AB85" s="23">
        <f>EXP(-LN(2)/2)*AB84+(1-EXP(-LN(2)/2))/(LN(2)/2)*V85*Y85*VLOOKUP('Données projet'!$B$9,Paramètres!$A$1:$I$89,3,0)*0.475*44/12</f>
        <v>9.0715396100551198E-8</v>
      </c>
      <c r="AC85" s="24">
        <f t="shared" si="57"/>
        <v>3.5439738804868437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-2.8421709430404007E-13</v>
      </c>
      <c r="AJ85" s="14">
        <f>AI85*VLOOKUP('Données projet'!$B$10,Paramètres!$A$1:$I$89,3,0)*VLOOKUP('Données projet'!$B$10,Paramètres!$A$1:$I$89,5,0)</f>
        <v>-1.69961822393816E-13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289.12367833861299</v>
      </c>
      <c r="AO85" s="62">
        <f t="shared" si="90"/>
        <v>229.06617320689003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6.1792657941959046E-8</v>
      </c>
      <c r="AX85" s="23">
        <f t="shared" si="60"/>
        <v>6.1792657941959046E-8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>
        <f>BD85*VLOOKUP('Données projet'!$B$11,Paramètres!$A$1:$I$89,3,0)*VLOOKUP('Données projet'!$B$11,Paramètres!$A$1:$I$89,5,0)</f>
        <v>0</v>
      </c>
      <c r="BF85" s="14" t="e">
        <f t="shared" si="91"/>
        <v>#NUM!</v>
      </c>
      <c r="BG85" s="22" t="e">
        <f t="shared" si="61"/>
        <v>#NUM!</v>
      </c>
      <c r="BH85" s="62" t="e">
        <f t="shared" si="62"/>
        <v>#NUM!</v>
      </c>
      <c r="BI85" s="62">
        <f ca="1">AVERAGE(OFFSET($BH$3,0,0,'Données projet'!$E$11+1,1))-AVERAGE(OFFSET($H$3,0,0,'Données projet'!$E$11+1,1))</f>
        <v>240.22884864766218</v>
      </c>
      <c r="BJ85" s="62">
        <f t="shared" si="92"/>
        <v>343.23776884143166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2.43502800013747</v>
      </c>
      <c r="BR85" s="23">
        <f>EXP(-LN(2)/2)*BR84+(1-EXP(-LN(2)/2))/(LN(2)/2)*BL85*BO85*VLOOKUP('Données projet'!$B$11,Paramètres!$A$1:$I$89,3,0)*0.475*44/12</f>
        <v>2.4614959777901767E-7</v>
      </c>
      <c r="BS85" s="24">
        <f t="shared" si="63"/>
        <v>2.4350282462870676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5.6</v>
      </c>
      <c r="BY85" s="13">
        <f>IF('Données projet'!$A$114&gt;35,BY84+BX85-CG84,IF(A85&lt;'Données projet'!$A$114,$BV$205^A85,IF(A85='Données projet'!$A$114,'Données projet'!$B$114,BY84+BX85-CG84)))</f>
        <v>251.1999999999999</v>
      </c>
      <c r="BZ85" s="14">
        <f>BY85*VLOOKUP('Données projet'!$B$12,Paramètres!$A$1:$I$89,3,0)*VLOOKUP('Données projet'!$B$12,Paramètres!$A$1:$I$89,5,0)</f>
        <v>227.28575999999993</v>
      </c>
      <c r="CA85" s="14">
        <f t="shared" si="93"/>
        <v>55.695394520076327</v>
      </c>
      <c r="CB85" s="22">
        <f t="shared" si="64"/>
        <v>492.85884412246605</v>
      </c>
      <c r="CC85" s="62">
        <f t="shared" si="65"/>
        <v>786.19217745579931</v>
      </c>
      <c r="CD85" s="62">
        <f ca="1">AVERAGE(OFFSET($CC$3,0,0,'Données projet'!$E$12+1,1))-AVERAGE(OFFSET($H$3,0,0,'Données projet'!$E$12+1,1))</f>
        <v>428.8489304403459</v>
      </c>
      <c r="CE85" s="62">
        <f t="shared" si="94"/>
        <v>247.01165577562966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-1.7053025658242404E-13</v>
      </c>
      <c r="CU85" s="18">
        <f>CT85*VLOOKUP('Données projet'!$B$13,Paramètres!$A$1:$I$89,3,0)*VLOOKUP('Données projet'!$B$13,Paramètres!$A$1:$I$89,5,0)</f>
        <v>-1.3567387213697657E-13</v>
      </c>
      <c r="CV85" s="14" t="e">
        <f t="shared" si="95"/>
        <v>#NUM!</v>
      </c>
      <c r="CW85" s="22" t="e">
        <f t="shared" si="67"/>
        <v>#NUM!</v>
      </c>
      <c r="CX85" s="62" t="e">
        <f t="shared" si="68"/>
        <v>#NUM!</v>
      </c>
      <c r="CY85" s="62">
        <f ca="1">AVERAGE(OFFSET($CX$3,0,0,'Données projet'!$E$13+1,1))-AVERAGE(OFFSET($H$3,0,0,'Données projet'!$E$13+1,1))</f>
        <v>312.53381881960331</v>
      </c>
      <c r="CZ85" s="62">
        <f t="shared" si="96"/>
        <v>342.06887933351783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-1.7053025658242404E-13</v>
      </c>
      <c r="DP85" s="18">
        <f>DO85*VLOOKUP('Données projet'!$B$14,Paramètres!$A$1:$I$89,3,0)*VLOOKUP('Données projet'!$B$14,Paramètres!$A$1:$I$89,5,0)</f>
        <v>-1.250327841262333E-13</v>
      </c>
      <c r="DQ85" s="14" t="e">
        <f t="shared" si="97"/>
        <v>#NUM!</v>
      </c>
      <c r="DR85" s="22" t="e">
        <f t="shared" si="70"/>
        <v>#NUM!</v>
      </c>
      <c r="DS85" s="62" t="e">
        <f t="shared" si="71"/>
        <v>#NUM!</v>
      </c>
      <c r="DT85" s="62">
        <f ca="1">AVERAGE(OFFSET($DS$3,0,0,'Données projet'!$E$14+1,1))-AVERAGE(OFFSET($H$3,0,0,'Données projet'!$E$14+1,1))</f>
        <v>290.85271051443431</v>
      </c>
      <c r="DU85" s="62">
        <f t="shared" si="98"/>
        <v>318.66958823451142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0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7</v>
      </c>
      <c r="EJ85" s="13">
        <f>IF('Données projet'!$A$192&gt;35,EJ84+EI85-ER84,IF(A85&lt;'Données projet'!$A$192,$EG$205^A85,IF(A85='Données projet'!$A$192,'Données projet'!$B$192,EJ84+EI85-ER84)))</f>
        <v>262.99999999999977</v>
      </c>
      <c r="EK85" s="18">
        <f>EJ85*VLOOKUP('Données projet'!$B$15,Paramètres!$A$1:$I$89,3,0)*VLOOKUP('Données projet'!$B$15,Paramètres!$A$1:$I$89,5,0)</f>
        <v>225.65399999999983</v>
      </c>
      <c r="EL85" s="14">
        <f t="shared" si="99"/>
        <v>55.341933960508968</v>
      </c>
      <c r="EM85" s="22">
        <f t="shared" si="73"/>
        <v>489.40125164788623</v>
      </c>
      <c r="EN85" s="62">
        <f t="shared" si="74"/>
        <v>782.73458498121954</v>
      </c>
      <c r="EO85" s="62">
        <f ca="1">AVERAGE(OFFSET($EN$3,0,0,'Données projet'!$E$15+1,1))-AVERAGE(OFFSET($H$3,0,0,'Données projet'!$E$15+1,1))</f>
        <v>438.65317358403996</v>
      </c>
      <c r="EP85" s="62">
        <f t="shared" si="100"/>
        <v>176.81257896138806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0</v>
      </c>
      <c r="EW85" s="23">
        <f>EXP(-LN(2)/25)*EW84+(1-EXP(-LN(2)/25))/(LN(2)/25)*Calculateur!ER85*Calculateur!ET85*VLOOKUP('Données projet'!$B$15,Paramètres!$A$1:$I$89,3,0)*0.475*44/12</f>
        <v>0</v>
      </c>
      <c r="EX85" s="23">
        <f>EXP(-LN(2)/2)*EX84+(1-EXP(-LN(2)/2))/(LN(2)/2)*ER85*EU85*VLOOKUP('Données projet'!$B$15,Paramètres!$A$1:$I$89,3,0)*0.475*44/12</f>
        <v>0</v>
      </c>
      <c r="EY85" s="24">
        <f t="shared" si="75"/>
        <v>0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2.2737367544323206E-13</v>
      </c>
      <c r="O86" s="14">
        <f>N86*VLOOKUP('Données projet'!$B$9,Paramètres!$A$1:$I$89,3,0)*VLOOKUP('Données projet'!$B$9,Paramètres!$A$1:$I$89,5,0)</f>
        <v>1.2710188457276673E-13</v>
      </c>
      <c r="P86" s="14">
        <f t="shared" si="87"/>
        <v>1.856866851063998E-12</v>
      </c>
      <c r="Q86" s="22">
        <f t="shared" si="54"/>
        <v>3.4554122145673649E-12</v>
      </c>
      <c r="R86" s="62">
        <f t="shared" si="55"/>
        <v>293.33333333333678</v>
      </c>
      <c r="S86" s="62">
        <f ca="1">AVERAGE(OFFSET($R$3,0,0,'Données projet'!$E$9+1,1))-AVERAGE(OFFSET($H$3,0,0,'Données projet'!$E$9+1,1))</f>
        <v>323.98185264074681</v>
      </c>
      <c r="T86" s="62">
        <f t="shared" si="88"/>
        <v>301.22207291854005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1.5621235814568417</v>
      </c>
      <c r="AA86" s="23">
        <f>EXP(-LN(2)/25)*AA85+(1-EXP(-LN(2)/25))/(LN(2)/25)*Calculateur!V86*Calculateur!X86*VLOOKUP('Données projet'!$B$9,Paramètres!$A$1:$I$89,3,0)*0.475*44/12</f>
        <v>1.8972658201815964</v>
      </c>
      <c r="AB86" s="23">
        <f>EXP(-LN(2)/2)*AB85+(1-EXP(-LN(2)/2))/(LN(2)/2)*V86*Y86*VLOOKUP('Données projet'!$B$9,Paramètres!$A$1:$I$89,3,0)*0.475*44/12</f>
        <v>6.4145471740723441E-8</v>
      </c>
      <c r="AC86" s="24">
        <f t="shared" si="57"/>
        <v>3.4593894657839095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-2.8421709430404007E-13</v>
      </c>
      <c r="AJ86" s="14">
        <f>AI86*VLOOKUP('Données projet'!$B$10,Paramètres!$A$1:$I$89,3,0)*VLOOKUP('Données projet'!$B$10,Paramètres!$A$1:$I$89,5,0)</f>
        <v>-1.69961822393816E-13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289.12367833861299</v>
      </c>
      <c r="AO86" s="62">
        <f t="shared" si="90"/>
        <v>229.06617320689003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4.3694007458300014E-8</v>
      </c>
      <c r="AX86" s="23">
        <f t="shared" si="60"/>
        <v>4.3694007458300014E-8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>
        <f>BD86*VLOOKUP('Données projet'!$B$11,Paramètres!$A$1:$I$89,3,0)*VLOOKUP('Données projet'!$B$11,Paramètres!$A$1:$I$89,5,0)</f>
        <v>0</v>
      </c>
      <c r="BF86" s="14" t="e">
        <f t="shared" si="91"/>
        <v>#NUM!</v>
      </c>
      <c r="BG86" s="22" t="e">
        <f t="shared" si="61"/>
        <v>#NUM!</v>
      </c>
      <c r="BH86" s="62" t="e">
        <f t="shared" si="62"/>
        <v>#NUM!</v>
      </c>
      <c r="BI86" s="62">
        <f ca="1">AVERAGE(OFFSET($BH$3,0,0,'Données projet'!$E$11+1,1))-AVERAGE(OFFSET($H$3,0,0,'Données projet'!$E$11+1,1))</f>
        <v>240.22884864766218</v>
      </c>
      <c r="BJ86" s="62">
        <f t="shared" si="92"/>
        <v>343.23776884143166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2.3684420314211536</v>
      </c>
      <c r="BR86" s="23">
        <f>EXP(-LN(2)/2)*BR85+(1-EXP(-LN(2)/2))/(LN(2)/2)*BL86*BO86*VLOOKUP('Données projet'!$B$11,Paramètres!$A$1:$I$89,3,0)*0.475*44/12</f>
        <v>1.7405404977588453E-7</v>
      </c>
      <c r="BS86" s="24">
        <f t="shared" si="63"/>
        <v>2.3684422054752035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5.6</v>
      </c>
      <c r="BY86" s="13">
        <f>IF('Données projet'!$A$114&gt;35,BY85+BX86-CG85,IF(A86&lt;'Données projet'!$A$114,$BV$205^A86,IF(A86='Données projet'!$A$114,'Données projet'!$B$114,BY85+BX86-CG85)))</f>
        <v>256.7999999999999</v>
      </c>
      <c r="BZ86" s="14">
        <f>BY86*VLOOKUP('Données projet'!$B$12,Paramètres!$A$1:$I$89,3,0)*VLOOKUP('Données projet'!$B$12,Paramètres!$A$1:$I$89,5,0)</f>
        <v>232.35263999999989</v>
      </c>
      <c r="CA86" s="14">
        <f t="shared" si="93"/>
        <v>56.791075613550255</v>
      </c>
      <c r="CB86" s="22">
        <f t="shared" si="64"/>
        <v>503.59197136026643</v>
      </c>
      <c r="CC86" s="62">
        <f t="shared" si="65"/>
        <v>796.92530469359974</v>
      </c>
      <c r="CD86" s="62">
        <f ca="1">AVERAGE(OFFSET($CC$3,0,0,'Données projet'!$E$12+1,1))-AVERAGE(OFFSET($H$3,0,0,'Données projet'!$E$12+1,1))</f>
        <v>428.8489304403459</v>
      </c>
      <c r="CE86" s="62">
        <f t="shared" si="94"/>
        <v>247.01165577562966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-1.7053025658242404E-13</v>
      </c>
      <c r="CU86" s="18">
        <f>CT86*VLOOKUP('Données projet'!$B$13,Paramètres!$A$1:$I$89,3,0)*VLOOKUP('Données projet'!$B$13,Paramètres!$A$1:$I$89,5,0)</f>
        <v>-1.3567387213697657E-13</v>
      </c>
      <c r="CV86" s="14" t="e">
        <f t="shared" si="95"/>
        <v>#NUM!</v>
      </c>
      <c r="CW86" s="22" t="e">
        <f t="shared" si="67"/>
        <v>#NUM!</v>
      </c>
      <c r="CX86" s="62" t="e">
        <f t="shared" si="68"/>
        <v>#NUM!</v>
      </c>
      <c r="CY86" s="62">
        <f ca="1">AVERAGE(OFFSET($CX$3,0,0,'Données projet'!$E$13+1,1))-AVERAGE(OFFSET($H$3,0,0,'Données projet'!$E$13+1,1))</f>
        <v>312.53381881960331</v>
      </c>
      <c r="CZ86" s="62">
        <f t="shared" si="96"/>
        <v>342.06887933351783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-1.7053025658242404E-13</v>
      </c>
      <c r="DP86" s="18">
        <f>DO86*VLOOKUP('Données projet'!$B$14,Paramètres!$A$1:$I$89,3,0)*VLOOKUP('Données projet'!$B$14,Paramètres!$A$1:$I$89,5,0)</f>
        <v>-1.250327841262333E-13</v>
      </c>
      <c r="DQ86" s="14" t="e">
        <f t="shared" si="97"/>
        <v>#NUM!</v>
      </c>
      <c r="DR86" s="22" t="e">
        <f t="shared" si="70"/>
        <v>#NUM!</v>
      </c>
      <c r="DS86" s="62" t="e">
        <f t="shared" si="71"/>
        <v>#NUM!</v>
      </c>
      <c r="DT86" s="62">
        <f ca="1">AVERAGE(OFFSET($DS$3,0,0,'Données projet'!$E$14+1,1))-AVERAGE(OFFSET($H$3,0,0,'Données projet'!$E$14+1,1))</f>
        <v>290.85271051443431</v>
      </c>
      <c r="DU86" s="62">
        <f t="shared" si="98"/>
        <v>318.66958823451142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0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7</v>
      </c>
      <c r="EJ86" s="13">
        <f>IF('Données projet'!$A$192&gt;35,EJ85+EI86-ER85,IF(A86&lt;'Données projet'!$A$192,$EG$205^A86,IF(A86='Données projet'!$A$192,'Données projet'!$B$192,EJ85+EI86-ER85)))</f>
        <v>269.99999999999977</v>
      </c>
      <c r="EK86" s="18">
        <f>EJ86*VLOOKUP('Données projet'!$B$15,Paramètres!$A$1:$I$89,3,0)*VLOOKUP('Données projet'!$B$15,Paramètres!$A$1:$I$89,5,0)</f>
        <v>231.65999999999983</v>
      </c>
      <c r="EL86" s="14">
        <f t="shared" si="99"/>
        <v>56.641461975682716</v>
      </c>
      <c r="EM86" s="22">
        <f t="shared" si="73"/>
        <v>502.12504627431366</v>
      </c>
      <c r="EN86" s="62">
        <f t="shared" si="74"/>
        <v>795.45837960764698</v>
      </c>
      <c r="EO86" s="62">
        <f ca="1">AVERAGE(OFFSET($EN$3,0,0,'Données projet'!$E$15+1,1))-AVERAGE(OFFSET($H$3,0,0,'Données projet'!$E$15+1,1))</f>
        <v>438.65317358403996</v>
      </c>
      <c r="EP86" s="62">
        <f t="shared" si="100"/>
        <v>176.81257896138806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0</v>
      </c>
      <c r="EW86" s="23">
        <f>EXP(-LN(2)/25)*EW85+(1-EXP(-LN(2)/25))/(LN(2)/25)*Calculateur!ER86*Calculateur!ET86*VLOOKUP('Données projet'!$B$15,Paramètres!$A$1:$I$89,3,0)*0.475*44/12</f>
        <v>0</v>
      </c>
      <c r="EX86" s="23">
        <f>EXP(-LN(2)/2)*EX85+(1-EXP(-LN(2)/2))/(LN(2)/2)*ER86*EU86*VLOOKUP('Données projet'!$B$15,Paramètres!$A$1:$I$89,3,0)*0.475*44/12</f>
        <v>0</v>
      </c>
      <c r="EY86" s="24">
        <f t="shared" si="75"/>
        <v>0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2.2737367544323206E-13</v>
      </c>
      <c r="O87" s="14">
        <f>N87*VLOOKUP('Données projet'!$B$9,Paramètres!$A$1:$I$89,3,0)*VLOOKUP('Données projet'!$B$9,Paramètres!$A$1:$I$89,5,0)</f>
        <v>1.2710188457276673E-13</v>
      </c>
      <c r="P87" s="14">
        <f t="shared" si="87"/>
        <v>1.856866851063998E-12</v>
      </c>
      <c r="Q87" s="22">
        <f t="shared" si="54"/>
        <v>3.4554122145673649E-12</v>
      </c>
      <c r="R87" s="62">
        <f t="shared" si="55"/>
        <v>293.33333333333678</v>
      </c>
      <c r="S87" s="62">
        <f ca="1">AVERAGE(OFFSET($R$3,0,0,'Données projet'!$E$9+1,1))-AVERAGE(OFFSET($H$3,0,0,'Données projet'!$E$9+1,1))</f>
        <v>323.98185264074681</v>
      </c>
      <c r="T87" s="62">
        <f t="shared" si="88"/>
        <v>301.22207291854005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1.5314912908257765</v>
      </c>
      <c r="AA87" s="23">
        <f>EXP(-LN(2)/25)*AA86+(1-EXP(-LN(2)/25))/(LN(2)/25)*Calculateur!V87*Calculateur!X87*VLOOKUP('Données projet'!$B$9,Paramètres!$A$1:$I$89,3,0)*0.475*44/12</f>
        <v>1.8453849865558574</v>
      </c>
      <c r="AB87" s="23">
        <f>EXP(-LN(2)/2)*AB86+(1-EXP(-LN(2)/2))/(LN(2)/2)*V87*Y87*VLOOKUP('Données projet'!$B$9,Paramètres!$A$1:$I$89,3,0)*0.475*44/12</f>
        <v>4.5357698050275599E-8</v>
      </c>
      <c r="AC87" s="24">
        <f t="shared" si="57"/>
        <v>3.3768763227393319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-2.8421709430404007E-13</v>
      </c>
      <c r="AJ87" s="14">
        <f>AI87*VLOOKUP('Données projet'!$B$10,Paramètres!$A$1:$I$89,3,0)*VLOOKUP('Données projet'!$B$10,Paramètres!$A$1:$I$89,5,0)</f>
        <v>-1.69961822393816E-13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289.12367833861299</v>
      </c>
      <c r="AO87" s="62">
        <f t="shared" si="90"/>
        <v>229.06617320689003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3.0896328970979523E-8</v>
      </c>
      <c r="AX87" s="23">
        <f t="shared" si="60"/>
        <v>3.0896328970979523E-8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>
        <f>BD87*VLOOKUP('Données projet'!$B$11,Paramètres!$A$1:$I$89,3,0)*VLOOKUP('Données projet'!$B$11,Paramètres!$A$1:$I$89,5,0)</f>
        <v>0</v>
      </c>
      <c r="BF87" s="14" t="e">
        <f t="shared" si="91"/>
        <v>#NUM!</v>
      </c>
      <c r="BG87" s="22" t="e">
        <f t="shared" si="61"/>
        <v>#NUM!</v>
      </c>
      <c r="BH87" s="62" t="e">
        <f t="shared" si="62"/>
        <v>#NUM!</v>
      </c>
      <c r="BI87" s="62">
        <f ca="1">AVERAGE(OFFSET($BH$3,0,0,'Données projet'!$E$11+1,1))-AVERAGE(OFFSET($H$3,0,0,'Données projet'!$E$11+1,1))</f>
        <v>240.22884864766218</v>
      </c>
      <c r="BJ87" s="62">
        <f t="shared" si="92"/>
        <v>343.23776884143166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2.3036768595209889</v>
      </c>
      <c r="BR87" s="23">
        <f>EXP(-LN(2)/2)*BR86+(1-EXP(-LN(2)/2))/(LN(2)/2)*BL87*BO87*VLOOKUP('Données projet'!$B$11,Paramètres!$A$1:$I$89,3,0)*0.475*44/12</f>
        <v>1.2307479888950883E-7</v>
      </c>
      <c r="BS87" s="24">
        <f t="shared" si="63"/>
        <v>2.3036769825957877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5.6</v>
      </c>
      <c r="BY87" s="13">
        <f>IF('Données projet'!$A$114&gt;35,BY86+BX87-CG86,IF(A87&lt;'Données projet'!$A$114,$BV$205^A87,IF(A87='Données projet'!$A$114,'Données projet'!$B$114,BY86+BX87-CG86)))</f>
        <v>262.39999999999992</v>
      </c>
      <c r="BZ87" s="14">
        <f>BY87*VLOOKUP('Données projet'!$B$12,Paramètres!$A$1:$I$89,3,0)*VLOOKUP('Données projet'!$B$12,Paramètres!$A$1:$I$89,5,0)</f>
        <v>237.41951999999992</v>
      </c>
      <c r="CA87" s="14">
        <f t="shared" si="93"/>
        <v>57.883978814320919</v>
      </c>
      <c r="CB87" s="22">
        <f t="shared" si="64"/>
        <v>514.32026043494204</v>
      </c>
      <c r="CC87" s="62">
        <f t="shared" si="65"/>
        <v>807.65359376827541</v>
      </c>
      <c r="CD87" s="62">
        <f ca="1">AVERAGE(OFFSET($CC$3,0,0,'Données projet'!$E$12+1,1))-AVERAGE(OFFSET($H$3,0,0,'Données projet'!$E$12+1,1))</f>
        <v>428.8489304403459</v>
      </c>
      <c r="CE87" s="62">
        <f t="shared" si="94"/>
        <v>247.01165577562966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-1.7053025658242404E-13</v>
      </c>
      <c r="CU87" s="18">
        <f>CT87*VLOOKUP('Données projet'!$B$13,Paramètres!$A$1:$I$89,3,0)*VLOOKUP('Données projet'!$B$13,Paramètres!$A$1:$I$89,5,0)</f>
        <v>-1.3567387213697657E-13</v>
      </c>
      <c r="CV87" s="14" t="e">
        <f t="shared" si="95"/>
        <v>#NUM!</v>
      </c>
      <c r="CW87" s="22" t="e">
        <f t="shared" si="67"/>
        <v>#NUM!</v>
      </c>
      <c r="CX87" s="62" t="e">
        <f t="shared" si="68"/>
        <v>#NUM!</v>
      </c>
      <c r="CY87" s="62">
        <f ca="1">AVERAGE(OFFSET($CX$3,0,0,'Données projet'!$E$13+1,1))-AVERAGE(OFFSET($H$3,0,0,'Données projet'!$E$13+1,1))</f>
        <v>312.53381881960331</v>
      </c>
      <c r="CZ87" s="62">
        <f t="shared" si="96"/>
        <v>342.06887933351783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-1.7053025658242404E-13</v>
      </c>
      <c r="DP87" s="18">
        <f>DO87*VLOOKUP('Données projet'!$B$14,Paramètres!$A$1:$I$89,3,0)*VLOOKUP('Données projet'!$B$14,Paramètres!$A$1:$I$89,5,0)</f>
        <v>-1.250327841262333E-13</v>
      </c>
      <c r="DQ87" s="14" t="e">
        <f t="shared" si="97"/>
        <v>#NUM!</v>
      </c>
      <c r="DR87" s="22" t="e">
        <f t="shared" si="70"/>
        <v>#NUM!</v>
      </c>
      <c r="DS87" s="62" t="e">
        <f t="shared" si="71"/>
        <v>#NUM!</v>
      </c>
      <c r="DT87" s="62">
        <f ca="1">AVERAGE(OFFSET($DS$3,0,0,'Données projet'!$E$14+1,1))-AVERAGE(OFFSET($H$3,0,0,'Données projet'!$E$14+1,1))</f>
        <v>290.85271051443431</v>
      </c>
      <c r="DU87" s="62">
        <f t="shared" si="98"/>
        <v>318.66958823451142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0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7</v>
      </c>
      <c r="EJ87" s="13">
        <f>IF('Données projet'!$A$192&gt;35,EJ86+EI87-ER86,IF(A87&lt;'Données projet'!$A$192,$EG$205^A87,IF(A87='Données projet'!$A$192,'Données projet'!$B$192,EJ86+EI87-ER86)))</f>
        <v>276.99999999999977</v>
      </c>
      <c r="EK87" s="18">
        <f>EJ87*VLOOKUP('Données projet'!$B$15,Paramètres!$A$1:$I$89,3,0)*VLOOKUP('Données projet'!$B$15,Paramètres!$A$1:$I$89,5,0)</f>
        <v>237.66599999999983</v>
      </c>
      <c r="EL87" s="14">
        <f t="shared" si="99"/>
        <v>57.937073751904528</v>
      </c>
      <c r="EM87" s="22">
        <f t="shared" si="73"/>
        <v>514.84202011790001</v>
      </c>
      <c r="EN87" s="62">
        <f t="shared" si="74"/>
        <v>808.17535345123338</v>
      </c>
      <c r="EO87" s="62">
        <f ca="1">AVERAGE(OFFSET($EN$3,0,0,'Données projet'!$E$15+1,1))-AVERAGE(OFFSET($H$3,0,0,'Données projet'!$E$15+1,1))</f>
        <v>438.65317358403996</v>
      </c>
      <c r="EP87" s="62">
        <f t="shared" si="100"/>
        <v>176.81257896138806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0</v>
      </c>
      <c r="EW87" s="23">
        <f>EXP(-LN(2)/25)*EW86+(1-EXP(-LN(2)/25))/(LN(2)/25)*Calculateur!ER87*Calculateur!ET87*VLOOKUP('Données projet'!$B$15,Paramètres!$A$1:$I$89,3,0)*0.475*44/12</f>
        <v>0</v>
      </c>
      <c r="EX87" s="23">
        <f>EXP(-LN(2)/2)*EX86+(1-EXP(-LN(2)/2))/(LN(2)/2)*ER87*EU87*VLOOKUP('Données projet'!$B$15,Paramètres!$A$1:$I$89,3,0)*0.475*44/12</f>
        <v>0</v>
      </c>
      <c r="EY87" s="24">
        <f t="shared" si="75"/>
        <v>0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2.2737367544323206E-13</v>
      </c>
      <c r="O88" s="14">
        <f>N88*VLOOKUP('Données projet'!$B$9,Paramètres!$A$1:$I$89,3,0)*VLOOKUP('Données projet'!$B$9,Paramètres!$A$1:$I$89,5,0)</f>
        <v>1.2710188457276673E-13</v>
      </c>
      <c r="P88" s="14">
        <f t="shared" si="87"/>
        <v>1.856866851063998E-12</v>
      </c>
      <c r="Q88" s="22">
        <f t="shared" si="54"/>
        <v>3.4554122145673649E-12</v>
      </c>
      <c r="R88" s="62">
        <f t="shared" si="55"/>
        <v>293.33333333333678</v>
      </c>
      <c r="S88" s="62">
        <f ca="1">AVERAGE(OFFSET($R$3,0,0,'Données projet'!$E$9+1,1))-AVERAGE(OFFSET($H$3,0,0,'Données projet'!$E$9+1,1))</f>
        <v>323.98185264074681</v>
      </c>
      <c r="T88" s="62">
        <f t="shared" si="88"/>
        <v>301.22207291854005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1.5014596807301339</v>
      </c>
      <c r="AA88" s="23">
        <f>EXP(-LN(2)/25)*AA87+(1-EXP(-LN(2)/25))/(LN(2)/25)*Calculateur!V88*Calculateur!X88*VLOOKUP('Données projet'!$B$9,Paramètres!$A$1:$I$89,3,0)*0.475*44/12</f>
        <v>1.7949228370539088</v>
      </c>
      <c r="AB88" s="23">
        <f>EXP(-LN(2)/2)*AB87+(1-EXP(-LN(2)/2))/(LN(2)/2)*V88*Y88*VLOOKUP('Données projet'!$B$9,Paramètres!$A$1:$I$89,3,0)*0.475*44/12</f>
        <v>3.2072735870361721E-8</v>
      </c>
      <c r="AC88" s="24">
        <f t="shared" si="57"/>
        <v>3.2963825498567787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-2.8421709430404007E-13</v>
      </c>
      <c r="AJ88" s="14">
        <f>AI88*VLOOKUP('Données projet'!$B$10,Paramètres!$A$1:$I$89,3,0)*VLOOKUP('Données projet'!$B$10,Paramètres!$A$1:$I$89,5,0)</f>
        <v>-1.69961822393816E-13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289.12367833861299</v>
      </c>
      <c r="AO88" s="62">
        <f t="shared" si="90"/>
        <v>229.06617320689003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2.1847003729150007E-8</v>
      </c>
      <c r="AX88" s="23">
        <f t="shared" si="60"/>
        <v>2.1847003729150007E-8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>
        <f>BD88*VLOOKUP('Données projet'!$B$11,Paramètres!$A$1:$I$89,3,0)*VLOOKUP('Données projet'!$B$11,Paramètres!$A$1:$I$89,5,0)</f>
        <v>0</v>
      </c>
      <c r="BF88" s="14" t="e">
        <f t="shared" si="91"/>
        <v>#NUM!</v>
      </c>
      <c r="BG88" s="22" t="e">
        <f t="shared" si="61"/>
        <v>#NUM!</v>
      </c>
      <c r="BH88" s="62" t="e">
        <f t="shared" si="62"/>
        <v>#NUM!</v>
      </c>
      <c r="BI88" s="62">
        <f ca="1">AVERAGE(OFFSET($BH$3,0,0,'Données projet'!$E$11+1,1))-AVERAGE(OFFSET($H$3,0,0,'Données projet'!$E$11+1,1))</f>
        <v>240.22884864766218</v>
      </c>
      <c r="BJ88" s="62">
        <f t="shared" si="92"/>
        <v>343.23776884143166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2.2406826946522864</v>
      </c>
      <c r="BR88" s="23">
        <f>EXP(-LN(2)/2)*BR87+(1-EXP(-LN(2)/2))/(LN(2)/2)*BL88*BO88*VLOOKUP('Données projet'!$B$11,Paramètres!$A$1:$I$89,3,0)*0.475*44/12</f>
        <v>8.7027024887942266E-8</v>
      </c>
      <c r="BS88" s="24">
        <f t="shared" si="63"/>
        <v>2.2406827816793111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5.6</v>
      </c>
      <c r="BY88" s="13">
        <f>IF('Données projet'!$A$114&gt;35,BY87+BX88-CG87,IF(A88&lt;'Données projet'!$A$114,$BV$205^A88,IF(A88='Données projet'!$A$114,'Données projet'!$B$114,BY87+BX88-CG87)))</f>
        <v>267.99999999999994</v>
      </c>
      <c r="BZ88" s="14">
        <f>BY88*VLOOKUP('Données projet'!$B$12,Paramètres!$A$1:$I$89,3,0)*VLOOKUP('Données projet'!$B$12,Paramètres!$A$1:$I$89,5,0)</f>
        <v>242.48639999999995</v>
      </c>
      <c r="CA88" s="14">
        <f t="shared" si="93"/>
        <v>58.974170235372419</v>
      </c>
      <c r="CB88" s="22">
        <f t="shared" si="64"/>
        <v>525.04382649327351</v>
      </c>
      <c r="CC88" s="62">
        <f t="shared" si="65"/>
        <v>818.37715982660688</v>
      </c>
      <c r="CD88" s="62">
        <f ca="1">AVERAGE(OFFSET($CC$3,0,0,'Données projet'!$E$12+1,1))-AVERAGE(OFFSET($H$3,0,0,'Données projet'!$E$12+1,1))</f>
        <v>428.8489304403459</v>
      </c>
      <c r="CE88" s="62">
        <f t="shared" si="94"/>
        <v>247.01165577562966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-1.7053025658242404E-13</v>
      </c>
      <c r="CU88" s="18">
        <f>CT88*VLOOKUP('Données projet'!$B$13,Paramètres!$A$1:$I$89,3,0)*VLOOKUP('Données projet'!$B$13,Paramètres!$A$1:$I$89,5,0)</f>
        <v>-1.3567387213697657E-13</v>
      </c>
      <c r="CV88" s="14" t="e">
        <f t="shared" si="95"/>
        <v>#NUM!</v>
      </c>
      <c r="CW88" s="22" t="e">
        <f t="shared" si="67"/>
        <v>#NUM!</v>
      </c>
      <c r="CX88" s="62" t="e">
        <f t="shared" si="68"/>
        <v>#NUM!</v>
      </c>
      <c r="CY88" s="62">
        <f ca="1">AVERAGE(OFFSET($CX$3,0,0,'Données projet'!$E$13+1,1))-AVERAGE(OFFSET($H$3,0,0,'Données projet'!$E$13+1,1))</f>
        <v>312.53381881960331</v>
      </c>
      <c r="CZ88" s="62">
        <f t="shared" si="96"/>
        <v>342.06887933351783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-1.7053025658242404E-13</v>
      </c>
      <c r="DP88" s="18">
        <f>DO88*VLOOKUP('Données projet'!$B$14,Paramètres!$A$1:$I$89,3,0)*VLOOKUP('Données projet'!$B$14,Paramètres!$A$1:$I$89,5,0)</f>
        <v>-1.250327841262333E-13</v>
      </c>
      <c r="DQ88" s="14" t="e">
        <f t="shared" si="97"/>
        <v>#NUM!</v>
      </c>
      <c r="DR88" s="22" t="e">
        <f t="shared" si="70"/>
        <v>#NUM!</v>
      </c>
      <c r="DS88" s="62" t="e">
        <f t="shared" si="71"/>
        <v>#NUM!</v>
      </c>
      <c r="DT88" s="62">
        <f ca="1">AVERAGE(OFFSET($DS$3,0,0,'Données projet'!$E$14+1,1))-AVERAGE(OFFSET($H$3,0,0,'Données projet'!$E$14+1,1))</f>
        <v>290.85271051443431</v>
      </c>
      <c r="DU88" s="62">
        <f t="shared" si="98"/>
        <v>318.66958823451142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0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>
        <f>VLOOKUP(A88,'Données projet'!$A$191:$I$211,2,0)</f>
        <v>284</v>
      </c>
      <c r="EH88" s="13">
        <f>VLOOKUP(A88,'Données projet'!$A$191:$I$211,9,0)</f>
        <v>7</v>
      </c>
      <c r="EI88" s="13">
        <f t="array" ref="EI88">INDEX(EH:EH,MIN(IF(ISNUMBER(EH88:EH284),ROW(EH88:EH284),"")))</f>
        <v>7</v>
      </c>
      <c r="EJ88" s="13">
        <f>IF('Données projet'!$A$192&gt;35,EJ87+EI88-ER87,IF(A88&lt;'Données projet'!$A$192,$EG$205^A88,IF(A88='Données projet'!$A$192,'Données projet'!$B$192,EJ87+EI88-ER87)))</f>
        <v>283.99999999999977</v>
      </c>
      <c r="EK88" s="18">
        <f>EJ88*VLOOKUP('Données projet'!$B$15,Paramètres!$A$1:$I$89,3,0)*VLOOKUP('Données projet'!$B$15,Paramètres!$A$1:$I$89,5,0)</f>
        <v>243.67199999999983</v>
      </c>
      <c r="EL88" s="14">
        <f t="shared" si="99"/>
        <v>59.228879636606152</v>
      </c>
      <c r="EM88" s="22">
        <f t="shared" si="73"/>
        <v>527.55236536708867</v>
      </c>
      <c r="EN88" s="62">
        <f t="shared" si="74"/>
        <v>820.88569870042193</v>
      </c>
      <c r="EO88" s="62">
        <f ca="1">AVERAGE(OFFSET($EN$3,0,0,'Données projet'!$E$15+1,1))-AVERAGE(OFFSET($H$3,0,0,'Données projet'!$E$15+1,1))</f>
        <v>438.65317358403996</v>
      </c>
      <c r="EP88" s="62">
        <f t="shared" si="100"/>
        <v>176.81257896138806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projet'!$B$15,Paramètres!$A$1:$I$89,3,0)*0.475*44/12</f>
        <v>0</v>
      </c>
      <c r="EW88" s="23">
        <f>EXP(-LN(2)/25)*EW87+(1-EXP(-LN(2)/25))/(LN(2)/25)*Calculateur!ER88*Calculateur!ET88*VLOOKUP('Données projet'!$B$15,Paramètres!$A$1:$I$89,3,0)*0.475*44/12</f>
        <v>0</v>
      </c>
      <c r="EX88" s="23">
        <f>EXP(-LN(2)/2)*EX87+(1-EXP(-LN(2)/2))/(LN(2)/2)*ER88*EU88*VLOOKUP('Données projet'!$B$15,Paramètres!$A$1:$I$89,3,0)*0.475*44/12</f>
        <v>0</v>
      </c>
      <c r="EY88" s="24">
        <f t="shared" si="75"/>
        <v>0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2.2737367544323206E-13</v>
      </c>
      <c r="O89" s="14">
        <f>N89*VLOOKUP('Données projet'!$B$9,Paramètres!$A$1:$I$89,3,0)*VLOOKUP('Données projet'!$B$9,Paramètres!$A$1:$I$89,5,0)</f>
        <v>1.2710188457276673E-13</v>
      </c>
      <c r="P89" s="14">
        <f t="shared" si="87"/>
        <v>1.856866851063998E-12</v>
      </c>
      <c r="Q89" s="22">
        <f t="shared" si="54"/>
        <v>3.4554122145673649E-12</v>
      </c>
      <c r="R89" s="62">
        <f t="shared" si="55"/>
        <v>293.33333333333678</v>
      </c>
      <c r="S89" s="62">
        <f ca="1">AVERAGE(OFFSET($R$3,0,0,'Données projet'!$E$9+1,1))-AVERAGE(OFFSET($H$3,0,0,'Données projet'!$E$9+1,1))</f>
        <v>323.98185264074681</v>
      </c>
      <c r="T89" s="62">
        <f t="shared" si="88"/>
        <v>301.22207291854005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1.4720169721909935</v>
      </c>
      <c r="AA89" s="23">
        <f>EXP(-LN(2)/25)*AA88+(1-EXP(-LN(2)/25))/(LN(2)/25)*Calculateur!V89*Calculateur!X89*VLOOKUP('Données projet'!$B$9,Paramètres!$A$1:$I$89,3,0)*0.475*44/12</f>
        <v>1.74584057768378</v>
      </c>
      <c r="AB89" s="23">
        <f>EXP(-LN(2)/2)*AB88+(1-EXP(-LN(2)/2))/(LN(2)/2)*V89*Y89*VLOOKUP('Données projet'!$B$9,Paramètres!$A$1:$I$89,3,0)*0.475*44/12</f>
        <v>2.2678849025137799E-8</v>
      </c>
      <c r="AC89" s="24">
        <f t="shared" si="57"/>
        <v>3.2178575725536227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-2.8421709430404007E-13</v>
      </c>
      <c r="AJ89" s="14">
        <f>AI89*VLOOKUP('Données projet'!$B$10,Paramètres!$A$1:$I$89,3,0)*VLOOKUP('Données projet'!$B$10,Paramètres!$A$1:$I$89,5,0)</f>
        <v>-1.69961822393816E-13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289.12367833861299</v>
      </c>
      <c r="AO89" s="62">
        <f t="shared" si="90"/>
        <v>229.06617320689003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1.5448164485489761E-8</v>
      </c>
      <c r="AX89" s="23">
        <f t="shared" si="60"/>
        <v>1.5448164485489761E-8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>
        <f>BD89*VLOOKUP('Données projet'!$B$11,Paramètres!$A$1:$I$89,3,0)*VLOOKUP('Données projet'!$B$11,Paramètres!$A$1:$I$89,5,0)</f>
        <v>0</v>
      </c>
      <c r="BF89" s="14" t="e">
        <f t="shared" si="91"/>
        <v>#NUM!</v>
      </c>
      <c r="BG89" s="22" t="e">
        <f t="shared" si="61"/>
        <v>#NUM!</v>
      </c>
      <c r="BH89" s="62" t="e">
        <f t="shared" si="62"/>
        <v>#NUM!</v>
      </c>
      <c r="BI89" s="62">
        <f ca="1">AVERAGE(OFFSET($BH$3,0,0,'Données projet'!$E$11+1,1))-AVERAGE(OFFSET($H$3,0,0,'Données projet'!$E$11+1,1))</f>
        <v>240.22884864766218</v>
      </c>
      <c r="BJ89" s="62">
        <f t="shared" si="92"/>
        <v>343.23776884143166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2.1794111085346377</v>
      </c>
      <c r="BR89" s="23">
        <f>EXP(-LN(2)/2)*BR88+(1-EXP(-LN(2)/2))/(LN(2)/2)*BL89*BO89*VLOOKUP('Données projet'!$B$11,Paramètres!$A$1:$I$89,3,0)*0.475*44/12</f>
        <v>6.1537399444754417E-8</v>
      </c>
      <c r="BS89" s="24">
        <f t="shared" si="63"/>
        <v>2.1794111700720373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5.6</v>
      </c>
      <c r="BY89" s="13">
        <f>IF('Données projet'!$A$114&gt;35,BY88+BX89-CG88,IF(A89&lt;'Données projet'!$A$114,$BV$205^A89,IF(A89='Données projet'!$A$114,'Données projet'!$B$114,BY88+BX89-CG88)))</f>
        <v>273.59999999999997</v>
      </c>
      <c r="BZ89" s="14">
        <f>BY89*VLOOKUP('Données projet'!$B$12,Paramètres!$A$1:$I$89,3,0)*VLOOKUP('Données projet'!$B$12,Paramètres!$A$1:$I$89,5,0)</f>
        <v>247.55327999999994</v>
      </c>
      <c r="CA89" s="14">
        <f t="shared" si="93"/>
        <v>60.061713068870255</v>
      </c>
      <c r="CB89" s="22">
        <f t="shared" si="64"/>
        <v>535.76277959494894</v>
      </c>
      <c r="CC89" s="62">
        <f t="shared" si="65"/>
        <v>829.09611292828231</v>
      </c>
      <c r="CD89" s="62">
        <f ca="1">AVERAGE(OFFSET($CC$3,0,0,'Données projet'!$E$12+1,1))-AVERAGE(OFFSET($H$3,0,0,'Données projet'!$E$12+1,1))</f>
        <v>428.8489304403459</v>
      </c>
      <c r="CE89" s="62">
        <f t="shared" si="94"/>
        <v>247.01165577562966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-1.7053025658242404E-13</v>
      </c>
      <c r="CU89" s="18">
        <f>CT89*VLOOKUP('Données projet'!$B$13,Paramètres!$A$1:$I$89,3,0)*VLOOKUP('Données projet'!$B$13,Paramètres!$A$1:$I$89,5,0)</f>
        <v>-1.3567387213697657E-13</v>
      </c>
      <c r="CV89" s="14" t="e">
        <f t="shared" si="95"/>
        <v>#NUM!</v>
      </c>
      <c r="CW89" s="22" t="e">
        <f t="shared" si="67"/>
        <v>#NUM!</v>
      </c>
      <c r="CX89" s="62" t="e">
        <f t="shared" si="68"/>
        <v>#NUM!</v>
      </c>
      <c r="CY89" s="62">
        <f ca="1">AVERAGE(OFFSET($CX$3,0,0,'Données projet'!$E$13+1,1))-AVERAGE(OFFSET($H$3,0,0,'Données projet'!$E$13+1,1))</f>
        <v>312.53381881960331</v>
      </c>
      <c r="CZ89" s="62">
        <f t="shared" si="96"/>
        <v>342.06887933351783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-1.7053025658242404E-13</v>
      </c>
      <c r="DP89" s="18">
        <f>DO89*VLOOKUP('Données projet'!$B$14,Paramètres!$A$1:$I$89,3,0)*VLOOKUP('Données projet'!$B$14,Paramètres!$A$1:$I$89,5,0)</f>
        <v>-1.250327841262333E-13</v>
      </c>
      <c r="DQ89" s="14" t="e">
        <f t="shared" si="97"/>
        <v>#NUM!</v>
      </c>
      <c r="DR89" s="22" t="e">
        <f t="shared" si="70"/>
        <v>#NUM!</v>
      </c>
      <c r="DS89" s="62" t="e">
        <f t="shared" si="71"/>
        <v>#NUM!</v>
      </c>
      <c r="DT89" s="62">
        <f ca="1">AVERAGE(OFFSET($DS$3,0,0,'Données projet'!$E$14+1,1))-AVERAGE(OFFSET($H$3,0,0,'Données projet'!$E$14+1,1))</f>
        <v>290.85271051443431</v>
      </c>
      <c r="DU89" s="62">
        <f t="shared" si="98"/>
        <v>318.66958823451142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0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6.6</v>
      </c>
      <c r="EJ89" s="13">
        <f>IF('Données projet'!$A$192&gt;35,EJ88+EI89-ER88,IF(A89&lt;'Données projet'!$A$192,$EG$205^A89,IF(A89='Données projet'!$A$192,'Données projet'!$B$192,EJ88+EI89-ER88)))</f>
        <v>290.5999999999998</v>
      </c>
      <c r="EK89" s="18">
        <f>EJ89*VLOOKUP('Données projet'!$B$15,Paramètres!$A$1:$I$89,3,0)*VLOOKUP('Données projet'!$B$15,Paramètres!$A$1:$I$89,5,0)</f>
        <v>249.33479999999986</v>
      </c>
      <c r="EL89" s="14">
        <f t="shared" si="99"/>
        <v>60.443476203714617</v>
      </c>
      <c r="EM89" s="22">
        <f t="shared" si="73"/>
        <v>539.53049772146937</v>
      </c>
      <c r="EN89" s="62">
        <f t="shared" si="74"/>
        <v>832.86383105480263</v>
      </c>
      <c r="EO89" s="62">
        <f ca="1">AVERAGE(OFFSET($EN$3,0,0,'Données projet'!$E$15+1,1))-AVERAGE(OFFSET($H$3,0,0,'Données projet'!$E$15+1,1))</f>
        <v>438.65317358403996</v>
      </c>
      <c r="EP89" s="62">
        <f t="shared" si="100"/>
        <v>176.81257896138806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0</v>
      </c>
      <c r="EW89" s="23">
        <f>EXP(-LN(2)/25)*EW88+(1-EXP(-LN(2)/25))/(LN(2)/25)*Calculateur!ER89*Calculateur!ET89*VLOOKUP('Données projet'!$B$15,Paramètres!$A$1:$I$89,3,0)*0.475*44/12</f>
        <v>0</v>
      </c>
      <c r="EX89" s="23">
        <f>EXP(-LN(2)/2)*EX88+(1-EXP(-LN(2)/2))/(LN(2)/2)*ER89*EU89*VLOOKUP('Données projet'!$B$15,Paramètres!$A$1:$I$89,3,0)*0.475*44/12</f>
        <v>0</v>
      </c>
      <c r="EY89" s="24">
        <f t="shared" si="75"/>
        <v>0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2.2737367544323206E-13</v>
      </c>
      <c r="O90" s="14">
        <f>N90*VLOOKUP('Données projet'!$B$9,Paramètres!$A$1:$I$89,3,0)*VLOOKUP('Données projet'!$B$9,Paramètres!$A$1:$I$89,5,0)</f>
        <v>1.2710188457276673E-13</v>
      </c>
      <c r="P90" s="14">
        <f t="shared" si="87"/>
        <v>1.856866851063998E-12</v>
      </c>
      <c r="Q90" s="22">
        <f t="shared" si="54"/>
        <v>3.4554122145673649E-12</v>
      </c>
      <c r="R90" s="62">
        <f t="shared" si="55"/>
        <v>293.33333333333678</v>
      </c>
      <c r="S90" s="62">
        <f ca="1">AVERAGE(OFFSET($R$3,0,0,'Données projet'!$E$9+1,1))-AVERAGE(OFFSET($H$3,0,0,'Données projet'!$E$9+1,1))</f>
        <v>323.98185264074681</v>
      </c>
      <c r="T90" s="62">
        <f t="shared" si="88"/>
        <v>301.22207291854005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1.4431516172080265</v>
      </c>
      <c r="AA90" s="23">
        <f>EXP(-LN(2)/25)*AA89+(1-EXP(-LN(2)/25))/(LN(2)/25)*Calculateur!V90*Calculateur!X90*VLOOKUP('Données projet'!$B$9,Paramètres!$A$1:$I$89,3,0)*0.475*44/12</f>
        <v>1.6981004752772513</v>
      </c>
      <c r="AB90" s="23">
        <f>EXP(-LN(2)/2)*AB89+(1-EXP(-LN(2)/2))/(LN(2)/2)*V90*Y90*VLOOKUP('Données projet'!$B$9,Paramètres!$A$1:$I$89,3,0)*0.475*44/12</f>
        <v>1.603636793518086E-8</v>
      </c>
      <c r="AC90" s="24">
        <f t="shared" si="57"/>
        <v>3.1412521085216456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-2.8421709430404007E-13</v>
      </c>
      <c r="AJ90" s="14">
        <f>AI90*VLOOKUP('Données projet'!$B$10,Paramètres!$A$1:$I$89,3,0)*VLOOKUP('Données projet'!$B$10,Paramètres!$A$1:$I$89,5,0)</f>
        <v>-1.69961822393816E-13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289.12367833861299</v>
      </c>
      <c r="AO90" s="62">
        <f t="shared" si="90"/>
        <v>229.06617320689003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1.0923501864575003E-8</v>
      </c>
      <c r="AX90" s="23">
        <f t="shared" si="60"/>
        <v>1.0923501864575003E-8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>
        <f>BD90*VLOOKUP('Données projet'!$B$11,Paramètres!$A$1:$I$89,3,0)*VLOOKUP('Données projet'!$B$11,Paramètres!$A$1:$I$89,5,0)</f>
        <v>0</v>
      </c>
      <c r="BF90" s="14" t="e">
        <f t="shared" si="91"/>
        <v>#NUM!</v>
      </c>
      <c r="BG90" s="22" t="e">
        <f t="shared" si="61"/>
        <v>#NUM!</v>
      </c>
      <c r="BH90" s="62" t="e">
        <f t="shared" si="62"/>
        <v>#NUM!</v>
      </c>
      <c r="BI90" s="62">
        <f ca="1">AVERAGE(OFFSET($BH$3,0,0,'Données projet'!$E$11+1,1))-AVERAGE(OFFSET($H$3,0,0,'Données projet'!$E$11+1,1))</f>
        <v>240.22884864766218</v>
      </c>
      <c r="BJ90" s="62">
        <f t="shared" si="92"/>
        <v>343.23776884143166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2.1198149971615088</v>
      </c>
      <c r="BR90" s="23">
        <f>EXP(-LN(2)/2)*BR89+(1-EXP(-LN(2)/2))/(LN(2)/2)*BL90*BO90*VLOOKUP('Données projet'!$B$11,Paramètres!$A$1:$I$89,3,0)*0.475*44/12</f>
        <v>4.3513512443971133E-8</v>
      </c>
      <c r="BS90" s="24">
        <f t="shared" si="63"/>
        <v>2.1198150406750211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5.6</v>
      </c>
      <c r="BY90" s="13">
        <f>IF('Données projet'!$A$114&gt;35,BY89+BX90-CG89,IF(A90&lt;'Données projet'!$A$114,$BV$205^A90,IF(A90='Données projet'!$A$114,'Données projet'!$B$114,BY89+BX90-CG89)))</f>
        <v>279.2</v>
      </c>
      <c r="BZ90" s="14">
        <f>BY90*VLOOKUP('Données projet'!$B$12,Paramètres!$A$1:$I$89,3,0)*VLOOKUP('Données projet'!$B$12,Paramètres!$A$1:$I$89,5,0)</f>
        <v>252.62015999999997</v>
      </c>
      <c r="CA90" s="14">
        <f t="shared" si="93"/>
        <v>61.14666777229877</v>
      </c>
      <c r="CB90" s="22">
        <f t="shared" si="64"/>
        <v>546.47722503675357</v>
      </c>
      <c r="CC90" s="62">
        <f t="shared" si="65"/>
        <v>839.81055837008694</v>
      </c>
      <c r="CD90" s="62">
        <f ca="1">AVERAGE(OFFSET($CC$3,0,0,'Données projet'!$E$12+1,1))-AVERAGE(OFFSET($H$3,0,0,'Données projet'!$E$12+1,1))</f>
        <v>428.8489304403459</v>
      </c>
      <c r="CE90" s="62">
        <f t="shared" si="94"/>
        <v>247.01165577562966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-1.7053025658242404E-13</v>
      </c>
      <c r="CU90" s="18">
        <f>CT90*VLOOKUP('Données projet'!$B$13,Paramètres!$A$1:$I$89,3,0)*VLOOKUP('Données projet'!$B$13,Paramètres!$A$1:$I$89,5,0)</f>
        <v>-1.3567387213697657E-13</v>
      </c>
      <c r="CV90" s="14" t="e">
        <f t="shared" si="95"/>
        <v>#NUM!</v>
      </c>
      <c r="CW90" s="22" t="e">
        <f t="shared" si="67"/>
        <v>#NUM!</v>
      </c>
      <c r="CX90" s="62" t="e">
        <f t="shared" si="68"/>
        <v>#NUM!</v>
      </c>
      <c r="CY90" s="62">
        <f ca="1">AVERAGE(OFFSET($CX$3,0,0,'Données projet'!$E$13+1,1))-AVERAGE(OFFSET($H$3,0,0,'Données projet'!$E$13+1,1))</f>
        <v>312.53381881960331</v>
      </c>
      <c r="CZ90" s="62">
        <f t="shared" si="96"/>
        <v>342.06887933351783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-1.7053025658242404E-13</v>
      </c>
      <c r="DP90" s="18">
        <f>DO90*VLOOKUP('Données projet'!$B$14,Paramètres!$A$1:$I$89,3,0)*VLOOKUP('Données projet'!$B$14,Paramètres!$A$1:$I$89,5,0)</f>
        <v>-1.250327841262333E-13</v>
      </c>
      <c r="DQ90" s="14" t="e">
        <f t="shared" si="97"/>
        <v>#NUM!</v>
      </c>
      <c r="DR90" s="22" t="e">
        <f t="shared" si="70"/>
        <v>#NUM!</v>
      </c>
      <c r="DS90" s="62" t="e">
        <f t="shared" si="71"/>
        <v>#NUM!</v>
      </c>
      <c r="DT90" s="62">
        <f ca="1">AVERAGE(OFFSET($DS$3,0,0,'Données projet'!$E$14+1,1))-AVERAGE(OFFSET($H$3,0,0,'Données projet'!$E$14+1,1))</f>
        <v>290.85271051443431</v>
      </c>
      <c r="DU90" s="62">
        <f t="shared" si="98"/>
        <v>318.66958823451142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0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6.6</v>
      </c>
      <c r="EJ90" s="13">
        <f>IF('Données projet'!$A$192&gt;35,EJ89+EI90-ER89,IF(A90&lt;'Données projet'!$A$192,$EG$205^A90,IF(A90='Données projet'!$A$192,'Données projet'!$B$192,EJ89+EI90-ER89)))</f>
        <v>297.19999999999982</v>
      </c>
      <c r="EK90" s="18">
        <f>EJ90*VLOOKUP('Données projet'!$B$15,Paramètres!$A$1:$I$89,3,0)*VLOOKUP('Données projet'!$B$15,Paramètres!$A$1:$I$89,5,0)</f>
        <v>254.99759999999989</v>
      </c>
      <c r="EL90" s="14">
        <f t="shared" si="99"/>
        <v>61.654865771357684</v>
      </c>
      <c r="EM90" s="22">
        <f t="shared" si="73"/>
        <v>551.50304455178104</v>
      </c>
      <c r="EN90" s="62">
        <f t="shared" si="74"/>
        <v>844.83637788511442</v>
      </c>
      <c r="EO90" s="62">
        <f ca="1">AVERAGE(OFFSET($EN$3,0,0,'Données projet'!$E$15+1,1))-AVERAGE(OFFSET($H$3,0,0,'Données projet'!$E$15+1,1))</f>
        <v>438.65317358403996</v>
      </c>
      <c r="EP90" s="62">
        <f t="shared" si="100"/>
        <v>176.81257896138806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0</v>
      </c>
      <c r="EW90" s="23">
        <f>EXP(-LN(2)/25)*EW89+(1-EXP(-LN(2)/25))/(LN(2)/25)*Calculateur!ER90*Calculateur!ET90*VLOOKUP('Données projet'!$B$15,Paramètres!$A$1:$I$89,3,0)*0.475*44/12</f>
        <v>0</v>
      </c>
      <c r="EX90" s="23">
        <f>EXP(-LN(2)/2)*EX89+(1-EXP(-LN(2)/2))/(LN(2)/2)*ER90*EU90*VLOOKUP('Données projet'!$B$15,Paramètres!$A$1:$I$89,3,0)*0.475*44/12</f>
        <v>0</v>
      </c>
      <c r="EY90" s="24">
        <f t="shared" si="75"/>
        <v>0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2.2737367544323206E-13</v>
      </c>
      <c r="O91" s="14">
        <f>N91*VLOOKUP('Données projet'!$B$9,Paramètres!$A$1:$I$89,3,0)*VLOOKUP('Données projet'!$B$9,Paramètres!$A$1:$I$89,5,0)</f>
        <v>1.2710188457276673E-13</v>
      </c>
      <c r="P91" s="14">
        <f t="shared" si="87"/>
        <v>1.856866851063998E-12</v>
      </c>
      <c r="Q91" s="22">
        <f t="shared" si="54"/>
        <v>3.4554122145673649E-12</v>
      </c>
      <c r="R91" s="62">
        <f t="shared" si="55"/>
        <v>293.33333333333678</v>
      </c>
      <c r="S91" s="62">
        <f ca="1">AVERAGE(OFFSET($R$3,0,0,'Données projet'!$E$9+1,1))-AVERAGE(OFFSET($H$3,0,0,'Données projet'!$E$9+1,1))</f>
        <v>323.98185264074681</v>
      </c>
      <c r="T91" s="62">
        <f t="shared" si="88"/>
        <v>301.22207291854005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1.4148522942301476</v>
      </c>
      <c r="AA91" s="23">
        <f>EXP(-LN(2)/25)*AA90+(1-EXP(-LN(2)/25))/(LN(2)/25)*Calculateur!V91*Calculateur!X91*VLOOKUP('Données projet'!$B$9,Paramètres!$A$1:$I$89,3,0)*0.475*44/12</f>
        <v>1.651665828481572</v>
      </c>
      <c r="AB91" s="23">
        <f>EXP(-LN(2)/2)*AB90+(1-EXP(-LN(2)/2))/(LN(2)/2)*V91*Y91*VLOOKUP('Données projet'!$B$9,Paramètres!$A$1:$I$89,3,0)*0.475*44/12</f>
        <v>1.13394245125689E-8</v>
      </c>
      <c r="AC91" s="24">
        <f t="shared" si="57"/>
        <v>3.0665181340511438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-2.8421709430404007E-13</v>
      </c>
      <c r="AJ91" s="14">
        <f>AI91*VLOOKUP('Données projet'!$B$10,Paramètres!$A$1:$I$89,3,0)*VLOOKUP('Données projet'!$B$10,Paramètres!$A$1:$I$89,5,0)</f>
        <v>-1.69961822393816E-13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289.12367833861299</v>
      </c>
      <c r="AO91" s="62">
        <f t="shared" si="90"/>
        <v>229.06617320689003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7.7240822427448807E-9</v>
      </c>
      <c r="AX91" s="23">
        <f t="shared" si="60"/>
        <v>7.7240822427448807E-9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>
        <f>BD91*VLOOKUP('Données projet'!$B$11,Paramètres!$A$1:$I$89,3,0)*VLOOKUP('Données projet'!$B$11,Paramètres!$A$1:$I$89,5,0)</f>
        <v>0</v>
      </c>
      <c r="BF91" s="14" t="e">
        <f t="shared" si="91"/>
        <v>#NUM!</v>
      </c>
      <c r="BG91" s="22" t="e">
        <f t="shared" si="61"/>
        <v>#NUM!</v>
      </c>
      <c r="BH91" s="62" t="e">
        <f t="shared" si="62"/>
        <v>#NUM!</v>
      </c>
      <c r="BI91" s="62">
        <f ca="1">AVERAGE(OFFSET($BH$3,0,0,'Données projet'!$E$11+1,1))-AVERAGE(OFFSET($H$3,0,0,'Données projet'!$E$11+1,1))</f>
        <v>240.22884864766218</v>
      </c>
      <c r="BJ91" s="62">
        <f t="shared" si="92"/>
        <v>343.23776884143166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2.0618485445879013</v>
      </c>
      <c r="BR91" s="23">
        <f>EXP(-LN(2)/2)*BR90+(1-EXP(-LN(2)/2))/(LN(2)/2)*BL91*BO91*VLOOKUP('Données projet'!$B$11,Paramètres!$A$1:$I$89,3,0)*0.475*44/12</f>
        <v>3.0768699722377209E-8</v>
      </c>
      <c r="BS91" s="24">
        <f t="shared" si="63"/>
        <v>2.0618485753566009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5.6</v>
      </c>
      <c r="BY91" s="13">
        <f>IF('Données projet'!$A$114&gt;35,BY90+BX91-CG90,IF(A91&lt;'Données projet'!$A$114,$BV$205^A91,IF(A91='Données projet'!$A$114,'Données projet'!$B$114,BY90+BX91-CG90)))</f>
        <v>284.8</v>
      </c>
      <c r="BZ91" s="14">
        <f>BY91*VLOOKUP('Données projet'!$B$12,Paramètres!$A$1:$I$89,3,0)*VLOOKUP('Données projet'!$B$12,Paramètres!$A$1:$I$89,5,0)</f>
        <v>257.68704000000002</v>
      </c>
      <c r="CA91" s="14">
        <f t="shared" si="93"/>
        <v>62.229092239243343</v>
      </c>
      <c r="CB91" s="22">
        <f t="shared" si="64"/>
        <v>557.18726365001555</v>
      </c>
      <c r="CC91" s="62">
        <f t="shared" si="65"/>
        <v>850.52059698334892</v>
      </c>
      <c r="CD91" s="62">
        <f ca="1">AVERAGE(OFFSET($CC$3,0,0,'Données projet'!$E$12+1,1))-AVERAGE(OFFSET($H$3,0,0,'Données projet'!$E$12+1,1))</f>
        <v>428.8489304403459</v>
      </c>
      <c r="CE91" s="62">
        <f t="shared" si="94"/>
        <v>247.01165577562966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-1.7053025658242404E-13</v>
      </c>
      <c r="CU91" s="18">
        <f>CT91*VLOOKUP('Données projet'!$B$13,Paramètres!$A$1:$I$89,3,0)*VLOOKUP('Données projet'!$B$13,Paramètres!$A$1:$I$89,5,0)</f>
        <v>-1.3567387213697657E-13</v>
      </c>
      <c r="CV91" s="14" t="e">
        <f t="shared" si="95"/>
        <v>#NUM!</v>
      </c>
      <c r="CW91" s="22" t="e">
        <f t="shared" si="67"/>
        <v>#NUM!</v>
      </c>
      <c r="CX91" s="62" t="e">
        <f t="shared" si="68"/>
        <v>#NUM!</v>
      </c>
      <c r="CY91" s="62">
        <f ca="1">AVERAGE(OFFSET($CX$3,0,0,'Données projet'!$E$13+1,1))-AVERAGE(OFFSET($H$3,0,0,'Données projet'!$E$13+1,1))</f>
        <v>312.53381881960331</v>
      </c>
      <c r="CZ91" s="62">
        <f t="shared" si="96"/>
        <v>342.06887933351783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-1.7053025658242404E-13</v>
      </c>
      <c r="DP91" s="18">
        <f>DO91*VLOOKUP('Données projet'!$B$14,Paramètres!$A$1:$I$89,3,0)*VLOOKUP('Données projet'!$B$14,Paramètres!$A$1:$I$89,5,0)</f>
        <v>-1.250327841262333E-13</v>
      </c>
      <c r="DQ91" s="14" t="e">
        <f t="shared" si="97"/>
        <v>#NUM!</v>
      </c>
      <c r="DR91" s="22" t="e">
        <f t="shared" si="70"/>
        <v>#NUM!</v>
      </c>
      <c r="DS91" s="62" t="e">
        <f t="shared" si="71"/>
        <v>#NUM!</v>
      </c>
      <c r="DT91" s="62">
        <f ca="1">AVERAGE(OFFSET($DS$3,0,0,'Données projet'!$E$14+1,1))-AVERAGE(OFFSET($H$3,0,0,'Données projet'!$E$14+1,1))</f>
        <v>290.85271051443431</v>
      </c>
      <c r="DU91" s="62">
        <f t="shared" si="98"/>
        <v>318.66958823451142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0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6.6</v>
      </c>
      <c r="EJ91" s="13">
        <f>IF('Données projet'!$A$192&gt;35,EJ90+EI91-ER90,IF(A91&lt;'Données projet'!$A$192,$EG$205^A91,IF(A91='Données projet'!$A$192,'Données projet'!$B$192,EJ90+EI91-ER90)))</f>
        <v>303.79999999999984</v>
      </c>
      <c r="EK91" s="18">
        <f>EJ91*VLOOKUP('Données projet'!$B$15,Paramètres!$A$1:$I$89,3,0)*VLOOKUP('Données projet'!$B$15,Paramètres!$A$1:$I$89,5,0)</f>
        <v>260.66039999999987</v>
      </c>
      <c r="EL91" s="14">
        <f t="shared" si="99"/>
        <v>62.863127758602587</v>
      </c>
      <c r="EM91" s="22">
        <f t="shared" si="73"/>
        <v>563.47014417956586</v>
      </c>
      <c r="EN91" s="62">
        <f t="shared" si="74"/>
        <v>856.80347751289924</v>
      </c>
      <c r="EO91" s="62">
        <f ca="1">AVERAGE(OFFSET($EN$3,0,0,'Données projet'!$E$15+1,1))-AVERAGE(OFFSET($H$3,0,0,'Données projet'!$E$15+1,1))</f>
        <v>438.65317358403996</v>
      </c>
      <c r="EP91" s="62">
        <f t="shared" si="100"/>
        <v>176.81257896138806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0</v>
      </c>
      <c r="EW91" s="23">
        <f>EXP(-LN(2)/25)*EW90+(1-EXP(-LN(2)/25))/(LN(2)/25)*Calculateur!ER91*Calculateur!ET91*VLOOKUP('Données projet'!$B$15,Paramètres!$A$1:$I$89,3,0)*0.475*44/12</f>
        <v>0</v>
      </c>
      <c r="EX91" s="23">
        <f>EXP(-LN(2)/2)*EX90+(1-EXP(-LN(2)/2))/(LN(2)/2)*ER91*EU91*VLOOKUP('Données projet'!$B$15,Paramètres!$A$1:$I$89,3,0)*0.475*44/12</f>
        <v>0</v>
      </c>
      <c r="EY91" s="24">
        <f t="shared" si="75"/>
        <v>0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2.2737367544323206E-13</v>
      </c>
      <c r="O92" s="14">
        <f>N92*VLOOKUP('Données projet'!$B$9,Paramètres!$A$1:$I$89,3,0)*VLOOKUP('Données projet'!$B$9,Paramètres!$A$1:$I$89,5,0)</f>
        <v>1.2710188457276673E-13</v>
      </c>
      <c r="P92" s="14">
        <f t="shared" si="87"/>
        <v>1.856866851063998E-12</v>
      </c>
      <c r="Q92" s="22">
        <f t="shared" si="54"/>
        <v>3.4554122145673649E-12</v>
      </c>
      <c r="R92" s="62">
        <f t="shared" si="55"/>
        <v>293.33333333333678</v>
      </c>
      <c r="S92" s="62">
        <f ca="1">AVERAGE(OFFSET($R$3,0,0,'Données projet'!$E$9+1,1))-AVERAGE(OFFSET($H$3,0,0,'Données projet'!$E$9+1,1))</f>
        <v>323.98185264074681</v>
      </c>
      <c r="T92" s="62">
        <f t="shared" si="88"/>
        <v>301.22207291854005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1.3871079037149823</v>
      </c>
      <c r="AA92" s="23">
        <f>EXP(-LN(2)/25)*AA91+(1-EXP(-LN(2)/25))/(LN(2)/25)*Calculateur!V92*Calculateur!X92*VLOOKUP('Données projet'!$B$9,Paramètres!$A$1:$I$89,3,0)*0.475*44/12</f>
        <v>1.6065009395444123</v>
      </c>
      <c r="AB92" s="23">
        <f>EXP(-LN(2)/2)*AB91+(1-EXP(-LN(2)/2))/(LN(2)/2)*V92*Y92*VLOOKUP('Données projet'!$B$9,Paramètres!$A$1:$I$89,3,0)*0.475*44/12</f>
        <v>8.0181839675904301E-9</v>
      </c>
      <c r="AC92" s="24">
        <f t="shared" si="57"/>
        <v>2.9936088512775787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-2.8421709430404007E-13</v>
      </c>
      <c r="AJ92" s="14">
        <f>AI92*VLOOKUP('Données projet'!$B$10,Paramètres!$A$1:$I$89,3,0)*VLOOKUP('Données projet'!$B$10,Paramètres!$A$1:$I$89,5,0)</f>
        <v>-1.69961822393816E-13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289.12367833861299</v>
      </c>
      <c r="AO92" s="62">
        <f t="shared" si="90"/>
        <v>229.06617320689003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5.4617509322875017E-9</v>
      </c>
      <c r="AX92" s="23">
        <f t="shared" si="60"/>
        <v>5.4617509322875017E-9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>
        <f>BD92*VLOOKUP('Données projet'!$B$11,Paramètres!$A$1:$I$89,3,0)*VLOOKUP('Données projet'!$B$11,Paramètres!$A$1:$I$89,5,0)</f>
        <v>0</v>
      </c>
      <c r="BF92" s="14" t="e">
        <f t="shared" si="91"/>
        <v>#NUM!</v>
      </c>
      <c r="BG92" s="22" t="e">
        <f t="shared" si="61"/>
        <v>#NUM!</v>
      </c>
      <c r="BH92" s="62" t="e">
        <f t="shared" si="62"/>
        <v>#NUM!</v>
      </c>
      <c r="BI92" s="62">
        <f ca="1">AVERAGE(OFFSET($BH$3,0,0,'Données projet'!$E$11+1,1))-AVERAGE(OFFSET($H$3,0,0,'Données projet'!$E$11+1,1))</f>
        <v>240.22884864766218</v>
      </c>
      <c r="BJ92" s="62">
        <f t="shared" si="92"/>
        <v>343.23776884143166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2.0054671877082426</v>
      </c>
      <c r="BR92" s="23">
        <f>EXP(-LN(2)/2)*BR91+(1-EXP(-LN(2)/2))/(LN(2)/2)*BL92*BO92*VLOOKUP('Données projet'!$B$11,Paramètres!$A$1:$I$89,3,0)*0.475*44/12</f>
        <v>2.1756756221985567E-8</v>
      </c>
      <c r="BS92" s="24">
        <f t="shared" si="63"/>
        <v>2.005467209464999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5.6</v>
      </c>
      <c r="BY92" s="13">
        <f>IF('Données projet'!$A$114&gt;35,BY91+BX92-CG91,IF(A92&lt;'Données projet'!$A$114,$BV$205^A92,IF(A92='Données projet'!$A$114,'Données projet'!$B$114,BY91+BX92-CG91)))</f>
        <v>290.40000000000003</v>
      </c>
      <c r="BZ92" s="14">
        <f>BY92*VLOOKUP('Données projet'!$B$12,Paramètres!$A$1:$I$89,3,0)*VLOOKUP('Données projet'!$B$12,Paramètres!$A$1:$I$89,5,0)</f>
        <v>262.75392000000005</v>
      </c>
      <c r="CA92" s="14">
        <f t="shared" si="93"/>
        <v>63.309041956360382</v>
      </c>
      <c r="CB92" s="22">
        <f t="shared" si="64"/>
        <v>567.89299207399438</v>
      </c>
      <c r="CC92" s="62">
        <f t="shared" si="65"/>
        <v>861.22632540732775</v>
      </c>
      <c r="CD92" s="62">
        <f ca="1">AVERAGE(OFFSET($CC$3,0,0,'Données projet'!$E$12+1,1))-AVERAGE(OFFSET($H$3,0,0,'Données projet'!$E$12+1,1))</f>
        <v>428.8489304403459</v>
      </c>
      <c r="CE92" s="62">
        <f t="shared" si="94"/>
        <v>247.01165577562966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-1.7053025658242404E-13</v>
      </c>
      <c r="CU92" s="18">
        <f>CT92*VLOOKUP('Données projet'!$B$13,Paramètres!$A$1:$I$89,3,0)*VLOOKUP('Données projet'!$B$13,Paramètres!$A$1:$I$89,5,0)</f>
        <v>-1.3567387213697657E-13</v>
      </c>
      <c r="CV92" s="14" t="e">
        <f t="shared" si="95"/>
        <v>#NUM!</v>
      </c>
      <c r="CW92" s="22" t="e">
        <f t="shared" si="67"/>
        <v>#NUM!</v>
      </c>
      <c r="CX92" s="62" t="e">
        <f t="shared" si="68"/>
        <v>#NUM!</v>
      </c>
      <c r="CY92" s="62">
        <f ca="1">AVERAGE(OFFSET($CX$3,0,0,'Données projet'!$E$13+1,1))-AVERAGE(OFFSET($H$3,0,0,'Données projet'!$E$13+1,1))</f>
        <v>312.53381881960331</v>
      </c>
      <c r="CZ92" s="62">
        <f t="shared" si="96"/>
        <v>342.06887933351783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-1.7053025658242404E-13</v>
      </c>
      <c r="DP92" s="18">
        <f>DO92*VLOOKUP('Données projet'!$B$14,Paramètres!$A$1:$I$89,3,0)*VLOOKUP('Données projet'!$B$14,Paramètres!$A$1:$I$89,5,0)</f>
        <v>-1.250327841262333E-13</v>
      </c>
      <c r="DQ92" s="14" t="e">
        <f t="shared" si="97"/>
        <v>#NUM!</v>
      </c>
      <c r="DR92" s="22" t="e">
        <f t="shared" si="70"/>
        <v>#NUM!</v>
      </c>
      <c r="DS92" s="62" t="e">
        <f t="shared" si="71"/>
        <v>#NUM!</v>
      </c>
      <c r="DT92" s="62">
        <f ca="1">AVERAGE(OFFSET($DS$3,0,0,'Données projet'!$E$14+1,1))-AVERAGE(OFFSET($H$3,0,0,'Données projet'!$E$14+1,1))</f>
        <v>290.85271051443431</v>
      </c>
      <c r="DU92" s="62">
        <f t="shared" si="98"/>
        <v>318.66958823451142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0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6.6</v>
      </c>
      <c r="EJ92" s="13">
        <f>IF('Données projet'!$A$192&gt;35,EJ91+EI92-ER91,IF(A92&lt;'Données projet'!$A$192,$EG$205^A92,IF(A92='Données projet'!$A$192,'Données projet'!$B$192,EJ91+EI92-ER91)))</f>
        <v>310.39999999999986</v>
      </c>
      <c r="EK92" s="18">
        <f>EJ92*VLOOKUP('Données projet'!$B$15,Paramètres!$A$1:$I$89,3,0)*VLOOKUP('Données projet'!$B$15,Paramètres!$A$1:$I$89,5,0)</f>
        <v>266.32319999999993</v>
      </c>
      <c r="EL92" s="14">
        <f t="shared" si="99"/>
        <v>64.068337936705248</v>
      </c>
      <c r="EM92" s="22">
        <f t="shared" si="73"/>
        <v>575.43192857309486</v>
      </c>
      <c r="EN92" s="62">
        <f t="shared" si="74"/>
        <v>868.76526190642812</v>
      </c>
      <c r="EO92" s="62">
        <f ca="1">AVERAGE(OFFSET($EN$3,0,0,'Données projet'!$E$15+1,1))-AVERAGE(OFFSET($H$3,0,0,'Données projet'!$E$15+1,1))</f>
        <v>438.65317358403996</v>
      </c>
      <c r="EP92" s="62">
        <f t="shared" si="100"/>
        <v>176.81257896138806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0</v>
      </c>
      <c r="EW92" s="23">
        <f>EXP(-LN(2)/25)*EW91+(1-EXP(-LN(2)/25))/(LN(2)/25)*Calculateur!ER92*Calculateur!ET92*VLOOKUP('Données projet'!$B$15,Paramètres!$A$1:$I$89,3,0)*0.475*44/12</f>
        <v>0</v>
      </c>
      <c r="EX92" s="23">
        <f>EXP(-LN(2)/2)*EX91+(1-EXP(-LN(2)/2))/(LN(2)/2)*ER92*EU92*VLOOKUP('Données projet'!$B$15,Paramètres!$A$1:$I$89,3,0)*0.475*44/12</f>
        <v>0</v>
      </c>
      <c r="EY92" s="24">
        <f t="shared" si="75"/>
        <v>0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2.2737367544323206E-13</v>
      </c>
      <c r="O93" s="14">
        <f>N93*VLOOKUP('Données projet'!$B$9,Paramètres!$A$1:$I$89,3,0)*VLOOKUP('Données projet'!$B$9,Paramètres!$A$1:$I$89,5,0)</f>
        <v>1.2710188457276673E-13</v>
      </c>
      <c r="P93" s="14">
        <f t="shared" si="87"/>
        <v>1.856866851063998E-12</v>
      </c>
      <c r="Q93" s="22">
        <f t="shared" si="54"/>
        <v>3.4554122145673649E-12</v>
      </c>
      <c r="R93" s="62">
        <f t="shared" si="55"/>
        <v>293.33333333333678</v>
      </c>
      <c r="S93" s="62">
        <f ca="1">AVERAGE(OFFSET($R$3,0,0,'Données projet'!$E$9+1,1))-AVERAGE(OFFSET($H$3,0,0,'Données projet'!$E$9+1,1))</f>
        <v>323.98185264074681</v>
      </c>
      <c r="T93" s="62">
        <f t="shared" si="88"/>
        <v>301.22207291854005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1.3599075637754121</v>
      </c>
      <c r="AA93" s="23">
        <f>EXP(-LN(2)/25)*AA92+(1-EXP(-LN(2)/25))/(LN(2)/25)*Calculateur!V93*Calculateur!X93*VLOOKUP('Données projet'!$B$9,Paramètres!$A$1:$I$89,3,0)*0.475*44/12</f>
        <v>1.5625710868703577</v>
      </c>
      <c r="AB93" s="23">
        <f>EXP(-LN(2)/2)*AB92+(1-EXP(-LN(2)/2))/(LN(2)/2)*V93*Y93*VLOOKUP('Données projet'!$B$9,Paramètres!$A$1:$I$89,3,0)*0.475*44/12</f>
        <v>5.6697122562844499E-9</v>
      </c>
      <c r="AC93" s="24">
        <f t="shared" si="57"/>
        <v>2.9224786563154823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-2.8421709430404007E-13</v>
      </c>
      <c r="AJ93" s="14">
        <f>AI93*VLOOKUP('Données projet'!$B$10,Paramètres!$A$1:$I$89,3,0)*VLOOKUP('Données projet'!$B$10,Paramètres!$A$1:$I$89,5,0)</f>
        <v>-1.69961822393816E-13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289.12367833861299</v>
      </c>
      <c r="AO93" s="62">
        <f t="shared" si="90"/>
        <v>229.06617320689003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3.8620411213724403E-9</v>
      </c>
      <c r="AX93" s="23">
        <f t="shared" si="60"/>
        <v>3.8620411213724403E-9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>
        <f>BD93*VLOOKUP('Données projet'!$B$11,Paramètres!$A$1:$I$89,3,0)*VLOOKUP('Données projet'!$B$11,Paramètres!$A$1:$I$89,5,0)</f>
        <v>0</v>
      </c>
      <c r="BF93" s="14" t="e">
        <f t="shared" si="91"/>
        <v>#NUM!</v>
      </c>
      <c r="BG93" s="22" t="e">
        <f t="shared" si="61"/>
        <v>#NUM!</v>
      </c>
      <c r="BH93" s="62" t="e">
        <f t="shared" si="62"/>
        <v>#NUM!</v>
      </c>
      <c r="BI93" s="62">
        <f ca="1">AVERAGE(OFFSET($BH$3,0,0,'Données projet'!$E$11+1,1))-AVERAGE(OFFSET($H$3,0,0,'Données projet'!$E$11+1,1))</f>
        <v>240.22884864766218</v>
      </c>
      <c r="BJ93" s="62">
        <f t="shared" si="92"/>
        <v>343.23776884143166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1.9506275819974248</v>
      </c>
      <c r="BR93" s="23">
        <f>EXP(-LN(2)/2)*BR92+(1-EXP(-LN(2)/2))/(LN(2)/2)*BL93*BO93*VLOOKUP('Données projet'!$B$11,Paramètres!$A$1:$I$89,3,0)*0.475*44/12</f>
        <v>1.5384349861188604E-8</v>
      </c>
      <c r="BS93" s="24">
        <f t="shared" si="63"/>
        <v>1.9506275973817746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296</v>
      </c>
      <c r="BW93" s="13">
        <f>VLOOKUP(A93,'Données projet'!$A$113:$I$133,9,0)</f>
        <v>5.6</v>
      </c>
      <c r="BX93" s="13">
        <f t="array" ref="BX93">INDEX(BW:BW,MIN(IF(ISNUMBER(BW93:BW289),ROW(BW93:BW289),"")))</f>
        <v>5.6</v>
      </c>
      <c r="BY93" s="13">
        <f>IF('Données projet'!$A$114&gt;35,BY92+BX93-CG92,IF(A93&lt;'Données projet'!$A$114,$BV$205^A93,IF(A93='Données projet'!$A$114,'Données projet'!$B$114,BY92+BX93-CG92)))</f>
        <v>296.00000000000006</v>
      </c>
      <c r="BZ93" s="14">
        <f>BY93*VLOOKUP('Données projet'!$B$12,Paramètres!$A$1:$I$89,3,0)*VLOOKUP('Données projet'!$B$12,Paramètres!$A$1:$I$89,5,0)</f>
        <v>267.82080000000008</v>
      </c>
      <c r="CA93" s="14">
        <f t="shared" si="93"/>
        <v>64.386570147897373</v>
      </c>
      <c r="CB93" s="22">
        <f t="shared" si="64"/>
        <v>578.59450300758806</v>
      </c>
      <c r="CC93" s="62">
        <f t="shared" si="65"/>
        <v>871.92783634092143</v>
      </c>
      <c r="CD93" s="62">
        <f ca="1">AVERAGE(OFFSET($CC$3,0,0,'Données projet'!$E$12+1,1))-AVERAGE(OFFSET($H$3,0,0,'Données projet'!$E$12+1,1))</f>
        <v>428.8489304403459</v>
      </c>
      <c r="CE93" s="62">
        <f t="shared" si="94"/>
        <v>247.01165577562966</v>
      </c>
      <c r="CF93" s="16">
        <f>IF(ISNA(VLOOKUP(A93,'Données projet'!$A$113:$I$133,3,0)),0,VLOOKUP(A93,'Données projet'!$A$113:$I$133,3,0))</f>
        <v>7</v>
      </c>
      <c r="CG93" s="16">
        <f>IF(ISNA(VLOOKUP(A93,'Données projet'!$A$113:$I$133,4,0)),0,VLOOKUP(A93,'Données projet'!$A$113:$I$133,4,0))</f>
        <v>42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-1.7053025658242404E-13</v>
      </c>
      <c r="CU93" s="18">
        <f>CT93*VLOOKUP('Données projet'!$B$13,Paramètres!$A$1:$I$89,3,0)*VLOOKUP('Données projet'!$B$13,Paramètres!$A$1:$I$89,5,0)</f>
        <v>-1.3567387213697657E-13</v>
      </c>
      <c r="CV93" s="14" t="e">
        <f t="shared" si="95"/>
        <v>#NUM!</v>
      </c>
      <c r="CW93" s="22" t="e">
        <f t="shared" si="67"/>
        <v>#NUM!</v>
      </c>
      <c r="CX93" s="62" t="e">
        <f t="shared" si="68"/>
        <v>#NUM!</v>
      </c>
      <c r="CY93" s="62">
        <f ca="1">AVERAGE(OFFSET($CX$3,0,0,'Données projet'!$E$13+1,1))-AVERAGE(OFFSET($H$3,0,0,'Données projet'!$E$13+1,1))</f>
        <v>312.53381881960331</v>
      </c>
      <c r="CZ93" s="62">
        <f t="shared" si="96"/>
        <v>342.06887933351783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-1.7053025658242404E-13</v>
      </c>
      <c r="DP93" s="18">
        <f>DO93*VLOOKUP('Données projet'!$B$14,Paramètres!$A$1:$I$89,3,0)*VLOOKUP('Données projet'!$B$14,Paramètres!$A$1:$I$89,5,0)</f>
        <v>-1.250327841262333E-13</v>
      </c>
      <c r="DQ93" s="14" t="e">
        <f t="shared" si="97"/>
        <v>#NUM!</v>
      </c>
      <c r="DR93" s="22" t="e">
        <f t="shared" si="70"/>
        <v>#NUM!</v>
      </c>
      <c r="DS93" s="62" t="e">
        <f t="shared" si="71"/>
        <v>#NUM!</v>
      </c>
      <c r="DT93" s="62">
        <f ca="1">AVERAGE(OFFSET($DS$3,0,0,'Données projet'!$E$14+1,1))-AVERAGE(OFFSET($H$3,0,0,'Données projet'!$E$14+1,1))</f>
        <v>290.85271051443431</v>
      </c>
      <c r="DU93" s="62">
        <f t="shared" si="98"/>
        <v>318.66958823451142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0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>
        <f>VLOOKUP(A93,'Données projet'!$A$191:$I$211,2,0)</f>
        <v>317</v>
      </c>
      <c r="EH93" s="13">
        <f>VLOOKUP(A93,'Données projet'!$A$191:$I$211,9,0)</f>
        <v>6.6</v>
      </c>
      <c r="EI93" s="13">
        <f t="array" ref="EI93">INDEX(EH:EH,MIN(IF(ISNUMBER(EH93:EH289),ROW(EH93:EH289),"")))</f>
        <v>6.6</v>
      </c>
      <c r="EJ93" s="13">
        <f>IF('Données projet'!$A$192&gt;35,EJ92+EI93-ER92,IF(A93&lt;'Données projet'!$A$192,$EG$205^A93,IF(A93='Données projet'!$A$192,'Données projet'!$B$192,EJ92+EI93-ER92)))</f>
        <v>316.99999999999989</v>
      </c>
      <c r="EK93" s="18">
        <f>EJ93*VLOOKUP('Données projet'!$B$15,Paramètres!$A$1:$I$89,3,0)*VLOOKUP('Données projet'!$B$15,Paramètres!$A$1:$I$89,5,0)</f>
        <v>271.98599999999993</v>
      </c>
      <c r="EL93" s="14">
        <f t="shared" si="99"/>
        <v>65.270568670601861</v>
      </c>
      <c r="EM93" s="22">
        <f t="shared" si="73"/>
        <v>587.38852376796467</v>
      </c>
      <c r="EN93" s="62">
        <f t="shared" si="74"/>
        <v>880.72185710129793</v>
      </c>
      <c r="EO93" s="62">
        <f ca="1">AVERAGE(OFFSET($EN$3,0,0,'Données projet'!$E$15+1,1))-AVERAGE(OFFSET($H$3,0,0,'Données projet'!$E$15+1,1))</f>
        <v>438.65317358403996</v>
      </c>
      <c r="EP93" s="62">
        <f t="shared" si="100"/>
        <v>176.81257896138806</v>
      </c>
      <c r="EQ93" s="16">
        <f>IF(ISNA(VLOOKUP(A93,'Données projet'!$A$191:$I$211,3,0)),0,VLOOKUP(A93,'Données projet'!$A$191:$I$211,3,0))</f>
        <v>7</v>
      </c>
      <c r="ER93" s="16">
        <f>IF(ISNA(VLOOKUP(A93,'Données projet'!$A$191:$I$211,4,0)),0,VLOOKUP(A93,'Données projet'!$A$191:$I$211,4,0))</f>
        <v>42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0</v>
      </c>
      <c r="EW93" s="23">
        <f>EXP(-LN(2)/25)*EW92+(1-EXP(-LN(2)/25))/(LN(2)/25)*Calculateur!ER93*Calculateur!ET93*VLOOKUP('Données projet'!$B$15,Paramètres!$A$1:$I$89,3,0)*0.475*44/12</f>
        <v>0</v>
      </c>
      <c r="EX93" s="23">
        <f>EXP(-LN(2)/2)*EX92+(1-EXP(-LN(2)/2))/(LN(2)/2)*ER93*EU93*VLOOKUP('Données projet'!$B$15,Paramètres!$A$1:$I$89,3,0)*0.475*44/12</f>
        <v>0</v>
      </c>
      <c r="EY93" s="24">
        <f t="shared" si="75"/>
        <v>0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2.2737367544323206E-13</v>
      </c>
      <c r="O94" s="14">
        <f>N94*VLOOKUP('Données projet'!$B$9,Paramètres!$A$1:$I$89,3,0)*VLOOKUP('Données projet'!$B$9,Paramètres!$A$1:$I$89,5,0)</f>
        <v>1.2710188457276673E-13</v>
      </c>
      <c r="P94" s="14">
        <f t="shared" si="87"/>
        <v>1.856866851063998E-12</v>
      </c>
      <c r="Q94" s="22">
        <f t="shared" si="54"/>
        <v>3.4554122145673649E-12</v>
      </c>
      <c r="R94" s="62">
        <f t="shared" si="55"/>
        <v>293.33333333333678</v>
      </c>
      <c r="S94" s="62">
        <f ca="1">AVERAGE(OFFSET($R$3,0,0,'Données projet'!$E$9+1,1))-AVERAGE(OFFSET($H$3,0,0,'Données projet'!$E$9+1,1))</f>
        <v>323.98185264074681</v>
      </c>
      <c r="T94" s="62">
        <f t="shared" si="88"/>
        <v>301.22207291854005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1.3332406059114876</v>
      </c>
      <c r="AA94" s="23">
        <f>EXP(-LN(2)/25)*AA93+(1-EXP(-LN(2)/25))/(LN(2)/25)*Calculateur!V94*Calculateur!X94*VLOOKUP('Données projet'!$B$9,Paramètres!$A$1:$I$89,3,0)*0.475*44/12</f>
        <v>1.5198424983278456</v>
      </c>
      <c r="AB94" s="23">
        <f>EXP(-LN(2)/2)*AB93+(1-EXP(-LN(2)/2))/(LN(2)/2)*V94*Y94*VLOOKUP('Données projet'!$B$9,Paramètres!$A$1:$I$89,3,0)*0.475*44/12</f>
        <v>4.0090919837952151E-9</v>
      </c>
      <c r="AC94" s="24">
        <f t="shared" si="57"/>
        <v>2.8530831082484256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-2.8421709430404007E-13</v>
      </c>
      <c r="AJ94" s="14">
        <f>AI94*VLOOKUP('Données projet'!$B$10,Paramètres!$A$1:$I$89,3,0)*VLOOKUP('Données projet'!$B$10,Paramètres!$A$1:$I$89,5,0)</f>
        <v>-1.69961822393816E-13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289.12367833861299</v>
      </c>
      <c r="AO94" s="62">
        <f t="shared" si="90"/>
        <v>229.06617320689003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2.7308754661437508E-9</v>
      </c>
      <c r="AX94" s="23">
        <f t="shared" si="60"/>
        <v>2.7308754661437508E-9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>
        <f>BD94*VLOOKUP('Données projet'!$B$11,Paramètres!$A$1:$I$89,3,0)*VLOOKUP('Données projet'!$B$11,Paramètres!$A$1:$I$89,5,0)</f>
        <v>0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240.22884864766218</v>
      </c>
      <c r="BJ94" s="62">
        <f t="shared" si="92"/>
        <v>343.23776884143166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1.897287568188659</v>
      </c>
      <c r="BR94" s="23">
        <f>EXP(-LN(2)/2)*BR93+(1-EXP(-LN(2)/2))/(LN(2)/2)*BL94*BO94*VLOOKUP('Données projet'!$B$11,Paramètres!$A$1:$I$89,3,0)*0.475*44/12</f>
        <v>1.0878378110992783E-8</v>
      </c>
      <c r="BS94" s="24">
        <f t="shared" si="63"/>
        <v>1.8972875790670372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4.9000000000000004</v>
      </c>
      <c r="BY94" s="13">
        <f>IF('Données projet'!$A$114&gt;35,BY93+BX94-CG93,IF(A94&lt;'Données projet'!$A$114,$BV$205^A94,IF(A94='Données projet'!$A$114,'Données projet'!$B$114,BY93+BX94-CG93)))</f>
        <v>258.90000000000003</v>
      </c>
      <c r="BZ94" s="14">
        <f>BY94*VLOOKUP('Données projet'!$B$12,Paramètres!$A$1:$I$89,3,0)*VLOOKUP('Données projet'!$B$12,Paramètres!$A$1:$I$89,5,0)</f>
        <v>234.25272000000001</v>
      </c>
      <c r="CA94" s="14">
        <f t="shared" si="93"/>
        <v>57.201236231171301</v>
      </c>
      <c r="CB94" s="22">
        <f t="shared" si="64"/>
        <v>507.61564043595672</v>
      </c>
      <c r="CC94" s="62">
        <f t="shared" si="65"/>
        <v>800.94897376928998</v>
      </c>
      <c r="CD94" s="62">
        <f ca="1">AVERAGE(OFFSET($CC$3,0,0,'Données projet'!$E$12+1,1))-AVERAGE(OFFSET($H$3,0,0,'Données projet'!$E$12+1,1))</f>
        <v>428.8489304403459</v>
      </c>
      <c r="CE94" s="62">
        <f t="shared" si="94"/>
        <v>247.01165577562966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-1.7053025658242404E-13</v>
      </c>
      <c r="CU94" s="18">
        <f>CT94*VLOOKUP('Données projet'!$B$13,Paramètres!$A$1:$I$89,3,0)*VLOOKUP('Données projet'!$B$13,Paramètres!$A$1:$I$89,5,0)</f>
        <v>-1.3567387213697657E-13</v>
      </c>
      <c r="CV94" s="14" t="e">
        <f t="shared" si="95"/>
        <v>#NUM!</v>
      </c>
      <c r="CW94" s="22" t="e">
        <f t="shared" si="67"/>
        <v>#NUM!</v>
      </c>
      <c r="CX94" s="62" t="e">
        <f t="shared" si="68"/>
        <v>#NUM!</v>
      </c>
      <c r="CY94" s="62">
        <f ca="1">AVERAGE(OFFSET($CX$3,0,0,'Données projet'!$E$13+1,1))-AVERAGE(OFFSET($H$3,0,0,'Données projet'!$E$13+1,1))</f>
        <v>312.53381881960331</v>
      </c>
      <c r="CZ94" s="62">
        <f t="shared" si="96"/>
        <v>342.06887933351783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-1.7053025658242404E-13</v>
      </c>
      <c r="DP94" s="18">
        <f>DO94*VLOOKUP('Données projet'!$B$14,Paramètres!$A$1:$I$89,3,0)*VLOOKUP('Données projet'!$B$14,Paramètres!$A$1:$I$89,5,0)</f>
        <v>-1.250327841262333E-13</v>
      </c>
      <c r="DQ94" s="14" t="e">
        <f t="shared" si="97"/>
        <v>#NUM!</v>
      </c>
      <c r="DR94" s="22" t="e">
        <f t="shared" si="70"/>
        <v>#NUM!</v>
      </c>
      <c r="DS94" s="62" t="e">
        <f t="shared" si="71"/>
        <v>#NUM!</v>
      </c>
      <c r="DT94" s="62">
        <f ca="1">AVERAGE(OFFSET($DS$3,0,0,'Données projet'!$E$14+1,1))-AVERAGE(OFFSET($H$3,0,0,'Données projet'!$E$14+1,1))</f>
        <v>290.85271051443431</v>
      </c>
      <c r="DU94" s="62">
        <f t="shared" si="98"/>
        <v>318.66958823451142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0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6.1</v>
      </c>
      <c r="EJ94" s="13">
        <f>IF('Données projet'!$A$192&gt;35,EJ93+EI94-ER93,IF(A94&lt;'Données projet'!$A$192,$EG$205^A94,IF(A94='Données projet'!$A$192,'Données projet'!$B$192,EJ93+EI94-ER93)))</f>
        <v>281.09999999999991</v>
      </c>
      <c r="EK94" s="18">
        <f>EJ94*VLOOKUP('Données projet'!$B$15,Paramètres!$A$1:$I$89,3,0)*VLOOKUP('Données projet'!$B$15,Paramètres!$A$1:$I$89,5,0)</f>
        <v>241.18379999999993</v>
      </c>
      <c r="EL94" s="14">
        <f t="shared" si="99"/>
        <v>58.69415783562156</v>
      </c>
      <c r="EM94" s="22">
        <f t="shared" si="73"/>
        <v>522.28744323037404</v>
      </c>
      <c r="EN94" s="62">
        <f t="shared" si="74"/>
        <v>815.6207765637073</v>
      </c>
      <c r="EO94" s="62">
        <f ca="1">AVERAGE(OFFSET($EN$3,0,0,'Données projet'!$E$15+1,1))-AVERAGE(OFFSET($H$3,0,0,'Données projet'!$E$15+1,1))</f>
        <v>438.65317358403996</v>
      </c>
      <c r="EP94" s="62">
        <f t="shared" si="100"/>
        <v>176.81257896138806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0</v>
      </c>
      <c r="EW94" s="23">
        <f>EXP(-LN(2)/25)*EW93+(1-EXP(-LN(2)/25))/(LN(2)/25)*Calculateur!ER94*Calculateur!ET94*VLOOKUP('Données projet'!$B$15,Paramètres!$A$1:$I$89,3,0)*0.475*44/12</f>
        <v>0</v>
      </c>
      <c r="EX94" s="23">
        <f>EXP(-LN(2)/2)*EX93+(1-EXP(-LN(2)/2))/(LN(2)/2)*ER94*EU94*VLOOKUP('Données projet'!$B$15,Paramètres!$A$1:$I$89,3,0)*0.475*44/12</f>
        <v>0</v>
      </c>
      <c r="EY94" s="24">
        <f t="shared" si="75"/>
        <v>0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2.2737367544323206E-13</v>
      </c>
      <c r="O95" s="14">
        <f>N95*VLOOKUP('Données projet'!$B$9,Paramètres!$A$1:$I$89,3,0)*VLOOKUP('Données projet'!$B$9,Paramètres!$A$1:$I$89,5,0)</f>
        <v>1.2710188457276673E-13</v>
      </c>
      <c r="P95" s="14">
        <f t="shared" si="87"/>
        <v>1.856866851063998E-12</v>
      </c>
      <c r="Q95" s="22">
        <f t="shared" si="54"/>
        <v>3.4554122145673649E-12</v>
      </c>
      <c r="R95" s="62">
        <f t="shared" si="55"/>
        <v>293.33333333333678</v>
      </c>
      <c r="S95" s="62">
        <f ca="1">AVERAGE(OFFSET($R$3,0,0,'Données projet'!$E$9+1,1))-AVERAGE(OFFSET($H$3,0,0,'Données projet'!$E$9+1,1))</f>
        <v>323.98185264074681</v>
      </c>
      <c r="T95" s="62">
        <f t="shared" si="88"/>
        <v>301.22207291854005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1.3070965708260365</v>
      </c>
      <c r="AA95" s="23">
        <f>EXP(-LN(2)/25)*AA94+(1-EXP(-LN(2)/25))/(LN(2)/25)*Calculateur!V95*Calculateur!X95*VLOOKUP('Données projet'!$B$9,Paramètres!$A$1:$I$89,3,0)*0.475*44/12</f>
        <v>1.4782823252860273</v>
      </c>
      <c r="AB95" s="23">
        <f>EXP(-LN(2)/2)*AB94+(1-EXP(-LN(2)/2))/(LN(2)/2)*V95*Y95*VLOOKUP('Données projet'!$B$9,Paramètres!$A$1:$I$89,3,0)*0.475*44/12</f>
        <v>2.8348561281422249E-9</v>
      </c>
      <c r="AC95" s="24">
        <f t="shared" si="57"/>
        <v>2.7853788989469201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-2.8421709430404007E-13</v>
      </c>
      <c r="AJ95" s="14">
        <f>AI95*VLOOKUP('Données projet'!$B$10,Paramètres!$A$1:$I$89,3,0)*VLOOKUP('Données projet'!$B$10,Paramètres!$A$1:$I$89,5,0)</f>
        <v>-1.69961822393816E-13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289.12367833861299</v>
      </c>
      <c r="AO95" s="62">
        <f t="shared" si="90"/>
        <v>229.06617320689003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1.9310205606862202E-9</v>
      </c>
      <c r="AX95" s="23">
        <f t="shared" si="60"/>
        <v>1.9310205606862202E-9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>
        <f>BD95*VLOOKUP('Données projet'!$B$11,Paramètres!$A$1:$I$89,3,0)*VLOOKUP('Données projet'!$B$11,Paramètres!$A$1:$I$89,5,0)</f>
        <v>0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240.22884864766218</v>
      </c>
      <c r="BJ95" s="62">
        <f t="shared" si="92"/>
        <v>343.23776884143166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1.8454061398625232</v>
      </c>
      <c r="BR95" s="23">
        <f>EXP(-LN(2)/2)*BR94+(1-EXP(-LN(2)/2))/(LN(2)/2)*BL95*BO95*VLOOKUP('Données projet'!$B$11,Paramètres!$A$1:$I$89,3,0)*0.475*44/12</f>
        <v>7.6921749305943021E-9</v>
      </c>
      <c r="BS95" s="24">
        <f t="shared" si="63"/>
        <v>1.8454061475546981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4.9000000000000004</v>
      </c>
      <c r="BY95" s="13">
        <f>IF('Données projet'!$A$114&gt;35,BY94+BX95-CG94,IF(A95&lt;'Données projet'!$A$114,$BV$205^A95,IF(A95='Données projet'!$A$114,'Données projet'!$B$114,BY94+BX95-CG94)))</f>
        <v>263.8</v>
      </c>
      <c r="BZ95" s="14">
        <f>BY95*VLOOKUP('Données projet'!$B$12,Paramètres!$A$1:$I$89,3,0)*VLOOKUP('Données projet'!$B$12,Paramètres!$A$1:$I$89,5,0)</f>
        <v>238.68624</v>
      </c>
      <c r="CA95" s="14">
        <f t="shared" si="93"/>
        <v>58.156778382060871</v>
      </c>
      <c r="CB95" s="22">
        <f t="shared" si="64"/>
        <v>517.00159034875594</v>
      </c>
      <c r="CC95" s="62">
        <f t="shared" si="65"/>
        <v>810.33492368208931</v>
      </c>
      <c r="CD95" s="62">
        <f ca="1">AVERAGE(OFFSET($CC$3,0,0,'Données projet'!$E$12+1,1))-AVERAGE(OFFSET($H$3,0,0,'Données projet'!$E$12+1,1))</f>
        <v>428.8489304403459</v>
      </c>
      <c r="CE95" s="62">
        <f t="shared" si="94"/>
        <v>247.01165577562966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-1.7053025658242404E-13</v>
      </c>
      <c r="CU95" s="18">
        <f>CT95*VLOOKUP('Données projet'!$B$13,Paramètres!$A$1:$I$89,3,0)*VLOOKUP('Données projet'!$B$13,Paramètres!$A$1:$I$89,5,0)</f>
        <v>-1.3567387213697657E-13</v>
      </c>
      <c r="CV95" s="14" t="e">
        <f t="shared" si="95"/>
        <v>#NUM!</v>
      </c>
      <c r="CW95" s="22" t="e">
        <f t="shared" si="67"/>
        <v>#NUM!</v>
      </c>
      <c r="CX95" s="62" t="e">
        <f t="shared" si="68"/>
        <v>#NUM!</v>
      </c>
      <c r="CY95" s="62">
        <f ca="1">AVERAGE(OFFSET($CX$3,0,0,'Données projet'!$E$13+1,1))-AVERAGE(OFFSET($H$3,0,0,'Données projet'!$E$13+1,1))</f>
        <v>312.53381881960331</v>
      </c>
      <c r="CZ95" s="62">
        <f t="shared" si="96"/>
        <v>342.06887933351783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-1.7053025658242404E-13</v>
      </c>
      <c r="DP95" s="18">
        <f>DO95*VLOOKUP('Données projet'!$B$14,Paramètres!$A$1:$I$89,3,0)*VLOOKUP('Données projet'!$B$14,Paramètres!$A$1:$I$89,5,0)</f>
        <v>-1.250327841262333E-13</v>
      </c>
      <c r="DQ95" s="14" t="e">
        <f t="shared" si="97"/>
        <v>#NUM!</v>
      </c>
      <c r="DR95" s="22" t="e">
        <f t="shared" si="70"/>
        <v>#NUM!</v>
      </c>
      <c r="DS95" s="62" t="e">
        <f t="shared" si="71"/>
        <v>#NUM!</v>
      </c>
      <c r="DT95" s="62">
        <f ca="1">AVERAGE(OFFSET($DS$3,0,0,'Données projet'!$E$14+1,1))-AVERAGE(OFFSET($H$3,0,0,'Données projet'!$E$14+1,1))</f>
        <v>290.85271051443431</v>
      </c>
      <c r="DU95" s="62">
        <f t="shared" si="98"/>
        <v>318.66958823451142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0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6.1</v>
      </c>
      <c r="EJ95" s="13">
        <f>IF('Données projet'!$A$192&gt;35,EJ94+EI95-ER94,IF(A95&lt;'Données projet'!$A$192,$EG$205^A95,IF(A95='Données projet'!$A$192,'Données projet'!$B$192,EJ94+EI95-ER94)))</f>
        <v>287.19999999999993</v>
      </c>
      <c r="EK95" s="18">
        <f>EJ95*VLOOKUP('Données projet'!$B$15,Paramètres!$A$1:$I$89,3,0)*VLOOKUP('Données projet'!$B$15,Paramètres!$A$1:$I$89,5,0)</f>
        <v>246.41759999999996</v>
      </c>
      <c r="EL95" s="14">
        <f t="shared" si="99"/>
        <v>59.818180609795213</v>
      </c>
      <c r="EM95" s="22">
        <f t="shared" si="73"/>
        <v>533.36065122872662</v>
      </c>
      <c r="EN95" s="62">
        <f t="shared" si="74"/>
        <v>826.69398456206</v>
      </c>
      <c r="EO95" s="62">
        <f ca="1">AVERAGE(OFFSET($EN$3,0,0,'Données projet'!$E$15+1,1))-AVERAGE(OFFSET($H$3,0,0,'Données projet'!$E$15+1,1))</f>
        <v>438.65317358403996</v>
      </c>
      <c r="EP95" s="62">
        <f t="shared" si="100"/>
        <v>176.81257896138806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0</v>
      </c>
      <c r="EW95" s="23">
        <f>EXP(-LN(2)/25)*EW94+(1-EXP(-LN(2)/25))/(LN(2)/25)*Calculateur!ER95*Calculateur!ET95*VLOOKUP('Données projet'!$B$15,Paramètres!$A$1:$I$89,3,0)*0.475*44/12</f>
        <v>0</v>
      </c>
      <c r="EX95" s="23">
        <f>EXP(-LN(2)/2)*EX94+(1-EXP(-LN(2)/2))/(LN(2)/2)*ER95*EU95*VLOOKUP('Données projet'!$B$15,Paramètres!$A$1:$I$89,3,0)*0.475*44/12</f>
        <v>0</v>
      </c>
      <c r="EY95" s="24">
        <f t="shared" si="75"/>
        <v>0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2.2737367544323206E-13</v>
      </c>
      <c r="O96" s="14">
        <f>N96*VLOOKUP('Données projet'!$B$9,Paramètres!$A$1:$I$89,3,0)*VLOOKUP('Données projet'!$B$9,Paramètres!$A$1:$I$89,5,0)</f>
        <v>1.2710188457276673E-13</v>
      </c>
      <c r="P96" s="14">
        <f t="shared" si="87"/>
        <v>1.856866851063998E-12</v>
      </c>
      <c r="Q96" s="22">
        <f t="shared" si="54"/>
        <v>3.4554122145673649E-12</v>
      </c>
      <c r="R96" s="62">
        <f t="shared" si="55"/>
        <v>293.33333333333678</v>
      </c>
      <c r="S96" s="62">
        <f ca="1">AVERAGE(OFFSET($R$3,0,0,'Données projet'!$E$9+1,1))-AVERAGE(OFFSET($H$3,0,0,'Données projet'!$E$9+1,1))</f>
        <v>323.98185264074681</v>
      </c>
      <c r="T96" s="62">
        <f t="shared" si="88"/>
        <v>301.22207291854005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1.2814652043223242</v>
      </c>
      <c r="AA96" s="23">
        <f>EXP(-LN(2)/25)*AA95+(1-EXP(-LN(2)/25))/(LN(2)/25)*Calculateur!V96*Calculateur!X96*VLOOKUP('Données projet'!$B$9,Paramètres!$A$1:$I$89,3,0)*0.475*44/12</f>
        <v>1.4378586173615922</v>
      </c>
      <c r="AB96" s="23">
        <f>EXP(-LN(2)/2)*AB95+(1-EXP(-LN(2)/2))/(LN(2)/2)*V96*Y96*VLOOKUP('Données projet'!$B$9,Paramètres!$A$1:$I$89,3,0)*0.475*44/12</f>
        <v>2.0045459918976075E-9</v>
      </c>
      <c r="AC96" s="24">
        <f t="shared" si="57"/>
        <v>2.7193238236884625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-2.8421709430404007E-13</v>
      </c>
      <c r="AJ96" s="14">
        <f>AI96*VLOOKUP('Données projet'!$B$10,Paramètres!$A$1:$I$89,3,0)*VLOOKUP('Données projet'!$B$10,Paramètres!$A$1:$I$89,5,0)</f>
        <v>-1.69961822393816E-13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289.12367833861299</v>
      </c>
      <c r="AO96" s="62">
        <f t="shared" si="90"/>
        <v>229.06617320689003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1.3654377330718754E-9</v>
      </c>
      <c r="AX96" s="23">
        <f t="shared" si="60"/>
        <v>1.3654377330718754E-9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>
        <f>BD96*VLOOKUP('Données projet'!$B$11,Paramètres!$A$1:$I$89,3,0)*VLOOKUP('Données projet'!$B$11,Paramètres!$A$1:$I$89,5,0)</f>
        <v>0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240.22884864766218</v>
      </c>
      <c r="BJ96" s="62">
        <f t="shared" si="92"/>
        <v>343.23776884143166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1.7949434119222913</v>
      </c>
      <c r="BR96" s="23">
        <f>EXP(-LN(2)/2)*BR95+(1-EXP(-LN(2)/2))/(LN(2)/2)*BL96*BO96*VLOOKUP('Données projet'!$B$11,Paramètres!$A$1:$I$89,3,0)*0.475*44/12</f>
        <v>5.4391890554963916E-9</v>
      </c>
      <c r="BS96" s="24">
        <f t="shared" si="63"/>
        <v>1.7949434173614804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4.9000000000000004</v>
      </c>
      <c r="BY96" s="13">
        <f>IF('Données projet'!$A$114&gt;35,BY95+BX96-CG95,IF(A96&lt;'Données projet'!$A$114,$BV$205^A96,IF(A96='Données projet'!$A$114,'Données projet'!$B$114,BY95+BX96-CG95)))</f>
        <v>268.7</v>
      </c>
      <c r="BZ96" s="14">
        <f>BY96*VLOOKUP('Données projet'!$B$12,Paramètres!$A$1:$I$89,3,0)*VLOOKUP('Données projet'!$B$12,Paramètres!$A$1:$I$89,5,0)</f>
        <v>243.11975999999996</v>
      </c>
      <c r="CA96" s="14">
        <f t="shared" si="93"/>
        <v>59.110256668778533</v>
      </c>
      <c r="CB96" s="22">
        <f t="shared" si="64"/>
        <v>526.3839456981226</v>
      </c>
      <c r="CC96" s="62">
        <f t="shared" si="65"/>
        <v>819.71727903145597</v>
      </c>
      <c r="CD96" s="62">
        <f ca="1">AVERAGE(OFFSET($CC$3,0,0,'Données projet'!$E$12+1,1))-AVERAGE(OFFSET($H$3,0,0,'Données projet'!$E$12+1,1))</f>
        <v>428.8489304403459</v>
      </c>
      <c r="CE96" s="62">
        <f t="shared" si="94"/>
        <v>247.01165577562966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-1.7053025658242404E-13</v>
      </c>
      <c r="CU96" s="18">
        <f>CT96*VLOOKUP('Données projet'!$B$13,Paramètres!$A$1:$I$89,3,0)*VLOOKUP('Données projet'!$B$13,Paramètres!$A$1:$I$89,5,0)</f>
        <v>-1.3567387213697657E-13</v>
      </c>
      <c r="CV96" s="14" t="e">
        <f t="shared" si="95"/>
        <v>#NUM!</v>
      </c>
      <c r="CW96" s="22" t="e">
        <f t="shared" si="67"/>
        <v>#NUM!</v>
      </c>
      <c r="CX96" s="62" t="e">
        <f t="shared" si="68"/>
        <v>#NUM!</v>
      </c>
      <c r="CY96" s="62">
        <f ca="1">AVERAGE(OFFSET($CX$3,0,0,'Données projet'!$E$13+1,1))-AVERAGE(OFFSET($H$3,0,0,'Données projet'!$E$13+1,1))</f>
        <v>312.53381881960331</v>
      </c>
      <c r="CZ96" s="62">
        <f t="shared" si="96"/>
        <v>342.06887933351783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-1.7053025658242404E-13</v>
      </c>
      <c r="DP96" s="18">
        <f>DO96*VLOOKUP('Données projet'!$B$14,Paramètres!$A$1:$I$89,3,0)*VLOOKUP('Données projet'!$B$14,Paramètres!$A$1:$I$89,5,0)</f>
        <v>-1.250327841262333E-13</v>
      </c>
      <c r="DQ96" s="14" t="e">
        <f t="shared" si="97"/>
        <v>#NUM!</v>
      </c>
      <c r="DR96" s="22" t="e">
        <f t="shared" si="70"/>
        <v>#NUM!</v>
      </c>
      <c r="DS96" s="62" t="e">
        <f t="shared" si="71"/>
        <v>#NUM!</v>
      </c>
      <c r="DT96" s="62">
        <f ca="1">AVERAGE(OFFSET($DS$3,0,0,'Données projet'!$E$14+1,1))-AVERAGE(OFFSET($H$3,0,0,'Données projet'!$E$14+1,1))</f>
        <v>290.85271051443431</v>
      </c>
      <c r="DU96" s="62">
        <f t="shared" si="98"/>
        <v>318.66958823451142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0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6.1</v>
      </c>
      <c r="EJ96" s="13">
        <f>IF('Données projet'!$A$192&gt;35,EJ95+EI96-ER95,IF(A96&lt;'Données projet'!$A$192,$EG$205^A96,IF(A96='Données projet'!$A$192,'Données projet'!$B$192,EJ95+EI96-ER95)))</f>
        <v>293.29999999999995</v>
      </c>
      <c r="EK96" s="18">
        <f>EJ96*VLOOKUP('Données projet'!$B$15,Paramètres!$A$1:$I$89,3,0)*VLOOKUP('Données projet'!$B$15,Paramètres!$A$1:$I$89,5,0)</f>
        <v>251.6514</v>
      </c>
      <c r="EL96" s="14">
        <f t="shared" si="99"/>
        <v>60.939427692009772</v>
      </c>
      <c r="EM96" s="22">
        <f t="shared" si="73"/>
        <v>544.42902489691699</v>
      </c>
      <c r="EN96" s="62">
        <f t="shared" si="74"/>
        <v>837.76235823025036</v>
      </c>
      <c r="EO96" s="62">
        <f ca="1">AVERAGE(OFFSET($EN$3,0,0,'Données projet'!$E$15+1,1))-AVERAGE(OFFSET($H$3,0,0,'Données projet'!$E$15+1,1))</f>
        <v>438.65317358403996</v>
      </c>
      <c r="EP96" s="62">
        <f t="shared" si="100"/>
        <v>176.81257896138806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0</v>
      </c>
      <c r="EW96" s="23">
        <f>EXP(-LN(2)/25)*EW95+(1-EXP(-LN(2)/25))/(LN(2)/25)*Calculateur!ER96*Calculateur!ET96*VLOOKUP('Données projet'!$B$15,Paramètres!$A$1:$I$89,3,0)*0.475*44/12</f>
        <v>0</v>
      </c>
      <c r="EX96" s="23">
        <f>EXP(-LN(2)/2)*EX95+(1-EXP(-LN(2)/2))/(LN(2)/2)*ER96*EU96*VLOOKUP('Données projet'!$B$15,Paramètres!$A$1:$I$89,3,0)*0.475*44/12</f>
        <v>0</v>
      </c>
      <c r="EY96" s="24">
        <f t="shared" si="75"/>
        <v>0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2.2737367544323206E-13</v>
      </c>
      <c r="O97" s="14">
        <f>N97*VLOOKUP('Données projet'!$B$9,Paramètres!$A$1:$I$89,3,0)*VLOOKUP('Données projet'!$B$9,Paramètres!$A$1:$I$89,5,0)</f>
        <v>1.2710188457276673E-13</v>
      </c>
      <c r="P97" s="14">
        <f t="shared" si="87"/>
        <v>1.856866851063998E-12</v>
      </c>
      <c r="Q97" s="22">
        <f t="shared" si="54"/>
        <v>3.4554122145673649E-12</v>
      </c>
      <c r="R97" s="62">
        <f t="shared" si="55"/>
        <v>293.33333333333678</v>
      </c>
      <c r="S97" s="62">
        <f ca="1">AVERAGE(OFFSET($R$3,0,0,'Données projet'!$E$9+1,1))-AVERAGE(OFFSET($H$3,0,0,'Données projet'!$E$9+1,1))</f>
        <v>323.98185264074681</v>
      </c>
      <c r="T97" s="62">
        <f t="shared" si="88"/>
        <v>301.22207291854005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1.2563364532821599</v>
      </c>
      <c r="AA97" s="23">
        <f>EXP(-LN(2)/25)*AA96+(1-EXP(-LN(2)/25))/(LN(2)/25)*Calculateur!V97*Calculateur!X97*VLOOKUP('Données projet'!$B$9,Paramètres!$A$1:$I$89,3,0)*0.475*44/12</f>
        <v>1.398540297856141</v>
      </c>
      <c r="AB97" s="23">
        <f>EXP(-LN(2)/2)*AB96+(1-EXP(-LN(2)/2))/(LN(2)/2)*V97*Y97*VLOOKUP('Données projet'!$B$9,Paramètres!$A$1:$I$89,3,0)*0.475*44/12</f>
        <v>1.4174280640711125E-9</v>
      </c>
      <c r="AC97" s="24">
        <f t="shared" si="57"/>
        <v>2.6548767525557286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-2.8421709430404007E-13</v>
      </c>
      <c r="AJ97" s="14">
        <f>AI97*VLOOKUP('Données projet'!$B$10,Paramètres!$A$1:$I$89,3,0)*VLOOKUP('Données projet'!$B$10,Paramètres!$A$1:$I$89,5,0)</f>
        <v>-1.69961822393816E-13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289.12367833861299</v>
      </c>
      <c r="AO97" s="62">
        <f t="shared" si="90"/>
        <v>229.06617320689003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9.6551028034311009E-10</v>
      </c>
      <c r="AX97" s="23">
        <f t="shared" si="60"/>
        <v>9.6551028034311009E-10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>
        <f>BD97*VLOOKUP('Données projet'!$B$11,Paramètres!$A$1:$I$89,3,0)*VLOOKUP('Données projet'!$B$11,Paramètres!$A$1:$I$89,5,0)</f>
        <v>0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240.22884864766218</v>
      </c>
      <c r="BJ97" s="62">
        <f t="shared" si="92"/>
        <v>343.23776884143166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1.7458605899313047</v>
      </c>
      <c r="BR97" s="23">
        <f>EXP(-LN(2)/2)*BR96+(1-EXP(-LN(2)/2))/(LN(2)/2)*BL97*BO97*VLOOKUP('Données projet'!$B$11,Paramètres!$A$1:$I$89,3,0)*0.475*44/12</f>
        <v>3.8460874652971511E-9</v>
      </c>
      <c r="BS97" s="24">
        <f t="shared" si="63"/>
        <v>1.7458605937773921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4.9000000000000004</v>
      </c>
      <c r="BY97" s="13">
        <f>IF('Données projet'!$A$114&gt;35,BY96+BX97-CG96,IF(A97&lt;'Données projet'!$A$114,$BV$205^A97,IF(A97='Données projet'!$A$114,'Données projet'!$B$114,BY96+BX97-CG96)))</f>
        <v>273.59999999999997</v>
      </c>
      <c r="BZ97" s="14">
        <f>BY97*VLOOKUP('Données projet'!$B$12,Paramètres!$A$1:$I$89,3,0)*VLOOKUP('Données projet'!$B$12,Paramètres!$A$1:$I$89,5,0)</f>
        <v>247.55327999999994</v>
      </c>
      <c r="CA97" s="14">
        <f t="shared" si="93"/>
        <v>60.061713068870255</v>
      </c>
      <c r="CB97" s="22">
        <f t="shared" si="64"/>
        <v>535.76277959494894</v>
      </c>
      <c r="CC97" s="62">
        <f t="shared" si="65"/>
        <v>829.09611292828231</v>
      </c>
      <c r="CD97" s="62">
        <f ca="1">AVERAGE(OFFSET($CC$3,0,0,'Données projet'!$E$12+1,1))-AVERAGE(OFFSET($H$3,0,0,'Données projet'!$E$12+1,1))</f>
        <v>428.8489304403459</v>
      </c>
      <c r="CE97" s="62">
        <f t="shared" si="94"/>
        <v>247.01165577562966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-1.7053025658242404E-13</v>
      </c>
      <c r="CU97" s="18">
        <f>CT97*VLOOKUP('Données projet'!$B$13,Paramètres!$A$1:$I$89,3,0)*VLOOKUP('Données projet'!$B$13,Paramètres!$A$1:$I$89,5,0)</f>
        <v>-1.3567387213697657E-13</v>
      </c>
      <c r="CV97" s="14" t="e">
        <f t="shared" si="95"/>
        <v>#NUM!</v>
      </c>
      <c r="CW97" s="22" t="e">
        <f t="shared" si="67"/>
        <v>#NUM!</v>
      </c>
      <c r="CX97" s="62" t="e">
        <f t="shared" si="68"/>
        <v>#NUM!</v>
      </c>
      <c r="CY97" s="62">
        <f ca="1">AVERAGE(OFFSET($CX$3,0,0,'Données projet'!$E$13+1,1))-AVERAGE(OFFSET($H$3,0,0,'Données projet'!$E$13+1,1))</f>
        <v>312.53381881960331</v>
      </c>
      <c r="CZ97" s="62">
        <f t="shared" si="96"/>
        <v>342.06887933351783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-1.7053025658242404E-13</v>
      </c>
      <c r="DP97" s="18">
        <f>DO97*VLOOKUP('Données projet'!$B$14,Paramètres!$A$1:$I$89,3,0)*VLOOKUP('Données projet'!$B$14,Paramètres!$A$1:$I$89,5,0)</f>
        <v>-1.250327841262333E-13</v>
      </c>
      <c r="DQ97" s="14" t="e">
        <f t="shared" si="97"/>
        <v>#NUM!</v>
      </c>
      <c r="DR97" s="22" t="e">
        <f t="shared" si="70"/>
        <v>#NUM!</v>
      </c>
      <c r="DS97" s="62" t="e">
        <f t="shared" si="71"/>
        <v>#NUM!</v>
      </c>
      <c r="DT97" s="62">
        <f ca="1">AVERAGE(OFFSET($DS$3,0,0,'Données projet'!$E$14+1,1))-AVERAGE(OFFSET($H$3,0,0,'Données projet'!$E$14+1,1))</f>
        <v>290.85271051443431</v>
      </c>
      <c r="DU97" s="62">
        <f t="shared" si="98"/>
        <v>318.66958823451142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0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6.1</v>
      </c>
      <c r="EJ97" s="13">
        <f>IF('Données projet'!$A$192&gt;35,EJ96+EI97-ER96,IF(A97&lt;'Données projet'!$A$192,$EG$205^A97,IF(A97='Données projet'!$A$192,'Données projet'!$B$192,EJ96+EI97-ER96)))</f>
        <v>299.39999999999998</v>
      </c>
      <c r="EK97" s="18">
        <f>EJ97*VLOOKUP('Données projet'!$B$15,Paramètres!$A$1:$I$89,3,0)*VLOOKUP('Données projet'!$B$15,Paramètres!$A$1:$I$89,5,0)</f>
        <v>256.8852</v>
      </c>
      <c r="EL97" s="14">
        <f t="shared" si="99"/>
        <v>62.057963461603165</v>
      </c>
      <c r="EM97" s="22">
        <f t="shared" si="73"/>
        <v>555.49267636229206</v>
      </c>
      <c r="EN97" s="62">
        <f t="shared" si="74"/>
        <v>848.82600969562532</v>
      </c>
      <c r="EO97" s="62">
        <f ca="1">AVERAGE(OFFSET($EN$3,0,0,'Données projet'!$E$15+1,1))-AVERAGE(OFFSET($H$3,0,0,'Données projet'!$E$15+1,1))</f>
        <v>438.65317358403996</v>
      </c>
      <c r="EP97" s="62">
        <f t="shared" si="100"/>
        <v>176.81257896138806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0</v>
      </c>
      <c r="EW97" s="23">
        <f>EXP(-LN(2)/25)*EW96+(1-EXP(-LN(2)/25))/(LN(2)/25)*Calculateur!ER97*Calculateur!ET97*VLOOKUP('Données projet'!$B$15,Paramètres!$A$1:$I$89,3,0)*0.475*44/12</f>
        <v>0</v>
      </c>
      <c r="EX97" s="23">
        <f>EXP(-LN(2)/2)*EX96+(1-EXP(-LN(2)/2))/(LN(2)/2)*ER97*EU97*VLOOKUP('Données projet'!$B$15,Paramètres!$A$1:$I$89,3,0)*0.475*44/12</f>
        <v>0</v>
      </c>
      <c r="EY97" s="24">
        <f t="shared" si="75"/>
        <v>0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2.2737367544323206E-13</v>
      </c>
      <c r="O98" s="14">
        <f>N98*VLOOKUP('Données projet'!$B$9,Paramètres!$A$1:$I$89,3,0)*VLOOKUP('Données projet'!$B$9,Paramètres!$A$1:$I$89,5,0)</f>
        <v>1.2710188457276673E-13</v>
      </c>
      <c r="P98" s="14">
        <f t="shared" si="87"/>
        <v>1.856866851063998E-12</v>
      </c>
      <c r="Q98" s="22">
        <f t="shared" si="54"/>
        <v>3.4554122145673649E-12</v>
      </c>
      <c r="R98" s="62">
        <f t="shared" si="55"/>
        <v>293.33333333333678</v>
      </c>
      <c r="S98" s="62">
        <f ca="1">AVERAGE(OFFSET($R$3,0,0,'Données projet'!$E$9+1,1))-AVERAGE(OFFSET($H$3,0,0,'Données projet'!$E$9+1,1))</f>
        <v>323.98185264074681</v>
      </c>
      <c r="T98" s="62">
        <f t="shared" si="88"/>
        <v>301.22207291854005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1.2317004617228684</v>
      </c>
      <c r="AA98" s="23">
        <f>EXP(-LN(2)/25)*AA97+(1-EXP(-LN(2)/25))/(LN(2)/25)*Calculateur!V98*Calculateur!X98*VLOOKUP('Données projet'!$B$9,Paramètres!$A$1:$I$89,3,0)*0.475*44/12</f>
        <v>1.360297139865227</v>
      </c>
      <c r="AB98" s="23">
        <f>EXP(-LN(2)/2)*AB97+(1-EXP(-LN(2)/2))/(LN(2)/2)*V98*Y98*VLOOKUP('Données projet'!$B$9,Paramètres!$A$1:$I$89,3,0)*0.475*44/12</f>
        <v>1.0022729959488038E-9</v>
      </c>
      <c r="AC98" s="24">
        <f t="shared" si="57"/>
        <v>2.5919976025903684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-2.8421709430404007E-13</v>
      </c>
      <c r="AJ98" s="14">
        <f>AI98*VLOOKUP('Données projet'!$B$10,Paramètres!$A$1:$I$89,3,0)*VLOOKUP('Données projet'!$B$10,Paramètres!$A$1:$I$89,5,0)</f>
        <v>-1.69961822393816E-13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289.12367833861299</v>
      </c>
      <c r="AO98" s="62">
        <f t="shared" si="90"/>
        <v>229.06617320689003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6.8271886653593771E-10</v>
      </c>
      <c r="AX98" s="23">
        <f t="shared" si="60"/>
        <v>6.8271886653593771E-10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>
        <f>BD98*VLOOKUP('Données projet'!$B$11,Paramètres!$A$1:$I$89,3,0)*VLOOKUP('Données projet'!$B$11,Paramètres!$A$1:$I$89,5,0)</f>
        <v>0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240.22884864766218</v>
      </c>
      <c r="BJ98" s="62">
        <f t="shared" si="92"/>
        <v>343.23776884143166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1.698119940288815</v>
      </c>
      <c r="BR98" s="23">
        <f>EXP(-LN(2)/2)*BR97+(1-EXP(-LN(2)/2))/(LN(2)/2)*BL98*BO98*VLOOKUP('Données projet'!$B$11,Paramètres!$A$1:$I$89,3,0)*0.475*44/12</f>
        <v>2.7195945277481958E-9</v>
      </c>
      <c r="BS98" s="24">
        <f t="shared" si="63"/>
        <v>1.6981199430084095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4.9000000000000004</v>
      </c>
      <c r="BY98" s="13">
        <f>IF('Données projet'!$A$114&gt;35,BY97+BX98-CG97,IF(A98&lt;'Données projet'!$A$114,$BV$205^A98,IF(A98='Données projet'!$A$114,'Données projet'!$B$114,BY97+BX98-CG97)))</f>
        <v>278.49999999999994</v>
      </c>
      <c r="BZ98" s="14">
        <f>BY98*VLOOKUP('Données projet'!$B$12,Paramètres!$A$1:$I$89,3,0)*VLOOKUP('Données projet'!$B$12,Paramètres!$A$1:$I$89,5,0)</f>
        <v>251.98679999999993</v>
      </c>
      <c r="CA98" s="14">
        <f t="shared" si="93"/>
        <v>61.011187970195053</v>
      </c>
      <c r="CB98" s="22">
        <f t="shared" si="64"/>
        <v>545.13816238142283</v>
      </c>
      <c r="CC98" s="62">
        <f t="shared" si="65"/>
        <v>838.4714957147562</v>
      </c>
      <c r="CD98" s="62">
        <f ca="1">AVERAGE(OFFSET($CC$3,0,0,'Données projet'!$E$12+1,1))-AVERAGE(OFFSET($H$3,0,0,'Données projet'!$E$12+1,1))</f>
        <v>428.8489304403459</v>
      </c>
      <c r="CE98" s="62">
        <f t="shared" si="94"/>
        <v>247.01165577562966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-1.7053025658242404E-13</v>
      </c>
      <c r="CU98" s="18">
        <f>CT98*VLOOKUP('Données projet'!$B$13,Paramètres!$A$1:$I$89,3,0)*VLOOKUP('Données projet'!$B$13,Paramètres!$A$1:$I$89,5,0)</f>
        <v>-1.3567387213697657E-13</v>
      </c>
      <c r="CV98" s="14" t="e">
        <f t="shared" si="95"/>
        <v>#NUM!</v>
      </c>
      <c r="CW98" s="22" t="e">
        <f t="shared" si="67"/>
        <v>#NUM!</v>
      </c>
      <c r="CX98" s="62" t="e">
        <f t="shared" si="68"/>
        <v>#NUM!</v>
      </c>
      <c r="CY98" s="62">
        <f ca="1">AVERAGE(OFFSET($CX$3,0,0,'Données projet'!$E$13+1,1))-AVERAGE(OFFSET($H$3,0,0,'Données projet'!$E$13+1,1))</f>
        <v>312.53381881960331</v>
      </c>
      <c r="CZ98" s="62">
        <f t="shared" si="96"/>
        <v>342.06887933351783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-1.7053025658242404E-13</v>
      </c>
      <c r="DP98" s="18">
        <f>DO98*VLOOKUP('Données projet'!$B$14,Paramètres!$A$1:$I$89,3,0)*VLOOKUP('Données projet'!$B$14,Paramètres!$A$1:$I$89,5,0)</f>
        <v>-1.250327841262333E-13</v>
      </c>
      <c r="DQ98" s="14" t="e">
        <f t="shared" si="97"/>
        <v>#NUM!</v>
      </c>
      <c r="DR98" s="22" t="e">
        <f t="shared" si="70"/>
        <v>#NUM!</v>
      </c>
      <c r="DS98" s="62" t="e">
        <f t="shared" si="71"/>
        <v>#NUM!</v>
      </c>
      <c r="DT98" s="62">
        <f ca="1">AVERAGE(OFFSET($DS$3,0,0,'Données projet'!$E$14+1,1))-AVERAGE(OFFSET($H$3,0,0,'Données projet'!$E$14+1,1))</f>
        <v>290.85271051443431</v>
      </c>
      <c r="DU98" s="62">
        <f t="shared" si="98"/>
        <v>318.66958823451142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0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6.1</v>
      </c>
      <c r="EJ98" s="13">
        <f>IF('Données projet'!$A$192&gt;35,EJ97+EI98-ER97,IF(A98&lt;'Données projet'!$A$192,$EG$205^A98,IF(A98='Données projet'!$A$192,'Données projet'!$B$192,EJ97+EI98-ER97)))</f>
        <v>305.5</v>
      </c>
      <c r="EK98" s="18">
        <f>EJ98*VLOOKUP('Données projet'!$B$15,Paramètres!$A$1:$I$89,3,0)*VLOOKUP('Données projet'!$B$15,Paramètres!$A$1:$I$89,5,0)</f>
        <v>262.11900000000003</v>
      </c>
      <c r="EL98" s="14">
        <f t="shared" si="99"/>
        <v>63.17384952460872</v>
      </c>
      <c r="EM98" s="22">
        <f t="shared" si="73"/>
        <v>566.55171292202692</v>
      </c>
      <c r="EN98" s="62">
        <f t="shared" si="74"/>
        <v>859.88504625536029</v>
      </c>
      <c r="EO98" s="62">
        <f ca="1">AVERAGE(OFFSET($EN$3,0,0,'Données projet'!$E$15+1,1))-AVERAGE(OFFSET($H$3,0,0,'Données projet'!$E$15+1,1))</f>
        <v>438.65317358403996</v>
      </c>
      <c r="EP98" s="62">
        <f t="shared" si="100"/>
        <v>176.81257896138806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0</v>
      </c>
      <c r="EW98" s="23">
        <f>EXP(-LN(2)/25)*EW97+(1-EXP(-LN(2)/25))/(LN(2)/25)*Calculateur!ER98*Calculateur!ET98*VLOOKUP('Données projet'!$B$15,Paramètres!$A$1:$I$89,3,0)*0.475*44/12</f>
        <v>0</v>
      </c>
      <c r="EX98" s="23">
        <f>EXP(-LN(2)/2)*EX97+(1-EXP(-LN(2)/2))/(LN(2)/2)*ER98*EU98*VLOOKUP('Données projet'!$B$15,Paramètres!$A$1:$I$89,3,0)*0.475*44/12</f>
        <v>0</v>
      </c>
      <c r="EY98" s="24">
        <f t="shared" si="75"/>
        <v>0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2.2737367544323206E-13</v>
      </c>
      <c r="O99" s="14">
        <f>N99*VLOOKUP('Données projet'!$B$9,Paramètres!$A$1:$I$89,3,0)*VLOOKUP('Données projet'!$B$9,Paramètres!$A$1:$I$89,5,0)</f>
        <v>1.2710188457276673E-13</v>
      </c>
      <c r="P99" s="14">
        <f t="shared" si="87"/>
        <v>1.856866851063998E-12</v>
      </c>
      <c r="Q99" s="22">
        <f t="shared" ref="Q99:Q130" si="107">(O99+P99)*0.475*44/12</f>
        <v>3.4554122145673649E-12</v>
      </c>
      <c r="R99" s="62">
        <f t="shared" si="55"/>
        <v>293.33333333333678</v>
      </c>
      <c r="S99" s="62">
        <f ca="1">AVERAGE(OFFSET($R$3,0,0,'Données projet'!$E$9+1,1))-AVERAGE(OFFSET($H$3,0,0,'Données projet'!$E$9+1,1))</f>
        <v>323.98185264074681</v>
      </c>
      <c r="T99" s="62">
        <f t="shared" si="88"/>
        <v>301.22207291854005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1.2075475669315836</v>
      </c>
      <c r="AA99" s="23">
        <f>EXP(-LN(2)/25)*AA98+(1-EXP(-LN(2)/25))/(LN(2)/25)*Calculateur!V99*Calculateur!X99*VLOOKUP('Données projet'!$B$9,Paramètres!$A$1:$I$89,3,0)*0.475*44/12</f>
        <v>1.3230997430406948</v>
      </c>
      <c r="AB99" s="23">
        <f>EXP(-LN(2)/2)*AB98+(1-EXP(-LN(2)/2))/(LN(2)/2)*V99*Y99*VLOOKUP('Données projet'!$B$9,Paramètres!$A$1:$I$89,3,0)*0.475*44/12</f>
        <v>7.0871403203555623E-10</v>
      </c>
      <c r="AC99" s="24">
        <f t="shared" si="57"/>
        <v>2.5306473106809921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-2.8421709430404007E-13</v>
      </c>
      <c r="AJ99" s="14">
        <f>AI99*VLOOKUP('Données projet'!$B$10,Paramètres!$A$1:$I$89,3,0)*VLOOKUP('Données projet'!$B$10,Paramètres!$A$1:$I$89,5,0)</f>
        <v>-1.69961822393816E-13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289.12367833861299</v>
      </c>
      <c r="AO99" s="62">
        <f t="shared" si="90"/>
        <v>229.06617320689003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4.8275514017155504E-10</v>
      </c>
      <c r="AX99" s="23">
        <f t="shared" si="60"/>
        <v>4.8275514017155504E-10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>
        <f>BD99*VLOOKUP('Données projet'!$B$11,Paramètres!$A$1:$I$89,3,0)*VLOOKUP('Données projet'!$B$11,Paramètres!$A$1:$I$89,5,0)</f>
        <v>0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240.22884864766218</v>
      </c>
      <c r="BJ99" s="62">
        <f t="shared" si="92"/>
        <v>343.23776884143166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1.6516847612213708</v>
      </c>
      <c r="BR99" s="23">
        <f>EXP(-LN(2)/2)*BR98+(1-EXP(-LN(2)/2))/(LN(2)/2)*BL99*BO99*VLOOKUP('Données projet'!$B$11,Paramètres!$A$1:$I$89,3,0)*0.475*44/12</f>
        <v>1.9230437326485755E-9</v>
      </c>
      <c r="BS99" s="24">
        <f t="shared" si="63"/>
        <v>1.6516847631444145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4.9000000000000004</v>
      </c>
      <c r="BY99" s="13">
        <f>IF('Données projet'!$A$114&gt;35,BY98+BX99-CG98,IF(A99&lt;'Données projet'!$A$114,$BV$205^A99,IF(A99='Données projet'!$A$114,'Données projet'!$B$114,BY98+BX99-CG98)))</f>
        <v>283.39999999999992</v>
      </c>
      <c r="BZ99" s="14">
        <f>BY99*VLOOKUP('Données projet'!$B$12,Paramètres!$A$1:$I$89,3,0)*VLOOKUP('Données projet'!$B$12,Paramètres!$A$1:$I$89,5,0)</f>
        <v>256.42031999999989</v>
      </c>
      <c r="CA99" s="14">
        <f t="shared" si="93"/>
        <v>61.958720258016918</v>
      </c>
      <c r="CB99" s="22">
        <f t="shared" si="64"/>
        <v>554.51016178271254</v>
      </c>
      <c r="CC99" s="62">
        <f t="shared" si="65"/>
        <v>847.84349511604591</v>
      </c>
      <c r="CD99" s="62">
        <f ca="1">AVERAGE(OFFSET($CC$3,0,0,'Données projet'!$E$12+1,1))-AVERAGE(OFFSET($H$3,0,0,'Données projet'!$E$12+1,1))</f>
        <v>428.8489304403459</v>
      </c>
      <c r="CE99" s="62">
        <f t="shared" si="94"/>
        <v>247.01165577562966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-1.7053025658242404E-13</v>
      </c>
      <c r="CU99" s="18">
        <f>CT99*VLOOKUP('Données projet'!$B$13,Paramètres!$A$1:$I$89,3,0)*VLOOKUP('Données projet'!$B$13,Paramètres!$A$1:$I$89,5,0)</f>
        <v>-1.3567387213697657E-13</v>
      </c>
      <c r="CV99" s="14" t="e">
        <f t="shared" si="95"/>
        <v>#NUM!</v>
      </c>
      <c r="CW99" s="22" t="e">
        <f t="shared" si="67"/>
        <v>#NUM!</v>
      </c>
      <c r="CX99" s="62" t="e">
        <f t="shared" si="68"/>
        <v>#NUM!</v>
      </c>
      <c r="CY99" s="62">
        <f ca="1">AVERAGE(OFFSET($CX$3,0,0,'Données projet'!$E$13+1,1))-AVERAGE(OFFSET($H$3,0,0,'Données projet'!$E$13+1,1))</f>
        <v>312.53381881960331</v>
      </c>
      <c r="CZ99" s="62">
        <f t="shared" si="96"/>
        <v>342.06887933351783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-1.7053025658242404E-13</v>
      </c>
      <c r="DP99" s="18">
        <f>DO99*VLOOKUP('Données projet'!$B$14,Paramètres!$A$1:$I$89,3,0)*VLOOKUP('Données projet'!$B$14,Paramètres!$A$1:$I$89,5,0)</f>
        <v>-1.250327841262333E-13</v>
      </c>
      <c r="DQ99" s="14" t="e">
        <f t="shared" si="97"/>
        <v>#NUM!</v>
      </c>
      <c r="DR99" s="22" t="e">
        <f t="shared" si="70"/>
        <v>#NUM!</v>
      </c>
      <c r="DS99" s="62" t="e">
        <f t="shared" si="71"/>
        <v>#NUM!</v>
      </c>
      <c r="DT99" s="62">
        <f ca="1">AVERAGE(OFFSET($DS$3,0,0,'Données projet'!$E$14+1,1))-AVERAGE(OFFSET($H$3,0,0,'Données projet'!$E$14+1,1))</f>
        <v>290.85271051443431</v>
      </c>
      <c r="DU99" s="62">
        <f t="shared" si="98"/>
        <v>318.66958823451142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0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6.1</v>
      </c>
      <c r="EJ99" s="13">
        <f>IF('Données projet'!$A$192&gt;35,EJ98+EI99-ER98,IF(A99&lt;'Données projet'!$A$192,$EG$205^A99,IF(A99='Données projet'!$A$192,'Données projet'!$B$192,EJ98+EI99-ER98)))</f>
        <v>311.60000000000002</v>
      </c>
      <c r="EK99" s="18">
        <f>EJ99*VLOOKUP('Données projet'!$B$15,Paramètres!$A$1:$I$89,3,0)*VLOOKUP('Données projet'!$B$15,Paramètres!$A$1:$I$89,5,0)</f>
        <v>267.35280000000006</v>
      </c>
      <c r="EL99" s="14">
        <f t="shared" si="99"/>
        <v>64.28714488617193</v>
      </c>
      <c r="EM99" s="22">
        <f t="shared" si="73"/>
        <v>577.60623734341618</v>
      </c>
      <c r="EN99" s="62">
        <f t="shared" si="74"/>
        <v>870.93957067674955</v>
      </c>
      <c r="EO99" s="62">
        <f ca="1">AVERAGE(OFFSET($EN$3,0,0,'Données projet'!$E$15+1,1))-AVERAGE(OFFSET($H$3,0,0,'Données projet'!$E$15+1,1))</f>
        <v>438.65317358403996</v>
      </c>
      <c r="EP99" s="62">
        <f t="shared" si="100"/>
        <v>176.81257896138806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0</v>
      </c>
      <c r="EW99" s="23">
        <f>EXP(-LN(2)/25)*EW98+(1-EXP(-LN(2)/25))/(LN(2)/25)*Calculateur!ER99*Calculateur!ET99*VLOOKUP('Données projet'!$B$15,Paramètres!$A$1:$I$89,3,0)*0.475*44/12</f>
        <v>0</v>
      </c>
      <c r="EX99" s="23">
        <f>EXP(-LN(2)/2)*EX98+(1-EXP(-LN(2)/2))/(LN(2)/2)*ER99*EU99*VLOOKUP('Données projet'!$B$15,Paramètres!$A$1:$I$89,3,0)*0.475*44/12</f>
        <v>0</v>
      </c>
      <c r="EY99" s="24">
        <f t="shared" si="75"/>
        <v>0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2.2737367544323206E-13</v>
      </c>
      <c r="O100" s="14">
        <f>N100*VLOOKUP('Données projet'!$B$9,Paramètres!$A$1:$I$89,3,0)*VLOOKUP('Données projet'!$B$9,Paramètres!$A$1:$I$89,5,0)</f>
        <v>1.2710188457276673E-13</v>
      </c>
      <c r="P100" s="14">
        <f t="shared" si="87"/>
        <v>1.856866851063998E-12</v>
      </c>
      <c r="Q100" s="22">
        <f t="shared" si="107"/>
        <v>3.4554122145673649E-12</v>
      </c>
      <c r="R100" s="62">
        <f t="shared" si="55"/>
        <v>293.33333333333678</v>
      </c>
      <c r="S100" s="62">
        <f ca="1">AVERAGE(OFFSET($R$3,0,0,'Données projet'!$E$9+1,1))-AVERAGE(OFFSET($H$3,0,0,'Données projet'!$E$9+1,1))</f>
        <v>323.98185264074681</v>
      </c>
      <c r="T100" s="62">
        <f t="shared" si="88"/>
        <v>301.22207291854005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1.1838682956753446</v>
      </c>
      <c r="AA100" s="23">
        <f>EXP(-LN(2)/25)*AA99+(1-EXP(-LN(2)/25))/(LN(2)/25)*Calculateur!V100*Calculateur!X100*VLOOKUP('Données projet'!$B$9,Paramètres!$A$1:$I$89,3,0)*0.475*44/12</f>
        <v>1.2869195109884555</v>
      </c>
      <c r="AB100" s="23">
        <f>EXP(-LN(2)/2)*AB99+(1-EXP(-LN(2)/2))/(LN(2)/2)*V100*Y100*VLOOKUP('Données projet'!$B$9,Paramètres!$A$1:$I$89,3,0)*0.475*44/12</f>
        <v>5.0113649797440188E-10</v>
      </c>
      <c r="AC100" s="24">
        <f t="shared" si="57"/>
        <v>2.4707878071649367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-2.8421709430404007E-13</v>
      </c>
      <c r="AJ100" s="14">
        <f>AI100*VLOOKUP('Données projet'!$B$10,Paramètres!$A$1:$I$89,3,0)*VLOOKUP('Données projet'!$B$10,Paramètres!$A$1:$I$89,5,0)</f>
        <v>-1.69961822393816E-13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289.12367833861299</v>
      </c>
      <c r="AO100" s="62">
        <f t="shared" si="90"/>
        <v>229.06617320689003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3.4135943326796886E-10</v>
      </c>
      <c r="AX100" s="23">
        <f t="shared" si="60"/>
        <v>3.4135943326796886E-10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>
        <f>BD100*VLOOKUP('Données projet'!$B$11,Paramètres!$A$1:$I$89,3,0)*VLOOKUP('Données projet'!$B$11,Paramètres!$A$1:$I$89,5,0)</f>
        <v>0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240.22884864766218</v>
      </c>
      <c r="BJ100" s="62">
        <f t="shared" si="92"/>
        <v>343.23776884143166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1.6065193545674457</v>
      </c>
      <c r="BR100" s="23">
        <f>EXP(-LN(2)/2)*BR99+(1-EXP(-LN(2)/2))/(LN(2)/2)*BL100*BO100*VLOOKUP('Données projet'!$B$11,Paramètres!$A$1:$I$89,3,0)*0.475*44/12</f>
        <v>1.3597972638740979E-9</v>
      </c>
      <c r="BS100" s="24">
        <f t="shared" si="63"/>
        <v>1.6065193559272428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4.9000000000000004</v>
      </c>
      <c r="BY100" s="13">
        <f>IF('Données projet'!$A$114&gt;35,BY99+BX100-CG99,IF(A100&lt;'Données projet'!$A$114,$BV$205^A100,IF(A100='Données projet'!$A$114,'Données projet'!$B$114,BY99+BX100-CG99)))</f>
        <v>288.2999999999999</v>
      </c>
      <c r="BZ100" s="14">
        <f>BY100*VLOOKUP('Données projet'!$B$12,Paramètres!$A$1:$I$89,3,0)*VLOOKUP('Données projet'!$B$12,Paramètres!$A$1:$I$89,5,0)</f>
        <v>260.85383999999993</v>
      </c>
      <c r="CA100" s="14">
        <f t="shared" si="93"/>
        <v>62.904347395903763</v>
      </c>
      <c r="CB100" s="22">
        <f t="shared" si="64"/>
        <v>563.87884304786564</v>
      </c>
      <c r="CC100" s="62">
        <f t="shared" si="65"/>
        <v>857.21217638119901</v>
      </c>
      <c r="CD100" s="62">
        <f ca="1">AVERAGE(OFFSET($CC$3,0,0,'Données projet'!$E$12+1,1))-AVERAGE(OFFSET($H$3,0,0,'Données projet'!$E$12+1,1))</f>
        <v>428.8489304403459</v>
      </c>
      <c r="CE100" s="62">
        <f t="shared" si="94"/>
        <v>247.01165577562966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-1.7053025658242404E-13</v>
      </c>
      <c r="CU100" s="18">
        <f>CT100*VLOOKUP('Données projet'!$B$13,Paramètres!$A$1:$I$89,3,0)*VLOOKUP('Données projet'!$B$13,Paramètres!$A$1:$I$89,5,0)</f>
        <v>-1.3567387213697657E-13</v>
      </c>
      <c r="CV100" s="14" t="e">
        <f t="shared" si="95"/>
        <v>#NUM!</v>
      </c>
      <c r="CW100" s="22" t="e">
        <f t="shared" si="67"/>
        <v>#NUM!</v>
      </c>
      <c r="CX100" s="62" t="e">
        <f t="shared" si="68"/>
        <v>#NUM!</v>
      </c>
      <c r="CY100" s="62">
        <f ca="1">AVERAGE(OFFSET($CX$3,0,0,'Données projet'!$E$13+1,1))-AVERAGE(OFFSET($H$3,0,0,'Données projet'!$E$13+1,1))</f>
        <v>312.53381881960331</v>
      </c>
      <c r="CZ100" s="62">
        <f t="shared" si="96"/>
        <v>342.06887933351783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-1.7053025658242404E-13</v>
      </c>
      <c r="DP100" s="18">
        <f>DO100*VLOOKUP('Données projet'!$B$14,Paramètres!$A$1:$I$89,3,0)*VLOOKUP('Données projet'!$B$14,Paramètres!$A$1:$I$89,5,0)</f>
        <v>-1.250327841262333E-13</v>
      </c>
      <c r="DQ100" s="14" t="e">
        <f t="shared" si="97"/>
        <v>#NUM!</v>
      </c>
      <c r="DR100" s="22" t="e">
        <f t="shared" si="70"/>
        <v>#NUM!</v>
      </c>
      <c r="DS100" s="62" t="e">
        <f t="shared" si="71"/>
        <v>#NUM!</v>
      </c>
      <c r="DT100" s="62">
        <f ca="1">AVERAGE(OFFSET($DS$3,0,0,'Données projet'!$E$14+1,1))-AVERAGE(OFFSET($H$3,0,0,'Données projet'!$E$14+1,1))</f>
        <v>290.85271051443431</v>
      </c>
      <c r="DU100" s="62">
        <f t="shared" si="98"/>
        <v>318.66958823451142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0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6.1</v>
      </c>
      <c r="EJ100" s="13">
        <f>IF('Données projet'!$A$192&gt;35,EJ99+EI100-ER99,IF(A100&lt;'Données projet'!$A$192,$EG$205^A100,IF(A100='Données projet'!$A$192,'Données projet'!$B$192,EJ99+EI100-ER99)))</f>
        <v>317.70000000000005</v>
      </c>
      <c r="EK100" s="18">
        <f>EJ100*VLOOKUP('Données projet'!$B$15,Paramètres!$A$1:$I$89,3,0)*VLOOKUP('Données projet'!$B$15,Paramètres!$A$1:$I$89,5,0)</f>
        <v>272.58660000000009</v>
      </c>
      <c r="EL100" s="14">
        <f t="shared" si="99"/>
        <v>65.39790610908517</v>
      </c>
      <c r="EM100" s="22">
        <f t="shared" si="73"/>
        <v>588.6563481399902</v>
      </c>
      <c r="EN100" s="62">
        <f t="shared" si="74"/>
        <v>881.98968147332357</v>
      </c>
      <c r="EO100" s="62">
        <f ca="1">AVERAGE(OFFSET($EN$3,0,0,'Données projet'!$E$15+1,1))-AVERAGE(OFFSET($H$3,0,0,'Données projet'!$E$15+1,1))</f>
        <v>438.65317358403996</v>
      </c>
      <c r="EP100" s="62">
        <f t="shared" si="100"/>
        <v>176.81257896138806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projet'!$B$15,Paramètres!$A$1:$I$89,3,0)*0.475*44/12</f>
        <v>0</v>
      </c>
      <c r="EW100" s="23">
        <f>EXP(-LN(2)/25)*EW99+(1-EXP(-LN(2)/25))/(LN(2)/25)*Calculateur!ER100*Calculateur!ET100*VLOOKUP('Données projet'!$B$15,Paramètres!$A$1:$I$89,3,0)*0.475*44/12</f>
        <v>0</v>
      </c>
      <c r="EX100" s="23">
        <f>EXP(-LN(2)/2)*EX99+(1-EXP(-LN(2)/2))/(LN(2)/2)*ER100*EU100*VLOOKUP('Données projet'!$B$15,Paramètres!$A$1:$I$89,3,0)*0.475*44/12</f>
        <v>0</v>
      </c>
      <c r="EY100" s="24">
        <f t="shared" si="75"/>
        <v>0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2.2737367544323206E-13</v>
      </c>
      <c r="O101" s="14">
        <f>N101*VLOOKUP('Données projet'!$B$9,Paramètres!$A$1:$I$89,3,0)*VLOOKUP('Données projet'!$B$9,Paramètres!$A$1:$I$89,5,0)</f>
        <v>1.2710188457276673E-13</v>
      </c>
      <c r="P101" s="14">
        <f t="shared" si="87"/>
        <v>1.856866851063998E-12</v>
      </c>
      <c r="Q101" s="22">
        <f t="shared" si="107"/>
        <v>3.4554122145673649E-12</v>
      </c>
      <c r="R101" s="62">
        <f t="shared" si="55"/>
        <v>293.33333333333678</v>
      </c>
      <c r="S101" s="62">
        <f ca="1">AVERAGE(OFFSET($R$3,0,0,'Données projet'!$E$9+1,1))-AVERAGE(OFFSET($H$3,0,0,'Données projet'!$E$9+1,1))</f>
        <v>323.98185264074681</v>
      </c>
      <c r="T101" s="62">
        <f t="shared" si="88"/>
        <v>301.22207291854005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1.1606533604855112</v>
      </c>
      <c r="AA101" s="23">
        <f>EXP(-LN(2)/25)*AA100+(1-EXP(-LN(2)/25))/(LN(2)/25)*Calculateur!V101*Calculateur!X101*VLOOKUP('Données projet'!$B$9,Paramètres!$A$1:$I$89,3,0)*0.475*44/12</f>
        <v>1.2517286292843204</v>
      </c>
      <c r="AB101" s="23">
        <f>EXP(-LN(2)/2)*AB100+(1-EXP(-LN(2)/2))/(LN(2)/2)*V101*Y101*VLOOKUP('Données projet'!$B$9,Paramètres!$A$1:$I$89,3,0)*0.475*44/12</f>
        <v>3.5435701601777812E-10</v>
      </c>
      <c r="AC101" s="24">
        <f t="shared" si="57"/>
        <v>2.4123819901241883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-2.8421709430404007E-13</v>
      </c>
      <c r="AJ101" s="14">
        <f>AI101*VLOOKUP('Données projet'!$B$10,Paramètres!$A$1:$I$89,3,0)*VLOOKUP('Données projet'!$B$10,Paramètres!$A$1:$I$89,5,0)</f>
        <v>-1.69961822393816E-13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289.12367833861299</v>
      </c>
      <c r="AO101" s="62">
        <f t="shared" si="90"/>
        <v>229.06617320689003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2.4137757008577752E-10</v>
      </c>
      <c r="AX101" s="23">
        <f t="shared" si="60"/>
        <v>2.4137757008577752E-10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>
        <f>BD101*VLOOKUP('Données projet'!$B$11,Paramètres!$A$1:$I$89,3,0)*VLOOKUP('Données projet'!$B$11,Paramètres!$A$1:$I$89,5,0)</f>
        <v>0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240.22884864766218</v>
      </c>
      <c r="BJ101" s="62">
        <f t="shared" si="92"/>
        <v>343.23776884143166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1.5625889983336176</v>
      </c>
      <c r="BR101" s="23">
        <f>EXP(-LN(2)/2)*BR100+(1-EXP(-LN(2)/2))/(LN(2)/2)*BL101*BO101*VLOOKUP('Données projet'!$B$11,Paramètres!$A$1:$I$89,3,0)*0.475*44/12</f>
        <v>9.6152186632428777E-10</v>
      </c>
      <c r="BS101" s="24">
        <f t="shared" si="63"/>
        <v>1.5625889992951396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4.9000000000000004</v>
      </c>
      <c r="BY101" s="13">
        <f>IF('Données projet'!$A$114&gt;35,BY100+BX101-CG100,IF(A101&lt;'Données projet'!$A$114,$BV$205^A101,IF(A101='Données projet'!$A$114,'Données projet'!$B$114,BY100+BX101-CG100)))</f>
        <v>293.19999999999987</v>
      </c>
      <c r="BZ101" s="14">
        <f>BY101*VLOOKUP('Données projet'!$B$12,Paramètres!$A$1:$I$89,3,0)*VLOOKUP('Données projet'!$B$12,Paramètres!$A$1:$I$89,5,0)</f>
        <v>265.28735999999992</v>
      </c>
      <c r="CA101" s="14">
        <f t="shared" si="93"/>
        <v>63.84810550096995</v>
      </c>
      <c r="CB101" s="22">
        <f t="shared" si="64"/>
        <v>573.24426908085582</v>
      </c>
      <c r="CC101" s="62">
        <f t="shared" si="65"/>
        <v>866.57760241418919</v>
      </c>
      <c r="CD101" s="62">
        <f ca="1">AVERAGE(OFFSET($CC$3,0,0,'Données projet'!$E$12+1,1))-AVERAGE(OFFSET($H$3,0,0,'Données projet'!$E$12+1,1))</f>
        <v>428.8489304403459</v>
      </c>
      <c r="CE101" s="62">
        <f t="shared" si="94"/>
        <v>247.01165577562966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-1.7053025658242404E-13</v>
      </c>
      <c r="CU101" s="18">
        <f>CT101*VLOOKUP('Données projet'!$B$13,Paramètres!$A$1:$I$89,3,0)*VLOOKUP('Données projet'!$B$13,Paramètres!$A$1:$I$89,5,0)</f>
        <v>-1.3567387213697657E-13</v>
      </c>
      <c r="CV101" s="14" t="e">
        <f t="shared" si="95"/>
        <v>#NUM!</v>
      </c>
      <c r="CW101" s="22" t="e">
        <f t="shared" si="67"/>
        <v>#NUM!</v>
      </c>
      <c r="CX101" s="62" t="e">
        <f t="shared" si="68"/>
        <v>#NUM!</v>
      </c>
      <c r="CY101" s="62">
        <f ca="1">AVERAGE(OFFSET($CX$3,0,0,'Données projet'!$E$13+1,1))-AVERAGE(OFFSET($H$3,0,0,'Données projet'!$E$13+1,1))</f>
        <v>312.53381881960331</v>
      </c>
      <c r="CZ101" s="62">
        <f t="shared" si="96"/>
        <v>342.06887933351783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-1.7053025658242404E-13</v>
      </c>
      <c r="DP101" s="18">
        <f>DO101*VLOOKUP('Données projet'!$B$14,Paramètres!$A$1:$I$89,3,0)*VLOOKUP('Données projet'!$B$14,Paramètres!$A$1:$I$89,5,0)</f>
        <v>-1.250327841262333E-13</v>
      </c>
      <c r="DQ101" s="14" t="e">
        <f t="shared" si="97"/>
        <v>#NUM!</v>
      </c>
      <c r="DR101" s="22" t="e">
        <f t="shared" si="70"/>
        <v>#NUM!</v>
      </c>
      <c r="DS101" s="62" t="e">
        <f t="shared" si="71"/>
        <v>#NUM!</v>
      </c>
      <c r="DT101" s="62">
        <f ca="1">AVERAGE(OFFSET($DS$3,0,0,'Données projet'!$E$14+1,1))-AVERAGE(OFFSET($H$3,0,0,'Données projet'!$E$14+1,1))</f>
        <v>290.85271051443431</v>
      </c>
      <c r="DU101" s="62">
        <f t="shared" si="98"/>
        <v>318.66958823451142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0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6.1</v>
      </c>
      <c r="EJ101" s="13">
        <f>IF('Données projet'!$A$192&gt;35,EJ100+EI101-ER100,IF(A101&lt;'Données projet'!$A$192,$EG$205^A101,IF(A101='Données projet'!$A$192,'Données projet'!$B$192,EJ100+EI101-ER100)))</f>
        <v>323.80000000000007</v>
      </c>
      <c r="EK101" s="18">
        <f>EJ101*VLOOKUP('Données projet'!$B$15,Paramètres!$A$1:$I$89,3,0)*VLOOKUP('Données projet'!$B$15,Paramètres!$A$1:$I$89,5,0)</f>
        <v>277.82040000000012</v>
      </c>
      <c r="EL101" s="14">
        <f t="shared" si="99"/>
        <v>66.506187459801836</v>
      </c>
      <c r="EM101" s="22">
        <f t="shared" si="73"/>
        <v>599.70213982582175</v>
      </c>
      <c r="EN101" s="62">
        <f t="shared" si="74"/>
        <v>893.03547315915512</v>
      </c>
      <c r="EO101" s="62">
        <f ca="1">AVERAGE(OFFSET($EN$3,0,0,'Données projet'!$E$15+1,1))-AVERAGE(OFFSET($H$3,0,0,'Données projet'!$E$15+1,1))</f>
        <v>438.65317358403996</v>
      </c>
      <c r="EP101" s="62">
        <f t="shared" si="100"/>
        <v>176.81257896138806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0</v>
      </c>
      <c r="EW101" s="23">
        <f>EXP(-LN(2)/25)*EW100+(1-EXP(-LN(2)/25))/(LN(2)/25)*Calculateur!ER101*Calculateur!ET101*VLOOKUP('Données projet'!$B$15,Paramètres!$A$1:$I$89,3,0)*0.475*44/12</f>
        <v>0</v>
      </c>
      <c r="EX101" s="23">
        <f>EXP(-LN(2)/2)*EX100+(1-EXP(-LN(2)/2))/(LN(2)/2)*ER101*EU101*VLOOKUP('Données projet'!$B$15,Paramètres!$A$1:$I$89,3,0)*0.475*44/12</f>
        <v>0</v>
      </c>
      <c r="EY101" s="24">
        <f t="shared" si="75"/>
        <v>0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2.2737367544323206E-13</v>
      </c>
      <c r="O102" s="14">
        <f>N102*VLOOKUP('Données projet'!$B$9,Paramètres!$A$1:$I$89,3,0)*VLOOKUP('Données projet'!$B$9,Paramètres!$A$1:$I$89,5,0)</f>
        <v>1.2710188457276673E-13</v>
      </c>
      <c r="P102" s="14">
        <f t="shared" si="87"/>
        <v>1.856866851063998E-12</v>
      </c>
      <c r="Q102" s="22">
        <f t="shared" si="107"/>
        <v>3.4554122145673649E-12</v>
      </c>
      <c r="R102" s="62">
        <f t="shared" si="55"/>
        <v>293.33333333333678</v>
      </c>
      <c r="S102" s="62">
        <f ca="1">AVERAGE(OFFSET($R$3,0,0,'Données projet'!$E$9+1,1))-AVERAGE(OFFSET($H$3,0,0,'Données projet'!$E$9+1,1))</f>
        <v>323.98185264074681</v>
      </c>
      <c r="T102" s="62">
        <f t="shared" si="88"/>
        <v>301.22207291854005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1.1378936560150381</v>
      </c>
      <c r="AA102" s="23">
        <f>EXP(-LN(2)/25)*AA101+(1-EXP(-LN(2)/25))/(LN(2)/25)*Calculateur!V102*Calculateur!X102*VLOOKUP('Données projet'!$B$9,Paramètres!$A$1:$I$89,3,0)*0.475*44/12</f>
        <v>1.2175000440909929</v>
      </c>
      <c r="AB102" s="23">
        <f>EXP(-LN(2)/2)*AB101+(1-EXP(-LN(2)/2))/(LN(2)/2)*V102*Y102*VLOOKUP('Données projet'!$B$9,Paramètres!$A$1:$I$89,3,0)*0.475*44/12</f>
        <v>2.5056824898720094E-10</v>
      </c>
      <c r="AC102" s="24">
        <f t="shared" si="57"/>
        <v>2.3553937003565997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-2.8421709430404007E-13</v>
      </c>
      <c r="AJ102" s="14">
        <f>AI102*VLOOKUP('Données projet'!$B$10,Paramètres!$A$1:$I$89,3,0)*VLOOKUP('Données projet'!$B$10,Paramètres!$A$1:$I$89,5,0)</f>
        <v>-1.69961822393816E-13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289.12367833861299</v>
      </c>
      <c r="AO102" s="62">
        <f t="shared" si="90"/>
        <v>229.06617320689003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1.7067971663398443E-10</v>
      </c>
      <c r="AX102" s="23">
        <f t="shared" si="60"/>
        <v>1.7067971663398443E-10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>
        <f>BD102*VLOOKUP('Données projet'!$B$11,Paramètres!$A$1:$I$89,3,0)*VLOOKUP('Données projet'!$B$11,Paramètres!$A$1:$I$89,5,0)</f>
        <v>0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240.22884864766218</v>
      </c>
      <c r="BJ102" s="62">
        <f t="shared" si="92"/>
        <v>343.23776884143166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1.5198599200012008</v>
      </c>
      <c r="BR102" s="23">
        <f>EXP(-LN(2)/2)*BR101+(1-EXP(-LN(2)/2))/(LN(2)/2)*BL102*BO102*VLOOKUP('Données projet'!$B$11,Paramètres!$A$1:$I$89,3,0)*0.475*44/12</f>
        <v>6.7989863193704896E-10</v>
      </c>
      <c r="BS102" s="24">
        <f t="shared" si="63"/>
        <v>1.5198599206810994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4.9000000000000004</v>
      </c>
      <c r="BY102" s="13">
        <f>IF('Données projet'!$A$114&gt;35,BY101+BX102-CG101,IF(A102&lt;'Données projet'!$A$114,$BV$205^A102,IF(A102='Données projet'!$A$114,'Données projet'!$B$114,BY101+BX102-CG101)))</f>
        <v>298.09999999999985</v>
      </c>
      <c r="BZ102" s="14">
        <f>BY102*VLOOKUP('Données projet'!$B$12,Paramètres!$A$1:$I$89,3,0)*VLOOKUP('Données projet'!$B$12,Paramètres!$A$1:$I$89,5,0)</f>
        <v>269.72087999999985</v>
      </c>
      <c r="CA102" s="14">
        <f t="shared" si="93"/>
        <v>64.790029413946939</v>
      </c>
      <c r="CB102" s="22">
        <f t="shared" si="64"/>
        <v>582.60650056262409</v>
      </c>
      <c r="CC102" s="62">
        <f t="shared" si="65"/>
        <v>875.93983389595746</v>
      </c>
      <c r="CD102" s="62">
        <f ca="1">AVERAGE(OFFSET($CC$3,0,0,'Données projet'!$E$12+1,1))-AVERAGE(OFFSET($H$3,0,0,'Données projet'!$E$12+1,1))</f>
        <v>428.8489304403459</v>
      </c>
      <c r="CE102" s="62">
        <f t="shared" si="94"/>
        <v>247.01165577562966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-1.7053025658242404E-13</v>
      </c>
      <c r="CU102" s="18">
        <f>CT102*VLOOKUP('Données projet'!$B$13,Paramètres!$A$1:$I$89,3,0)*VLOOKUP('Données projet'!$B$13,Paramètres!$A$1:$I$89,5,0)</f>
        <v>-1.3567387213697657E-13</v>
      </c>
      <c r="CV102" s="14" t="e">
        <f t="shared" si="95"/>
        <v>#NUM!</v>
      </c>
      <c r="CW102" s="22" t="e">
        <f t="shared" si="67"/>
        <v>#NUM!</v>
      </c>
      <c r="CX102" s="62" t="e">
        <f t="shared" si="68"/>
        <v>#NUM!</v>
      </c>
      <c r="CY102" s="62">
        <f ca="1">AVERAGE(OFFSET($CX$3,0,0,'Données projet'!$E$13+1,1))-AVERAGE(OFFSET($H$3,0,0,'Données projet'!$E$13+1,1))</f>
        <v>312.53381881960331</v>
      </c>
      <c r="CZ102" s="62">
        <f t="shared" si="96"/>
        <v>342.06887933351783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-1.7053025658242404E-13</v>
      </c>
      <c r="DP102" s="18">
        <f>DO102*VLOOKUP('Données projet'!$B$14,Paramètres!$A$1:$I$89,3,0)*VLOOKUP('Données projet'!$B$14,Paramètres!$A$1:$I$89,5,0)</f>
        <v>-1.250327841262333E-13</v>
      </c>
      <c r="DQ102" s="14" t="e">
        <f t="shared" si="97"/>
        <v>#NUM!</v>
      </c>
      <c r="DR102" s="22" t="e">
        <f t="shared" si="70"/>
        <v>#NUM!</v>
      </c>
      <c r="DS102" s="62" t="e">
        <f t="shared" si="71"/>
        <v>#NUM!</v>
      </c>
      <c r="DT102" s="62">
        <f ca="1">AVERAGE(OFFSET($DS$3,0,0,'Données projet'!$E$14+1,1))-AVERAGE(OFFSET($H$3,0,0,'Données projet'!$E$14+1,1))</f>
        <v>290.85271051443431</v>
      </c>
      <c r="DU102" s="62">
        <f t="shared" si="98"/>
        <v>318.66958823451142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0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6.1</v>
      </c>
      <c r="EJ102" s="13">
        <f>IF('Données projet'!$A$192&gt;35,EJ101+EI102-ER101,IF(A102&lt;'Données projet'!$A$192,$EG$205^A102,IF(A102='Données projet'!$A$192,'Données projet'!$B$192,EJ101+EI102-ER101)))</f>
        <v>329.90000000000009</v>
      </c>
      <c r="EK102" s="18">
        <f>EJ102*VLOOKUP('Données projet'!$B$15,Paramètres!$A$1:$I$89,3,0)*VLOOKUP('Données projet'!$B$15,Paramètres!$A$1:$I$89,5,0)</f>
        <v>283.05420000000015</v>
      </c>
      <c r="EL102" s="14">
        <f t="shared" si="99"/>
        <v>67.61204104313687</v>
      </c>
      <c r="EM102" s="22">
        <f t="shared" si="73"/>
        <v>610.74370315013027</v>
      </c>
      <c r="EN102" s="62">
        <f t="shared" si="74"/>
        <v>904.07703648346364</v>
      </c>
      <c r="EO102" s="62">
        <f ca="1">AVERAGE(OFFSET($EN$3,0,0,'Données projet'!$E$15+1,1))-AVERAGE(OFFSET($H$3,0,0,'Données projet'!$E$15+1,1))</f>
        <v>438.65317358403996</v>
      </c>
      <c r="EP102" s="62">
        <f t="shared" si="100"/>
        <v>176.81257896138806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0</v>
      </c>
      <c r="EW102" s="23">
        <f>EXP(-LN(2)/25)*EW101+(1-EXP(-LN(2)/25))/(LN(2)/25)*Calculateur!ER102*Calculateur!ET102*VLOOKUP('Données projet'!$B$15,Paramètres!$A$1:$I$89,3,0)*0.475*44/12</f>
        <v>0</v>
      </c>
      <c r="EX102" s="23">
        <f>EXP(-LN(2)/2)*EX101+(1-EXP(-LN(2)/2))/(LN(2)/2)*ER102*EU102*VLOOKUP('Données projet'!$B$15,Paramètres!$A$1:$I$89,3,0)*0.475*44/12</f>
        <v>0</v>
      </c>
      <c r="EY102" s="24">
        <f t="shared" si="75"/>
        <v>0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2.2737367544323206E-13</v>
      </c>
      <c r="O103" s="14">
        <f>N103*VLOOKUP('Données projet'!$B$9,Paramètres!$A$1:$I$89,3,0)*VLOOKUP('Données projet'!$B$9,Paramètres!$A$1:$I$89,5,0)</f>
        <v>1.2710188457276673E-13</v>
      </c>
      <c r="P103" s="14">
        <f t="shared" si="87"/>
        <v>1.856866851063998E-12</v>
      </c>
      <c r="Q103" s="22">
        <f t="shared" si="107"/>
        <v>3.4554122145673649E-12</v>
      </c>
      <c r="R103" s="62">
        <f t="shared" si="55"/>
        <v>293.33333333333678</v>
      </c>
      <c r="S103" s="62">
        <f ca="1">AVERAGE(OFFSET($R$3,0,0,'Données projet'!$E$9+1,1))-AVERAGE(OFFSET($H$3,0,0,'Données projet'!$E$9+1,1))</f>
        <v>323.98185264074681</v>
      </c>
      <c r="T103" s="62">
        <f t="shared" si="88"/>
        <v>301.22207291854005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1.1155802554671819</v>
      </c>
      <c r="AA103" s="23">
        <f>EXP(-LN(2)/25)*AA102+(1-EXP(-LN(2)/25))/(LN(2)/25)*Calculateur!V103*Calculateur!X103*VLOOKUP('Données projet'!$B$9,Paramètres!$A$1:$I$89,3,0)*0.475*44/12</f>
        <v>1.1842074413597801</v>
      </c>
      <c r="AB103" s="23">
        <f>EXP(-LN(2)/2)*AB102+(1-EXP(-LN(2)/2))/(LN(2)/2)*V103*Y103*VLOOKUP('Données projet'!$B$9,Paramètres!$A$1:$I$89,3,0)*0.475*44/12</f>
        <v>1.7717850800888906E-10</v>
      </c>
      <c r="AC103" s="24">
        <f t="shared" si="57"/>
        <v>2.2997876970041404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-2.8421709430404007E-13</v>
      </c>
      <c r="AJ103" s="14">
        <f>AI103*VLOOKUP('Données projet'!$B$10,Paramètres!$A$1:$I$89,3,0)*VLOOKUP('Données projet'!$B$10,Paramètres!$A$1:$I$89,5,0)</f>
        <v>-1.69961822393816E-13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289.12367833861299</v>
      </c>
      <c r="AO103" s="62">
        <f t="shared" si="90"/>
        <v>229.06617320689003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1.2068878504288876E-10</v>
      </c>
      <c r="AX103" s="23">
        <f t="shared" si="60"/>
        <v>1.2068878504288876E-10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>
        <f>BD103*VLOOKUP('Données projet'!$B$11,Paramètres!$A$1:$I$89,3,0)*VLOOKUP('Données projet'!$B$11,Paramètres!$A$1:$I$89,5,0)</f>
        <v>0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240.22884864766218</v>
      </c>
      <c r="BJ103" s="62">
        <f t="shared" si="92"/>
        <v>343.23776884143166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1.4782992705628084</v>
      </c>
      <c r="BR103" s="23">
        <f>EXP(-LN(2)/2)*BR102+(1-EXP(-LN(2)/2))/(LN(2)/2)*BL103*BO103*VLOOKUP('Données projet'!$B$11,Paramètres!$A$1:$I$89,3,0)*0.475*44/12</f>
        <v>4.8076093316214388E-10</v>
      </c>
      <c r="BS103" s="24">
        <f t="shared" si="63"/>
        <v>1.4782992710435694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>
        <f>VLOOKUP(A103,'Données projet'!$A$113:$I$133,2,0)</f>
        <v>303</v>
      </c>
      <c r="BW103" s="13">
        <f>VLOOKUP(A103,'Données projet'!$A$113:$I$133,9,0)</f>
        <v>4.9000000000000004</v>
      </c>
      <c r="BX103" s="13">
        <f t="array" ref="BX103">INDEX(BW:BW,MIN(IF(ISNUMBER(BW103:BW299),ROW(BW103:BW299),"")))</f>
        <v>4.9000000000000004</v>
      </c>
      <c r="BY103" s="13">
        <f>IF('Données projet'!$A$114&gt;35,BY102+BX103-CG102,IF(A103&lt;'Données projet'!$A$114,$BV$205^A103,IF(A103='Données projet'!$A$114,'Données projet'!$B$114,BY102+BX103-CG102)))</f>
        <v>302.99999999999983</v>
      </c>
      <c r="BZ103" s="14">
        <f>BY103*VLOOKUP('Données projet'!$B$12,Paramètres!$A$1:$I$89,3,0)*VLOOKUP('Données projet'!$B$12,Paramètres!$A$1:$I$89,5,0)</f>
        <v>274.15439999999984</v>
      </c>
      <c r="CA103" s="14">
        <f t="shared" si="93"/>
        <v>65.730152764515779</v>
      </c>
      <c r="CB103" s="22">
        <f t="shared" si="64"/>
        <v>591.9655960648646</v>
      </c>
      <c r="CC103" s="62">
        <f t="shared" si="65"/>
        <v>885.29892939819797</v>
      </c>
      <c r="CD103" s="62">
        <f ca="1">AVERAGE(OFFSET($CC$3,0,0,'Données projet'!$E$12+1,1))-AVERAGE(OFFSET($H$3,0,0,'Données projet'!$E$12+1,1))</f>
        <v>428.8489304403459</v>
      </c>
      <c r="CE103" s="62">
        <f t="shared" si="94"/>
        <v>247.01165577562966</v>
      </c>
      <c r="CF103" s="16">
        <f>IF(ISNA(VLOOKUP(A103,'Données projet'!$A$113:$I$133,3,0)),0,VLOOKUP(A103,'Données projet'!$A$113:$I$133,3,0))</f>
        <v>8</v>
      </c>
      <c r="CG103" s="16">
        <f>IF(ISNA(VLOOKUP(A103,'Données projet'!$A$113:$I$133,4,0)),0,VLOOKUP(A103,'Données projet'!$A$113:$I$133,4,0))</f>
        <v>42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-1.7053025658242404E-13</v>
      </c>
      <c r="CU103" s="18">
        <f>CT103*VLOOKUP('Données projet'!$B$13,Paramètres!$A$1:$I$89,3,0)*VLOOKUP('Données projet'!$B$13,Paramètres!$A$1:$I$89,5,0)</f>
        <v>-1.3567387213697657E-13</v>
      </c>
      <c r="CV103" s="14" t="e">
        <f t="shared" si="95"/>
        <v>#NUM!</v>
      </c>
      <c r="CW103" s="22" t="e">
        <f t="shared" si="67"/>
        <v>#NUM!</v>
      </c>
      <c r="CX103" s="62" t="e">
        <f t="shared" si="68"/>
        <v>#NUM!</v>
      </c>
      <c r="CY103" s="62">
        <f ca="1">AVERAGE(OFFSET($CX$3,0,0,'Données projet'!$E$13+1,1))-AVERAGE(OFFSET($H$3,0,0,'Données projet'!$E$13+1,1))</f>
        <v>312.53381881960331</v>
      </c>
      <c r="CZ103" s="62">
        <f t="shared" si="96"/>
        <v>342.06887933351783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-1.7053025658242404E-13</v>
      </c>
      <c r="DP103" s="18">
        <f>DO103*VLOOKUP('Données projet'!$B$14,Paramètres!$A$1:$I$89,3,0)*VLOOKUP('Données projet'!$B$14,Paramètres!$A$1:$I$89,5,0)</f>
        <v>-1.250327841262333E-13</v>
      </c>
      <c r="DQ103" s="14" t="e">
        <f t="shared" si="97"/>
        <v>#NUM!</v>
      </c>
      <c r="DR103" s="22" t="e">
        <f t="shared" si="70"/>
        <v>#NUM!</v>
      </c>
      <c r="DS103" s="62" t="e">
        <f t="shared" si="71"/>
        <v>#NUM!</v>
      </c>
      <c r="DT103" s="62">
        <f ca="1">AVERAGE(OFFSET($DS$3,0,0,'Données projet'!$E$14+1,1))-AVERAGE(OFFSET($H$3,0,0,'Données projet'!$E$14+1,1))</f>
        <v>290.85271051443431</v>
      </c>
      <c r="DU103" s="62">
        <f t="shared" si="98"/>
        <v>318.66958823451142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0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>
        <f>VLOOKUP(A103,'Données projet'!$A$191:$I$211,2,0)</f>
        <v>336</v>
      </c>
      <c r="EH103" s="13">
        <f>VLOOKUP(A103,'Données projet'!$A$191:$I$211,9,0)</f>
        <v>6.1</v>
      </c>
      <c r="EI103" s="13">
        <f t="array" ref="EI103">INDEX(EH:EH,MIN(IF(ISNUMBER(EH103:EH299),ROW(EH103:EH299),"")))</f>
        <v>6.1</v>
      </c>
      <c r="EJ103" s="13">
        <f>IF('Données projet'!$A$192&gt;35,EJ102+EI103-ER102,IF(A103&lt;'Données projet'!$A$192,$EG$205^A103,IF(A103='Données projet'!$A$192,'Données projet'!$B$192,EJ102+EI103-ER102)))</f>
        <v>336.00000000000011</v>
      </c>
      <c r="EK103" s="18">
        <f>EJ103*VLOOKUP('Données projet'!$B$15,Paramètres!$A$1:$I$89,3,0)*VLOOKUP('Données projet'!$B$15,Paramètres!$A$1:$I$89,5,0)</f>
        <v>288.28800000000012</v>
      </c>
      <c r="EL103" s="14">
        <f t="shared" si="99"/>
        <v>68.715516926722444</v>
      </c>
      <c r="EM103" s="22">
        <f t="shared" si="73"/>
        <v>621.78112531404179</v>
      </c>
      <c r="EN103" s="62">
        <f t="shared" si="74"/>
        <v>915.11445864737516</v>
      </c>
      <c r="EO103" s="62">
        <f ca="1">AVERAGE(OFFSET($EN$3,0,0,'Données projet'!$E$15+1,1))-AVERAGE(OFFSET($H$3,0,0,'Données projet'!$E$15+1,1))</f>
        <v>438.65317358403996</v>
      </c>
      <c r="EP103" s="62">
        <f t="shared" si="100"/>
        <v>176.81257896138806</v>
      </c>
      <c r="EQ103" s="16">
        <f>IF(ISNA(VLOOKUP(A103,'Données projet'!$A$191:$I$211,3,0)),0,VLOOKUP(A103,'Données projet'!$A$191:$I$211,3,0))</f>
        <v>8</v>
      </c>
      <c r="ER103" s="16">
        <f>IF(ISNA(VLOOKUP(A103,'Données projet'!$A$191:$I$211,4,0)),0,VLOOKUP(A103,'Données projet'!$A$191:$I$211,4,0))</f>
        <v>39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0</v>
      </c>
      <c r="EW103" s="23">
        <f>EXP(-LN(2)/25)*EW102+(1-EXP(-LN(2)/25))/(LN(2)/25)*Calculateur!ER103*Calculateur!ET103*VLOOKUP('Données projet'!$B$15,Paramètres!$A$1:$I$89,3,0)*0.475*44/12</f>
        <v>0</v>
      </c>
      <c r="EX103" s="23">
        <f>EXP(-LN(2)/2)*EX102+(1-EXP(-LN(2)/2))/(LN(2)/2)*ER103*EU103*VLOOKUP('Données projet'!$B$15,Paramètres!$A$1:$I$89,3,0)*0.475*44/12</f>
        <v>0</v>
      </c>
      <c r="EY103" s="24">
        <f t="shared" si="75"/>
        <v>0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2.2737367544323206E-13</v>
      </c>
      <c r="O104" s="14">
        <f>N104*VLOOKUP('Données projet'!$B$9,Paramètres!$A$1:$I$89,3,0)*VLOOKUP('Données projet'!$B$9,Paramètres!$A$1:$I$89,5,0)</f>
        <v>1.2710188457276673E-13</v>
      </c>
      <c r="P104" s="14">
        <f t="shared" si="87"/>
        <v>1.856866851063998E-12</v>
      </c>
      <c r="Q104" s="22">
        <f t="shared" si="107"/>
        <v>3.4554122145673649E-12</v>
      </c>
      <c r="R104" s="62">
        <f t="shared" si="55"/>
        <v>293.33333333333678</v>
      </c>
      <c r="S104" s="62">
        <f ca="1">AVERAGE(OFFSET($R$3,0,0,'Données projet'!$E$9+1,1))-AVERAGE(OFFSET($H$3,0,0,'Données projet'!$E$9+1,1))</f>
        <v>323.98185264074681</v>
      </c>
      <c r="T104" s="62">
        <f t="shared" si="88"/>
        <v>301.22207291854005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1.0937044070942388</v>
      </c>
      <c r="AA104" s="23">
        <f>EXP(-LN(2)/25)*AA103+(1-EXP(-LN(2)/25))/(LN(2)/25)*Calculateur!V104*Calculateur!X104*VLOOKUP('Données projet'!$B$9,Paramètres!$A$1:$I$89,3,0)*0.475*44/12</f>
        <v>1.151825226601034</v>
      </c>
      <c r="AB104" s="23">
        <f>EXP(-LN(2)/2)*AB103+(1-EXP(-LN(2)/2))/(LN(2)/2)*V104*Y104*VLOOKUP('Données projet'!$B$9,Paramètres!$A$1:$I$89,3,0)*0.475*44/12</f>
        <v>1.2528412449360047E-10</v>
      </c>
      <c r="AC104" s="24">
        <f t="shared" si="57"/>
        <v>2.2455296338205568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-2.8421709430404007E-13</v>
      </c>
      <c r="AJ104" s="14">
        <f>AI104*VLOOKUP('Données projet'!$B$10,Paramètres!$A$1:$I$89,3,0)*VLOOKUP('Données projet'!$B$10,Paramètres!$A$1:$I$89,5,0)</f>
        <v>-1.69961822393816E-13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289.12367833861299</v>
      </c>
      <c r="AO104" s="62">
        <f t="shared" si="90"/>
        <v>229.06617320689003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8.5339858316992214E-11</v>
      </c>
      <c r="AX104" s="23">
        <f t="shared" si="60"/>
        <v>8.5339858316992214E-11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>
        <f>BD104*VLOOKUP('Données projet'!$B$11,Paramètres!$A$1:$I$89,3,0)*VLOOKUP('Données projet'!$B$11,Paramètres!$A$1:$I$89,5,0)</f>
        <v>0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240.22884864766218</v>
      </c>
      <c r="BJ104" s="62">
        <f t="shared" si="92"/>
        <v>343.23776884143166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1.4378750992688885</v>
      </c>
      <c r="BR104" s="23">
        <f>EXP(-LN(2)/2)*BR103+(1-EXP(-LN(2)/2))/(LN(2)/2)*BL104*BO104*VLOOKUP('Données projet'!$B$11,Paramètres!$A$1:$I$89,3,0)*0.475*44/12</f>
        <v>3.3994931596852448E-10</v>
      </c>
      <c r="BS104" s="24">
        <f t="shared" si="63"/>
        <v>1.4378750996088379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4.4000000000000004</v>
      </c>
      <c r="BY104" s="13">
        <f>IF('Données projet'!$A$114&gt;35,BY103+BX104-CG103,IF(A104&lt;'Données projet'!$A$114,$BV$205^A104,IF(A104='Données projet'!$A$114,'Données projet'!$B$114,BY103+BX104-CG103)))</f>
        <v>265.39999999999981</v>
      </c>
      <c r="BZ104" s="14">
        <f>BY104*VLOOKUP('Données projet'!$B$12,Paramètres!$A$1:$I$89,3,0)*VLOOKUP('Données projet'!$B$12,Paramètres!$A$1:$I$89,5,0)</f>
        <v>240.13391999999982</v>
      </c>
      <c r="CA104" s="14">
        <f t="shared" si="93"/>
        <v>58.468343087048559</v>
      </c>
      <c r="CB104" s="22">
        <f t="shared" si="64"/>
        <v>520.06560820994252</v>
      </c>
      <c r="CC104" s="62">
        <f t="shared" si="65"/>
        <v>813.3989415432759</v>
      </c>
      <c r="CD104" s="62">
        <f ca="1">AVERAGE(OFFSET($CC$3,0,0,'Données projet'!$E$12+1,1))-AVERAGE(OFFSET($H$3,0,0,'Données projet'!$E$12+1,1))</f>
        <v>428.8489304403459</v>
      </c>
      <c r="CE104" s="62">
        <f t="shared" si="94"/>
        <v>247.01165577562966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-1.7053025658242404E-13</v>
      </c>
      <c r="CU104" s="18">
        <f>CT104*VLOOKUP('Données projet'!$B$13,Paramètres!$A$1:$I$89,3,0)*VLOOKUP('Données projet'!$B$13,Paramètres!$A$1:$I$89,5,0)</f>
        <v>-1.3567387213697657E-13</v>
      </c>
      <c r="CV104" s="14" t="e">
        <f t="shared" si="95"/>
        <v>#NUM!</v>
      </c>
      <c r="CW104" s="22" t="e">
        <f t="shared" si="67"/>
        <v>#NUM!</v>
      </c>
      <c r="CX104" s="62" t="e">
        <f t="shared" si="68"/>
        <v>#NUM!</v>
      </c>
      <c r="CY104" s="62">
        <f ca="1">AVERAGE(OFFSET($CX$3,0,0,'Données projet'!$E$13+1,1))-AVERAGE(OFFSET($H$3,0,0,'Données projet'!$E$13+1,1))</f>
        <v>312.53381881960331</v>
      </c>
      <c r="CZ104" s="62">
        <f t="shared" si="96"/>
        <v>342.06887933351783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-1.7053025658242404E-13</v>
      </c>
      <c r="DP104" s="18">
        <f>DO104*VLOOKUP('Données projet'!$B$14,Paramètres!$A$1:$I$89,3,0)*VLOOKUP('Données projet'!$B$14,Paramètres!$A$1:$I$89,5,0)</f>
        <v>-1.250327841262333E-13</v>
      </c>
      <c r="DQ104" s="14" t="e">
        <f t="shared" si="97"/>
        <v>#NUM!</v>
      </c>
      <c r="DR104" s="22" t="e">
        <f t="shared" si="70"/>
        <v>#NUM!</v>
      </c>
      <c r="DS104" s="62" t="e">
        <f t="shared" si="71"/>
        <v>#NUM!</v>
      </c>
      <c r="DT104" s="62">
        <f ca="1">AVERAGE(OFFSET($DS$3,0,0,'Données projet'!$E$14+1,1))-AVERAGE(OFFSET($H$3,0,0,'Données projet'!$E$14+1,1))</f>
        <v>290.85271051443431</v>
      </c>
      <c r="DU104" s="62">
        <f t="shared" si="98"/>
        <v>318.66958823451142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0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5.4</v>
      </c>
      <c r="EJ104" s="13">
        <f>IF('Données projet'!$A$192&gt;35,EJ103+EI104-ER103,IF(A104&lt;'Données projet'!$A$192,$EG$205^A104,IF(A104='Données projet'!$A$192,'Données projet'!$B$192,EJ103+EI104-ER103)))</f>
        <v>302.40000000000009</v>
      </c>
      <c r="EK104" s="18">
        <f>EJ104*VLOOKUP('Données projet'!$B$15,Paramètres!$A$1:$I$89,3,0)*VLOOKUP('Données projet'!$B$15,Paramètres!$A$1:$I$89,5,0)</f>
        <v>259.45920000000007</v>
      </c>
      <c r="EL104" s="14">
        <f t="shared" si="99"/>
        <v>62.607087284635185</v>
      </c>
      <c r="EM104" s="22">
        <f t="shared" si="73"/>
        <v>560.93211702073961</v>
      </c>
      <c r="EN104" s="62">
        <f t="shared" si="74"/>
        <v>854.26545035407298</v>
      </c>
      <c r="EO104" s="62">
        <f ca="1">AVERAGE(OFFSET($EN$3,0,0,'Données projet'!$E$15+1,1))-AVERAGE(OFFSET($H$3,0,0,'Données projet'!$E$15+1,1))</f>
        <v>438.65317358403996</v>
      </c>
      <c r="EP104" s="62">
        <f t="shared" si="100"/>
        <v>176.81257896138806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0</v>
      </c>
      <c r="EW104" s="23">
        <f>EXP(-LN(2)/25)*EW103+(1-EXP(-LN(2)/25))/(LN(2)/25)*Calculateur!ER104*Calculateur!ET104*VLOOKUP('Données projet'!$B$15,Paramètres!$A$1:$I$89,3,0)*0.475*44/12</f>
        <v>0</v>
      </c>
      <c r="EX104" s="23">
        <f>EXP(-LN(2)/2)*EX103+(1-EXP(-LN(2)/2))/(LN(2)/2)*ER104*EU104*VLOOKUP('Données projet'!$B$15,Paramètres!$A$1:$I$89,3,0)*0.475*44/12</f>
        <v>0</v>
      </c>
      <c r="EY104" s="24">
        <f t="shared" si="75"/>
        <v>0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2.2737367544323206E-13</v>
      </c>
      <c r="O105" s="14">
        <f>N105*VLOOKUP('Données projet'!$B$9,Paramètres!$A$1:$I$89,3,0)*VLOOKUP('Données projet'!$B$9,Paramètres!$A$1:$I$89,5,0)</f>
        <v>1.2710188457276673E-13</v>
      </c>
      <c r="P105" s="14">
        <f t="shared" si="87"/>
        <v>1.856866851063998E-12</v>
      </c>
      <c r="Q105" s="22">
        <f t="shared" si="107"/>
        <v>3.4554122145673649E-12</v>
      </c>
      <c r="R105" s="62">
        <f t="shared" si="55"/>
        <v>293.33333333333678</v>
      </c>
      <c r="S105" s="62">
        <f ca="1">AVERAGE(OFFSET($R$3,0,0,'Données projet'!$E$9+1,1))-AVERAGE(OFFSET($H$3,0,0,'Données projet'!$E$9+1,1))</f>
        <v>323.98185264074681</v>
      </c>
      <c r="T105" s="62">
        <f t="shared" si="88"/>
        <v>301.22207291854005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1.0722575307649391</v>
      </c>
      <c r="AA105" s="23">
        <f>EXP(-LN(2)/25)*AA104+(1-EXP(-LN(2)/25))/(LN(2)/25)*Calculateur!V105*Calculateur!X105*VLOOKUP('Données projet'!$B$9,Paramètres!$A$1:$I$89,3,0)*0.475*44/12</f>
        <v>1.1203285052077727</v>
      </c>
      <c r="AB105" s="23">
        <f>EXP(-LN(2)/2)*AB104+(1-EXP(-LN(2)/2))/(LN(2)/2)*V105*Y105*VLOOKUP('Données projet'!$B$9,Paramètres!$A$1:$I$89,3,0)*0.475*44/12</f>
        <v>8.8589254004444529E-11</v>
      </c>
      <c r="AC105" s="24">
        <f t="shared" si="57"/>
        <v>2.192586036061301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-2.8421709430404007E-13</v>
      </c>
      <c r="AJ105" s="14">
        <f>AI105*VLOOKUP('Données projet'!$B$10,Paramètres!$A$1:$I$89,3,0)*VLOOKUP('Données projet'!$B$10,Paramètres!$A$1:$I$89,5,0)</f>
        <v>-1.69961822393816E-13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289.12367833861299</v>
      </c>
      <c r="AO105" s="62">
        <f t="shared" si="90"/>
        <v>229.06617320689003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6.034439252144438E-11</v>
      </c>
      <c r="AX105" s="23">
        <f t="shared" si="60"/>
        <v>6.034439252144438E-11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>
        <f>BD105*VLOOKUP('Données projet'!$B$11,Paramètres!$A$1:$I$89,3,0)*VLOOKUP('Données projet'!$B$11,Paramètres!$A$1:$I$89,5,0)</f>
        <v>0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240.22884864766218</v>
      </c>
      <c r="BJ105" s="62">
        <f t="shared" si="92"/>
        <v>343.23776884143166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1.3985563290648155</v>
      </c>
      <c r="BR105" s="23">
        <f>EXP(-LN(2)/2)*BR104+(1-EXP(-LN(2)/2))/(LN(2)/2)*BL105*BO105*VLOOKUP('Données projet'!$B$11,Paramètres!$A$1:$I$89,3,0)*0.475*44/12</f>
        <v>2.4038046658107194E-10</v>
      </c>
      <c r="BS105" s="24">
        <f t="shared" si="63"/>
        <v>1.3985563293051959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4.4000000000000004</v>
      </c>
      <c r="BY105" s="13">
        <f>IF('Données projet'!$A$114&gt;35,BY104+BX105-CG104,IF(A105&lt;'Données projet'!$A$114,$BV$205^A105,IF(A105='Données projet'!$A$114,'Données projet'!$B$114,BY104+BX105-CG104)))</f>
        <v>269.79999999999978</v>
      </c>
      <c r="BZ105" s="14">
        <f>BY105*VLOOKUP('Données projet'!$B$12,Paramètres!$A$1:$I$89,3,0)*VLOOKUP('Données projet'!$B$12,Paramètres!$A$1:$I$89,5,0)</f>
        <v>244.11503999999979</v>
      </c>
      <c r="CA105" s="14">
        <f t="shared" si="93"/>
        <v>59.324023461759012</v>
      </c>
      <c r="CB105" s="22">
        <f t="shared" si="64"/>
        <v>528.48970219589648</v>
      </c>
      <c r="CC105" s="62">
        <f t="shared" si="65"/>
        <v>821.82303552922986</v>
      </c>
      <c r="CD105" s="62">
        <f ca="1">AVERAGE(OFFSET($CC$3,0,0,'Données projet'!$E$12+1,1))-AVERAGE(OFFSET($H$3,0,0,'Données projet'!$E$12+1,1))</f>
        <v>428.8489304403459</v>
      </c>
      <c r="CE105" s="62">
        <f t="shared" si="94"/>
        <v>247.01165577562966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-1.7053025658242404E-13</v>
      </c>
      <c r="CU105" s="18">
        <f>CT105*VLOOKUP('Données projet'!$B$13,Paramètres!$A$1:$I$89,3,0)*VLOOKUP('Données projet'!$B$13,Paramètres!$A$1:$I$89,5,0)</f>
        <v>-1.3567387213697657E-13</v>
      </c>
      <c r="CV105" s="14" t="e">
        <f t="shared" si="95"/>
        <v>#NUM!</v>
      </c>
      <c r="CW105" s="22" t="e">
        <f t="shared" si="67"/>
        <v>#NUM!</v>
      </c>
      <c r="CX105" s="62" t="e">
        <f t="shared" si="68"/>
        <v>#NUM!</v>
      </c>
      <c r="CY105" s="62">
        <f ca="1">AVERAGE(OFFSET($CX$3,0,0,'Données projet'!$E$13+1,1))-AVERAGE(OFFSET($H$3,0,0,'Données projet'!$E$13+1,1))</f>
        <v>312.53381881960331</v>
      </c>
      <c r="CZ105" s="62">
        <f t="shared" si="96"/>
        <v>342.06887933351783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-1.7053025658242404E-13</v>
      </c>
      <c r="DP105" s="18">
        <f>DO105*VLOOKUP('Données projet'!$B$14,Paramètres!$A$1:$I$89,3,0)*VLOOKUP('Données projet'!$B$14,Paramètres!$A$1:$I$89,5,0)</f>
        <v>-1.250327841262333E-13</v>
      </c>
      <c r="DQ105" s="14" t="e">
        <f t="shared" si="97"/>
        <v>#NUM!</v>
      </c>
      <c r="DR105" s="22" t="e">
        <f t="shared" si="70"/>
        <v>#NUM!</v>
      </c>
      <c r="DS105" s="62" t="e">
        <f t="shared" si="71"/>
        <v>#NUM!</v>
      </c>
      <c r="DT105" s="62">
        <f ca="1">AVERAGE(OFFSET($DS$3,0,0,'Données projet'!$E$14+1,1))-AVERAGE(OFFSET($H$3,0,0,'Données projet'!$E$14+1,1))</f>
        <v>290.85271051443431</v>
      </c>
      <c r="DU105" s="62">
        <f t="shared" si="98"/>
        <v>318.66958823451142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0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5.4</v>
      </c>
      <c r="EJ105" s="13">
        <f>IF('Données projet'!$A$192&gt;35,EJ104+EI105-ER104,IF(A105&lt;'Données projet'!$A$192,$EG$205^A105,IF(A105='Données projet'!$A$192,'Données projet'!$B$192,EJ104+EI105-ER104)))</f>
        <v>307.80000000000007</v>
      </c>
      <c r="EK105" s="18">
        <f>EJ105*VLOOKUP('Données projet'!$B$15,Paramètres!$A$1:$I$89,3,0)*VLOOKUP('Données projet'!$B$15,Paramètres!$A$1:$I$89,5,0)</f>
        <v>264.09240000000011</v>
      </c>
      <c r="EL105" s="14">
        <f t="shared" si="99"/>
        <v>63.593917783124951</v>
      </c>
      <c r="EM105" s="22">
        <f t="shared" si="73"/>
        <v>570.72033680560946</v>
      </c>
      <c r="EN105" s="62">
        <f t="shared" si="74"/>
        <v>864.05367013894283</v>
      </c>
      <c r="EO105" s="62">
        <f ca="1">AVERAGE(OFFSET($EN$3,0,0,'Données projet'!$E$15+1,1))-AVERAGE(OFFSET($H$3,0,0,'Données projet'!$E$15+1,1))</f>
        <v>438.65317358403996</v>
      </c>
      <c r="EP105" s="62">
        <f t="shared" si="100"/>
        <v>176.81257896138806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0</v>
      </c>
      <c r="EW105" s="23">
        <f>EXP(-LN(2)/25)*EW104+(1-EXP(-LN(2)/25))/(LN(2)/25)*Calculateur!ER105*Calculateur!ET105*VLOOKUP('Données projet'!$B$15,Paramètres!$A$1:$I$89,3,0)*0.475*44/12</f>
        <v>0</v>
      </c>
      <c r="EX105" s="23">
        <f>EXP(-LN(2)/2)*EX104+(1-EXP(-LN(2)/2))/(LN(2)/2)*ER105*EU105*VLOOKUP('Données projet'!$B$15,Paramètres!$A$1:$I$89,3,0)*0.475*44/12</f>
        <v>0</v>
      </c>
      <c r="EY105" s="24">
        <f t="shared" si="75"/>
        <v>0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2.2737367544323206E-13</v>
      </c>
      <c r="O106" s="14">
        <f>N106*VLOOKUP('Données projet'!$B$9,Paramètres!$A$1:$I$89,3,0)*VLOOKUP('Données projet'!$B$9,Paramètres!$A$1:$I$89,5,0)</f>
        <v>1.2710188457276673E-13</v>
      </c>
      <c r="P106" s="14">
        <f t="shared" si="87"/>
        <v>1.856866851063998E-12</v>
      </c>
      <c r="Q106" s="22">
        <f t="shared" si="107"/>
        <v>3.4554122145673649E-12</v>
      </c>
      <c r="R106" s="62">
        <f t="shared" si="55"/>
        <v>293.33333333333678</v>
      </c>
      <c r="S106" s="62">
        <f ca="1">AVERAGE(OFFSET($R$3,0,0,'Données projet'!$E$9+1,1))-AVERAGE(OFFSET($H$3,0,0,'Données projet'!$E$9+1,1))</f>
        <v>323.98185264074681</v>
      </c>
      <c r="T106" s="62">
        <f t="shared" si="88"/>
        <v>301.22207291854005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1.051231214599154</v>
      </c>
      <c r="AA106" s="23">
        <f>EXP(-LN(2)/25)*AA105+(1-EXP(-LN(2)/25))/(LN(2)/25)*Calculateur!V106*Calculateur!X106*VLOOKUP('Données projet'!$B$9,Paramètres!$A$1:$I$89,3,0)*0.475*44/12</f>
        <v>1.0896930633173507</v>
      </c>
      <c r="AB106" s="23">
        <f>EXP(-LN(2)/2)*AB105+(1-EXP(-LN(2)/2))/(LN(2)/2)*V106*Y106*VLOOKUP('Données projet'!$B$9,Paramètres!$A$1:$I$89,3,0)*0.475*44/12</f>
        <v>6.2642062246800235E-11</v>
      </c>
      <c r="AC106" s="24">
        <f t="shared" si="57"/>
        <v>2.1409242779791469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-2.8421709430404007E-13</v>
      </c>
      <c r="AJ106" s="14">
        <f>AI106*VLOOKUP('Données projet'!$B$10,Paramètres!$A$1:$I$89,3,0)*VLOOKUP('Données projet'!$B$10,Paramètres!$A$1:$I$89,5,0)</f>
        <v>-1.69961822393816E-13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289.12367833861299</v>
      </c>
      <c r="AO106" s="62">
        <f t="shared" si="90"/>
        <v>229.06617320689003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4.2669929158496107E-11</v>
      </c>
      <c r="AX106" s="23">
        <f t="shared" si="60"/>
        <v>4.2669929158496107E-11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>
        <f>BD106*VLOOKUP('Données projet'!$B$11,Paramètres!$A$1:$I$89,3,0)*VLOOKUP('Données projet'!$B$11,Paramètres!$A$1:$I$89,5,0)</f>
        <v>0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240.22884864766218</v>
      </c>
      <c r="BJ106" s="62">
        <f t="shared" si="92"/>
        <v>343.23776884143166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1.3603127326996574</v>
      </c>
      <c r="BR106" s="23">
        <f>EXP(-LN(2)/2)*BR105+(1-EXP(-LN(2)/2))/(LN(2)/2)*BL106*BO106*VLOOKUP('Données projet'!$B$11,Paramètres!$A$1:$I$89,3,0)*0.475*44/12</f>
        <v>1.6997465798426224E-10</v>
      </c>
      <c r="BS106" s="24">
        <f t="shared" si="63"/>
        <v>1.3603127328696321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4.4000000000000004</v>
      </c>
      <c r="BY106" s="13">
        <f>IF('Données projet'!$A$114&gt;35,BY105+BX106-CG105,IF(A106&lt;'Données projet'!$A$114,$BV$205^A106,IF(A106='Données projet'!$A$114,'Données projet'!$B$114,BY105+BX106-CG105)))</f>
        <v>274.19999999999976</v>
      </c>
      <c r="BZ106" s="14">
        <f>BY106*VLOOKUP('Données projet'!$B$12,Paramètres!$A$1:$I$89,3,0)*VLOOKUP('Données projet'!$B$12,Paramètres!$A$1:$I$89,5,0)</f>
        <v>248.0961599999998</v>
      </c>
      <c r="CA106" s="14">
        <f t="shared" si="93"/>
        <v>60.178080967364686</v>
      </c>
      <c r="CB106" s="22">
        <f t="shared" si="64"/>
        <v>536.91096968482657</v>
      </c>
      <c r="CC106" s="62">
        <f t="shared" si="65"/>
        <v>830.24430301815983</v>
      </c>
      <c r="CD106" s="62">
        <f ca="1">AVERAGE(OFFSET($CC$3,0,0,'Données projet'!$E$12+1,1))-AVERAGE(OFFSET($H$3,0,0,'Données projet'!$E$12+1,1))</f>
        <v>428.8489304403459</v>
      </c>
      <c r="CE106" s="62">
        <f t="shared" si="94"/>
        <v>247.01165577562966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-1.7053025658242404E-13</v>
      </c>
      <c r="CU106" s="18">
        <f>CT106*VLOOKUP('Données projet'!$B$13,Paramètres!$A$1:$I$89,3,0)*VLOOKUP('Données projet'!$B$13,Paramètres!$A$1:$I$89,5,0)</f>
        <v>-1.3567387213697657E-13</v>
      </c>
      <c r="CV106" s="14" t="e">
        <f t="shared" si="95"/>
        <v>#NUM!</v>
      </c>
      <c r="CW106" s="22" t="e">
        <f t="shared" si="67"/>
        <v>#NUM!</v>
      </c>
      <c r="CX106" s="62" t="e">
        <f t="shared" si="68"/>
        <v>#NUM!</v>
      </c>
      <c r="CY106" s="62">
        <f ca="1">AVERAGE(OFFSET($CX$3,0,0,'Données projet'!$E$13+1,1))-AVERAGE(OFFSET($H$3,0,0,'Données projet'!$E$13+1,1))</f>
        <v>312.53381881960331</v>
      </c>
      <c r="CZ106" s="62">
        <f t="shared" si="96"/>
        <v>342.06887933351783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-1.7053025658242404E-13</v>
      </c>
      <c r="DP106" s="18">
        <f>DO106*VLOOKUP('Données projet'!$B$14,Paramètres!$A$1:$I$89,3,0)*VLOOKUP('Données projet'!$B$14,Paramètres!$A$1:$I$89,5,0)</f>
        <v>-1.250327841262333E-13</v>
      </c>
      <c r="DQ106" s="14" t="e">
        <f t="shared" si="97"/>
        <v>#NUM!</v>
      </c>
      <c r="DR106" s="22" t="e">
        <f t="shared" si="70"/>
        <v>#NUM!</v>
      </c>
      <c r="DS106" s="62" t="e">
        <f t="shared" si="71"/>
        <v>#NUM!</v>
      </c>
      <c r="DT106" s="62">
        <f ca="1">AVERAGE(OFFSET($DS$3,0,0,'Données projet'!$E$14+1,1))-AVERAGE(OFFSET($H$3,0,0,'Données projet'!$E$14+1,1))</f>
        <v>290.85271051443431</v>
      </c>
      <c r="DU106" s="62">
        <f t="shared" si="98"/>
        <v>318.66958823451142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0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5.4</v>
      </c>
      <c r="EJ106" s="13">
        <f>IF('Données projet'!$A$192&gt;35,EJ105+EI106-ER105,IF(A106&lt;'Données projet'!$A$192,$EG$205^A106,IF(A106='Données projet'!$A$192,'Données projet'!$B$192,EJ105+EI106-ER105)))</f>
        <v>313.20000000000005</v>
      </c>
      <c r="EK106" s="18">
        <f>EJ106*VLOOKUP('Données projet'!$B$15,Paramètres!$A$1:$I$89,3,0)*VLOOKUP('Données projet'!$B$15,Paramètres!$A$1:$I$89,5,0)</f>
        <v>268.7256000000001</v>
      </c>
      <c r="EL106" s="14">
        <f t="shared" si="99"/>
        <v>64.578735016913868</v>
      </c>
      <c r="EM106" s="22">
        <f t="shared" si="73"/>
        <v>580.50505015445844</v>
      </c>
      <c r="EN106" s="62">
        <f t="shared" si="74"/>
        <v>873.83838348779182</v>
      </c>
      <c r="EO106" s="62">
        <f ca="1">AVERAGE(OFFSET($EN$3,0,0,'Données projet'!$E$15+1,1))-AVERAGE(OFFSET($H$3,0,0,'Données projet'!$E$15+1,1))</f>
        <v>438.65317358403996</v>
      </c>
      <c r="EP106" s="62">
        <f t="shared" si="100"/>
        <v>176.81257896138806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0</v>
      </c>
      <c r="EW106" s="23">
        <f>EXP(-LN(2)/25)*EW105+(1-EXP(-LN(2)/25))/(LN(2)/25)*Calculateur!ER106*Calculateur!ET106*VLOOKUP('Données projet'!$B$15,Paramètres!$A$1:$I$89,3,0)*0.475*44/12</f>
        <v>0</v>
      </c>
      <c r="EX106" s="23">
        <f>EXP(-LN(2)/2)*EX105+(1-EXP(-LN(2)/2))/(LN(2)/2)*ER106*EU106*VLOOKUP('Données projet'!$B$15,Paramètres!$A$1:$I$89,3,0)*0.475*44/12</f>
        <v>0</v>
      </c>
      <c r="EY106" s="24">
        <f t="shared" si="75"/>
        <v>0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2.2737367544323206E-13</v>
      </c>
      <c r="O107" s="14">
        <f>N107*VLOOKUP('Données projet'!$B$9,Paramètres!$A$1:$I$89,3,0)*VLOOKUP('Données projet'!$B$9,Paramètres!$A$1:$I$89,5,0)</f>
        <v>1.2710188457276673E-13</v>
      </c>
      <c r="P107" s="14">
        <f t="shared" si="87"/>
        <v>1.856866851063998E-12</v>
      </c>
      <c r="Q107" s="22">
        <f t="shared" si="107"/>
        <v>3.4554122145673649E-12</v>
      </c>
      <c r="R107" s="62">
        <f t="shared" si="55"/>
        <v>293.33333333333678</v>
      </c>
      <c r="S107" s="62">
        <f ca="1">AVERAGE(OFFSET($R$3,0,0,'Données projet'!$E$9+1,1))-AVERAGE(OFFSET($H$3,0,0,'Données projet'!$E$9+1,1))</f>
        <v>323.98185264074681</v>
      </c>
      <c r="T107" s="62">
        <f t="shared" si="88"/>
        <v>301.22207291854005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1.0306172116685934</v>
      </c>
      <c r="AA107" s="23">
        <f>EXP(-LN(2)/25)*AA106+(1-EXP(-LN(2)/25))/(LN(2)/25)*Calculateur!V107*Calculateur!X107*VLOOKUP('Données projet'!$B$9,Paramètres!$A$1:$I$89,3,0)*0.475*44/12</f>
        <v>1.05989534919647</v>
      </c>
      <c r="AB107" s="23">
        <f>EXP(-LN(2)/2)*AB106+(1-EXP(-LN(2)/2))/(LN(2)/2)*V107*Y107*VLOOKUP('Données projet'!$B$9,Paramètres!$A$1:$I$89,3,0)*0.475*44/12</f>
        <v>4.4294627002222264E-11</v>
      </c>
      <c r="AC107" s="24">
        <f t="shared" si="57"/>
        <v>2.090512560909358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-2.8421709430404007E-13</v>
      </c>
      <c r="AJ107" s="14">
        <f>AI107*VLOOKUP('Données projet'!$B$10,Paramètres!$A$1:$I$89,3,0)*VLOOKUP('Données projet'!$B$10,Paramètres!$A$1:$I$89,5,0)</f>
        <v>-1.69961822393816E-13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289.12367833861299</v>
      </c>
      <c r="AO107" s="62">
        <f t="shared" si="90"/>
        <v>229.06617320689003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3.017219626072219E-11</v>
      </c>
      <c r="AX107" s="23">
        <f t="shared" si="60"/>
        <v>3.017219626072219E-11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>
        <f>BD107*VLOOKUP('Données projet'!$B$11,Paramètres!$A$1:$I$89,3,0)*VLOOKUP('Données projet'!$B$11,Paramètres!$A$1:$I$89,5,0)</f>
        <v>0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240.22884864766218</v>
      </c>
      <c r="BJ107" s="62">
        <f t="shared" si="92"/>
        <v>343.23776884143166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1.3231149094882477</v>
      </c>
      <c r="BR107" s="23">
        <f>EXP(-LN(2)/2)*BR106+(1-EXP(-LN(2)/2))/(LN(2)/2)*BL107*BO107*VLOOKUP('Données projet'!$B$11,Paramètres!$A$1:$I$89,3,0)*0.475*44/12</f>
        <v>1.2019023329053597E-10</v>
      </c>
      <c r="BS107" s="24">
        <f t="shared" si="63"/>
        <v>1.323114909608438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4.4000000000000004</v>
      </c>
      <c r="BY107" s="13">
        <f>IF('Données projet'!$A$114&gt;35,BY106+BX107-CG106,IF(A107&lt;'Données projet'!$A$114,$BV$205^A107,IF(A107='Données projet'!$A$114,'Données projet'!$B$114,BY106+BX107-CG106)))</f>
        <v>278.59999999999974</v>
      </c>
      <c r="BZ107" s="14">
        <f>BY107*VLOOKUP('Données projet'!$B$12,Paramètres!$A$1:$I$89,3,0)*VLOOKUP('Données projet'!$B$12,Paramètres!$A$1:$I$89,5,0)</f>
        <v>252.07727999999975</v>
      </c>
      <c r="CA107" s="14">
        <f t="shared" si="93"/>
        <v>61.03054465215493</v>
      </c>
      <c r="CB107" s="22">
        <f t="shared" si="64"/>
        <v>545.32946126916943</v>
      </c>
      <c r="CC107" s="62">
        <f t="shared" si="65"/>
        <v>838.6627946025028</v>
      </c>
      <c r="CD107" s="62">
        <f ca="1">AVERAGE(OFFSET($CC$3,0,0,'Données projet'!$E$12+1,1))-AVERAGE(OFFSET($H$3,0,0,'Données projet'!$E$12+1,1))</f>
        <v>428.8489304403459</v>
      </c>
      <c r="CE107" s="62">
        <f t="shared" si="94"/>
        <v>247.01165577562966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-1.7053025658242404E-13</v>
      </c>
      <c r="CU107" s="18">
        <f>CT107*VLOOKUP('Données projet'!$B$13,Paramètres!$A$1:$I$89,3,0)*VLOOKUP('Données projet'!$B$13,Paramètres!$A$1:$I$89,5,0)</f>
        <v>-1.3567387213697657E-13</v>
      </c>
      <c r="CV107" s="14" t="e">
        <f t="shared" si="95"/>
        <v>#NUM!</v>
      </c>
      <c r="CW107" s="22" t="e">
        <f t="shared" si="67"/>
        <v>#NUM!</v>
      </c>
      <c r="CX107" s="62" t="e">
        <f t="shared" si="68"/>
        <v>#NUM!</v>
      </c>
      <c r="CY107" s="62">
        <f ca="1">AVERAGE(OFFSET($CX$3,0,0,'Données projet'!$E$13+1,1))-AVERAGE(OFFSET($H$3,0,0,'Données projet'!$E$13+1,1))</f>
        <v>312.53381881960331</v>
      </c>
      <c r="CZ107" s="62">
        <f t="shared" si="96"/>
        <v>342.06887933351783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-1.7053025658242404E-13</v>
      </c>
      <c r="DP107" s="18">
        <f>DO107*VLOOKUP('Données projet'!$B$14,Paramètres!$A$1:$I$89,3,0)*VLOOKUP('Données projet'!$B$14,Paramètres!$A$1:$I$89,5,0)</f>
        <v>-1.250327841262333E-13</v>
      </c>
      <c r="DQ107" s="14" t="e">
        <f t="shared" si="97"/>
        <v>#NUM!</v>
      </c>
      <c r="DR107" s="22" t="e">
        <f t="shared" si="70"/>
        <v>#NUM!</v>
      </c>
      <c r="DS107" s="62" t="e">
        <f t="shared" si="71"/>
        <v>#NUM!</v>
      </c>
      <c r="DT107" s="62">
        <f ca="1">AVERAGE(OFFSET($DS$3,0,0,'Données projet'!$E$14+1,1))-AVERAGE(OFFSET($H$3,0,0,'Données projet'!$E$14+1,1))</f>
        <v>290.85271051443431</v>
      </c>
      <c r="DU107" s="62">
        <f t="shared" si="98"/>
        <v>318.66958823451142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0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5.4</v>
      </c>
      <c r="EJ107" s="13">
        <f>IF('Données projet'!$A$192&gt;35,EJ106+EI107-ER106,IF(A107&lt;'Données projet'!$A$192,$EG$205^A107,IF(A107='Données projet'!$A$192,'Données projet'!$B$192,EJ106+EI107-ER106)))</f>
        <v>318.60000000000002</v>
      </c>
      <c r="EK107" s="18">
        <f>EJ107*VLOOKUP('Données projet'!$B$15,Paramètres!$A$1:$I$89,3,0)*VLOOKUP('Données projet'!$B$15,Paramètres!$A$1:$I$89,5,0)</f>
        <v>273.35880000000003</v>
      </c>
      <c r="EL107" s="14">
        <f t="shared" si="99"/>
        <v>65.56157770288327</v>
      </c>
      <c r="EM107" s="22">
        <f t="shared" si="73"/>
        <v>590.28632449918848</v>
      </c>
      <c r="EN107" s="62">
        <f t="shared" si="74"/>
        <v>883.61965783252185</v>
      </c>
      <c r="EO107" s="62">
        <f ca="1">AVERAGE(OFFSET($EN$3,0,0,'Données projet'!$E$15+1,1))-AVERAGE(OFFSET($H$3,0,0,'Données projet'!$E$15+1,1))</f>
        <v>438.65317358403996</v>
      </c>
      <c r="EP107" s="62">
        <f t="shared" si="100"/>
        <v>176.81257896138806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0</v>
      </c>
      <c r="EW107" s="23">
        <f>EXP(-LN(2)/25)*EW106+(1-EXP(-LN(2)/25))/(LN(2)/25)*Calculateur!ER107*Calculateur!ET107*VLOOKUP('Données projet'!$B$15,Paramètres!$A$1:$I$89,3,0)*0.475*44/12</f>
        <v>0</v>
      </c>
      <c r="EX107" s="23">
        <f>EXP(-LN(2)/2)*EX106+(1-EXP(-LN(2)/2))/(LN(2)/2)*ER107*EU107*VLOOKUP('Données projet'!$B$15,Paramètres!$A$1:$I$89,3,0)*0.475*44/12</f>
        <v>0</v>
      </c>
      <c r="EY107" s="24">
        <f t="shared" si="75"/>
        <v>0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2.2737367544323206E-13</v>
      </c>
      <c r="O108" s="14">
        <f>N108*VLOOKUP('Données projet'!$B$9,Paramètres!$A$1:$I$89,3,0)*VLOOKUP('Données projet'!$B$9,Paramètres!$A$1:$I$89,5,0)</f>
        <v>1.2710188457276673E-13</v>
      </c>
      <c r="P108" s="14">
        <f t="shared" si="87"/>
        <v>1.856866851063998E-12</v>
      </c>
      <c r="Q108" s="22">
        <f t="shared" si="107"/>
        <v>3.4554122145673649E-12</v>
      </c>
      <c r="R108" s="62">
        <f t="shared" si="55"/>
        <v>293.33333333333678</v>
      </c>
      <c r="S108" s="62">
        <f ca="1">AVERAGE(OFFSET($R$3,0,0,'Données projet'!$E$9+1,1))-AVERAGE(OFFSET($H$3,0,0,'Données projet'!$E$9+1,1))</f>
        <v>323.98185264074681</v>
      </c>
      <c r="T108" s="62">
        <f t="shared" si="88"/>
        <v>301.22207291854005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1.0104074367622009</v>
      </c>
      <c r="AA108" s="23">
        <f>EXP(-LN(2)/25)*AA107+(1-EXP(-LN(2)/25))/(LN(2)/25)*Calculateur!V108*Calculateur!X108*VLOOKUP('Données projet'!$B$9,Paramètres!$A$1:$I$89,3,0)*0.475*44/12</f>
        <v>1.0309124551352185</v>
      </c>
      <c r="AB108" s="23">
        <f>EXP(-LN(2)/2)*AB107+(1-EXP(-LN(2)/2))/(LN(2)/2)*V108*Y108*VLOOKUP('Données projet'!$B$9,Paramètres!$A$1:$I$89,3,0)*0.475*44/12</f>
        <v>3.1321031123400118E-11</v>
      </c>
      <c r="AC108" s="24">
        <f t="shared" si="57"/>
        <v>2.0413198919287407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-2.8421709430404007E-13</v>
      </c>
      <c r="AJ108" s="14">
        <f>AI108*VLOOKUP('Données projet'!$B$10,Paramètres!$A$1:$I$89,3,0)*VLOOKUP('Données projet'!$B$10,Paramètres!$A$1:$I$89,5,0)</f>
        <v>-1.69961822393816E-13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289.12367833861299</v>
      </c>
      <c r="AO108" s="62">
        <f t="shared" si="90"/>
        <v>229.06617320689003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2.1334964579248054E-11</v>
      </c>
      <c r="AX108" s="23">
        <f t="shared" si="60"/>
        <v>2.1334964579248054E-11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>
        <f>BD108*VLOOKUP('Données projet'!$B$11,Paramètres!$A$1:$I$89,3,0)*VLOOKUP('Données projet'!$B$11,Paramètres!$A$1:$I$89,5,0)</f>
        <v>0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240.22884864766218</v>
      </c>
      <c r="BJ108" s="62">
        <f t="shared" si="92"/>
        <v>343.23776884143166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1.2869342627087026</v>
      </c>
      <c r="BR108" s="23">
        <f>EXP(-LN(2)/2)*BR107+(1-EXP(-LN(2)/2))/(LN(2)/2)*BL108*BO108*VLOOKUP('Données projet'!$B$11,Paramètres!$A$1:$I$89,3,0)*0.475*44/12</f>
        <v>8.4987328992131119E-11</v>
      </c>
      <c r="BS108" s="24">
        <f t="shared" si="63"/>
        <v>1.2869342627936899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4.4000000000000004</v>
      </c>
      <c r="BY108" s="13">
        <f>IF('Données projet'!$A$114&gt;35,BY107+BX108-CG107,IF(A108&lt;'Données projet'!$A$114,$BV$205^A108,IF(A108='Données projet'!$A$114,'Données projet'!$B$114,BY107+BX108-CG107)))</f>
        <v>282.99999999999972</v>
      </c>
      <c r="BZ108" s="14">
        <f>BY108*VLOOKUP('Données projet'!$B$12,Paramètres!$A$1:$I$89,3,0)*VLOOKUP('Données projet'!$B$12,Paramètres!$A$1:$I$89,5,0)</f>
        <v>256.05839999999972</v>
      </c>
      <c r="CA108" s="14">
        <f t="shared" si="93"/>
        <v>61.881442594256434</v>
      </c>
      <c r="CB108" s="22">
        <f t="shared" si="64"/>
        <v>553.74522585166278</v>
      </c>
      <c r="CC108" s="62">
        <f t="shared" si="65"/>
        <v>847.07855918499604</v>
      </c>
      <c r="CD108" s="62">
        <f ca="1">AVERAGE(OFFSET($CC$3,0,0,'Données projet'!$E$12+1,1))-AVERAGE(OFFSET($H$3,0,0,'Données projet'!$E$12+1,1))</f>
        <v>428.8489304403459</v>
      </c>
      <c r="CE108" s="62">
        <f t="shared" si="94"/>
        <v>247.01165577562966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-1.7053025658242404E-13</v>
      </c>
      <c r="CU108" s="18">
        <f>CT108*VLOOKUP('Données projet'!$B$13,Paramètres!$A$1:$I$89,3,0)*VLOOKUP('Données projet'!$B$13,Paramètres!$A$1:$I$89,5,0)</f>
        <v>-1.3567387213697657E-13</v>
      </c>
      <c r="CV108" s="14" t="e">
        <f t="shared" si="95"/>
        <v>#NUM!</v>
      </c>
      <c r="CW108" s="22" t="e">
        <f t="shared" si="67"/>
        <v>#NUM!</v>
      </c>
      <c r="CX108" s="62" t="e">
        <f t="shared" si="68"/>
        <v>#NUM!</v>
      </c>
      <c r="CY108" s="62">
        <f ca="1">AVERAGE(OFFSET($CX$3,0,0,'Données projet'!$E$13+1,1))-AVERAGE(OFFSET($H$3,0,0,'Données projet'!$E$13+1,1))</f>
        <v>312.53381881960331</v>
      </c>
      <c r="CZ108" s="62">
        <f t="shared" si="96"/>
        <v>342.06887933351783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-1.7053025658242404E-13</v>
      </c>
      <c r="DP108" s="18">
        <f>DO108*VLOOKUP('Données projet'!$B$14,Paramètres!$A$1:$I$89,3,0)*VLOOKUP('Données projet'!$B$14,Paramètres!$A$1:$I$89,5,0)</f>
        <v>-1.250327841262333E-13</v>
      </c>
      <c r="DQ108" s="14" t="e">
        <f t="shared" si="97"/>
        <v>#NUM!</v>
      </c>
      <c r="DR108" s="22" t="e">
        <f t="shared" si="70"/>
        <v>#NUM!</v>
      </c>
      <c r="DS108" s="62" t="e">
        <f t="shared" si="71"/>
        <v>#NUM!</v>
      </c>
      <c r="DT108" s="62">
        <f ca="1">AVERAGE(OFFSET($DS$3,0,0,'Données projet'!$E$14+1,1))-AVERAGE(OFFSET($H$3,0,0,'Données projet'!$E$14+1,1))</f>
        <v>290.85271051443431</v>
      </c>
      <c r="DU108" s="62">
        <f t="shared" si="98"/>
        <v>318.66958823451142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0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5.4</v>
      </c>
      <c r="EJ108" s="13">
        <f>IF('Données projet'!$A$192&gt;35,EJ107+EI108-ER107,IF(A108&lt;'Données projet'!$A$192,$EG$205^A108,IF(A108='Données projet'!$A$192,'Données projet'!$B$192,EJ107+EI108-ER107)))</f>
        <v>324</v>
      </c>
      <c r="EK108" s="18">
        <f>EJ108*VLOOKUP('Données projet'!$B$15,Paramètres!$A$1:$I$89,3,0)*VLOOKUP('Données projet'!$B$15,Paramètres!$A$1:$I$89,5,0)</f>
        <v>277.99200000000002</v>
      </c>
      <c r="EL108" s="14">
        <f t="shared" si="99"/>
        <v>66.542483170264177</v>
      </c>
      <c r="EM108" s="22">
        <f t="shared" si="73"/>
        <v>600.06422485487678</v>
      </c>
      <c r="EN108" s="62">
        <f t="shared" si="74"/>
        <v>893.39755818821004</v>
      </c>
      <c r="EO108" s="62">
        <f ca="1">AVERAGE(OFFSET($EN$3,0,0,'Données projet'!$E$15+1,1))-AVERAGE(OFFSET($H$3,0,0,'Données projet'!$E$15+1,1))</f>
        <v>438.65317358403996</v>
      </c>
      <c r="EP108" s="62">
        <f t="shared" si="100"/>
        <v>176.81257896138806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0</v>
      </c>
      <c r="EW108" s="23">
        <f>EXP(-LN(2)/25)*EW107+(1-EXP(-LN(2)/25))/(LN(2)/25)*Calculateur!ER108*Calculateur!ET108*VLOOKUP('Données projet'!$B$15,Paramètres!$A$1:$I$89,3,0)*0.475*44/12</f>
        <v>0</v>
      </c>
      <c r="EX108" s="23">
        <f>EXP(-LN(2)/2)*EX107+(1-EXP(-LN(2)/2))/(LN(2)/2)*ER108*EU108*VLOOKUP('Données projet'!$B$15,Paramètres!$A$1:$I$89,3,0)*0.475*44/12</f>
        <v>0</v>
      </c>
      <c r="EY108" s="24">
        <f t="shared" si="75"/>
        <v>0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2.2737367544323206E-13</v>
      </c>
      <c r="O109" s="14">
        <f>N109*VLOOKUP('Données projet'!$B$9,Paramètres!$A$1:$I$89,3,0)*VLOOKUP('Données projet'!$B$9,Paramètres!$A$1:$I$89,5,0)</f>
        <v>1.2710188457276673E-13</v>
      </c>
      <c r="P109" s="14">
        <f t="shared" si="87"/>
        <v>1.856866851063998E-12</v>
      </c>
      <c r="Q109" s="22">
        <f t="shared" si="107"/>
        <v>3.4554122145673649E-12</v>
      </c>
      <c r="R109" s="62">
        <f t="shared" si="55"/>
        <v>293.33333333333678</v>
      </c>
      <c r="S109" s="62">
        <f ca="1">AVERAGE(OFFSET($R$3,0,0,'Données projet'!$E$9+1,1))-AVERAGE(OFFSET($H$3,0,0,'Données projet'!$E$9+1,1))</f>
        <v>323.98185264074681</v>
      </c>
      <c r="T109" s="62">
        <f t="shared" si="88"/>
        <v>301.22207291854005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0.99059396321497717</v>
      </c>
      <c r="AA109" s="23">
        <f>EXP(-LN(2)/25)*AA108+(1-EXP(-LN(2)/25))/(LN(2)/25)*Calculateur!V109*Calculateur!X109*VLOOKUP('Données projet'!$B$9,Paramètres!$A$1:$I$89,3,0)*0.475*44/12</f>
        <v>1.0027220998362161</v>
      </c>
      <c r="AB109" s="23">
        <f>EXP(-LN(2)/2)*AB108+(1-EXP(-LN(2)/2))/(LN(2)/2)*V109*Y109*VLOOKUP('Données projet'!$B$9,Paramètres!$A$1:$I$89,3,0)*0.475*44/12</f>
        <v>2.2147313501111132E-11</v>
      </c>
      <c r="AC109" s="24">
        <f t="shared" si="57"/>
        <v>1.9933160630733406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-2.8421709430404007E-13</v>
      </c>
      <c r="AJ109" s="14">
        <f>AI109*VLOOKUP('Données projet'!$B$10,Paramètres!$A$1:$I$89,3,0)*VLOOKUP('Données projet'!$B$10,Paramètres!$A$1:$I$89,5,0)</f>
        <v>-1.69961822393816E-13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289.12367833861299</v>
      </c>
      <c r="AO109" s="62">
        <f t="shared" si="90"/>
        <v>229.06617320689003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1.5086098130361095E-11</v>
      </c>
      <c r="AX109" s="23">
        <f t="shared" si="60"/>
        <v>1.5086098130361095E-11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>
        <f>BD109*VLOOKUP('Données projet'!$B$11,Paramètres!$A$1:$I$89,3,0)*VLOOKUP('Données projet'!$B$11,Paramètres!$A$1:$I$89,5,0)</f>
        <v>0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240.22884864766218</v>
      </c>
      <c r="BJ109" s="62">
        <f t="shared" si="92"/>
        <v>343.23776884143166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1.2517429776180016</v>
      </c>
      <c r="BR109" s="23">
        <f>EXP(-LN(2)/2)*BR108+(1-EXP(-LN(2)/2))/(LN(2)/2)*BL109*BO109*VLOOKUP('Données projet'!$B$11,Paramètres!$A$1:$I$89,3,0)*0.475*44/12</f>
        <v>6.0095116645267985E-11</v>
      </c>
      <c r="BS109" s="24">
        <f t="shared" si="63"/>
        <v>1.2517429776780966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4.4000000000000004</v>
      </c>
      <c r="BY109" s="13">
        <f>IF('Données projet'!$A$114&gt;35,BY108+BX109-CG108,IF(A109&lt;'Données projet'!$A$114,$BV$205^A109,IF(A109='Données projet'!$A$114,'Données projet'!$B$114,BY108+BX109-CG108)))</f>
        <v>287.39999999999969</v>
      </c>
      <c r="BZ109" s="14">
        <f>BY109*VLOOKUP('Données projet'!$B$12,Paramètres!$A$1:$I$89,3,0)*VLOOKUP('Données projet'!$B$12,Paramètres!$A$1:$I$89,5,0)</f>
        <v>260.0395199999997</v>
      </c>
      <c r="CA109" s="14">
        <f t="shared" si="93"/>
        <v>62.730801948604821</v>
      </c>
      <c r="CB109" s="22">
        <f t="shared" si="64"/>
        <v>562.15831072715287</v>
      </c>
      <c r="CC109" s="62">
        <f t="shared" si="65"/>
        <v>855.49164406048612</v>
      </c>
      <c r="CD109" s="62">
        <f ca="1">AVERAGE(OFFSET($CC$3,0,0,'Données projet'!$E$12+1,1))-AVERAGE(OFFSET($H$3,0,0,'Données projet'!$E$12+1,1))</f>
        <v>428.8489304403459</v>
      </c>
      <c r="CE109" s="62">
        <f t="shared" si="94"/>
        <v>247.01165577562966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-1.7053025658242404E-13</v>
      </c>
      <c r="CU109" s="18">
        <f>CT109*VLOOKUP('Données projet'!$B$13,Paramètres!$A$1:$I$89,3,0)*VLOOKUP('Données projet'!$B$13,Paramètres!$A$1:$I$89,5,0)</f>
        <v>-1.3567387213697657E-13</v>
      </c>
      <c r="CV109" s="14" t="e">
        <f t="shared" si="95"/>
        <v>#NUM!</v>
      </c>
      <c r="CW109" s="22" t="e">
        <f t="shared" si="67"/>
        <v>#NUM!</v>
      </c>
      <c r="CX109" s="62" t="e">
        <f t="shared" si="68"/>
        <v>#NUM!</v>
      </c>
      <c r="CY109" s="62">
        <f ca="1">AVERAGE(OFFSET($CX$3,0,0,'Données projet'!$E$13+1,1))-AVERAGE(OFFSET($H$3,0,0,'Données projet'!$E$13+1,1))</f>
        <v>312.53381881960331</v>
      </c>
      <c r="CZ109" s="62">
        <f t="shared" si="96"/>
        <v>342.06887933351783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-1.7053025658242404E-13</v>
      </c>
      <c r="DP109" s="18">
        <f>DO109*VLOOKUP('Données projet'!$B$14,Paramètres!$A$1:$I$89,3,0)*VLOOKUP('Données projet'!$B$14,Paramètres!$A$1:$I$89,5,0)</f>
        <v>-1.250327841262333E-13</v>
      </c>
      <c r="DQ109" s="14" t="e">
        <f t="shared" si="97"/>
        <v>#NUM!</v>
      </c>
      <c r="DR109" s="22" t="e">
        <f t="shared" si="70"/>
        <v>#NUM!</v>
      </c>
      <c r="DS109" s="62" t="e">
        <f t="shared" si="71"/>
        <v>#NUM!</v>
      </c>
      <c r="DT109" s="62">
        <f ca="1">AVERAGE(OFFSET($DS$3,0,0,'Données projet'!$E$14+1,1))-AVERAGE(OFFSET($H$3,0,0,'Données projet'!$E$14+1,1))</f>
        <v>290.85271051443431</v>
      </c>
      <c r="DU109" s="62">
        <f t="shared" si="98"/>
        <v>318.66958823451142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0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5.4</v>
      </c>
      <c r="EJ109" s="13">
        <f>IF('Données projet'!$A$192&gt;35,EJ108+EI109-ER108,IF(A109&lt;'Données projet'!$A$192,$EG$205^A109,IF(A109='Données projet'!$A$192,'Données projet'!$B$192,EJ108+EI109-ER108)))</f>
        <v>329.4</v>
      </c>
      <c r="EK109" s="18">
        <f>EJ109*VLOOKUP('Données projet'!$B$15,Paramètres!$A$1:$I$89,3,0)*VLOOKUP('Données projet'!$B$15,Paramètres!$A$1:$I$89,5,0)</f>
        <v>282.62520000000001</v>
      </c>
      <c r="EL109" s="14">
        <f t="shared" si="99"/>
        <v>67.521487432655931</v>
      </c>
      <c r="EM109" s="22">
        <f t="shared" si="73"/>
        <v>609.83881394520915</v>
      </c>
      <c r="EN109" s="62">
        <f t="shared" si="74"/>
        <v>903.17214727854252</v>
      </c>
      <c r="EO109" s="62">
        <f ca="1">AVERAGE(OFFSET($EN$3,0,0,'Données projet'!$E$15+1,1))-AVERAGE(OFFSET($H$3,0,0,'Données projet'!$E$15+1,1))</f>
        <v>438.65317358403996</v>
      </c>
      <c r="EP109" s="62">
        <f t="shared" si="100"/>
        <v>176.81257896138806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0</v>
      </c>
      <c r="EW109" s="23">
        <f>EXP(-LN(2)/25)*EW108+(1-EXP(-LN(2)/25))/(LN(2)/25)*Calculateur!ER109*Calculateur!ET109*VLOOKUP('Données projet'!$B$15,Paramètres!$A$1:$I$89,3,0)*0.475*44/12</f>
        <v>0</v>
      </c>
      <c r="EX109" s="23">
        <f>EXP(-LN(2)/2)*EX108+(1-EXP(-LN(2)/2))/(LN(2)/2)*ER109*EU109*VLOOKUP('Données projet'!$B$15,Paramètres!$A$1:$I$89,3,0)*0.475*44/12</f>
        <v>0</v>
      </c>
      <c r="EY109" s="24">
        <f t="shared" si="75"/>
        <v>0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2.2737367544323206E-13</v>
      </c>
      <c r="O110" s="14">
        <f>N110*VLOOKUP('Données projet'!$B$9,Paramètres!$A$1:$I$89,3,0)*VLOOKUP('Données projet'!$B$9,Paramètres!$A$1:$I$89,5,0)</f>
        <v>1.2710188457276673E-13</v>
      </c>
      <c r="P110" s="14">
        <f t="shared" si="87"/>
        <v>1.856866851063998E-12</v>
      </c>
      <c r="Q110" s="22">
        <f t="shared" si="107"/>
        <v>3.4554122145673649E-12</v>
      </c>
      <c r="R110" s="62">
        <f t="shared" si="55"/>
        <v>293.33333333333678</v>
      </c>
      <c r="S110" s="62">
        <f ca="1">AVERAGE(OFFSET($R$3,0,0,'Données projet'!$E$9+1,1))-AVERAGE(OFFSET($H$3,0,0,'Données projet'!$E$9+1,1))</f>
        <v>323.98185264074681</v>
      </c>
      <c r="T110" s="62">
        <f t="shared" si="88"/>
        <v>301.22207291854005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0.97116901979898895</v>
      </c>
      <c r="AA110" s="23">
        <f>EXP(-LN(2)/25)*AA109+(1-EXP(-LN(2)/25))/(LN(2)/25)*Calculateur!V110*Calculateur!X110*VLOOKUP('Données projet'!$B$9,Paramètres!$A$1:$I$89,3,0)*0.475*44/12</f>
        <v>0.97530261128533124</v>
      </c>
      <c r="AB110" s="23">
        <f>EXP(-LN(2)/2)*AB109+(1-EXP(-LN(2)/2))/(LN(2)/2)*V110*Y110*VLOOKUP('Données projet'!$B$9,Paramètres!$A$1:$I$89,3,0)*0.475*44/12</f>
        <v>1.5660515561700059E-11</v>
      </c>
      <c r="AC110" s="24">
        <f t="shared" si="57"/>
        <v>1.9464716310999808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-2.8421709430404007E-13</v>
      </c>
      <c r="AJ110" s="14">
        <f>AI110*VLOOKUP('Données projet'!$B$10,Paramètres!$A$1:$I$89,3,0)*VLOOKUP('Données projet'!$B$10,Paramètres!$A$1:$I$89,5,0)</f>
        <v>-1.69961822393816E-13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289.12367833861299</v>
      </c>
      <c r="AO110" s="62">
        <f t="shared" si="90"/>
        <v>229.06617320689003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1.0667482289624027E-11</v>
      </c>
      <c r="AX110" s="23">
        <f t="shared" si="60"/>
        <v>1.0667482289624027E-11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>
        <f>BD110*VLOOKUP('Données projet'!$B$11,Paramètres!$A$1:$I$89,3,0)*VLOOKUP('Données projet'!$B$11,Paramètres!$A$1:$I$89,5,0)</f>
        <v>0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240.22884864766218</v>
      </c>
      <c r="BJ110" s="62">
        <f t="shared" si="92"/>
        <v>343.23776884143166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1.217514000068735</v>
      </c>
      <c r="BR110" s="23">
        <f>EXP(-LN(2)/2)*BR109+(1-EXP(-LN(2)/2))/(LN(2)/2)*BL110*BO110*VLOOKUP('Données projet'!$B$11,Paramètres!$A$1:$I$89,3,0)*0.475*44/12</f>
        <v>4.249366449606556E-11</v>
      </c>
      <c r="BS110" s="24">
        <f t="shared" si="63"/>
        <v>1.2175140001112286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4.4000000000000004</v>
      </c>
      <c r="BY110" s="13">
        <f>IF('Données projet'!$A$114&gt;35,BY109+BX110-CG109,IF(A110&lt;'Données projet'!$A$114,$BV$205^A110,IF(A110='Données projet'!$A$114,'Données projet'!$B$114,BY109+BX110-CG109)))</f>
        <v>291.79999999999967</v>
      </c>
      <c r="BZ110" s="14">
        <f>BY110*VLOOKUP('Données projet'!$B$12,Paramètres!$A$1:$I$89,3,0)*VLOOKUP('Données projet'!$B$12,Paramètres!$A$1:$I$89,5,0)</f>
        <v>264.02063999999967</v>
      </c>
      <c r="CA110" s="14">
        <f t="shared" si="93"/>
        <v>63.57864899095906</v>
      </c>
      <c r="CB110" s="22">
        <f t="shared" si="64"/>
        <v>570.56876165925303</v>
      </c>
      <c r="CC110" s="62">
        <f t="shared" si="65"/>
        <v>863.9020949925864</v>
      </c>
      <c r="CD110" s="62">
        <f ca="1">AVERAGE(OFFSET($CC$3,0,0,'Données projet'!$E$12+1,1))-AVERAGE(OFFSET($H$3,0,0,'Données projet'!$E$12+1,1))</f>
        <v>428.8489304403459</v>
      </c>
      <c r="CE110" s="62">
        <f t="shared" si="94"/>
        <v>247.01165577562966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-1.7053025658242404E-13</v>
      </c>
      <c r="CU110" s="18">
        <f>CT110*VLOOKUP('Données projet'!$B$13,Paramètres!$A$1:$I$89,3,0)*VLOOKUP('Données projet'!$B$13,Paramètres!$A$1:$I$89,5,0)</f>
        <v>-1.3567387213697657E-13</v>
      </c>
      <c r="CV110" s="14" t="e">
        <f t="shared" si="95"/>
        <v>#NUM!</v>
      </c>
      <c r="CW110" s="22" t="e">
        <f t="shared" si="67"/>
        <v>#NUM!</v>
      </c>
      <c r="CX110" s="62" t="e">
        <f t="shared" si="68"/>
        <v>#NUM!</v>
      </c>
      <c r="CY110" s="62">
        <f ca="1">AVERAGE(OFFSET($CX$3,0,0,'Données projet'!$E$13+1,1))-AVERAGE(OFFSET($H$3,0,0,'Données projet'!$E$13+1,1))</f>
        <v>312.53381881960331</v>
      </c>
      <c r="CZ110" s="62">
        <f t="shared" si="96"/>
        <v>342.06887933351783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-1.7053025658242404E-13</v>
      </c>
      <c r="DP110" s="18">
        <f>DO110*VLOOKUP('Données projet'!$B$14,Paramètres!$A$1:$I$89,3,0)*VLOOKUP('Données projet'!$B$14,Paramètres!$A$1:$I$89,5,0)</f>
        <v>-1.250327841262333E-13</v>
      </c>
      <c r="DQ110" s="14" t="e">
        <f t="shared" si="97"/>
        <v>#NUM!</v>
      </c>
      <c r="DR110" s="22" t="e">
        <f t="shared" si="70"/>
        <v>#NUM!</v>
      </c>
      <c r="DS110" s="62" t="e">
        <f t="shared" si="71"/>
        <v>#NUM!</v>
      </c>
      <c r="DT110" s="62">
        <f ca="1">AVERAGE(OFFSET($DS$3,0,0,'Données projet'!$E$14+1,1))-AVERAGE(OFFSET($H$3,0,0,'Données projet'!$E$14+1,1))</f>
        <v>290.85271051443431</v>
      </c>
      <c r="DU110" s="62">
        <f t="shared" si="98"/>
        <v>318.66958823451142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0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5.4</v>
      </c>
      <c r="EJ110" s="13">
        <f>IF('Données projet'!$A$192&gt;35,EJ109+EI110-ER109,IF(A110&lt;'Données projet'!$A$192,$EG$205^A110,IF(A110='Données projet'!$A$192,'Données projet'!$B$192,EJ109+EI110-ER109)))</f>
        <v>334.79999999999995</v>
      </c>
      <c r="EK110" s="18">
        <f>EJ110*VLOOKUP('Données projet'!$B$15,Paramètres!$A$1:$I$89,3,0)*VLOOKUP('Données projet'!$B$15,Paramètres!$A$1:$I$89,5,0)</f>
        <v>287.25839999999999</v>
      </c>
      <c r="EL110" s="14">
        <f t="shared" si="99"/>
        <v>68.498625255186909</v>
      </c>
      <c r="EM110" s="22">
        <f t="shared" si="73"/>
        <v>619.61015231945055</v>
      </c>
      <c r="EN110" s="62">
        <f t="shared" si="74"/>
        <v>912.94348565278392</v>
      </c>
      <c r="EO110" s="62">
        <f ca="1">AVERAGE(OFFSET($EN$3,0,0,'Données projet'!$E$15+1,1))-AVERAGE(OFFSET($H$3,0,0,'Données projet'!$E$15+1,1))</f>
        <v>438.65317358403996</v>
      </c>
      <c r="EP110" s="62">
        <f t="shared" si="100"/>
        <v>176.81257896138806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0</v>
      </c>
      <c r="EW110" s="23">
        <f>EXP(-LN(2)/25)*EW109+(1-EXP(-LN(2)/25))/(LN(2)/25)*Calculateur!ER110*Calculateur!ET110*VLOOKUP('Données projet'!$B$15,Paramètres!$A$1:$I$89,3,0)*0.475*44/12</f>
        <v>0</v>
      </c>
      <c r="EX110" s="23">
        <f>EXP(-LN(2)/2)*EX109+(1-EXP(-LN(2)/2))/(LN(2)/2)*ER110*EU110*VLOOKUP('Données projet'!$B$15,Paramètres!$A$1:$I$89,3,0)*0.475*44/12</f>
        <v>0</v>
      </c>
      <c r="EY110" s="24">
        <f t="shared" si="75"/>
        <v>0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2.2737367544323206E-13</v>
      </c>
      <c r="O111" s="14">
        <f>N111*VLOOKUP('Données projet'!$B$9,Paramètres!$A$1:$I$89,3,0)*VLOOKUP('Données projet'!$B$9,Paramètres!$A$1:$I$89,5,0)</f>
        <v>1.2710188457276673E-13</v>
      </c>
      <c r="P111" s="14">
        <f t="shared" si="87"/>
        <v>1.856866851063998E-12</v>
      </c>
      <c r="Q111" s="22">
        <f t="shared" si="107"/>
        <v>3.4554122145673649E-12</v>
      </c>
      <c r="R111" s="62">
        <f t="shared" si="55"/>
        <v>293.33333333333678</v>
      </c>
      <c r="S111" s="62">
        <f ca="1">AVERAGE(OFFSET($R$3,0,0,'Données projet'!$E$9+1,1))-AVERAGE(OFFSET($H$3,0,0,'Données projet'!$E$9+1,1))</f>
        <v>323.98185264074681</v>
      </c>
      <c r="T111" s="62">
        <f t="shared" si="88"/>
        <v>301.22207291854005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0.9521249876753427</v>
      </c>
      <c r="AA111" s="23">
        <f>EXP(-LN(2)/25)*AA110+(1-EXP(-LN(2)/25))/(LN(2)/25)*Calculateur!V111*Calculateur!X111*VLOOKUP('Données projet'!$B$9,Paramètres!$A$1:$I$89,3,0)*0.475*44/12</f>
        <v>0.94863291009079864</v>
      </c>
      <c r="AB111" s="23">
        <f>EXP(-LN(2)/2)*AB110+(1-EXP(-LN(2)/2))/(LN(2)/2)*V111*Y111*VLOOKUP('Données projet'!$B$9,Paramètres!$A$1:$I$89,3,0)*0.475*44/12</f>
        <v>1.1073656750555566E-11</v>
      </c>
      <c r="AC111" s="24">
        <f t="shared" si="57"/>
        <v>1.900757897777215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-2.8421709430404007E-13</v>
      </c>
      <c r="AJ111" s="14">
        <f>AI111*VLOOKUP('Données projet'!$B$10,Paramètres!$A$1:$I$89,3,0)*VLOOKUP('Données projet'!$B$10,Paramètres!$A$1:$I$89,5,0)</f>
        <v>-1.69961822393816E-13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289.12367833861299</v>
      </c>
      <c r="AO111" s="62">
        <f t="shared" si="90"/>
        <v>229.06617320689003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7.5430490651805476E-12</v>
      </c>
      <c r="AX111" s="23">
        <f t="shared" si="60"/>
        <v>7.5430490651805476E-12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>
        <f>BD111*VLOOKUP('Données projet'!$B$11,Paramètres!$A$1:$I$89,3,0)*VLOOKUP('Données projet'!$B$11,Paramètres!$A$1:$I$89,5,0)</f>
        <v>0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240.22884864766218</v>
      </c>
      <c r="BJ111" s="62">
        <f t="shared" si="92"/>
        <v>343.23776884143166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1.1842210157105768</v>
      </c>
      <c r="BR111" s="23">
        <f>EXP(-LN(2)/2)*BR110+(1-EXP(-LN(2)/2))/(LN(2)/2)*BL111*BO111*VLOOKUP('Données projet'!$B$11,Paramètres!$A$1:$I$89,3,0)*0.475*44/12</f>
        <v>3.0047558322633993E-11</v>
      </c>
      <c r="BS111" s="24">
        <f t="shared" si="63"/>
        <v>1.1842210157406243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4.4000000000000004</v>
      </c>
      <c r="BY111" s="13">
        <f>IF('Données projet'!$A$114&gt;35,BY110+BX111-CG110,IF(A111&lt;'Données projet'!$A$114,$BV$205^A111,IF(A111='Données projet'!$A$114,'Données projet'!$B$114,BY110+BX111-CG110)))</f>
        <v>296.19999999999965</v>
      </c>
      <c r="BZ111" s="14">
        <f>BY111*VLOOKUP('Données projet'!$B$12,Paramètres!$A$1:$I$89,3,0)*VLOOKUP('Données projet'!$B$12,Paramètres!$A$1:$I$89,5,0)</f>
        <v>268.00175999999971</v>
      </c>
      <c r="CA111" s="14">
        <f t="shared" si="93"/>
        <v>64.425009159185521</v>
      </c>
      <c r="CB111" s="22">
        <f t="shared" si="64"/>
        <v>578.97662295224757</v>
      </c>
      <c r="CC111" s="62">
        <f t="shared" si="65"/>
        <v>872.30995628558094</v>
      </c>
      <c r="CD111" s="62">
        <f ca="1">AVERAGE(OFFSET($CC$3,0,0,'Données projet'!$E$12+1,1))-AVERAGE(OFFSET($H$3,0,0,'Données projet'!$E$12+1,1))</f>
        <v>428.8489304403459</v>
      </c>
      <c r="CE111" s="62">
        <f t="shared" si="94"/>
        <v>247.01165577562966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-1.7053025658242404E-13</v>
      </c>
      <c r="CU111" s="18">
        <f>CT111*VLOOKUP('Données projet'!$B$13,Paramètres!$A$1:$I$89,3,0)*VLOOKUP('Données projet'!$B$13,Paramètres!$A$1:$I$89,5,0)</f>
        <v>-1.3567387213697657E-13</v>
      </c>
      <c r="CV111" s="14" t="e">
        <f t="shared" si="95"/>
        <v>#NUM!</v>
      </c>
      <c r="CW111" s="22" t="e">
        <f t="shared" si="67"/>
        <v>#NUM!</v>
      </c>
      <c r="CX111" s="62" t="e">
        <f t="shared" si="68"/>
        <v>#NUM!</v>
      </c>
      <c r="CY111" s="62">
        <f ca="1">AVERAGE(OFFSET($CX$3,0,0,'Données projet'!$E$13+1,1))-AVERAGE(OFFSET($H$3,0,0,'Données projet'!$E$13+1,1))</f>
        <v>312.53381881960331</v>
      </c>
      <c r="CZ111" s="62">
        <f t="shared" si="96"/>
        <v>342.06887933351783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-1.7053025658242404E-13</v>
      </c>
      <c r="DP111" s="18">
        <f>DO111*VLOOKUP('Données projet'!$B$14,Paramètres!$A$1:$I$89,3,0)*VLOOKUP('Données projet'!$B$14,Paramètres!$A$1:$I$89,5,0)</f>
        <v>-1.250327841262333E-13</v>
      </c>
      <c r="DQ111" s="14" t="e">
        <f t="shared" si="97"/>
        <v>#NUM!</v>
      </c>
      <c r="DR111" s="22" t="e">
        <f t="shared" si="70"/>
        <v>#NUM!</v>
      </c>
      <c r="DS111" s="62" t="e">
        <f t="shared" si="71"/>
        <v>#NUM!</v>
      </c>
      <c r="DT111" s="62">
        <f ca="1">AVERAGE(OFFSET($DS$3,0,0,'Données projet'!$E$14+1,1))-AVERAGE(OFFSET($H$3,0,0,'Données projet'!$E$14+1,1))</f>
        <v>290.85271051443431</v>
      </c>
      <c r="DU111" s="62">
        <f t="shared" si="98"/>
        <v>318.66958823451142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0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5.4</v>
      </c>
      <c r="EJ111" s="13">
        <f>IF('Données projet'!$A$192&gt;35,EJ110+EI111-ER110,IF(A111&lt;'Données projet'!$A$192,$EG$205^A111,IF(A111='Données projet'!$A$192,'Données projet'!$B$192,EJ110+EI111-ER110)))</f>
        <v>340.19999999999993</v>
      </c>
      <c r="EK111" s="18">
        <f>EJ111*VLOOKUP('Données projet'!$B$15,Paramètres!$A$1:$I$89,3,0)*VLOOKUP('Données projet'!$B$15,Paramètres!$A$1:$I$89,5,0)</f>
        <v>291.89159999999998</v>
      </c>
      <c r="EL111" s="14">
        <f t="shared" si="99"/>
        <v>69.473930217220953</v>
      </c>
      <c r="EM111" s="22">
        <f t="shared" si="73"/>
        <v>629.37829846165971</v>
      </c>
      <c r="EN111" s="62">
        <f t="shared" si="74"/>
        <v>922.71163179499308</v>
      </c>
      <c r="EO111" s="62">
        <f ca="1">AVERAGE(OFFSET($EN$3,0,0,'Données projet'!$E$15+1,1))-AVERAGE(OFFSET($H$3,0,0,'Données projet'!$E$15+1,1))</f>
        <v>438.65317358403996</v>
      </c>
      <c r="EP111" s="62">
        <f t="shared" si="100"/>
        <v>176.81257896138806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0</v>
      </c>
      <c r="EW111" s="23">
        <f>EXP(-LN(2)/25)*EW110+(1-EXP(-LN(2)/25))/(LN(2)/25)*Calculateur!ER111*Calculateur!ET111*VLOOKUP('Données projet'!$B$15,Paramètres!$A$1:$I$89,3,0)*0.475*44/12</f>
        <v>0</v>
      </c>
      <c r="EX111" s="23">
        <f>EXP(-LN(2)/2)*EX110+(1-EXP(-LN(2)/2))/(LN(2)/2)*ER111*EU111*VLOOKUP('Données projet'!$B$15,Paramètres!$A$1:$I$89,3,0)*0.475*44/12</f>
        <v>0</v>
      </c>
      <c r="EY111" s="24">
        <f t="shared" si="75"/>
        <v>0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2.2737367544323206E-13</v>
      </c>
      <c r="O112" s="14">
        <f>N112*VLOOKUP('Données projet'!$B$9,Paramètres!$A$1:$I$89,3,0)*VLOOKUP('Données projet'!$B$9,Paramètres!$A$1:$I$89,5,0)</f>
        <v>1.2710188457276673E-13</v>
      </c>
      <c r="P112" s="14">
        <f t="shared" si="87"/>
        <v>1.856866851063998E-12</v>
      </c>
      <c r="Q112" s="22">
        <f t="shared" si="107"/>
        <v>3.4554122145673649E-12</v>
      </c>
      <c r="R112" s="62">
        <f t="shared" si="55"/>
        <v>293.33333333333678</v>
      </c>
      <c r="S112" s="62">
        <f ca="1">AVERAGE(OFFSET($R$3,0,0,'Données projet'!$E$9+1,1))-AVERAGE(OFFSET($H$3,0,0,'Données projet'!$E$9+1,1))</f>
        <v>323.98185264074681</v>
      </c>
      <c r="T112" s="62">
        <f t="shared" si="88"/>
        <v>301.22207291854005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0.9334543974059285</v>
      </c>
      <c r="AA112" s="23">
        <f>EXP(-LN(2)/25)*AA111+(1-EXP(-LN(2)/25))/(LN(2)/25)*Calculateur!V112*Calculateur!X112*VLOOKUP('Données projet'!$B$9,Paramètres!$A$1:$I$89,3,0)*0.475*44/12</f>
        <v>0.92269249327792913</v>
      </c>
      <c r="AB112" s="23">
        <f>EXP(-LN(2)/2)*AB111+(1-EXP(-LN(2)/2))/(LN(2)/2)*V112*Y112*VLOOKUP('Données projet'!$B$9,Paramètres!$A$1:$I$89,3,0)*0.475*44/12</f>
        <v>7.8302577808500294E-12</v>
      </c>
      <c r="AC112" s="24">
        <f t="shared" si="57"/>
        <v>1.8561468906916878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-2.8421709430404007E-13</v>
      </c>
      <c r="AJ112" s="14">
        <f>AI112*VLOOKUP('Données projet'!$B$10,Paramètres!$A$1:$I$89,3,0)*VLOOKUP('Données projet'!$B$10,Paramètres!$A$1:$I$89,5,0)</f>
        <v>-1.69961822393816E-13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289.12367833861299</v>
      </c>
      <c r="AO112" s="62">
        <f t="shared" si="90"/>
        <v>229.06617320689003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5.3337411448120134E-12</v>
      </c>
      <c r="AX112" s="23">
        <f t="shared" si="60"/>
        <v>5.3337411448120134E-12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>
        <f>BD112*VLOOKUP('Données projet'!$B$11,Paramètres!$A$1:$I$89,3,0)*VLOOKUP('Données projet'!$B$11,Paramètres!$A$1:$I$89,5,0)</f>
        <v>0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240.22884864766218</v>
      </c>
      <c r="BJ112" s="62">
        <f t="shared" si="92"/>
        <v>343.23776884143166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1.1518384297604944</v>
      </c>
      <c r="BR112" s="23">
        <f>EXP(-LN(2)/2)*BR111+(1-EXP(-LN(2)/2))/(LN(2)/2)*BL112*BO112*VLOOKUP('Données projet'!$B$11,Paramètres!$A$1:$I$89,3,0)*0.475*44/12</f>
        <v>2.124683224803278E-11</v>
      </c>
      <c r="BS112" s="24">
        <f t="shared" si="63"/>
        <v>1.1518384297817412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4.4000000000000004</v>
      </c>
      <c r="BY112" s="13">
        <f>IF('Données projet'!$A$114&gt;35,BY111+BX112-CG111,IF(A112&lt;'Données projet'!$A$114,$BV$205^A112,IF(A112='Données projet'!$A$114,'Données projet'!$B$114,BY111+BX112-CG111)))</f>
        <v>300.59999999999962</v>
      </c>
      <c r="BZ112" s="14">
        <f>BY112*VLOOKUP('Données projet'!$B$12,Paramètres!$A$1:$I$89,3,0)*VLOOKUP('Données projet'!$B$12,Paramètres!$A$1:$I$89,5,0)</f>
        <v>271.98287999999962</v>
      </c>
      <c r="CA112" s="14">
        <f t="shared" si="93"/>
        <v>65.269907092018684</v>
      </c>
      <c r="CB112" s="22">
        <f t="shared" si="64"/>
        <v>587.38193751859842</v>
      </c>
      <c r="CC112" s="62">
        <f t="shared" si="65"/>
        <v>880.71527085193179</v>
      </c>
      <c r="CD112" s="62">
        <f ca="1">AVERAGE(OFFSET($CC$3,0,0,'Données projet'!$E$12+1,1))-AVERAGE(OFFSET($H$3,0,0,'Données projet'!$E$12+1,1))</f>
        <v>428.8489304403459</v>
      </c>
      <c r="CE112" s="62">
        <f t="shared" si="94"/>
        <v>247.01165577562966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-1.7053025658242404E-13</v>
      </c>
      <c r="CU112" s="18">
        <f>CT112*VLOOKUP('Données projet'!$B$13,Paramètres!$A$1:$I$89,3,0)*VLOOKUP('Données projet'!$B$13,Paramètres!$A$1:$I$89,5,0)</f>
        <v>-1.3567387213697657E-13</v>
      </c>
      <c r="CV112" s="14" t="e">
        <f t="shared" si="95"/>
        <v>#NUM!</v>
      </c>
      <c r="CW112" s="22" t="e">
        <f t="shared" si="67"/>
        <v>#NUM!</v>
      </c>
      <c r="CX112" s="62" t="e">
        <f t="shared" si="68"/>
        <v>#NUM!</v>
      </c>
      <c r="CY112" s="62">
        <f ca="1">AVERAGE(OFFSET($CX$3,0,0,'Données projet'!$E$13+1,1))-AVERAGE(OFFSET($H$3,0,0,'Données projet'!$E$13+1,1))</f>
        <v>312.53381881960331</v>
      </c>
      <c r="CZ112" s="62">
        <f t="shared" si="96"/>
        <v>342.06887933351783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-1.7053025658242404E-13</v>
      </c>
      <c r="DP112" s="18">
        <f>DO112*VLOOKUP('Données projet'!$B$14,Paramètres!$A$1:$I$89,3,0)*VLOOKUP('Données projet'!$B$14,Paramètres!$A$1:$I$89,5,0)</f>
        <v>-1.250327841262333E-13</v>
      </c>
      <c r="DQ112" s="14" t="e">
        <f t="shared" si="97"/>
        <v>#NUM!</v>
      </c>
      <c r="DR112" s="22" t="e">
        <f t="shared" si="70"/>
        <v>#NUM!</v>
      </c>
      <c r="DS112" s="62" t="e">
        <f t="shared" si="71"/>
        <v>#NUM!</v>
      </c>
      <c r="DT112" s="62">
        <f ca="1">AVERAGE(OFFSET($DS$3,0,0,'Données projet'!$E$14+1,1))-AVERAGE(OFFSET($H$3,0,0,'Données projet'!$E$14+1,1))</f>
        <v>290.85271051443431</v>
      </c>
      <c r="DU112" s="62">
        <f t="shared" si="98"/>
        <v>318.66958823451142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0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5.4</v>
      </c>
      <c r="EJ112" s="13">
        <f>IF('Données projet'!$A$192&gt;35,EJ111+EI112-ER111,IF(A112&lt;'Données projet'!$A$192,$EG$205^A112,IF(A112='Données projet'!$A$192,'Données projet'!$B$192,EJ111+EI112-ER111)))</f>
        <v>345.59999999999991</v>
      </c>
      <c r="EK112" s="18">
        <f>EJ112*VLOOKUP('Données projet'!$B$15,Paramètres!$A$1:$I$89,3,0)*VLOOKUP('Données projet'!$B$15,Paramètres!$A$1:$I$89,5,0)</f>
        <v>296.52479999999991</v>
      </c>
      <c r="EL112" s="14">
        <f t="shared" si="99"/>
        <v>70.447434770968528</v>
      </c>
      <c r="EM112" s="22">
        <f t="shared" si="73"/>
        <v>639.14330889277005</v>
      </c>
      <c r="EN112" s="62">
        <f t="shared" si="74"/>
        <v>932.47664222610342</v>
      </c>
      <c r="EO112" s="62">
        <f ca="1">AVERAGE(OFFSET($EN$3,0,0,'Données projet'!$E$15+1,1))-AVERAGE(OFFSET($H$3,0,0,'Données projet'!$E$15+1,1))</f>
        <v>438.65317358403996</v>
      </c>
      <c r="EP112" s="62">
        <f t="shared" si="100"/>
        <v>176.81257896138806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projet'!$B$15,Paramètres!$A$1:$I$89,3,0)*0.475*44/12</f>
        <v>0</v>
      </c>
      <c r="EW112" s="23">
        <f>EXP(-LN(2)/25)*EW111+(1-EXP(-LN(2)/25))/(LN(2)/25)*Calculateur!ER112*Calculateur!ET112*VLOOKUP('Données projet'!$B$15,Paramètres!$A$1:$I$89,3,0)*0.475*44/12</f>
        <v>0</v>
      </c>
      <c r="EX112" s="23">
        <f>EXP(-LN(2)/2)*EX111+(1-EXP(-LN(2)/2))/(LN(2)/2)*ER112*EU112*VLOOKUP('Données projet'!$B$15,Paramètres!$A$1:$I$89,3,0)*0.475*44/12</f>
        <v>0</v>
      </c>
      <c r="EY112" s="24">
        <f t="shared" si="75"/>
        <v>0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2.2737367544323206E-13</v>
      </c>
      <c r="O113" s="14">
        <f>N113*VLOOKUP('Données projet'!$B$9,Paramètres!$A$1:$I$89,3,0)*VLOOKUP('Données projet'!$B$9,Paramètres!$A$1:$I$89,5,0)</f>
        <v>1.2710188457276673E-13</v>
      </c>
      <c r="P113" s="14">
        <f t="shared" si="87"/>
        <v>1.856866851063998E-12</v>
      </c>
      <c r="Q113" s="22">
        <f t="shared" si="107"/>
        <v>3.4554122145673649E-12</v>
      </c>
      <c r="R113" s="62">
        <f t="shared" si="55"/>
        <v>293.33333333333678</v>
      </c>
      <c r="S113" s="62">
        <f ca="1">AVERAGE(OFFSET($R$3,0,0,'Données projet'!$E$9+1,1))-AVERAGE(OFFSET($H$3,0,0,'Données projet'!$E$9+1,1))</f>
        <v>323.98185264074681</v>
      </c>
      <c r="T113" s="62">
        <f t="shared" si="88"/>
        <v>301.22207291854005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0.91514992602376188</v>
      </c>
      <c r="AA113" s="23">
        <f>EXP(-LN(2)/25)*AA112+(1-EXP(-LN(2)/25))/(LN(2)/25)*Calculateur!V113*Calculateur!X113*VLOOKUP('Données projet'!$B$9,Paramètres!$A$1:$I$89,3,0)*0.475*44/12</f>
        <v>0.89746141852695482</v>
      </c>
      <c r="AB113" s="23">
        <f>EXP(-LN(2)/2)*AB112+(1-EXP(-LN(2)/2))/(LN(2)/2)*V113*Y113*VLOOKUP('Données projet'!$B$9,Paramètres!$A$1:$I$89,3,0)*0.475*44/12</f>
        <v>5.5368283752777831E-12</v>
      </c>
      <c r="AC113" s="24">
        <f t="shared" si="57"/>
        <v>1.8126113445562537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-2.8421709430404007E-13</v>
      </c>
      <c r="AJ113" s="14">
        <f>AI113*VLOOKUP('Données projet'!$B$10,Paramètres!$A$1:$I$89,3,0)*VLOOKUP('Données projet'!$B$10,Paramètres!$A$1:$I$89,5,0)</f>
        <v>-1.69961822393816E-13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289.12367833861299</v>
      </c>
      <c r="AO113" s="62">
        <f t="shared" si="90"/>
        <v>229.06617320689003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3.7715245325902738E-12</v>
      </c>
      <c r="AX113" s="23">
        <f t="shared" si="60"/>
        <v>3.7715245325902738E-12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>
        <f>BD113*VLOOKUP('Données projet'!$B$11,Paramètres!$A$1:$I$89,3,0)*VLOOKUP('Données projet'!$B$11,Paramètres!$A$1:$I$89,5,0)</f>
        <v>0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240.22884864766218</v>
      </c>
      <c r="BJ113" s="62">
        <f t="shared" si="92"/>
        <v>343.23776884143166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1.1203413473261432</v>
      </c>
      <c r="BR113" s="23">
        <f>EXP(-LN(2)/2)*BR112+(1-EXP(-LN(2)/2))/(LN(2)/2)*BL113*BO113*VLOOKUP('Données projet'!$B$11,Paramètres!$A$1:$I$89,3,0)*0.475*44/12</f>
        <v>1.5023779161316996E-11</v>
      </c>
      <c r="BS113" s="24">
        <f t="shared" si="63"/>
        <v>1.120341347341167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>
        <f>VLOOKUP(A113,'Données projet'!$A$113:$I$133,2,0)</f>
        <v>305</v>
      </c>
      <c r="BW113" s="13">
        <f>VLOOKUP(A113,'Données projet'!$A$113:$I$133,9,0)</f>
        <v>4.4000000000000004</v>
      </c>
      <c r="BX113" s="13">
        <f t="array" ref="BX113">INDEX(BW:BW,MIN(IF(ISNUMBER(BW113:BW309),ROW(BW113:BW309),"")))</f>
        <v>4.4000000000000004</v>
      </c>
      <c r="BY113" s="13">
        <f>IF('Données projet'!$A$114&gt;35,BY112+BX113-CG112,IF(A113&lt;'Données projet'!$A$114,$BV$205^A113,IF(A113='Données projet'!$A$114,'Données projet'!$B$114,BY112+BX113-CG112)))</f>
        <v>304.9999999999996</v>
      </c>
      <c r="BZ113" s="14">
        <f>BY113*VLOOKUP('Données projet'!$B$12,Paramètres!$A$1:$I$89,3,0)*VLOOKUP('Données projet'!$B$12,Paramètres!$A$1:$I$89,5,0)</f>
        <v>275.9639999999996</v>
      </c>
      <c r="CA113" s="14">
        <f t="shared" si="93"/>
        <v>66.113366665488797</v>
      </c>
      <c r="CB113" s="22">
        <f t="shared" si="64"/>
        <v>595.7847469423923</v>
      </c>
      <c r="CC113" s="62">
        <f t="shared" si="65"/>
        <v>889.11808027572556</v>
      </c>
      <c r="CD113" s="62">
        <f ca="1">AVERAGE(OFFSET($CC$3,0,0,'Données projet'!$E$12+1,1))-AVERAGE(OFFSET($H$3,0,0,'Données projet'!$E$12+1,1))</f>
        <v>428.8489304403459</v>
      </c>
      <c r="CE113" s="62">
        <f t="shared" si="94"/>
        <v>247.01165577562966</v>
      </c>
      <c r="CF113" s="16">
        <f>IF(ISNA(VLOOKUP(A113,'Données projet'!$A$113:$I$133,3,0)),0,VLOOKUP(A113,'Données projet'!$A$113:$I$133,3,0))</f>
        <v>9</v>
      </c>
      <c r="CG113" s="16">
        <f>IF(ISNA(VLOOKUP(A113,'Données projet'!$A$113:$I$133,4,0)),0,VLOOKUP(A113,'Données projet'!$A$113:$I$133,4,0))</f>
        <v>39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-1.7053025658242404E-13</v>
      </c>
      <c r="CU113" s="18">
        <f>CT113*VLOOKUP('Données projet'!$B$13,Paramètres!$A$1:$I$89,3,0)*VLOOKUP('Données projet'!$B$13,Paramètres!$A$1:$I$89,5,0)</f>
        <v>-1.3567387213697657E-13</v>
      </c>
      <c r="CV113" s="14" t="e">
        <f t="shared" si="95"/>
        <v>#NUM!</v>
      </c>
      <c r="CW113" s="22" t="e">
        <f t="shared" si="67"/>
        <v>#NUM!</v>
      </c>
      <c r="CX113" s="62" t="e">
        <f t="shared" si="68"/>
        <v>#NUM!</v>
      </c>
      <c r="CY113" s="62">
        <f ca="1">AVERAGE(OFFSET($CX$3,0,0,'Données projet'!$E$13+1,1))-AVERAGE(OFFSET($H$3,0,0,'Données projet'!$E$13+1,1))</f>
        <v>312.53381881960331</v>
      </c>
      <c r="CZ113" s="62">
        <f t="shared" si="96"/>
        <v>342.06887933351783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-1.7053025658242404E-13</v>
      </c>
      <c r="DP113" s="18">
        <f>DO113*VLOOKUP('Données projet'!$B$14,Paramètres!$A$1:$I$89,3,0)*VLOOKUP('Données projet'!$B$14,Paramètres!$A$1:$I$89,5,0)</f>
        <v>-1.250327841262333E-13</v>
      </c>
      <c r="DQ113" s="14" t="e">
        <f t="shared" si="97"/>
        <v>#NUM!</v>
      </c>
      <c r="DR113" s="22" t="e">
        <f t="shared" si="70"/>
        <v>#NUM!</v>
      </c>
      <c r="DS113" s="62" t="e">
        <f t="shared" si="71"/>
        <v>#NUM!</v>
      </c>
      <c r="DT113" s="62">
        <f ca="1">AVERAGE(OFFSET($DS$3,0,0,'Données projet'!$E$14+1,1))-AVERAGE(OFFSET($H$3,0,0,'Données projet'!$E$14+1,1))</f>
        <v>290.85271051443431</v>
      </c>
      <c r="DU113" s="62">
        <f t="shared" si="98"/>
        <v>318.66958823451142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0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>
        <f>VLOOKUP(A113,'Données projet'!$A$191:$I$211,2,0)</f>
        <v>351</v>
      </c>
      <c r="EH113" s="13">
        <f>VLOOKUP(A113,'Données projet'!$A$191:$I$211,9,0)</f>
        <v>5.4</v>
      </c>
      <c r="EI113" s="13">
        <f t="array" ref="EI113">INDEX(EH:EH,MIN(IF(ISNUMBER(EH113:EH309),ROW(EH113:EH309),"")))</f>
        <v>5.4</v>
      </c>
      <c r="EJ113" s="13">
        <f>IF('Données projet'!$A$192&gt;35,EJ112+EI113-ER112,IF(A113&lt;'Données projet'!$A$192,$EG$205^A113,IF(A113='Données projet'!$A$192,'Données projet'!$B$192,EJ112+EI113-ER112)))</f>
        <v>350.99999999999989</v>
      </c>
      <c r="EK113" s="18">
        <f>EJ113*VLOOKUP('Données projet'!$B$15,Paramètres!$A$1:$I$89,3,0)*VLOOKUP('Données projet'!$B$15,Paramètres!$A$1:$I$89,5,0)</f>
        <v>301.15799999999996</v>
      </c>
      <c r="EL113" s="14">
        <f t="shared" si="99"/>
        <v>71.419170296330975</v>
      </c>
      <c r="EM113" s="22">
        <f t="shared" si="73"/>
        <v>648.90523826610968</v>
      </c>
      <c r="EN113" s="62">
        <f t="shared" si="74"/>
        <v>942.23857159944305</v>
      </c>
      <c r="EO113" s="62">
        <f ca="1">AVERAGE(OFFSET($EN$3,0,0,'Données projet'!$E$15+1,1))-AVERAGE(OFFSET($H$3,0,0,'Données projet'!$E$15+1,1))</f>
        <v>438.65317358403996</v>
      </c>
      <c r="EP113" s="62">
        <f t="shared" si="100"/>
        <v>176.81257896138806</v>
      </c>
      <c r="EQ113" s="16">
        <f>IF(ISNA(VLOOKUP(A113,'Données projet'!$A$191:$I$211,3,0)),0,VLOOKUP(A113,'Données projet'!$A$191:$I$211,3,0))</f>
        <v>9</v>
      </c>
      <c r="ER113" s="16">
        <f>IF(ISNA(VLOOKUP(A113,'Données projet'!$A$191:$I$211,4,0)),0,VLOOKUP(A113,'Données projet'!$A$191:$I$211,4,0))</f>
        <v>36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0</v>
      </c>
      <c r="EW113" s="23">
        <f>EXP(-LN(2)/25)*EW112+(1-EXP(-LN(2)/25))/(LN(2)/25)*Calculateur!ER113*Calculateur!ET113*VLOOKUP('Données projet'!$B$15,Paramètres!$A$1:$I$89,3,0)*0.475*44/12</f>
        <v>0</v>
      </c>
      <c r="EX113" s="23">
        <f>EXP(-LN(2)/2)*EX112+(1-EXP(-LN(2)/2))/(LN(2)/2)*ER113*EU113*VLOOKUP('Données projet'!$B$15,Paramètres!$A$1:$I$89,3,0)*0.475*44/12</f>
        <v>0</v>
      </c>
      <c r="EY113" s="24">
        <f t="shared" si="75"/>
        <v>0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2.2737367544323206E-13</v>
      </c>
      <c r="O114" s="14">
        <f>N114*VLOOKUP('Données projet'!$B$9,Paramètres!$A$1:$I$89,3,0)*VLOOKUP('Données projet'!$B$9,Paramètres!$A$1:$I$89,5,0)</f>
        <v>1.2710188457276673E-13</v>
      </c>
      <c r="P114" s="14">
        <f t="shared" si="87"/>
        <v>1.856866851063998E-12</v>
      </c>
      <c r="Q114" s="22">
        <f t="shared" si="107"/>
        <v>3.4554122145673649E-12</v>
      </c>
      <c r="R114" s="62">
        <f t="shared" si="55"/>
        <v>293.33333333333678</v>
      </c>
      <c r="S114" s="62">
        <f ca="1">AVERAGE(OFFSET($R$3,0,0,'Données projet'!$E$9+1,1))-AVERAGE(OFFSET($H$3,0,0,'Données projet'!$E$9+1,1))</f>
        <v>323.98185264074681</v>
      </c>
      <c r="T114" s="62">
        <f t="shared" si="88"/>
        <v>301.22207291854005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0.89720439416077447</v>
      </c>
      <c r="AA114" s="23">
        <f>EXP(-LN(2)/25)*AA113+(1-EXP(-LN(2)/25))/(LN(2)/25)*Calculateur!V114*Calculateur!X114*VLOOKUP('Données projet'!$B$9,Paramètres!$A$1:$I$89,3,0)*0.475*44/12</f>
        <v>0.87292028884189043</v>
      </c>
      <c r="AB114" s="23">
        <f>EXP(-LN(2)/2)*AB113+(1-EXP(-LN(2)/2))/(LN(2)/2)*V114*Y114*VLOOKUP('Données projet'!$B$9,Paramètres!$A$1:$I$89,3,0)*0.475*44/12</f>
        <v>3.9151288904250147E-12</v>
      </c>
      <c r="AC114" s="24">
        <f t="shared" si="57"/>
        <v>1.77012468300658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-2.8421709430404007E-13</v>
      </c>
      <c r="AJ114" s="14">
        <f>AI114*VLOOKUP('Données projet'!$B$10,Paramètres!$A$1:$I$89,3,0)*VLOOKUP('Données projet'!$B$10,Paramètres!$A$1:$I$89,5,0)</f>
        <v>-1.69961822393816E-13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289.12367833861299</v>
      </c>
      <c r="AO114" s="62">
        <f t="shared" si="90"/>
        <v>229.06617320689003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2.6668705724060067E-12</v>
      </c>
      <c r="AX114" s="23">
        <f t="shared" si="60"/>
        <v>2.6668705724060067E-12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>
        <f>BD114*VLOOKUP('Données projet'!$B$11,Paramètres!$A$1:$I$89,3,0)*VLOOKUP('Données projet'!$B$11,Paramètres!$A$1:$I$89,5,0)</f>
        <v>0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240.22884864766218</v>
      </c>
      <c r="BJ114" s="62">
        <f t="shared" si="92"/>
        <v>343.23776884143166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1.0897055542673189</v>
      </c>
      <c r="BR114" s="23">
        <f>EXP(-LN(2)/2)*BR113+(1-EXP(-LN(2)/2))/(LN(2)/2)*BL114*BO114*VLOOKUP('Données projet'!$B$11,Paramètres!$A$1:$I$89,3,0)*0.475*44/12</f>
        <v>1.062341612401639E-11</v>
      </c>
      <c r="BS114" s="24">
        <f t="shared" si="63"/>
        <v>1.0897055542779424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3.7</v>
      </c>
      <c r="BY114" s="13">
        <f>IF('Données projet'!$A$114&gt;35,BY113+BX114-CG113,IF(A114&lt;'Données projet'!$A$114,$BV$205^A114,IF(A114='Données projet'!$A$114,'Données projet'!$B$114,BY113+BX114-CG113)))</f>
        <v>269.69999999999959</v>
      </c>
      <c r="BZ114" s="14">
        <f>BY114*VLOOKUP('Données projet'!$B$12,Paramètres!$A$1:$I$89,3,0)*VLOOKUP('Données projet'!$B$12,Paramètres!$A$1:$I$89,5,0)</f>
        <v>244.02455999999964</v>
      </c>
      <c r="CA114" s="14">
        <f t="shared" si="93"/>
        <v>59.304594314969229</v>
      </c>
      <c r="CB114" s="22">
        <f t="shared" si="64"/>
        <v>528.29827709857079</v>
      </c>
      <c r="CC114" s="62">
        <f t="shared" si="65"/>
        <v>821.63161043190416</v>
      </c>
      <c r="CD114" s="62">
        <f ca="1">AVERAGE(OFFSET($CC$3,0,0,'Données projet'!$E$12+1,1))-AVERAGE(OFFSET($H$3,0,0,'Données projet'!$E$12+1,1))</f>
        <v>428.8489304403459</v>
      </c>
      <c r="CE114" s="62">
        <f t="shared" si="94"/>
        <v>247.01165577562966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-1.7053025658242404E-13</v>
      </c>
      <c r="CU114" s="18">
        <f>CT114*VLOOKUP('Données projet'!$B$13,Paramètres!$A$1:$I$89,3,0)*VLOOKUP('Données projet'!$B$13,Paramètres!$A$1:$I$89,5,0)</f>
        <v>-1.3567387213697657E-13</v>
      </c>
      <c r="CV114" s="14" t="e">
        <f t="shared" si="95"/>
        <v>#NUM!</v>
      </c>
      <c r="CW114" s="22" t="e">
        <f t="shared" si="67"/>
        <v>#NUM!</v>
      </c>
      <c r="CX114" s="62" t="e">
        <f t="shared" si="68"/>
        <v>#NUM!</v>
      </c>
      <c r="CY114" s="62">
        <f ca="1">AVERAGE(OFFSET($CX$3,0,0,'Données projet'!$E$13+1,1))-AVERAGE(OFFSET($H$3,0,0,'Données projet'!$E$13+1,1))</f>
        <v>312.53381881960331</v>
      </c>
      <c r="CZ114" s="62">
        <f t="shared" si="96"/>
        <v>342.06887933351783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-1.7053025658242404E-13</v>
      </c>
      <c r="DP114" s="18">
        <f>DO114*VLOOKUP('Données projet'!$B$14,Paramètres!$A$1:$I$89,3,0)*VLOOKUP('Données projet'!$B$14,Paramètres!$A$1:$I$89,5,0)</f>
        <v>-1.250327841262333E-13</v>
      </c>
      <c r="DQ114" s="14" t="e">
        <f t="shared" si="97"/>
        <v>#NUM!</v>
      </c>
      <c r="DR114" s="22" t="e">
        <f t="shared" si="70"/>
        <v>#NUM!</v>
      </c>
      <c r="DS114" s="62" t="e">
        <f t="shared" si="71"/>
        <v>#NUM!</v>
      </c>
      <c r="DT114" s="62">
        <f ca="1">AVERAGE(OFFSET($DS$3,0,0,'Données projet'!$E$14+1,1))-AVERAGE(OFFSET($H$3,0,0,'Données projet'!$E$14+1,1))</f>
        <v>290.85271051443431</v>
      </c>
      <c r="DU114" s="62">
        <f t="shared" si="98"/>
        <v>318.66958823451142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0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4.8</v>
      </c>
      <c r="EJ114" s="13">
        <f>IF('Données projet'!$A$192&gt;35,EJ113+EI114-ER113,IF(A114&lt;'Données projet'!$A$192,$EG$205^A114,IF(A114='Données projet'!$A$192,'Données projet'!$B$192,EJ113+EI114-ER113)))</f>
        <v>319.7999999999999</v>
      </c>
      <c r="EK114" s="18">
        <f>EJ114*VLOOKUP('Données projet'!$B$15,Paramètres!$A$1:$I$89,3,0)*VLOOKUP('Données projet'!$B$15,Paramètres!$A$1:$I$89,5,0)</f>
        <v>274.38839999999993</v>
      </c>
      <c r="EL114" s="14">
        <f t="shared" si="99"/>
        <v>65.77972282151319</v>
      </c>
      <c r="EM114" s="22">
        <f t="shared" si="73"/>
        <v>592.45948058080194</v>
      </c>
      <c r="EN114" s="62">
        <f t="shared" si="74"/>
        <v>885.79281391413519</v>
      </c>
      <c r="EO114" s="62">
        <f ca="1">AVERAGE(OFFSET($EN$3,0,0,'Données projet'!$E$15+1,1))-AVERAGE(OFFSET($H$3,0,0,'Données projet'!$E$15+1,1))</f>
        <v>438.65317358403996</v>
      </c>
      <c r="EP114" s="62">
        <f t="shared" si="100"/>
        <v>176.81257896138806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0</v>
      </c>
      <c r="EW114" s="23">
        <f>EXP(-LN(2)/25)*EW113+(1-EXP(-LN(2)/25))/(LN(2)/25)*Calculateur!ER114*Calculateur!ET114*VLOOKUP('Données projet'!$B$15,Paramètres!$A$1:$I$89,3,0)*0.475*44/12</f>
        <v>0</v>
      </c>
      <c r="EX114" s="23">
        <f>EXP(-LN(2)/2)*EX113+(1-EXP(-LN(2)/2))/(LN(2)/2)*ER114*EU114*VLOOKUP('Données projet'!$B$15,Paramètres!$A$1:$I$89,3,0)*0.475*44/12</f>
        <v>0</v>
      </c>
      <c r="EY114" s="24">
        <f t="shared" si="75"/>
        <v>0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2.2737367544323206E-13</v>
      </c>
      <c r="O115" s="14">
        <f>N115*VLOOKUP('Données projet'!$B$9,Paramètres!$A$1:$I$89,3,0)*VLOOKUP('Données projet'!$B$9,Paramètres!$A$1:$I$89,5,0)</f>
        <v>1.2710188457276673E-13</v>
      </c>
      <c r="P115" s="14">
        <f t="shared" si="87"/>
        <v>1.856866851063998E-12</v>
      </c>
      <c r="Q115" s="22">
        <f t="shared" si="107"/>
        <v>3.4554122145673649E-12</v>
      </c>
      <c r="R115" s="62">
        <f t="shared" si="55"/>
        <v>293.33333333333678</v>
      </c>
      <c r="S115" s="62">
        <f ca="1">AVERAGE(OFFSET($R$3,0,0,'Données projet'!$E$9+1,1))-AVERAGE(OFFSET($H$3,0,0,'Données projet'!$E$9+1,1))</f>
        <v>323.98185264074681</v>
      </c>
      <c r="T115" s="62">
        <f t="shared" si="88"/>
        <v>301.22207291854005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0.87961076323192655</v>
      </c>
      <c r="AA115" s="23">
        <f>EXP(-LN(2)/25)*AA114+(1-EXP(-LN(2)/25))/(LN(2)/25)*Calculateur!V115*Calculateur!X115*VLOOKUP('Données projet'!$B$9,Paramètres!$A$1:$I$89,3,0)*0.475*44/12</f>
        <v>0.84905023763862608</v>
      </c>
      <c r="AB115" s="23">
        <f>EXP(-LN(2)/2)*AB114+(1-EXP(-LN(2)/2))/(LN(2)/2)*V115*Y115*VLOOKUP('Données projet'!$B$9,Paramètres!$A$1:$I$89,3,0)*0.475*44/12</f>
        <v>2.7684141876388915E-12</v>
      </c>
      <c r="AC115" s="24">
        <f t="shared" si="57"/>
        <v>1.7286610008733212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-2.8421709430404007E-13</v>
      </c>
      <c r="AJ115" s="14">
        <f>AI115*VLOOKUP('Données projet'!$B$10,Paramètres!$A$1:$I$89,3,0)*VLOOKUP('Données projet'!$B$10,Paramètres!$A$1:$I$89,5,0)</f>
        <v>-1.69961822393816E-13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289.12367833861299</v>
      </c>
      <c r="AO115" s="62">
        <f t="shared" si="90"/>
        <v>229.06617320689003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1.8857622662951369E-12</v>
      </c>
      <c r="AX115" s="23">
        <f t="shared" si="60"/>
        <v>1.8857622662951369E-12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>
        <f>BD115*VLOOKUP('Données projet'!$B$11,Paramètres!$A$1:$I$89,3,0)*VLOOKUP('Données projet'!$B$11,Paramètres!$A$1:$I$89,5,0)</f>
        <v>0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240.22884864766218</v>
      </c>
      <c r="BJ115" s="62">
        <f t="shared" si="92"/>
        <v>343.23776884143166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1.0599074985807544</v>
      </c>
      <c r="BR115" s="23">
        <f>EXP(-LN(2)/2)*BR114+(1-EXP(-LN(2)/2))/(LN(2)/2)*BL115*BO115*VLOOKUP('Données projet'!$B$11,Paramètres!$A$1:$I$89,3,0)*0.475*44/12</f>
        <v>7.5118895806584982E-12</v>
      </c>
      <c r="BS115" s="24">
        <f t="shared" si="63"/>
        <v>1.0599074985882664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3.7</v>
      </c>
      <c r="BY115" s="13">
        <f>IF('Données projet'!$A$114&gt;35,BY114+BX115-CG114,IF(A115&lt;'Données projet'!$A$114,$BV$205^A115,IF(A115='Données projet'!$A$114,'Données projet'!$B$114,BY114+BX115-CG114)))</f>
        <v>273.39999999999958</v>
      </c>
      <c r="BZ115" s="14">
        <f>BY115*VLOOKUP('Données projet'!$B$12,Paramètres!$A$1:$I$89,3,0)*VLOOKUP('Données projet'!$B$12,Paramètres!$A$1:$I$89,5,0)</f>
        <v>247.3723199999996</v>
      </c>
      <c r="CA115" s="14">
        <f t="shared" si="93"/>
        <v>60.022917171130942</v>
      </c>
      <c r="CB115" s="22">
        <f t="shared" si="64"/>
        <v>535.38003807305233</v>
      </c>
      <c r="CC115" s="62">
        <f t="shared" si="65"/>
        <v>828.7133714063857</v>
      </c>
      <c r="CD115" s="62">
        <f ca="1">AVERAGE(OFFSET($CC$3,0,0,'Données projet'!$E$12+1,1))-AVERAGE(OFFSET($H$3,0,0,'Données projet'!$E$12+1,1))</f>
        <v>428.8489304403459</v>
      </c>
      <c r="CE115" s="62">
        <f t="shared" si="94"/>
        <v>247.01165577562966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-1.7053025658242404E-13</v>
      </c>
      <c r="CU115" s="18">
        <f>CT115*VLOOKUP('Données projet'!$B$13,Paramètres!$A$1:$I$89,3,0)*VLOOKUP('Données projet'!$B$13,Paramètres!$A$1:$I$89,5,0)</f>
        <v>-1.3567387213697657E-13</v>
      </c>
      <c r="CV115" s="14" t="e">
        <f t="shared" si="95"/>
        <v>#NUM!</v>
      </c>
      <c r="CW115" s="22" t="e">
        <f t="shared" si="67"/>
        <v>#NUM!</v>
      </c>
      <c r="CX115" s="62" t="e">
        <f t="shared" si="68"/>
        <v>#NUM!</v>
      </c>
      <c r="CY115" s="62">
        <f ca="1">AVERAGE(OFFSET($CX$3,0,0,'Données projet'!$E$13+1,1))-AVERAGE(OFFSET($H$3,0,0,'Données projet'!$E$13+1,1))</f>
        <v>312.53381881960331</v>
      </c>
      <c r="CZ115" s="62">
        <f t="shared" si="96"/>
        <v>342.06887933351783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-1.7053025658242404E-13</v>
      </c>
      <c r="DP115" s="18">
        <f>DO115*VLOOKUP('Données projet'!$B$14,Paramètres!$A$1:$I$89,3,0)*VLOOKUP('Données projet'!$B$14,Paramètres!$A$1:$I$89,5,0)</f>
        <v>-1.250327841262333E-13</v>
      </c>
      <c r="DQ115" s="14" t="e">
        <f t="shared" si="97"/>
        <v>#NUM!</v>
      </c>
      <c r="DR115" s="22" t="e">
        <f t="shared" si="70"/>
        <v>#NUM!</v>
      </c>
      <c r="DS115" s="62" t="e">
        <f t="shared" si="71"/>
        <v>#NUM!</v>
      </c>
      <c r="DT115" s="62">
        <f ca="1">AVERAGE(OFFSET($DS$3,0,0,'Données projet'!$E$14+1,1))-AVERAGE(OFFSET($H$3,0,0,'Données projet'!$E$14+1,1))</f>
        <v>290.85271051443431</v>
      </c>
      <c r="DU115" s="62">
        <f t="shared" si="98"/>
        <v>318.66958823451142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0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4.8</v>
      </c>
      <c r="EJ115" s="13">
        <f>IF('Données projet'!$A$192&gt;35,EJ114+EI115-ER114,IF(A115&lt;'Données projet'!$A$192,$EG$205^A115,IF(A115='Données projet'!$A$192,'Données projet'!$B$192,EJ114+EI115-ER114)))</f>
        <v>324.59999999999991</v>
      </c>
      <c r="EK115" s="18">
        <f>EJ115*VLOOKUP('Données projet'!$B$15,Paramètres!$A$1:$I$89,3,0)*VLOOKUP('Données projet'!$B$15,Paramètres!$A$1:$I$89,5,0)</f>
        <v>278.50679999999994</v>
      </c>
      <c r="EL115" s="14">
        <f t="shared" si="99"/>
        <v>66.651354661909949</v>
      </c>
      <c r="EM115" s="22">
        <f t="shared" si="73"/>
        <v>601.15045270282633</v>
      </c>
      <c r="EN115" s="62">
        <f t="shared" si="74"/>
        <v>894.4837860361597</v>
      </c>
      <c r="EO115" s="62">
        <f ca="1">AVERAGE(OFFSET($EN$3,0,0,'Données projet'!$E$15+1,1))-AVERAGE(OFFSET($H$3,0,0,'Données projet'!$E$15+1,1))</f>
        <v>438.65317358403996</v>
      </c>
      <c r="EP115" s="62">
        <f t="shared" si="100"/>
        <v>176.81257896138806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0</v>
      </c>
      <c r="EW115" s="23">
        <f>EXP(-LN(2)/25)*EW114+(1-EXP(-LN(2)/25))/(LN(2)/25)*Calculateur!ER115*Calculateur!ET115*VLOOKUP('Données projet'!$B$15,Paramètres!$A$1:$I$89,3,0)*0.475*44/12</f>
        <v>0</v>
      </c>
      <c r="EX115" s="23">
        <f>EXP(-LN(2)/2)*EX114+(1-EXP(-LN(2)/2))/(LN(2)/2)*ER115*EU115*VLOOKUP('Données projet'!$B$15,Paramètres!$A$1:$I$89,3,0)*0.475*44/12</f>
        <v>0</v>
      </c>
      <c r="EY115" s="24">
        <f t="shared" si="75"/>
        <v>0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2.2737367544323206E-13</v>
      </c>
      <c r="O116" s="14">
        <f>N116*VLOOKUP('Données projet'!$B$9,Paramètres!$A$1:$I$89,3,0)*VLOOKUP('Données projet'!$B$9,Paramètres!$A$1:$I$89,5,0)</f>
        <v>1.2710188457276673E-13</v>
      </c>
      <c r="P116" s="14">
        <f t="shared" si="87"/>
        <v>1.856866851063998E-12</v>
      </c>
      <c r="Q116" s="22">
        <f t="shared" si="107"/>
        <v>3.4554122145673649E-12</v>
      </c>
      <c r="R116" s="62">
        <f t="shared" si="55"/>
        <v>293.33333333333678</v>
      </c>
      <c r="S116" s="62">
        <f ca="1">AVERAGE(OFFSET($R$3,0,0,'Données projet'!$E$9+1,1))-AVERAGE(OFFSET($H$3,0,0,'Données projet'!$E$9+1,1))</f>
        <v>323.98185264074681</v>
      </c>
      <c r="T116" s="62">
        <f t="shared" si="88"/>
        <v>301.22207291854005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0.8623621326745381</v>
      </c>
      <c r="AA116" s="23">
        <f>EXP(-LN(2)/25)*AA115+(1-EXP(-LN(2)/25))/(LN(2)/25)*Calculateur!V116*Calculateur!X116*VLOOKUP('Données projet'!$B$9,Paramètres!$A$1:$I$89,3,0)*0.475*44/12</f>
        <v>0.82583291424078642</v>
      </c>
      <c r="AB116" s="23">
        <f>EXP(-LN(2)/2)*AB115+(1-EXP(-LN(2)/2))/(LN(2)/2)*V116*Y116*VLOOKUP('Données projet'!$B$9,Paramètres!$A$1:$I$89,3,0)*0.475*44/12</f>
        <v>1.9575644452125074E-12</v>
      </c>
      <c r="AC116" s="24">
        <f t="shared" si="57"/>
        <v>1.6881950469172819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-2.8421709430404007E-13</v>
      </c>
      <c r="AJ116" s="14">
        <f>AI116*VLOOKUP('Données projet'!$B$10,Paramètres!$A$1:$I$89,3,0)*VLOOKUP('Données projet'!$B$10,Paramètres!$A$1:$I$89,5,0)</f>
        <v>-1.69961822393816E-13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289.12367833861299</v>
      </c>
      <c r="AO116" s="62">
        <f t="shared" si="90"/>
        <v>229.06617320689003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1.3334352862030033E-12</v>
      </c>
      <c r="AX116" s="23">
        <f t="shared" si="60"/>
        <v>1.3334352862030033E-12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>
        <f>BD116*VLOOKUP('Données projet'!$B$11,Paramètres!$A$1:$I$89,3,0)*VLOOKUP('Données projet'!$B$11,Paramètres!$A$1:$I$89,5,0)</f>
        <v>0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240.22884864766218</v>
      </c>
      <c r="BJ116" s="62">
        <f t="shared" si="92"/>
        <v>343.23776884143166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1.0309242722939507</v>
      </c>
      <c r="BR116" s="23">
        <f>EXP(-LN(2)/2)*BR115+(1-EXP(-LN(2)/2))/(LN(2)/2)*BL116*BO116*VLOOKUP('Données projet'!$B$11,Paramètres!$A$1:$I$89,3,0)*0.475*44/12</f>
        <v>5.311708062008195E-12</v>
      </c>
      <c r="BS116" s="24">
        <f t="shared" si="63"/>
        <v>1.0309242722992624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3.7</v>
      </c>
      <c r="BY116" s="13">
        <f>IF('Données projet'!$A$114&gt;35,BY115+BX116-CG115,IF(A116&lt;'Données projet'!$A$114,$BV$205^A116,IF(A116='Données projet'!$A$114,'Données projet'!$B$114,BY115+BX116-CG115)))</f>
        <v>277.09999999999957</v>
      </c>
      <c r="BZ116" s="14">
        <f>BY116*VLOOKUP('Données projet'!$B$12,Paramètres!$A$1:$I$89,3,0)*VLOOKUP('Données projet'!$B$12,Paramètres!$A$1:$I$89,5,0)</f>
        <v>250.7200799999996</v>
      </c>
      <c r="CA116" s="14">
        <f t="shared" si="93"/>
        <v>60.740109326032709</v>
      </c>
      <c r="CB116" s="22">
        <f t="shared" si="64"/>
        <v>542.45982974283959</v>
      </c>
      <c r="CC116" s="62">
        <f t="shared" si="65"/>
        <v>835.79316307617296</v>
      </c>
      <c r="CD116" s="62">
        <f ca="1">AVERAGE(OFFSET($CC$3,0,0,'Données projet'!$E$12+1,1))-AVERAGE(OFFSET($H$3,0,0,'Données projet'!$E$12+1,1))</f>
        <v>428.8489304403459</v>
      </c>
      <c r="CE116" s="62">
        <f t="shared" si="94"/>
        <v>247.01165577562966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-1.7053025658242404E-13</v>
      </c>
      <c r="CU116" s="18">
        <f>CT116*VLOOKUP('Données projet'!$B$13,Paramètres!$A$1:$I$89,3,0)*VLOOKUP('Données projet'!$B$13,Paramètres!$A$1:$I$89,5,0)</f>
        <v>-1.3567387213697657E-13</v>
      </c>
      <c r="CV116" s="14" t="e">
        <f t="shared" si="95"/>
        <v>#NUM!</v>
      </c>
      <c r="CW116" s="22" t="e">
        <f t="shared" si="67"/>
        <v>#NUM!</v>
      </c>
      <c r="CX116" s="62" t="e">
        <f t="shared" si="68"/>
        <v>#NUM!</v>
      </c>
      <c r="CY116" s="62">
        <f ca="1">AVERAGE(OFFSET($CX$3,0,0,'Données projet'!$E$13+1,1))-AVERAGE(OFFSET($H$3,0,0,'Données projet'!$E$13+1,1))</f>
        <v>312.53381881960331</v>
      </c>
      <c r="CZ116" s="62">
        <f t="shared" si="96"/>
        <v>342.06887933351783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-1.7053025658242404E-13</v>
      </c>
      <c r="DP116" s="18">
        <f>DO116*VLOOKUP('Données projet'!$B$14,Paramètres!$A$1:$I$89,3,0)*VLOOKUP('Données projet'!$B$14,Paramètres!$A$1:$I$89,5,0)</f>
        <v>-1.250327841262333E-13</v>
      </c>
      <c r="DQ116" s="14" t="e">
        <f t="shared" si="97"/>
        <v>#NUM!</v>
      </c>
      <c r="DR116" s="22" t="e">
        <f t="shared" si="70"/>
        <v>#NUM!</v>
      </c>
      <c r="DS116" s="62" t="e">
        <f t="shared" si="71"/>
        <v>#NUM!</v>
      </c>
      <c r="DT116" s="62">
        <f ca="1">AVERAGE(OFFSET($DS$3,0,0,'Données projet'!$E$14+1,1))-AVERAGE(OFFSET($H$3,0,0,'Données projet'!$E$14+1,1))</f>
        <v>290.85271051443431</v>
      </c>
      <c r="DU116" s="62">
        <f t="shared" si="98"/>
        <v>318.66958823451142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0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4.8</v>
      </c>
      <c r="EJ116" s="13">
        <f>IF('Données projet'!$A$192&gt;35,EJ115+EI116-ER115,IF(A116&lt;'Données projet'!$A$192,$EG$205^A116,IF(A116='Données projet'!$A$192,'Données projet'!$B$192,EJ115+EI116-ER115)))</f>
        <v>329.39999999999992</v>
      </c>
      <c r="EK116" s="18">
        <f>EJ116*VLOOKUP('Données projet'!$B$15,Paramètres!$A$1:$I$89,3,0)*VLOOKUP('Données projet'!$B$15,Paramètres!$A$1:$I$89,5,0)</f>
        <v>282.62519999999995</v>
      </c>
      <c r="EL116" s="14">
        <f t="shared" si="99"/>
        <v>67.521487432655874</v>
      </c>
      <c r="EM116" s="22">
        <f t="shared" si="73"/>
        <v>609.83881394520893</v>
      </c>
      <c r="EN116" s="62">
        <f t="shared" si="74"/>
        <v>903.1721472785423</v>
      </c>
      <c r="EO116" s="62">
        <f ca="1">AVERAGE(OFFSET($EN$3,0,0,'Données projet'!$E$15+1,1))-AVERAGE(OFFSET($H$3,0,0,'Données projet'!$E$15+1,1))</f>
        <v>438.65317358403996</v>
      </c>
      <c r="EP116" s="62">
        <f t="shared" si="100"/>
        <v>176.81257896138806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0</v>
      </c>
      <c r="EW116" s="23">
        <f>EXP(-LN(2)/25)*EW115+(1-EXP(-LN(2)/25))/(LN(2)/25)*Calculateur!ER116*Calculateur!ET116*VLOOKUP('Données projet'!$B$15,Paramètres!$A$1:$I$89,3,0)*0.475*44/12</f>
        <v>0</v>
      </c>
      <c r="EX116" s="23">
        <f>EXP(-LN(2)/2)*EX115+(1-EXP(-LN(2)/2))/(LN(2)/2)*ER116*EU116*VLOOKUP('Données projet'!$B$15,Paramètres!$A$1:$I$89,3,0)*0.475*44/12</f>
        <v>0</v>
      </c>
      <c r="EY116" s="24">
        <f t="shared" si="75"/>
        <v>0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2.2737367544323206E-13</v>
      </c>
      <c r="O117" s="14">
        <f>N117*VLOOKUP('Données projet'!$B$9,Paramètres!$A$1:$I$89,3,0)*VLOOKUP('Données projet'!$B$9,Paramètres!$A$1:$I$89,5,0)</f>
        <v>1.2710188457276673E-13</v>
      </c>
      <c r="P117" s="14">
        <f t="shared" si="87"/>
        <v>1.856866851063998E-12</v>
      </c>
      <c r="Q117" s="22">
        <f t="shared" si="107"/>
        <v>3.4554122145673649E-12</v>
      </c>
      <c r="R117" s="62">
        <f t="shared" si="55"/>
        <v>293.33333333333678</v>
      </c>
      <c r="S117" s="62">
        <f ca="1">AVERAGE(OFFSET($R$3,0,0,'Données projet'!$E$9+1,1))-AVERAGE(OFFSET($H$3,0,0,'Données projet'!$E$9+1,1))</f>
        <v>323.98185264074681</v>
      </c>
      <c r="T117" s="62">
        <f t="shared" si="88"/>
        <v>301.22207291854005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0.84545173724175426</v>
      </c>
      <c r="AA117" s="23">
        <f>EXP(-LN(2)/25)*AA116+(1-EXP(-LN(2)/25))/(LN(2)/25)*Calculateur!V117*Calculateur!X117*VLOOKUP('Données projet'!$B$9,Paramètres!$A$1:$I$89,3,0)*0.475*44/12</f>
        <v>0.8032504697722066</v>
      </c>
      <c r="AB117" s="23">
        <f>EXP(-LN(2)/2)*AB116+(1-EXP(-LN(2)/2))/(LN(2)/2)*V117*Y117*VLOOKUP('Données projet'!$B$9,Paramètres!$A$1:$I$89,3,0)*0.475*44/12</f>
        <v>1.3842070938194458E-12</v>
      </c>
      <c r="AC117" s="24">
        <f t="shared" si="57"/>
        <v>1.648702207015345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-2.8421709430404007E-13</v>
      </c>
      <c r="AJ117" s="14">
        <f>AI117*VLOOKUP('Données projet'!$B$10,Paramètres!$A$1:$I$89,3,0)*VLOOKUP('Données projet'!$B$10,Paramètres!$A$1:$I$89,5,0)</f>
        <v>-1.69961822393816E-13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289.12367833861299</v>
      </c>
      <c r="AO117" s="62">
        <f t="shared" si="90"/>
        <v>229.06617320689003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9.4288113314756844E-13</v>
      </c>
      <c r="AX117" s="23">
        <f t="shared" si="60"/>
        <v>9.4288113314756844E-13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>
        <f>BD117*VLOOKUP('Données projet'!$B$11,Paramètres!$A$1:$I$89,3,0)*VLOOKUP('Données projet'!$B$11,Paramètres!$A$1:$I$89,5,0)</f>
        <v>0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240.22884864766218</v>
      </c>
      <c r="BJ117" s="62">
        <f t="shared" si="92"/>
        <v>343.23776884143166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1.0027335938541213</v>
      </c>
      <c r="BR117" s="23">
        <f>EXP(-LN(2)/2)*BR116+(1-EXP(-LN(2)/2))/(LN(2)/2)*BL117*BO117*VLOOKUP('Données projet'!$B$11,Paramètres!$A$1:$I$89,3,0)*0.475*44/12</f>
        <v>3.7559447903292491E-12</v>
      </c>
      <c r="BS117" s="24">
        <f t="shared" si="63"/>
        <v>1.0027335938578772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3.7</v>
      </c>
      <c r="BY117" s="13">
        <f>IF('Données projet'!$A$114&gt;35,BY116+BX117-CG116,IF(A117&lt;'Données projet'!$A$114,$BV$205^A117,IF(A117='Données projet'!$A$114,'Données projet'!$B$114,BY116+BX117-CG116)))</f>
        <v>280.79999999999956</v>
      </c>
      <c r="BZ117" s="14">
        <f>BY117*VLOOKUP('Données projet'!$B$12,Paramètres!$A$1:$I$89,3,0)*VLOOKUP('Données projet'!$B$12,Paramètres!$A$1:$I$89,5,0)</f>
        <v>254.06783999999956</v>
      </c>
      <c r="CA117" s="14">
        <f t="shared" si="93"/>
        <v>61.456187622750669</v>
      </c>
      <c r="CB117" s="22">
        <f t="shared" si="64"/>
        <v>549.53768144295657</v>
      </c>
      <c r="CC117" s="62">
        <f t="shared" si="65"/>
        <v>842.87101477628994</v>
      </c>
      <c r="CD117" s="62">
        <f ca="1">AVERAGE(OFFSET($CC$3,0,0,'Données projet'!$E$12+1,1))-AVERAGE(OFFSET($H$3,0,0,'Données projet'!$E$12+1,1))</f>
        <v>428.8489304403459</v>
      </c>
      <c r="CE117" s="62">
        <f t="shared" si="94"/>
        <v>247.01165577562966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-1.7053025658242404E-13</v>
      </c>
      <c r="CU117" s="18">
        <f>CT117*VLOOKUP('Données projet'!$B$13,Paramètres!$A$1:$I$89,3,0)*VLOOKUP('Données projet'!$B$13,Paramètres!$A$1:$I$89,5,0)</f>
        <v>-1.3567387213697657E-13</v>
      </c>
      <c r="CV117" s="14" t="e">
        <f t="shared" si="95"/>
        <v>#NUM!</v>
      </c>
      <c r="CW117" s="22" t="e">
        <f t="shared" si="67"/>
        <v>#NUM!</v>
      </c>
      <c r="CX117" s="62" t="e">
        <f t="shared" si="68"/>
        <v>#NUM!</v>
      </c>
      <c r="CY117" s="62">
        <f ca="1">AVERAGE(OFFSET($CX$3,0,0,'Données projet'!$E$13+1,1))-AVERAGE(OFFSET($H$3,0,0,'Données projet'!$E$13+1,1))</f>
        <v>312.53381881960331</v>
      </c>
      <c r="CZ117" s="62">
        <f t="shared" si="96"/>
        <v>342.06887933351783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-1.7053025658242404E-13</v>
      </c>
      <c r="DP117" s="18">
        <f>DO117*VLOOKUP('Données projet'!$B$14,Paramètres!$A$1:$I$89,3,0)*VLOOKUP('Données projet'!$B$14,Paramètres!$A$1:$I$89,5,0)</f>
        <v>-1.250327841262333E-13</v>
      </c>
      <c r="DQ117" s="14" t="e">
        <f t="shared" si="97"/>
        <v>#NUM!</v>
      </c>
      <c r="DR117" s="22" t="e">
        <f t="shared" si="70"/>
        <v>#NUM!</v>
      </c>
      <c r="DS117" s="62" t="e">
        <f t="shared" si="71"/>
        <v>#NUM!</v>
      </c>
      <c r="DT117" s="62">
        <f ca="1">AVERAGE(OFFSET($DS$3,0,0,'Données projet'!$E$14+1,1))-AVERAGE(OFFSET($H$3,0,0,'Données projet'!$E$14+1,1))</f>
        <v>290.85271051443431</v>
      </c>
      <c r="DU117" s="62">
        <f t="shared" si="98"/>
        <v>318.66958823451142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0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4.8</v>
      </c>
      <c r="EJ117" s="13">
        <f>IF('Données projet'!$A$192&gt;35,EJ116+EI117-ER116,IF(A117&lt;'Données projet'!$A$192,$EG$205^A117,IF(A117='Données projet'!$A$192,'Données projet'!$B$192,EJ116+EI117-ER116)))</f>
        <v>334.19999999999993</v>
      </c>
      <c r="EK117" s="18">
        <f>EJ117*VLOOKUP('Données projet'!$B$15,Paramètres!$A$1:$I$89,3,0)*VLOOKUP('Données projet'!$B$15,Paramètres!$A$1:$I$89,5,0)</f>
        <v>286.74359999999996</v>
      </c>
      <c r="EL117" s="14">
        <f t="shared" si="99"/>
        <v>68.390145501867295</v>
      </c>
      <c r="EM117" s="22">
        <f t="shared" si="73"/>
        <v>618.52460674908536</v>
      </c>
      <c r="EN117" s="62">
        <f t="shared" si="74"/>
        <v>911.85794008241874</v>
      </c>
      <c r="EO117" s="62">
        <f ca="1">AVERAGE(OFFSET($EN$3,0,0,'Données projet'!$E$15+1,1))-AVERAGE(OFFSET($H$3,0,0,'Données projet'!$E$15+1,1))</f>
        <v>438.65317358403996</v>
      </c>
      <c r="EP117" s="62">
        <f t="shared" si="100"/>
        <v>176.81257896138806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0</v>
      </c>
      <c r="EW117" s="23">
        <f>EXP(-LN(2)/25)*EW116+(1-EXP(-LN(2)/25))/(LN(2)/25)*Calculateur!ER117*Calculateur!ET117*VLOOKUP('Données projet'!$B$15,Paramètres!$A$1:$I$89,3,0)*0.475*44/12</f>
        <v>0</v>
      </c>
      <c r="EX117" s="23">
        <f>EXP(-LN(2)/2)*EX116+(1-EXP(-LN(2)/2))/(LN(2)/2)*ER117*EU117*VLOOKUP('Données projet'!$B$15,Paramètres!$A$1:$I$89,3,0)*0.475*44/12</f>
        <v>0</v>
      </c>
      <c r="EY117" s="24">
        <f t="shared" si="75"/>
        <v>0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2.2737367544323206E-13</v>
      </c>
      <c r="O118" s="14">
        <f>N118*VLOOKUP('Données projet'!$B$9,Paramètres!$A$1:$I$89,3,0)*VLOOKUP('Données projet'!$B$9,Paramètres!$A$1:$I$89,5,0)</f>
        <v>1.2710188457276673E-13</v>
      </c>
      <c r="P118" s="14">
        <f t="shared" si="87"/>
        <v>1.856866851063998E-12</v>
      </c>
      <c r="Q118" s="22">
        <f t="shared" si="107"/>
        <v>3.4554122145673649E-12</v>
      </c>
      <c r="R118" s="62">
        <f t="shared" si="55"/>
        <v>293.33333333333678</v>
      </c>
      <c r="S118" s="62">
        <f ca="1">AVERAGE(OFFSET($R$3,0,0,'Données projet'!$E$9+1,1))-AVERAGE(OFFSET($H$3,0,0,'Données projet'!$E$9+1,1))</f>
        <v>323.98185264074681</v>
      </c>
      <c r="T118" s="62">
        <f t="shared" si="88"/>
        <v>301.22207291854005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0.82887294434908454</v>
      </c>
      <c r="AA118" s="23">
        <f>EXP(-LN(2)/25)*AA117+(1-EXP(-LN(2)/25))/(LN(2)/25)*Calculateur!V118*Calculateur!X118*VLOOKUP('Données projet'!$B$9,Paramètres!$A$1:$I$89,3,0)*0.475*44/12</f>
        <v>0.78128554343517931</v>
      </c>
      <c r="AB118" s="23">
        <f>EXP(-LN(2)/2)*AB117+(1-EXP(-LN(2)/2))/(LN(2)/2)*V118*Y118*VLOOKUP('Données projet'!$B$9,Paramètres!$A$1:$I$89,3,0)*0.475*44/12</f>
        <v>9.7878222260625368E-13</v>
      </c>
      <c r="AC118" s="24">
        <f t="shared" si="57"/>
        <v>1.6101584877852426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-2.8421709430404007E-13</v>
      </c>
      <c r="AJ118" s="14">
        <f>AI118*VLOOKUP('Données projet'!$B$10,Paramètres!$A$1:$I$89,3,0)*VLOOKUP('Données projet'!$B$10,Paramètres!$A$1:$I$89,5,0)</f>
        <v>-1.69961822393816E-13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289.12367833861299</v>
      </c>
      <c r="AO118" s="62">
        <f t="shared" si="90"/>
        <v>229.06617320689003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6.6671764310150167E-13</v>
      </c>
      <c r="AX118" s="23">
        <f t="shared" si="60"/>
        <v>6.6671764310150167E-13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>
        <f>BD118*VLOOKUP('Données projet'!$B$11,Paramètres!$A$1:$I$89,3,0)*VLOOKUP('Données projet'!$B$11,Paramètres!$A$1:$I$89,5,0)</f>
        <v>0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240.22884864766218</v>
      </c>
      <c r="BJ118" s="62">
        <f t="shared" si="92"/>
        <v>343.23776884143166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0.9753137909987124</v>
      </c>
      <c r="BR118" s="23">
        <f>EXP(-LN(2)/2)*BR117+(1-EXP(-LN(2)/2))/(LN(2)/2)*BL118*BO118*VLOOKUP('Données projet'!$B$11,Paramètres!$A$1:$I$89,3,0)*0.475*44/12</f>
        <v>2.6558540310040975E-12</v>
      </c>
      <c r="BS118" s="24">
        <f t="shared" si="63"/>
        <v>0.97531379100136828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3.7</v>
      </c>
      <c r="BY118" s="13">
        <f>IF('Données projet'!$A$114&gt;35,BY117+BX118-CG117,IF(A118&lt;'Données projet'!$A$114,$BV$205^A118,IF(A118='Données projet'!$A$114,'Données projet'!$B$114,BY117+BX118-CG117)))</f>
        <v>284.49999999999955</v>
      </c>
      <c r="BZ118" s="14">
        <f>BY118*VLOOKUP('Données projet'!$B$12,Paramètres!$A$1:$I$89,3,0)*VLOOKUP('Données projet'!$B$12,Paramètres!$A$1:$I$89,5,0)</f>
        <v>257.41559999999959</v>
      </c>
      <c r="CA118" s="14">
        <f t="shared" si="93"/>
        <v>62.171168434977062</v>
      </c>
      <c r="CB118" s="22">
        <f t="shared" si="64"/>
        <v>556.61362169091774</v>
      </c>
      <c r="CC118" s="62">
        <f t="shared" si="65"/>
        <v>849.94695502425111</v>
      </c>
      <c r="CD118" s="62">
        <f ca="1">AVERAGE(OFFSET($CC$3,0,0,'Données projet'!$E$12+1,1))-AVERAGE(OFFSET($H$3,0,0,'Données projet'!$E$12+1,1))</f>
        <v>428.8489304403459</v>
      </c>
      <c r="CE118" s="62">
        <f t="shared" si="94"/>
        <v>247.01165577562966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-1.7053025658242404E-13</v>
      </c>
      <c r="CU118" s="18">
        <f>CT118*VLOOKUP('Données projet'!$B$13,Paramètres!$A$1:$I$89,3,0)*VLOOKUP('Données projet'!$B$13,Paramètres!$A$1:$I$89,5,0)</f>
        <v>-1.3567387213697657E-13</v>
      </c>
      <c r="CV118" s="14" t="e">
        <f t="shared" si="95"/>
        <v>#NUM!</v>
      </c>
      <c r="CW118" s="22" t="e">
        <f t="shared" si="67"/>
        <v>#NUM!</v>
      </c>
      <c r="CX118" s="62" t="e">
        <f t="shared" si="68"/>
        <v>#NUM!</v>
      </c>
      <c r="CY118" s="62">
        <f ca="1">AVERAGE(OFFSET($CX$3,0,0,'Données projet'!$E$13+1,1))-AVERAGE(OFFSET($H$3,0,0,'Données projet'!$E$13+1,1))</f>
        <v>312.53381881960331</v>
      </c>
      <c r="CZ118" s="62">
        <f t="shared" si="96"/>
        <v>342.06887933351783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-1.7053025658242404E-13</v>
      </c>
      <c r="DP118" s="18">
        <f>DO118*VLOOKUP('Données projet'!$B$14,Paramètres!$A$1:$I$89,3,0)*VLOOKUP('Données projet'!$B$14,Paramètres!$A$1:$I$89,5,0)</f>
        <v>-1.250327841262333E-13</v>
      </c>
      <c r="DQ118" s="14" t="e">
        <f t="shared" si="97"/>
        <v>#NUM!</v>
      </c>
      <c r="DR118" s="22" t="e">
        <f t="shared" si="70"/>
        <v>#NUM!</v>
      </c>
      <c r="DS118" s="62" t="e">
        <f t="shared" si="71"/>
        <v>#NUM!</v>
      </c>
      <c r="DT118" s="62">
        <f ca="1">AVERAGE(OFFSET($DS$3,0,0,'Données projet'!$E$14+1,1))-AVERAGE(OFFSET($H$3,0,0,'Données projet'!$E$14+1,1))</f>
        <v>290.85271051443431</v>
      </c>
      <c r="DU118" s="62">
        <f t="shared" si="98"/>
        <v>318.66958823451142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0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4.8</v>
      </c>
      <c r="EJ118" s="13">
        <f>IF('Données projet'!$A$192&gt;35,EJ117+EI118-ER117,IF(A118&lt;'Données projet'!$A$192,$EG$205^A118,IF(A118='Données projet'!$A$192,'Données projet'!$B$192,EJ117+EI118-ER117)))</f>
        <v>338.99999999999994</v>
      </c>
      <c r="EK118" s="18">
        <f>EJ118*VLOOKUP('Données projet'!$B$15,Paramètres!$A$1:$I$89,3,0)*VLOOKUP('Données projet'!$B$15,Paramètres!$A$1:$I$89,5,0)</f>
        <v>290.86199999999997</v>
      </c>
      <c r="EL118" s="14">
        <f t="shared" si="99"/>
        <v>69.257352497482572</v>
      </c>
      <c r="EM118" s="22">
        <f t="shared" si="73"/>
        <v>627.2078722664487</v>
      </c>
      <c r="EN118" s="62">
        <f t="shared" si="74"/>
        <v>920.54120559978196</v>
      </c>
      <c r="EO118" s="62">
        <f ca="1">AVERAGE(OFFSET($EN$3,0,0,'Données projet'!$E$15+1,1))-AVERAGE(OFFSET($H$3,0,0,'Données projet'!$E$15+1,1))</f>
        <v>438.65317358403996</v>
      </c>
      <c r="EP118" s="62">
        <f t="shared" si="100"/>
        <v>176.81257896138806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0</v>
      </c>
      <c r="EW118" s="23">
        <f>EXP(-LN(2)/25)*EW117+(1-EXP(-LN(2)/25))/(LN(2)/25)*Calculateur!ER118*Calculateur!ET118*VLOOKUP('Données projet'!$B$15,Paramètres!$A$1:$I$89,3,0)*0.475*44/12</f>
        <v>0</v>
      </c>
      <c r="EX118" s="23">
        <f>EXP(-LN(2)/2)*EX117+(1-EXP(-LN(2)/2))/(LN(2)/2)*ER118*EU118*VLOOKUP('Données projet'!$B$15,Paramètres!$A$1:$I$89,3,0)*0.475*44/12</f>
        <v>0</v>
      </c>
      <c r="EY118" s="24">
        <f t="shared" si="75"/>
        <v>0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2.2737367544323206E-13</v>
      </c>
      <c r="O119" s="14">
        <f>N119*VLOOKUP('Données projet'!$B$9,Paramètres!$A$1:$I$89,3,0)*VLOOKUP('Données projet'!$B$9,Paramètres!$A$1:$I$89,5,0)</f>
        <v>1.2710188457276673E-13</v>
      </c>
      <c r="P119" s="14">
        <f t="shared" si="87"/>
        <v>1.856866851063998E-12</v>
      </c>
      <c r="Q119" s="22">
        <f t="shared" si="107"/>
        <v>3.4554122145673649E-12</v>
      </c>
      <c r="R119" s="62">
        <f t="shared" si="55"/>
        <v>293.33333333333678</v>
      </c>
      <c r="S119" s="62">
        <f ca="1">AVERAGE(OFFSET($R$3,0,0,'Données projet'!$E$9+1,1))-AVERAGE(OFFSET($H$3,0,0,'Données projet'!$E$9+1,1))</f>
        <v>323.98185264074681</v>
      </c>
      <c r="T119" s="62">
        <f t="shared" si="88"/>
        <v>301.22207291854005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0.81261925147297487</v>
      </c>
      <c r="AA119" s="23">
        <f>EXP(-LN(2)/25)*AA118+(1-EXP(-LN(2)/25))/(LN(2)/25)*Calculateur!V119*Calculateur!X119*VLOOKUP('Données projet'!$B$9,Paramètres!$A$1:$I$89,3,0)*0.475*44/12</f>
        <v>0.75992124916392323</v>
      </c>
      <c r="AB119" s="23">
        <f>EXP(-LN(2)/2)*AB118+(1-EXP(-LN(2)/2))/(LN(2)/2)*V119*Y119*VLOOKUP('Données projet'!$B$9,Paramètres!$A$1:$I$89,3,0)*0.475*44/12</f>
        <v>6.9210354690972288E-13</v>
      </c>
      <c r="AC119" s="24">
        <f t="shared" si="57"/>
        <v>1.5725405006375903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-2.8421709430404007E-13</v>
      </c>
      <c r="AJ119" s="14">
        <f>AI119*VLOOKUP('Données projet'!$B$10,Paramètres!$A$1:$I$89,3,0)*VLOOKUP('Données projet'!$B$10,Paramètres!$A$1:$I$89,5,0)</f>
        <v>-1.69961822393816E-13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289.12367833861299</v>
      </c>
      <c r="AO119" s="62">
        <f t="shared" si="90"/>
        <v>229.06617320689003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4.7144056657378422E-13</v>
      </c>
      <c r="AX119" s="23">
        <f t="shared" si="60"/>
        <v>4.7144056657378422E-13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>
        <f>BD119*VLOOKUP('Données projet'!$B$11,Paramètres!$A$1:$I$89,3,0)*VLOOKUP('Données projet'!$B$11,Paramètres!$A$1:$I$89,5,0)</f>
        <v>0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240.22884864766218</v>
      </c>
      <c r="BJ119" s="62">
        <f t="shared" si="92"/>
        <v>343.23776884143166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0.94864378409432948</v>
      </c>
      <c r="BR119" s="23">
        <f>EXP(-LN(2)/2)*BR118+(1-EXP(-LN(2)/2))/(LN(2)/2)*BL119*BO119*VLOOKUP('Données projet'!$B$11,Paramètres!$A$1:$I$89,3,0)*0.475*44/12</f>
        <v>1.8779723951646245E-12</v>
      </c>
      <c r="BS119" s="24">
        <f t="shared" si="63"/>
        <v>0.94864378409620742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3.7</v>
      </c>
      <c r="BY119" s="13">
        <f>IF('Données projet'!$A$114&gt;35,BY118+BX119-CG118,IF(A119&lt;'Données projet'!$A$114,$BV$205^A119,IF(A119='Données projet'!$A$114,'Données projet'!$B$114,BY118+BX119-CG118)))</f>
        <v>288.19999999999953</v>
      </c>
      <c r="BZ119" s="14">
        <f>BY119*VLOOKUP('Données projet'!$B$12,Paramètres!$A$1:$I$89,3,0)*VLOOKUP('Données projet'!$B$12,Paramètres!$A$1:$I$89,5,0)</f>
        <v>260.76335999999958</v>
      </c>
      <c r="CA119" s="14">
        <f t="shared" si="93"/>
        <v>62.885067686031896</v>
      </c>
      <c r="CB119" s="22">
        <f t="shared" si="64"/>
        <v>563.68767821983818</v>
      </c>
      <c r="CC119" s="62">
        <f t="shared" si="65"/>
        <v>857.02101155317155</v>
      </c>
      <c r="CD119" s="62">
        <f ca="1">AVERAGE(OFFSET($CC$3,0,0,'Données projet'!$E$12+1,1))-AVERAGE(OFFSET($H$3,0,0,'Données projet'!$E$12+1,1))</f>
        <v>428.8489304403459</v>
      </c>
      <c r="CE119" s="62">
        <f t="shared" si="94"/>
        <v>247.01165577562966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-1.7053025658242404E-13</v>
      </c>
      <c r="CU119" s="18">
        <f>CT119*VLOOKUP('Données projet'!$B$13,Paramètres!$A$1:$I$89,3,0)*VLOOKUP('Données projet'!$B$13,Paramètres!$A$1:$I$89,5,0)</f>
        <v>-1.3567387213697657E-13</v>
      </c>
      <c r="CV119" s="14" t="e">
        <f t="shared" si="95"/>
        <v>#NUM!</v>
      </c>
      <c r="CW119" s="22" t="e">
        <f t="shared" si="67"/>
        <v>#NUM!</v>
      </c>
      <c r="CX119" s="62" t="e">
        <f t="shared" si="68"/>
        <v>#NUM!</v>
      </c>
      <c r="CY119" s="62">
        <f ca="1">AVERAGE(OFFSET($CX$3,0,0,'Données projet'!$E$13+1,1))-AVERAGE(OFFSET($H$3,0,0,'Données projet'!$E$13+1,1))</f>
        <v>312.53381881960331</v>
      </c>
      <c r="CZ119" s="62">
        <f t="shared" si="96"/>
        <v>342.06887933351783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-1.7053025658242404E-13</v>
      </c>
      <c r="DP119" s="18">
        <f>DO119*VLOOKUP('Données projet'!$B$14,Paramètres!$A$1:$I$89,3,0)*VLOOKUP('Données projet'!$B$14,Paramètres!$A$1:$I$89,5,0)</f>
        <v>-1.250327841262333E-13</v>
      </c>
      <c r="DQ119" s="14" t="e">
        <f t="shared" si="97"/>
        <v>#NUM!</v>
      </c>
      <c r="DR119" s="22" t="e">
        <f t="shared" si="70"/>
        <v>#NUM!</v>
      </c>
      <c r="DS119" s="62" t="e">
        <f t="shared" si="71"/>
        <v>#NUM!</v>
      </c>
      <c r="DT119" s="62">
        <f ca="1">AVERAGE(OFFSET($DS$3,0,0,'Données projet'!$E$14+1,1))-AVERAGE(OFFSET($H$3,0,0,'Données projet'!$E$14+1,1))</f>
        <v>290.85271051443431</v>
      </c>
      <c r="DU119" s="62">
        <f t="shared" si="98"/>
        <v>318.66958823451142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0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4.8</v>
      </c>
      <c r="EJ119" s="13">
        <f>IF('Données projet'!$A$192&gt;35,EJ118+EI119-ER118,IF(A119&lt;'Données projet'!$A$192,$EG$205^A119,IF(A119='Données projet'!$A$192,'Données projet'!$B$192,EJ118+EI119-ER118)))</f>
        <v>343.79999999999995</v>
      </c>
      <c r="EK119" s="18">
        <f>EJ119*VLOOKUP('Données projet'!$B$15,Paramètres!$A$1:$I$89,3,0)*VLOOKUP('Données projet'!$B$15,Paramètres!$A$1:$I$89,5,0)</f>
        <v>294.98040000000003</v>
      </c>
      <c r="EL119" s="14">
        <f t="shared" si="99"/>
        <v>70.123131339900866</v>
      </c>
      <c r="EM119" s="22">
        <f t="shared" si="73"/>
        <v>635.8886504169941</v>
      </c>
      <c r="EN119" s="62">
        <f t="shared" si="74"/>
        <v>929.22198375032735</v>
      </c>
      <c r="EO119" s="62">
        <f ca="1">AVERAGE(OFFSET($EN$3,0,0,'Données projet'!$E$15+1,1))-AVERAGE(OFFSET($H$3,0,0,'Données projet'!$E$15+1,1))</f>
        <v>438.65317358403996</v>
      </c>
      <c r="EP119" s="62">
        <f t="shared" si="100"/>
        <v>176.81257896138806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0</v>
      </c>
      <c r="EW119" s="23">
        <f>EXP(-LN(2)/25)*EW118+(1-EXP(-LN(2)/25))/(LN(2)/25)*Calculateur!ER119*Calculateur!ET119*VLOOKUP('Données projet'!$B$15,Paramètres!$A$1:$I$89,3,0)*0.475*44/12</f>
        <v>0</v>
      </c>
      <c r="EX119" s="23">
        <f>EXP(-LN(2)/2)*EX118+(1-EXP(-LN(2)/2))/(LN(2)/2)*ER119*EU119*VLOOKUP('Données projet'!$B$15,Paramètres!$A$1:$I$89,3,0)*0.475*44/12</f>
        <v>0</v>
      </c>
      <c r="EY119" s="24">
        <f t="shared" si="75"/>
        <v>0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2.2737367544323206E-13</v>
      </c>
      <c r="O120" s="14">
        <f>N120*VLOOKUP('Données projet'!$B$9,Paramètres!$A$1:$I$89,3,0)*VLOOKUP('Données projet'!$B$9,Paramètres!$A$1:$I$89,5,0)</f>
        <v>1.2710188457276673E-13</v>
      </c>
      <c r="P120" s="14">
        <f t="shared" si="87"/>
        <v>1.856866851063998E-12</v>
      </c>
      <c r="Q120" s="22">
        <f t="shared" si="107"/>
        <v>3.4554122145673649E-12</v>
      </c>
      <c r="R120" s="62">
        <f t="shared" si="55"/>
        <v>293.33333333333678</v>
      </c>
      <c r="S120" s="62">
        <f ca="1">AVERAGE(OFFSET($R$3,0,0,'Données projet'!$E$9+1,1))-AVERAGE(OFFSET($H$3,0,0,'Données projet'!$E$9+1,1))</f>
        <v>323.98185264074681</v>
      </c>
      <c r="T120" s="62">
        <f t="shared" si="88"/>
        <v>301.22207291854005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0.79668428360039201</v>
      </c>
      <c r="AA120" s="23">
        <f>EXP(-LN(2)/25)*AA119+(1-EXP(-LN(2)/25))/(LN(2)/25)*Calculateur!V120*Calculateur!X120*VLOOKUP('Données projet'!$B$9,Paramètres!$A$1:$I$89,3,0)*0.475*44/12</f>
        <v>0.7391411626430141</v>
      </c>
      <c r="AB120" s="23">
        <f>EXP(-LN(2)/2)*AB119+(1-EXP(-LN(2)/2))/(LN(2)/2)*V120*Y120*VLOOKUP('Données projet'!$B$9,Paramètres!$A$1:$I$89,3,0)*0.475*44/12</f>
        <v>4.8939111130312684E-13</v>
      </c>
      <c r="AC120" s="24">
        <f t="shared" si="57"/>
        <v>1.5358254462438956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-2.8421709430404007E-13</v>
      </c>
      <c r="AJ120" s="14">
        <f>AI120*VLOOKUP('Données projet'!$B$10,Paramètres!$A$1:$I$89,3,0)*VLOOKUP('Données projet'!$B$10,Paramètres!$A$1:$I$89,5,0)</f>
        <v>-1.69961822393816E-13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289.12367833861299</v>
      </c>
      <c r="AO120" s="62">
        <f t="shared" si="90"/>
        <v>229.06617320689003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3.3335882155075084E-13</v>
      </c>
      <c r="AX120" s="23">
        <f t="shared" si="60"/>
        <v>3.3335882155075084E-13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>
        <f>BD120*VLOOKUP('Données projet'!$B$11,Paramètres!$A$1:$I$89,3,0)*VLOOKUP('Données projet'!$B$11,Paramètres!$A$1:$I$89,5,0)</f>
        <v>0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240.22884864766218</v>
      </c>
      <c r="BJ120" s="62">
        <f t="shared" si="92"/>
        <v>343.23776884143166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0.92270306993126161</v>
      </c>
      <c r="BR120" s="23">
        <f>EXP(-LN(2)/2)*BR119+(1-EXP(-LN(2)/2))/(LN(2)/2)*BL120*BO120*VLOOKUP('Données projet'!$B$11,Paramètres!$A$1:$I$89,3,0)*0.475*44/12</f>
        <v>1.3279270155020487E-12</v>
      </c>
      <c r="BS120" s="24">
        <f t="shared" si="63"/>
        <v>0.92270306993258955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3.7</v>
      </c>
      <c r="BY120" s="13">
        <f>IF('Données projet'!$A$114&gt;35,BY119+BX120-CG119,IF(A120&lt;'Données projet'!$A$114,$BV$205^A120,IF(A120='Données projet'!$A$114,'Données projet'!$B$114,BY119+BX120-CG119)))</f>
        <v>291.89999999999952</v>
      </c>
      <c r="BZ120" s="14">
        <f>BY120*VLOOKUP('Données projet'!$B$12,Paramètres!$A$1:$I$89,3,0)*VLOOKUP('Données projet'!$B$12,Paramètres!$A$1:$I$89,5,0)</f>
        <v>264.11111999999957</v>
      </c>
      <c r="CA120" s="14">
        <f t="shared" si="93"/>
        <v>63.597900866870546</v>
      </c>
      <c r="CB120" s="22">
        <f t="shared" si="64"/>
        <v>570.75987800979885</v>
      </c>
      <c r="CC120" s="62">
        <f t="shared" si="65"/>
        <v>864.09321134313223</v>
      </c>
      <c r="CD120" s="62">
        <f ca="1">AVERAGE(OFFSET($CC$3,0,0,'Données projet'!$E$12+1,1))-AVERAGE(OFFSET($H$3,0,0,'Données projet'!$E$12+1,1))</f>
        <v>428.8489304403459</v>
      </c>
      <c r="CE120" s="62">
        <f t="shared" si="94"/>
        <v>247.01165577562966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-1.7053025658242404E-13</v>
      </c>
      <c r="CU120" s="18">
        <f>CT120*VLOOKUP('Données projet'!$B$13,Paramètres!$A$1:$I$89,3,0)*VLOOKUP('Données projet'!$B$13,Paramètres!$A$1:$I$89,5,0)</f>
        <v>-1.3567387213697657E-13</v>
      </c>
      <c r="CV120" s="14" t="e">
        <f t="shared" si="95"/>
        <v>#NUM!</v>
      </c>
      <c r="CW120" s="22" t="e">
        <f t="shared" si="67"/>
        <v>#NUM!</v>
      </c>
      <c r="CX120" s="62" t="e">
        <f t="shared" si="68"/>
        <v>#NUM!</v>
      </c>
      <c r="CY120" s="62">
        <f ca="1">AVERAGE(OFFSET($CX$3,0,0,'Données projet'!$E$13+1,1))-AVERAGE(OFFSET($H$3,0,0,'Données projet'!$E$13+1,1))</f>
        <v>312.53381881960331</v>
      </c>
      <c r="CZ120" s="62">
        <f t="shared" si="96"/>
        <v>342.06887933351783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-1.7053025658242404E-13</v>
      </c>
      <c r="DP120" s="18">
        <f>DO120*VLOOKUP('Données projet'!$B$14,Paramètres!$A$1:$I$89,3,0)*VLOOKUP('Données projet'!$B$14,Paramètres!$A$1:$I$89,5,0)</f>
        <v>-1.250327841262333E-13</v>
      </c>
      <c r="DQ120" s="14" t="e">
        <f t="shared" si="97"/>
        <v>#NUM!</v>
      </c>
      <c r="DR120" s="22" t="e">
        <f t="shared" si="70"/>
        <v>#NUM!</v>
      </c>
      <c r="DS120" s="62" t="e">
        <f t="shared" si="71"/>
        <v>#NUM!</v>
      </c>
      <c r="DT120" s="62">
        <f ca="1">AVERAGE(OFFSET($DS$3,0,0,'Données projet'!$E$14+1,1))-AVERAGE(OFFSET($H$3,0,0,'Données projet'!$E$14+1,1))</f>
        <v>290.85271051443431</v>
      </c>
      <c r="DU120" s="62">
        <f t="shared" si="98"/>
        <v>318.66958823451142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0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4.8</v>
      </c>
      <c r="EJ120" s="13">
        <f>IF('Données projet'!$A$192&gt;35,EJ119+EI120-ER119,IF(A120&lt;'Données projet'!$A$192,$EG$205^A120,IF(A120='Données projet'!$A$192,'Données projet'!$B$192,EJ119+EI120-ER119)))</f>
        <v>348.59999999999997</v>
      </c>
      <c r="EK120" s="18">
        <f>EJ120*VLOOKUP('Données projet'!$B$15,Paramètres!$A$1:$I$89,3,0)*VLOOKUP('Données projet'!$B$15,Paramètres!$A$1:$I$89,5,0)</f>
        <v>299.09879999999998</v>
      </c>
      <c r="EL120" s="14">
        <f t="shared" si="99"/>
        <v>70.987504272745966</v>
      </c>
      <c r="EM120" s="22">
        <f t="shared" si="73"/>
        <v>644.56697994169917</v>
      </c>
      <c r="EN120" s="62">
        <f t="shared" si="74"/>
        <v>937.90031327503243</v>
      </c>
      <c r="EO120" s="62">
        <f ca="1">AVERAGE(OFFSET($EN$3,0,0,'Données projet'!$E$15+1,1))-AVERAGE(OFFSET($H$3,0,0,'Données projet'!$E$15+1,1))</f>
        <v>438.65317358403996</v>
      </c>
      <c r="EP120" s="62">
        <f t="shared" si="100"/>
        <v>176.81257896138806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0</v>
      </c>
      <c r="EW120" s="23">
        <f>EXP(-LN(2)/25)*EW119+(1-EXP(-LN(2)/25))/(LN(2)/25)*Calculateur!ER120*Calculateur!ET120*VLOOKUP('Données projet'!$B$15,Paramètres!$A$1:$I$89,3,0)*0.475*44/12</f>
        <v>0</v>
      </c>
      <c r="EX120" s="23">
        <f>EXP(-LN(2)/2)*EX119+(1-EXP(-LN(2)/2))/(LN(2)/2)*ER120*EU120*VLOOKUP('Données projet'!$B$15,Paramètres!$A$1:$I$89,3,0)*0.475*44/12</f>
        <v>0</v>
      </c>
      <c r="EY120" s="24">
        <f t="shared" si="75"/>
        <v>0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2.2737367544323206E-13</v>
      </c>
      <c r="O121" s="14">
        <f>N121*VLOOKUP('Données projet'!$B$9,Paramètres!$A$1:$I$89,3,0)*VLOOKUP('Données projet'!$B$9,Paramètres!$A$1:$I$89,5,0)</f>
        <v>1.2710188457276673E-13</v>
      </c>
      <c r="P121" s="14">
        <f t="shared" si="87"/>
        <v>1.856866851063998E-12</v>
      </c>
      <c r="Q121" s="22">
        <f t="shared" si="107"/>
        <v>3.4554122145673649E-12</v>
      </c>
      <c r="R121" s="62">
        <f t="shared" si="55"/>
        <v>293.33333333333678</v>
      </c>
      <c r="S121" s="62">
        <f ca="1">AVERAGE(OFFSET($R$3,0,0,'Données projet'!$E$9+1,1))-AVERAGE(OFFSET($H$3,0,0,'Données projet'!$E$9+1,1))</f>
        <v>323.98185264074681</v>
      </c>
      <c r="T121" s="62">
        <f t="shared" si="88"/>
        <v>301.22207291854005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0.78106179072841975</v>
      </c>
      <c r="AA121" s="23">
        <f>EXP(-LN(2)/25)*AA120+(1-EXP(-LN(2)/25))/(LN(2)/25)*Calculateur!V121*Calculateur!X121*VLOOKUP('Données projet'!$B$9,Paramètres!$A$1:$I$89,3,0)*0.475*44/12</f>
        <v>0.71892930868079652</v>
      </c>
      <c r="AB121" s="23">
        <f>EXP(-LN(2)/2)*AB120+(1-EXP(-LN(2)/2))/(LN(2)/2)*V121*Y121*VLOOKUP('Données projet'!$B$9,Paramètres!$A$1:$I$89,3,0)*0.475*44/12</f>
        <v>3.4605177345486144E-13</v>
      </c>
      <c r="AC121" s="24">
        <f t="shared" si="57"/>
        <v>1.4999910994095622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-2.8421709430404007E-13</v>
      </c>
      <c r="AJ121" s="14">
        <f>AI121*VLOOKUP('Données projet'!$B$10,Paramètres!$A$1:$I$89,3,0)*VLOOKUP('Données projet'!$B$10,Paramètres!$A$1:$I$89,5,0)</f>
        <v>-1.69961822393816E-13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289.12367833861299</v>
      </c>
      <c r="AO121" s="62">
        <f t="shared" si="90"/>
        <v>229.06617320689003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2.3572028328689211E-13</v>
      </c>
      <c r="AX121" s="23">
        <f t="shared" si="60"/>
        <v>2.3572028328689211E-13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>
        <f>BD121*VLOOKUP('Données projet'!$B$11,Paramètres!$A$1:$I$89,3,0)*VLOOKUP('Données projet'!$B$11,Paramètres!$A$1:$I$89,5,0)</f>
        <v>0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240.22884864766218</v>
      </c>
      <c r="BJ121" s="62">
        <f t="shared" si="92"/>
        <v>343.23776884143166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0.89747170596114567</v>
      </c>
      <c r="BR121" s="23">
        <f>EXP(-LN(2)/2)*BR120+(1-EXP(-LN(2)/2))/(LN(2)/2)*BL121*BO121*VLOOKUP('Données projet'!$B$11,Paramètres!$A$1:$I$89,3,0)*0.475*44/12</f>
        <v>9.3898619758231227E-13</v>
      </c>
      <c r="BS121" s="24">
        <f t="shared" si="63"/>
        <v>0.8974717059620847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3.7</v>
      </c>
      <c r="BY121" s="13">
        <f>IF('Données projet'!$A$114&gt;35,BY120+BX121-CG120,IF(A121&lt;'Données projet'!$A$114,$BV$205^A121,IF(A121='Données projet'!$A$114,'Données projet'!$B$114,BY120+BX121-CG120)))</f>
        <v>295.59999999999951</v>
      </c>
      <c r="BZ121" s="14">
        <f>BY121*VLOOKUP('Données projet'!$B$12,Paramètres!$A$1:$I$89,3,0)*VLOOKUP('Données projet'!$B$12,Paramètres!$A$1:$I$89,5,0)</f>
        <v>267.45887999999951</v>
      </c>
      <c r="CA121" s="14">
        <f t="shared" si="93"/>
        <v>64.309683053152327</v>
      </c>
      <c r="CB121" s="22">
        <f t="shared" si="64"/>
        <v>577.8302473175728</v>
      </c>
      <c r="CC121" s="62">
        <f t="shared" si="65"/>
        <v>871.16358065090617</v>
      </c>
      <c r="CD121" s="62">
        <f ca="1">AVERAGE(OFFSET($CC$3,0,0,'Données projet'!$E$12+1,1))-AVERAGE(OFFSET($H$3,0,0,'Données projet'!$E$12+1,1))</f>
        <v>428.8489304403459</v>
      </c>
      <c r="CE121" s="62">
        <f t="shared" si="94"/>
        <v>247.01165577562966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-1.7053025658242404E-13</v>
      </c>
      <c r="CU121" s="18">
        <f>CT121*VLOOKUP('Données projet'!$B$13,Paramètres!$A$1:$I$89,3,0)*VLOOKUP('Données projet'!$B$13,Paramètres!$A$1:$I$89,5,0)</f>
        <v>-1.3567387213697657E-13</v>
      </c>
      <c r="CV121" s="14" t="e">
        <f t="shared" si="95"/>
        <v>#NUM!</v>
      </c>
      <c r="CW121" s="22" t="e">
        <f t="shared" si="67"/>
        <v>#NUM!</v>
      </c>
      <c r="CX121" s="62" t="e">
        <f t="shared" si="68"/>
        <v>#NUM!</v>
      </c>
      <c r="CY121" s="62">
        <f ca="1">AVERAGE(OFFSET($CX$3,0,0,'Données projet'!$E$13+1,1))-AVERAGE(OFFSET($H$3,0,0,'Données projet'!$E$13+1,1))</f>
        <v>312.53381881960331</v>
      </c>
      <c r="CZ121" s="62">
        <f t="shared" si="96"/>
        <v>342.06887933351783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-1.7053025658242404E-13</v>
      </c>
      <c r="DP121" s="18">
        <f>DO121*VLOOKUP('Données projet'!$B$14,Paramètres!$A$1:$I$89,3,0)*VLOOKUP('Données projet'!$B$14,Paramètres!$A$1:$I$89,5,0)</f>
        <v>-1.250327841262333E-13</v>
      </c>
      <c r="DQ121" s="14" t="e">
        <f t="shared" si="97"/>
        <v>#NUM!</v>
      </c>
      <c r="DR121" s="22" t="e">
        <f t="shared" si="70"/>
        <v>#NUM!</v>
      </c>
      <c r="DS121" s="62" t="e">
        <f t="shared" si="71"/>
        <v>#NUM!</v>
      </c>
      <c r="DT121" s="62">
        <f ca="1">AVERAGE(OFFSET($DS$3,0,0,'Données projet'!$E$14+1,1))-AVERAGE(OFFSET($H$3,0,0,'Données projet'!$E$14+1,1))</f>
        <v>290.85271051443431</v>
      </c>
      <c r="DU121" s="62">
        <f t="shared" si="98"/>
        <v>318.66958823451142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0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4.8</v>
      </c>
      <c r="EJ121" s="13">
        <f>IF('Données projet'!$A$192&gt;35,EJ120+EI121-ER120,IF(A121&lt;'Données projet'!$A$192,$EG$205^A121,IF(A121='Données projet'!$A$192,'Données projet'!$B$192,EJ120+EI121-ER120)))</f>
        <v>353.4</v>
      </c>
      <c r="EK121" s="18">
        <f>EJ121*VLOOKUP('Données projet'!$B$15,Paramètres!$A$1:$I$89,3,0)*VLOOKUP('Données projet'!$B$15,Paramètres!$A$1:$I$89,5,0)</f>
        <v>303.21719999999999</v>
      </c>
      <c r="EL121" s="14">
        <f t="shared" si="99"/>
        <v>71.850492891887797</v>
      </c>
      <c r="EM121" s="22">
        <f t="shared" si="73"/>
        <v>653.24289845337114</v>
      </c>
      <c r="EN121" s="62">
        <f t="shared" si="74"/>
        <v>946.57623178670451</v>
      </c>
      <c r="EO121" s="62">
        <f ca="1">AVERAGE(OFFSET($EN$3,0,0,'Données projet'!$E$15+1,1))-AVERAGE(OFFSET($H$3,0,0,'Données projet'!$E$15+1,1))</f>
        <v>438.65317358403996</v>
      </c>
      <c r="EP121" s="62">
        <f t="shared" si="100"/>
        <v>176.81257896138806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0</v>
      </c>
      <c r="EW121" s="23">
        <f>EXP(-LN(2)/25)*EW120+(1-EXP(-LN(2)/25))/(LN(2)/25)*Calculateur!ER121*Calculateur!ET121*VLOOKUP('Données projet'!$B$15,Paramètres!$A$1:$I$89,3,0)*0.475*44/12</f>
        <v>0</v>
      </c>
      <c r="EX121" s="23">
        <f>EXP(-LN(2)/2)*EX120+(1-EXP(-LN(2)/2))/(LN(2)/2)*ER121*EU121*VLOOKUP('Données projet'!$B$15,Paramètres!$A$1:$I$89,3,0)*0.475*44/12</f>
        <v>0</v>
      </c>
      <c r="EY121" s="24">
        <f t="shared" si="75"/>
        <v>0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2.2737367544323206E-13</v>
      </c>
      <c r="O122" s="14">
        <f>N122*VLOOKUP('Données projet'!$B$9,Paramètres!$A$1:$I$89,3,0)*VLOOKUP('Données projet'!$B$9,Paramètres!$A$1:$I$89,5,0)</f>
        <v>1.2710188457276673E-13</v>
      </c>
      <c r="P122" s="14">
        <f t="shared" si="87"/>
        <v>1.856866851063998E-12</v>
      </c>
      <c r="Q122" s="22">
        <f t="shared" si="107"/>
        <v>3.4554122145673649E-12</v>
      </c>
      <c r="R122" s="62">
        <f t="shared" si="55"/>
        <v>293.33333333333678</v>
      </c>
      <c r="S122" s="62">
        <f ca="1">AVERAGE(OFFSET($R$3,0,0,'Données projet'!$E$9+1,1))-AVERAGE(OFFSET($H$3,0,0,'Données projet'!$E$9+1,1))</f>
        <v>323.98185264074681</v>
      </c>
      <c r="T122" s="62">
        <f t="shared" si="88"/>
        <v>301.22207291854005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0.76574564541288714</v>
      </c>
      <c r="AA122" s="23">
        <f>EXP(-LN(2)/25)*AA121+(1-EXP(-LN(2)/25))/(LN(2)/25)*Calculateur!V122*Calculateur!X122*VLOOKUP('Données projet'!$B$9,Paramètres!$A$1:$I$89,3,0)*0.475*44/12</f>
        <v>0.69927014892807093</v>
      </c>
      <c r="AB122" s="23">
        <f>EXP(-LN(2)/2)*AB121+(1-EXP(-LN(2)/2))/(LN(2)/2)*V122*Y122*VLOOKUP('Données projet'!$B$9,Paramètres!$A$1:$I$89,3,0)*0.475*44/12</f>
        <v>2.4469555565156342E-13</v>
      </c>
      <c r="AC122" s="24">
        <f t="shared" si="57"/>
        <v>1.4650157943412028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-2.8421709430404007E-13</v>
      </c>
      <c r="AJ122" s="14">
        <f>AI122*VLOOKUP('Données projet'!$B$10,Paramètres!$A$1:$I$89,3,0)*VLOOKUP('Données projet'!$B$10,Paramètres!$A$1:$I$89,5,0)</f>
        <v>-1.69961822393816E-13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289.12367833861299</v>
      </c>
      <c r="AO122" s="62">
        <f t="shared" si="90"/>
        <v>229.06617320689003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1.6667941077537542E-13</v>
      </c>
      <c r="AX122" s="23">
        <f t="shared" si="60"/>
        <v>1.6667941077537542E-13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>
        <f>BD122*VLOOKUP('Données projet'!$B$11,Paramètres!$A$1:$I$89,3,0)*VLOOKUP('Données projet'!$B$11,Paramètres!$A$1:$I$89,5,0)</f>
        <v>0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240.22884864766218</v>
      </c>
      <c r="BJ122" s="62">
        <f t="shared" si="92"/>
        <v>343.23776884143166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0.87293029496565233</v>
      </c>
      <c r="BR122" s="23">
        <f>EXP(-LN(2)/2)*BR121+(1-EXP(-LN(2)/2))/(LN(2)/2)*BL122*BO122*VLOOKUP('Données projet'!$B$11,Paramètres!$A$1:$I$89,3,0)*0.475*44/12</f>
        <v>6.6396350775102437E-13</v>
      </c>
      <c r="BS122" s="24">
        <f t="shared" si="63"/>
        <v>0.87293029496631624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3.7</v>
      </c>
      <c r="BY122" s="13">
        <f>IF('Données projet'!$A$114&gt;35,BY121+BX122-CG121,IF(A122&lt;'Données projet'!$A$114,$BV$205^A122,IF(A122='Données projet'!$A$114,'Données projet'!$B$114,BY121+BX122-CG121)))</f>
        <v>299.2999999999995</v>
      </c>
      <c r="BZ122" s="14">
        <f>BY122*VLOOKUP('Données projet'!$B$12,Paramètres!$A$1:$I$89,3,0)*VLOOKUP('Données projet'!$B$12,Paramètres!$A$1:$I$89,5,0)</f>
        <v>270.80663999999956</v>
      </c>
      <c r="CA122" s="14">
        <f t="shared" si="93"/>
        <v>65.020428921429911</v>
      </c>
      <c r="CB122" s="22">
        <f t="shared" si="64"/>
        <v>584.89881170482306</v>
      </c>
      <c r="CC122" s="62">
        <f t="shared" si="65"/>
        <v>878.23214503815643</v>
      </c>
      <c r="CD122" s="62">
        <f ca="1">AVERAGE(OFFSET($CC$3,0,0,'Données projet'!$E$12+1,1))-AVERAGE(OFFSET($H$3,0,0,'Données projet'!$E$12+1,1))</f>
        <v>428.8489304403459</v>
      </c>
      <c r="CE122" s="62">
        <f t="shared" si="94"/>
        <v>247.01165577562966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-1.7053025658242404E-13</v>
      </c>
      <c r="CU122" s="18">
        <f>CT122*VLOOKUP('Données projet'!$B$13,Paramètres!$A$1:$I$89,3,0)*VLOOKUP('Données projet'!$B$13,Paramètres!$A$1:$I$89,5,0)</f>
        <v>-1.3567387213697657E-13</v>
      </c>
      <c r="CV122" s="14" t="e">
        <f t="shared" si="95"/>
        <v>#NUM!</v>
      </c>
      <c r="CW122" s="22" t="e">
        <f t="shared" si="67"/>
        <v>#NUM!</v>
      </c>
      <c r="CX122" s="62" t="e">
        <f t="shared" si="68"/>
        <v>#NUM!</v>
      </c>
      <c r="CY122" s="62">
        <f ca="1">AVERAGE(OFFSET($CX$3,0,0,'Données projet'!$E$13+1,1))-AVERAGE(OFFSET($H$3,0,0,'Données projet'!$E$13+1,1))</f>
        <v>312.53381881960331</v>
      </c>
      <c r="CZ122" s="62">
        <f t="shared" si="96"/>
        <v>342.06887933351783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-1.7053025658242404E-13</v>
      </c>
      <c r="DP122" s="18">
        <f>DO122*VLOOKUP('Données projet'!$B$14,Paramètres!$A$1:$I$89,3,0)*VLOOKUP('Données projet'!$B$14,Paramètres!$A$1:$I$89,5,0)</f>
        <v>-1.250327841262333E-13</v>
      </c>
      <c r="DQ122" s="14" t="e">
        <f t="shared" si="97"/>
        <v>#NUM!</v>
      </c>
      <c r="DR122" s="22" t="e">
        <f t="shared" si="70"/>
        <v>#NUM!</v>
      </c>
      <c r="DS122" s="62" t="e">
        <f t="shared" si="71"/>
        <v>#NUM!</v>
      </c>
      <c r="DT122" s="62">
        <f ca="1">AVERAGE(OFFSET($DS$3,0,0,'Données projet'!$E$14+1,1))-AVERAGE(OFFSET($H$3,0,0,'Données projet'!$E$14+1,1))</f>
        <v>290.85271051443431</v>
      </c>
      <c r="DU122" s="62">
        <f t="shared" si="98"/>
        <v>318.66958823451142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0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4.8</v>
      </c>
      <c r="EJ122" s="13">
        <f>IF('Données projet'!$A$192&gt;35,EJ121+EI122-ER121,IF(A122&lt;'Données projet'!$A$192,$EG$205^A122,IF(A122='Données projet'!$A$192,'Données projet'!$B$192,EJ121+EI122-ER121)))</f>
        <v>358.2</v>
      </c>
      <c r="EK122" s="18">
        <f>EJ122*VLOOKUP('Données projet'!$B$15,Paramètres!$A$1:$I$89,3,0)*VLOOKUP('Données projet'!$B$15,Paramètres!$A$1:$I$89,5,0)</f>
        <v>307.33560000000006</v>
      </c>
      <c r="EL122" s="14">
        <f t="shared" si="99"/>
        <v>72.712118172841912</v>
      </c>
      <c r="EM122" s="22">
        <f t="shared" si="73"/>
        <v>661.91644248436648</v>
      </c>
      <c r="EN122" s="62">
        <f t="shared" si="74"/>
        <v>955.24977581769986</v>
      </c>
      <c r="EO122" s="62">
        <f ca="1">AVERAGE(OFFSET($EN$3,0,0,'Données projet'!$E$15+1,1))-AVERAGE(OFFSET($H$3,0,0,'Données projet'!$E$15+1,1))</f>
        <v>438.65317358403996</v>
      </c>
      <c r="EP122" s="62">
        <f t="shared" si="100"/>
        <v>176.81257896138806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0</v>
      </c>
      <c r="EW122" s="23">
        <f>EXP(-LN(2)/25)*EW121+(1-EXP(-LN(2)/25))/(LN(2)/25)*Calculateur!ER122*Calculateur!ET122*VLOOKUP('Données projet'!$B$15,Paramètres!$A$1:$I$89,3,0)*0.475*44/12</f>
        <v>0</v>
      </c>
      <c r="EX122" s="23">
        <f>EXP(-LN(2)/2)*EX121+(1-EXP(-LN(2)/2))/(LN(2)/2)*ER122*EU122*VLOOKUP('Données projet'!$B$15,Paramètres!$A$1:$I$89,3,0)*0.475*44/12</f>
        <v>0</v>
      </c>
      <c r="EY122" s="24">
        <f t="shared" si="75"/>
        <v>0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2.2737367544323206E-13</v>
      </c>
      <c r="O123" s="14">
        <f>N123*VLOOKUP('Données projet'!$B$9,Paramètres!$A$1:$I$89,3,0)*VLOOKUP('Données projet'!$B$9,Paramètres!$A$1:$I$89,5,0)</f>
        <v>1.2710188457276673E-13</v>
      </c>
      <c r="P123" s="14">
        <f t="shared" si="87"/>
        <v>1.856866851063998E-12</v>
      </c>
      <c r="Q123" s="22">
        <f t="shared" si="107"/>
        <v>3.4554122145673649E-12</v>
      </c>
      <c r="R123" s="62">
        <f t="shared" si="55"/>
        <v>293.33333333333678</v>
      </c>
      <c r="S123" s="62">
        <f ca="1">AVERAGE(OFFSET($R$3,0,0,'Données projet'!$E$9+1,1))-AVERAGE(OFFSET($H$3,0,0,'Données projet'!$E$9+1,1))</f>
        <v>323.98185264074681</v>
      </c>
      <c r="T123" s="62">
        <f t="shared" si="88"/>
        <v>301.22207291854005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0.75072984036506596</v>
      </c>
      <c r="AA123" s="23">
        <f>EXP(-LN(2)/25)*AA122+(1-EXP(-LN(2)/25))/(LN(2)/25)*Calculateur!V123*Calculateur!X123*VLOOKUP('Données projet'!$B$9,Paramètres!$A$1:$I$89,3,0)*0.475*44/12</f>
        <v>0.68014856993261386</v>
      </c>
      <c r="AB123" s="23">
        <f>EXP(-LN(2)/2)*AB122+(1-EXP(-LN(2)/2))/(LN(2)/2)*V123*Y123*VLOOKUP('Données projet'!$B$9,Paramètres!$A$1:$I$89,3,0)*0.475*44/12</f>
        <v>1.7302588672743072E-13</v>
      </c>
      <c r="AC123" s="24">
        <f t="shared" si="57"/>
        <v>1.4308784102978527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-2.8421709430404007E-13</v>
      </c>
      <c r="AJ123" s="14">
        <f>AI123*VLOOKUP('Données projet'!$B$10,Paramètres!$A$1:$I$89,3,0)*VLOOKUP('Données projet'!$B$10,Paramètres!$A$1:$I$89,5,0)</f>
        <v>-1.69961822393816E-13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289.12367833861299</v>
      </c>
      <c r="AO123" s="62">
        <f t="shared" si="90"/>
        <v>229.06617320689003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1.1786014164344606E-13</v>
      </c>
      <c r="AX123" s="23">
        <f t="shared" si="60"/>
        <v>1.1786014164344606E-13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>
        <f>BD123*VLOOKUP('Données projet'!$B$11,Paramètres!$A$1:$I$89,3,0)*VLOOKUP('Données projet'!$B$11,Paramètres!$A$1:$I$89,5,0)</f>
        <v>0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240.22884864766218</v>
      </c>
      <c r="BJ123" s="62">
        <f t="shared" si="92"/>
        <v>343.23776884143166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0.84905997014440748</v>
      </c>
      <c r="BR123" s="23">
        <f>EXP(-LN(2)/2)*BR122+(1-EXP(-LN(2)/2))/(LN(2)/2)*BL123*BO123*VLOOKUP('Données projet'!$B$11,Paramètres!$A$1:$I$89,3,0)*0.475*44/12</f>
        <v>4.6949309879115614E-13</v>
      </c>
      <c r="BS123" s="24">
        <f t="shared" si="63"/>
        <v>0.849059970144877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>
        <f>VLOOKUP(A123,'Données projet'!$A$113:$I$133,2,0)</f>
        <v>303</v>
      </c>
      <c r="BW123" s="13">
        <f>VLOOKUP(A123,'Données projet'!$A$113:$I$133,9,0)</f>
        <v>3.7</v>
      </c>
      <c r="BX123" s="13">
        <f t="array" ref="BX123">INDEX(BW:BW,MIN(IF(ISNUMBER(BW123:BW319),ROW(BW123:BW319),"")))</f>
        <v>3.7</v>
      </c>
      <c r="BY123" s="13">
        <f>IF('Données projet'!$A$114&gt;35,BY122+BX123-CG122,IF(A123&lt;'Données projet'!$A$114,$BV$205^A123,IF(A123='Données projet'!$A$114,'Données projet'!$B$114,BY122+BX123-CG122)))</f>
        <v>302.99999999999949</v>
      </c>
      <c r="BZ123" s="14">
        <f>BY123*VLOOKUP('Données projet'!$B$12,Paramètres!$A$1:$I$89,3,0)*VLOOKUP('Données projet'!$B$12,Paramètres!$A$1:$I$89,5,0)</f>
        <v>274.15439999999955</v>
      </c>
      <c r="CA123" s="14">
        <f t="shared" si="93"/>
        <v>65.730152764515779</v>
      </c>
      <c r="CB123" s="22">
        <f t="shared" si="64"/>
        <v>591.96559606486414</v>
      </c>
      <c r="CC123" s="62">
        <f t="shared" si="65"/>
        <v>885.29892939819752</v>
      </c>
      <c r="CD123" s="62">
        <f ca="1">AVERAGE(OFFSET($CC$3,0,0,'Données projet'!$E$12+1,1))-AVERAGE(OFFSET($H$3,0,0,'Données projet'!$E$12+1,1))</f>
        <v>428.8489304403459</v>
      </c>
      <c r="CE123" s="62">
        <f t="shared" si="94"/>
        <v>247.01165577562966</v>
      </c>
      <c r="CF123" s="16">
        <f>IF(ISNA(VLOOKUP(A123,'Données projet'!$A$113:$I$133,3,0)),0,VLOOKUP(A123,'Données projet'!$A$113:$I$133,3,0))</f>
        <v>10</v>
      </c>
      <c r="CG123" s="16">
        <f>IF(ISNA(VLOOKUP(A123,'Données projet'!$A$113:$I$133,4,0)),0,VLOOKUP(A123,'Données projet'!$A$113:$I$133,4,0))</f>
        <v>35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-1.7053025658242404E-13</v>
      </c>
      <c r="CU123" s="18">
        <f>CT123*VLOOKUP('Données projet'!$B$13,Paramètres!$A$1:$I$89,3,0)*VLOOKUP('Données projet'!$B$13,Paramètres!$A$1:$I$89,5,0)</f>
        <v>-1.3567387213697657E-13</v>
      </c>
      <c r="CV123" s="14" t="e">
        <f t="shared" si="95"/>
        <v>#NUM!</v>
      </c>
      <c r="CW123" s="22" t="e">
        <f t="shared" si="67"/>
        <v>#NUM!</v>
      </c>
      <c r="CX123" s="62" t="e">
        <f t="shared" si="68"/>
        <v>#NUM!</v>
      </c>
      <c r="CY123" s="62">
        <f ca="1">AVERAGE(OFFSET($CX$3,0,0,'Données projet'!$E$13+1,1))-AVERAGE(OFFSET($H$3,0,0,'Données projet'!$E$13+1,1))</f>
        <v>312.53381881960331</v>
      </c>
      <c r="CZ123" s="62">
        <f t="shared" si="96"/>
        <v>342.06887933351783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-1.7053025658242404E-13</v>
      </c>
      <c r="DP123" s="18">
        <f>DO123*VLOOKUP('Données projet'!$B$14,Paramètres!$A$1:$I$89,3,0)*VLOOKUP('Données projet'!$B$14,Paramètres!$A$1:$I$89,5,0)</f>
        <v>-1.250327841262333E-13</v>
      </c>
      <c r="DQ123" s="14" t="e">
        <f t="shared" si="97"/>
        <v>#NUM!</v>
      </c>
      <c r="DR123" s="22" t="e">
        <f t="shared" si="70"/>
        <v>#NUM!</v>
      </c>
      <c r="DS123" s="62" t="e">
        <f t="shared" si="71"/>
        <v>#NUM!</v>
      </c>
      <c r="DT123" s="62">
        <f ca="1">AVERAGE(OFFSET($DS$3,0,0,'Données projet'!$E$14+1,1))-AVERAGE(OFFSET($H$3,0,0,'Données projet'!$E$14+1,1))</f>
        <v>290.85271051443431</v>
      </c>
      <c r="DU123" s="62">
        <f t="shared" si="98"/>
        <v>318.66958823451142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0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>
        <f>VLOOKUP(A123,'Données projet'!$A$191:$I$211,2,0)</f>
        <v>363</v>
      </c>
      <c r="EH123" s="13">
        <f>VLOOKUP(A123,'Données projet'!$A$191:$I$211,9,0)</f>
        <v>4.8</v>
      </c>
      <c r="EI123" s="13">
        <f t="array" ref="EI123">INDEX(EH:EH,MIN(IF(ISNUMBER(EH123:EH319),ROW(EH123:EH319),"")))</f>
        <v>4.8</v>
      </c>
      <c r="EJ123" s="13">
        <f>IF('Données projet'!$A$192&gt;35,EJ122+EI123-ER122,IF(A123&lt;'Données projet'!$A$192,$EG$205^A123,IF(A123='Données projet'!$A$192,'Données projet'!$B$192,EJ122+EI123-ER122)))</f>
        <v>363</v>
      </c>
      <c r="EK123" s="18">
        <f>EJ123*VLOOKUP('Données projet'!$B$15,Paramètres!$A$1:$I$89,3,0)*VLOOKUP('Données projet'!$B$15,Paramètres!$A$1:$I$89,5,0)</f>
        <v>311.45400000000001</v>
      </c>
      <c r="EL123" s="14">
        <f t="shared" si="99"/>
        <v>73.572400496659426</v>
      </c>
      <c r="EM123" s="22">
        <f t="shared" si="73"/>
        <v>670.58764753168191</v>
      </c>
      <c r="EN123" s="62">
        <f t="shared" si="74"/>
        <v>963.92098086501528</v>
      </c>
      <c r="EO123" s="62">
        <f ca="1">AVERAGE(OFFSET($EN$3,0,0,'Données projet'!$E$15+1,1))-AVERAGE(OFFSET($H$3,0,0,'Données projet'!$E$15+1,1))</f>
        <v>438.65317358403996</v>
      </c>
      <c r="EP123" s="62">
        <f t="shared" si="100"/>
        <v>176.81257896138806</v>
      </c>
      <c r="EQ123" s="16">
        <f>IF(ISNA(VLOOKUP(A123,'Données projet'!$A$191:$I$211,3,0)),0,VLOOKUP(A123,'Données projet'!$A$191:$I$211,3,0))</f>
        <v>10</v>
      </c>
      <c r="ER123" s="16">
        <f>IF(ISNA(VLOOKUP(A123,'Données projet'!$A$191:$I$211,4,0)),0,VLOOKUP(A123,'Données projet'!$A$191:$I$211,4,0))</f>
        <v>33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0</v>
      </c>
      <c r="EW123" s="23">
        <f>EXP(-LN(2)/25)*EW122+(1-EXP(-LN(2)/25))/(LN(2)/25)*Calculateur!ER123*Calculateur!ET123*VLOOKUP('Données projet'!$B$15,Paramètres!$A$1:$I$89,3,0)*0.475*44/12</f>
        <v>0</v>
      </c>
      <c r="EX123" s="23">
        <f>EXP(-LN(2)/2)*EX122+(1-EXP(-LN(2)/2))/(LN(2)/2)*ER123*EU123*VLOOKUP('Données projet'!$B$15,Paramètres!$A$1:$I$89,3,0)*0.475*44/12</f>
        <v>0</v>
      </c>
      <c r="EY123" s="24">
        <f t="shared" si="75"/>
        <v>0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2.2737367544323206E-13</v>
      </c>
      <c r="O124" s="14">
        <f>N124*VLOOKUP('Données projet'!$B$9,Paramètres!$A$1:$I$89,3,0)*VLOOKUP('Données projet'!$B$9,Paramètres!$A$1:$I$89,5,0)</f>
        <v>1.2710188457276673E-13</v>
      </c>
      <c r="P124" s="14">
        <f t="shared" si="87"/>
        <v>1.856866851063998E-12</v>
      </c>
      <c r="Q124" s="22">
        <f t="shared" si="107"/>
        <v>3.4554122145673649E-12</v>
      </c>
      <c r="R124" s="62">
        <f t="shared" si="55"/>
        <v>293.33333333333678</v>
      </c>
      <c r="S124" s="62">
        <f ca="1">AVERAGE(OFFSET($R$3,0,0,'Données projet'!$E$9+1,1))-AVERAGE(OFFSET($H$3,0,0,'Données projet'!$E$9+1,1))</f>
        <v>323.98185264074681</v>
      </c>
      <c r="T124" s="62">
        <f t="shared" si="88"/>
        <v>301.22207291854005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0.73600848609549574</v>
      </c>
      <c r="AA124" s="23">
        <f>EXP(-LN(2)/25)*AA123+(1-EXP(-LN(2)/25))/(LN(2)/25)*Calculateur!V124*Calculateur!X124*VLOOKUP('Données projet'!$B$9,Paramètres!$A$1:$I$89,3,0)*0.475*44/12</f>
        <v>0.66154987152034772</v>
      </c>
      <c r="AB124" s="23">
        <f>EXP(-LN(2)/2)*AB123+(1-EXP(-LN(2)/2))/(LN(2)/2)*V124*Y124*VLOOKUP('Données projet'!$B$9,Paramètres!$A$1:$I$89,3,0)*0.475*44/12</f>
        <v>1.2234777782578171E-13</v>
      </c>
      <c r="AC124" s="24">
        <f t="shared" si="57"/>
        <v>1.3975583576159658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-2.8421709430404007E-13</v>
      </c>
      <c r="AJ124" s="14">
        <f>AI124*VLOOKUP('Données projet'!$B$10,Paramètres!$A$1:$I$89,3,0)*VLOOKUP('Données projet'!$B$10,Paramètres!$A$1:$I$89,5,0)</f>
        <v>-1.69961822393816E-13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289.12367833861299</v>
      </c>
      <c r="AO124" s="62">
        <f t="shared" si="90"/>
        <v>229.06617320689003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8.3339705387687709E-14</v>
      </c>
      <c r="AX124" s="23">
        <f t="shared" si="60"/>
        <v>8.3339705387687709E-14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>
        <f>BD124*VLOOKUP('Données projet'!$B$11,Paramètres!$A$1:$I$89,3,0)*VLOOKUP('Données projet'!$B$11,Paramètres!$A$1:$I$89,5,0)</f>
        <v>0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240.22884864766218</v>
      </c>
      <c r="BJ124" s="62">
        <f t="shared" si="92"/>
        <v>343.23776884143166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0.82584238061068538</v>
      </c>
      <c r="BR124" s="23">
        <f>EXP(-LN(2)/2)*BR123+(1-EXP(-LN(2)/2))/(LN(2)/2)*BL124*BO124*VLOOKUP('Données projet'!$B$11,Paramètres!$A$1:$I$89,3,0)*0.475*44/12</f>
        <v>3.3198175387551219E-13</v>
      </c>
      <c r="BS124" s="24">
        <f t="shared" si="63"/>
        <v>0.82584238061101733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3.2</v>
      </c>
      <c r="BY124" s="13">
        <f>IF('Données projet'!$A$114&gt;35,BY123+BX124-CG123,IF(A124&lt;'Données projet'!$A$114,$BV$205^A124,IF(A124='Données projet'!$A$114,'Données projet'!$B$114,BY123+BX124-CG123)))</f>
        <v>271.19999999999948</v>
      </c>
      <c r="BZ124" s="14">
        <f>BY124*VLOOKUP('Données projet'!$B$12,Paramètres!$A$1:$I$89,3,0)*VLOOKUP('Données projet'!$B$12,Paramètres!$A$1:$I$89,5,0)</f>
        <v>245.3817599999995</v>
      </c>
      <c r="CA124" s="14">
        <f t="shared" si="93"/>
        <v>59.595943661626663</v>
      </c>
      <c r="CB124" s="22">
        <f t="shared" si="64"/>
        <v>531.16950054399888</v>
      </c>
      <c r="CC124" s="62">
        <f t="shared" si="65"/>
        <v>824.50283387733225</v>
      </c>
      <c r="CD124" s="62">
        <f ca="1">AVERAGE(OFFSET($CC$3,0,0,'Données projet'!$E$12+1,1))-AVERAGE(OFFSET($H$3,0,0,'Données projet'!$E$12+1,1))</f>
        <v>428.8489304403459</v>
      </c>
      <c r="CE124" s="62">
        <f t="shared" si="94"/>
        <v>247.01165577562966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-1.7053025658242404E-13</v>
      </c>
      <c r="CU124" s="18">
        <f>CT124*VLOOKUP('Données projet'!$B$13,Paramètres!$A$1:$I$89,3,0)*VLOOKUP('Données projet'!$B$13,Paramètres!$A$1:$I$89,5,0)</f>
        <v>-1.3567387213697657E-13</v>
      </c>
      <c r="CV124" s="14" t="e">
        <f t="shared" si="95"/>
        <v>#NUM!</v>
      </c>
      <c r="CW124" s="22" t="e">
        <f t="shared" si="67"/>
        <v>#NUM!</v>
      </c>
      <c r="CX124" s="62" t="e">
        <f t="shared" si="68"/>
        <v>#NUM!</v>
      </c>
      <c r="CY124" s="62">
        <f ca="1">AVERAGE(OFFSET($CX$3,0,0,'Données projet'!$E$13+1,1))-AVERAGE(OFFSET($H$3,0,0,'Données projet'!$E$13+1,1))</f>
        <v>312.53381881960331</v>
      </c>
      <c r="CZ124" s="62">
        <f t="shared" si="96"/>
        <v>342.06887933351783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-1.7053025658242404E-13</v>
      </c>
      <c r="DP124" s="18">
        <f>DO124*VLOOKUP('Données projet'!$B$14,Paramètres!$A$1:$I$89,3,0)*VLOOKUP('Données projet'!$B$14,Paramètres!$A$1:$I$89,5,0)</f>
        <v>-1.250327841262333E-13</v>
      </c>
      <c r="DQ124" s="14" t="e">
        <f t="shared" si="97"/>
        <v>#NUM!</v>
      </c>
      <c r="DR124" s="22" t="e">
        <f t="shared" si="70"/>
        <v>#NUM!</v>
      </c>
      <c r="DS124" s="62" t="e">
        <f t="shared" si="71"/>
        <v>#NUM!</v>
      </c>
      <c r="DT124" s="62">
        <f ca="1">AVERAGE(OFFSET($DS$3,0,0,'Données projet'!$E$14+1,1))-AVERAGE(OFFSET($H$3,0,0,'Données projet'!$E$14+1,1))</f>
        <v>290.85271051443431</v>
      </c>
      <c r="DU124" s="62">
        <f t="shared" si="98"/>
        <v>318.66958823451142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0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4.0999999999999996</v>
      </c>
      <c r="EJ124" s="13">
        <f>IF('Données projet'!$A$192&gt;35,EJ123+EI124-ER123,IF(A124&lt;'Données projet'!$A$192,$EG$205^A124,IF(A124='Données projet'!$A$192,'Données projet'!$B$192,EJ123+EI124-ER123)))</f>
        <v>334.1</v>
      </c>
      <c r="EK124" s="18">
        <f>EJ124*VLOOKUP('Données projet'!$B$15,Paramètres!$A$1:$I$89,3,0)*VLOOKUP('Données projet'!$B$15,Paramètres!$A$1:$I$89,5,0)</f>
        <v>286.65780000000007</v>
      </c>
      <c r="EL124" s="14">
        <f t="shared" si="99"/>
        <v>68.372063339974375</v>
      </c>
      <c r="EM124" s="22">
        <f t="shared" si="73"/>
        <v>618.34367865045544</v>
      </c>
      <c r="EN124" s="62">
        <f t="shared" si="74"/>
        <v>911.67701198378882</v>
      </c>
      <c r="EO124" s="62">
        <f ca="1">AVERAGE(OFFSET($EN$3,0,0,'Données projet'!$E$15+1,1))-AVERAGE(OFFSET($H$3,0,0,'Données projet'!$E$15+1,1))</f>
        <v>438.65317358403996</v>
      </c>
      <c r="EP124" s="62">
        <f t="shared" si="100"/>
        <v>176.81257896138806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projet'!$B$15,Paramètres!$A$1:$I$89,3,0)*0.475*44/12</f>
        <v>0</v>
      </c>
      <c r="EW124" s="23">
        <f>EXP(-LN(2)/25)*EW123+(1-EXP(-LN(2)/25))/(LN(2)/25)*Calculateur!ER124*Calculateur!ET124*VLOOKUP('Données projet'!$B$15,Paramètres!$A$1:$I$89,3,0)*0.475*44/12</f>
        <v>0</v>
      </c>
      <c r="EX124" s="23">
        <f>EXP(-LN(2)/2)*EX123+(1-EXP(-LN(2)/2))/(LN(2)/2)*ER124*EU124*VLOOKUP('Données projet'!$B$15,Paramètres!$A$1:$I$89,3,0)*0.475*44/12</f>
        <v>0</v>
      </c>
      <c r="EY124" s="24">
        <f t="shared" si="75"/>
        <v>0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2.2737367544323206E-13</v>
      </c>
      <c r="O125" s="14">
        <f>N125*VLOOKUP('Données projet'!$B$9,Paramètres!$A$1:$I$89,3,0)*VLOOKUP('Données projet'!$B$9,Paramètres!$A$1:$I$89,5,0)</f>
        <v>1.2710188457276673E-13</v>
      </c>
      <c r="P125" s="14">
        <f t="shared" si="87"/>
        <v>1.856866851063998E-12</v>
      </c>
      <c r="Q125" s="22">
        <f t="shared" si="107"/>
        <v>3.4554122145673649E-12</v>
      </c>
      <c r="R125" s="62">
        <f t="shared" si="55"/>
        <v>293.33333333333678</v>
      </c>
      <c r="S125" s="62">
        <f ca="1">AVERAGE(OFFSET($R$3,0,0,'Données projet'!$E$9+1,1))-AVERAGE(OFFSET($H$3,0,0,'Données projet'!$E$9+1,1))</f>
        <v>323.98185264074681</v>
      </c>
      <c r="T125" s="62">
        <f t="shared" si="88"/>
        <v>301.22207291854005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0.72157580860401238</v>
      </c>
      <c r="AA125" s="23">
        <f>EXP(-LN(2)/25)*AA124+(1-EXP(-LN(2)/25))/(LN(2)/25)*Calculateur!V125*Calculateur!X125*VLOOKUP('Données projet'!$B$9,Paramètres!$A$1:$I$89,3,0)*0.475*44/12</f>
        <v>0.64345975549422807</v>
      </c>
      <c r="AB125" s="23">
        <f>EXP(-LN(2)/2)*AB124+(1-EXP(-LN(2)/2))/(LN(2)/2)*V125*Y125*VLOOKUP('Données projet'!$B$9,Paramètres!$A$1:$I$89,3,0)*0.475*44/12</f>
        <v>8.651294336371536E-14</v>
      </c>
      <c r="AC125" s="24">
        <f t="shared" si="57"/>
        <v>1.3650355640983269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-2.8421709430404007E-13</v>
      </c>
      <c r="AJ125" s="14">
        <f>AI125*VLOOKUP('Données projet'!$B$10,Paramètres!$A$1:$I$89,3,0)*VLOOKUP('Données projet'!$B$10,Paramètres!$A$1:$I$89,5,0)</f>
        <v>-1.69961822393816E-13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289.12367833861299</v>
      </c>
      <c r="AO125" s="62">
        <f t="shared" si="90"/>
        <v>229.06617320689003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5.8930070821723028E-14</v>
      </c>
      <c r="AX125" s="23">
        <f t="shared" si="60"/>
        <v>5.8930070821723028E-14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>
        <f>BD125*VLOOKUP('Données projet'!$B$11,Paramètres!$A$1:$I$89,3,0)*VLOOKUP('Données projet'!$B$11,Paramètres!$A$1:$I$89,5,0)</f>
        <v>0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240.22884864766218</v>
      </c>
      <c r="BJ125" s="62">
        <f t="shared" si="92"/>
        <v>343.23776884143166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0.80325967728372283</v>
      </c>
      <c r="BR125" s="23">
        <f>EXP(-LN(2)/2)*BR124+(1-EXP(-LN(2)/2))/(LN(2)/2)*BL125*BO125*VLOOKUP('Données projet'!$B$11,Paramètres!$A$1:$I$89,3,0)*0.475*44/12</f>
        <v>2.3474654939557807E-13</v>
      </c>
      <c r="BS125" s="24">
        <f t="shared" si="63"/>
        <v>0.80325967728395753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3.2</v>
      </c>
      <c r="BY125" s="13">
        <f>IF('Données projet'!$A$114&gt;35,BY124+BX125-CG124,IF(A125&lt;'Données projet'!$A$114,$BV$205^A125,IF(A125='Données projet'!$A$114,'Données projet'!$B$114,BY124+BX125-CG124)))</f>
        <v>274.39999999999947</v>
      </c>
      <c r="BZ125" s="14">
        <f>BY125*VLOOKUP('Données projet'!$B$12,Paramètres!$A$1:$I$89,3,0)*VLOOKUP('Données projet'!$B$12,Paramètres!$A$1:$I$89,5,0)</f>
        <v>248.27711999999951</v>
      </c>
      <c r="CA125" s="14">
        <f t="shared" si="93"/>
        <v>60.216863677580257</v>
      </c>
      <c r="CB125" s="22">
        <f t="shared" si="64"/>
        <v>537.29368823845141</v>
      </c>
      <c r="CC125" s="62">
        <f t="shared" si="65"/>
        <v>830.62702157178478</v>
      </c>
      <c r="CD125" s="62">
        <f ca="1">AVERAGE(OFFSET($CC$3,0,0,'Données projet'!$E$12+1,1))-AVERAGE(OFFSET($H$3,0,0,'Données projet'!$E$12+1,1))</f>
        <v>428.8489304403459</v>
      </c>
      <c r="CE125" s="62">
        <f t="shared" si="94"/>
        <v>247.01165577562966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-1.7053025658242404E-13</v>
      </c>
      <c r="CU125" s="18">
        <f>CT125*VLOOKUP('Données projet'!$B$13,Paramètres!$A$1:$I$89,3,0)*VLOOKUP('Données projet'!$B$13,Paramètres!$A$1:$I$89,5,0)</f>
        <v>-1.3567387213697657E-13</v>
      </c>
      <c r="CV125" s="14" t="e">
        <f t="shared" si="95"/>
        <v>#NUM!</v>
      </c>
      <c r="CW125" s="22" t="e">
        <f t="shared" si="67"/>
        <v>#NUM!</v>
      </c>
      <c r="CX125" s="62" t="e">
        <f t="shared" si="68"/>
        <v>#NUM!</v>
      </c>
      <c r="CY125" s="62">
        <f ca="1">AVERAGE(OFFSET($CX$3,0,0,'Données projet'!$E$13+1,1))-AVERAGE(OFFSET($H$3,0,0,'Données projet'!$E$13+1,1))</f>
        <v>312.53381881960331</v>
      </c>
      <c r="CZ125" s="62">
        <f t="shared" si="96"/>
        <v>342.06887933351783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-1.7053025658242404E-13</v>
      </c>
      <c r="DP125" s="18">
        <f>DO125*VLOOKUP('Données projet'!$B$14,Paramètres!$A$1:$I$89,3,0)*VLOOKUP('Données projet'!$B$14,Paramètres!$A$1:$I$89,5,0)</f>
        <v>-1.250327841262333E-13</v>
      </c>
      <c r="DQ125" s="14" t="e">
        <f t="shared" si="97"/>
        <v>#NUM!</v>
      </c>
      <c r="DR125" s="22" t="e">
        <f t="shared" si="70"/>
        <v>#NUM!</v>
      </c>
      <c r="DS125" s="62" t="e">
        <f t="shared" si="71"/>
        <v>#NUM!</v>
      </c>
      <c r="DT125" s="62">
        <f ca="1">AVERAGE(OFFSET($DS$3,0,0,'Données projet'!$E$14+1,1))-AVERAGE(OFFSET($H$3,0,0,'Données projet'!$E$14+1,1))</f>
        <v>290.85271051443431</v>
      </c>
      <c r="DU125" s="62">
        <f t="shared" si="98"/>
        <v>318.66958823451142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0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4.0999999999999996</v>
      </c>
      <c r="EJ125" s="13">
        <f>IF('Données projet'!$A$192&gt;35,EJ124+EI125-ER124,IF(A125&lt;'Données projet'!$A$192,$EG$205^A125,IF(A125='Données projet'!$A$192,'Données projet'!$B$192,EJ124+EI125-ER124)))</f>
        <v>338.20000000000005</v>
      </c>
      <c r="EK125" s="18">
        <f>EJ125*VLOOKUP('Données projet'!$B$15,Paramètres!$A$1:$I$89,3,0)*VLOOKUP('Données projet'!$B$15,Paramètres!$A$1:$I$89,5,0)</f>
        <v>290.17560000000009</v>
      </c>
      <c r="EL125" s="14">
        <f t="shared" si="99"/>
        <v>69.112917785973565</v>
      </c>
      <c r="EM125" s="22">
        <f t="shared" si="73"/>
        <v>625.76083514390416</v>
      </c>
      <c r="EN125" s="62">
        <f t="shared" si="74"/>
        <v>919.09416847723742</v>
      </c>
      <c r="EO125" s="62">
        <f ca="1">AVERAGE(OFFSET($EN$3,0,0,'Données projet'!$E$15+1,1))-AVERAGE(OFFSET($H$3,0,0,'Données projet'!$E$15+1,1))</f>
        <v>438.65317358403996</v>
      </c>
      <c r="EP125" s="62">
        <f t="shared" si="100"/>
        <v>176.81257896138806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0</v>
      </c>
      <c r="EW125" s="23">
        <f>EXP(-LN(2)/25)*EW124+(1-EXP(-LN(2)/25))/(LN(2)/25)*Calculateur!ER125*Calculateur!ET125*VLOOKUP('Données projet'!$B$15,Paramètres!$A$1:$I$89,3,0)*0.475*44/12</f>
        <v>0</v>
      </c>
      <c r="EX125" s="23">
        <f>EXP(-LN(2)/2)*EX124+(1-EXP(-LN(2)/2))/(LN(2)/2)*ER125*EU125*VLOOKUP('Données projet'!$B$15,Paramètres!$A$1:$I$89,3,0)*0.475*44/12</f>
        <v>0</v>
      </c>
      <c r="EY125" s="24">
        <f t="shared" si="75"/>
        <v>0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2.2737367544323206E-13</v>
      </c>
      <c r="O126" s="14">
        <f>N126*VLOOKUP('Données projet'!$B$9,Paramètres!$A$1:$I$89,3,0)*VLOOKUP('Données projet'!$B$9,Paramètres!$A$1:$I$89,5,0)</f>
        <v>1.2710188457276673E-13</v>
      </c>
      <c r="P126" s="14">
        <f t="shared" si="87"/>
        <v>1.856866851063998E-12</v>
      </c>
      <c r="Q126" s="22">
        <f t="shared" si="107"/>
        <v>3.4554122145673649E-12</v>
      </c>
      <c r="R126" s="62">
        <f t="shared" si="55"/>
        <v>293.33333333333678</v>
      </c>
      <c r="S126" s="62">
        <f ca="1">AVERAGE(OFFSET($R$3,0,0,'Données projet'!$E$9+1,1))-AVERAGE(OFFSET($H$3,0,0,'Données projet'!$E$9+1,1))</f>
        <v>323.98185264074681</v>
      </c>
      <c r="T126" s="62">
        <f t="shared" si="88"/>
        <v>301.22207291854005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0.7074261471150729</v>
      </c>
      <c r="AA126" s="23">
        <f>EXP(-LN(2)/25)*AA125+(1-EXP(-LN(2)/25))/(LN(2)/25)*Calculateur!V126*Calculateur!X126*VLOOKUP('Données projet'!$B$9,Paramètres!$A$1:$I$89,3,0)*0.475*44/12</f>
        <v>0.62586431464216052</v>
      </c>
      <c r="AB126" s="23">
        <f>EXP(-LN(2)/2)*AB125+(1-EXP(-LN(2)/2))/(LN(2)/2)*V126*Y126*VLOOKUP('Données projet'!$B$9,Paramètres!$A$1:$I$89,3,0)*0.475*44/12</f>
        <v>6.1173888912890855E-14</v>
      </c>
      <c r="AC126" s="24">
        <f t="shared" si="57"/>
        <v>1.3332904617572947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-2.8421709430404007E-13</v>
      </c>
      <c r="AJ126" s="14">
        <f>AI126*VLOOKUP('Données projet'!$B$10,Paramètres!$A$1:$I$89,3,0)*VLOOKUP('Données projet'!$B$10,Paramètres!$A$1:$I$89,5,0)</f>
        <v>-1.69961822393816E-13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289.12367833861299</v>
      </c>
      <c r="AO126" s="62">
        <f t="shared" si="90"/>
        <v>229.06617320689003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4.1669852693843854E-14</v>
      </c>
      <c r="AX126" s="23">
        <f t="shared" si="60"/>
        <v>4.1669852693843854E-14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>
        <f>BD126*VLOOKUP('Données projet'!$B$11,Paramètres!$A$1:$I$89,3,0)*VLOOKUP('Données projet'!$B$11,Paramètres!$A$1:$I$89,5,0)</f>
        <v>0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240.22884864766218</v>
      </c>
      <c r="BJ126" s="62">
        <f t="shared" si="92"/>
        <v>343.23776884143166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0.78129449916680882</v>
      </c>
      <c r="BR126" s="23">
        <f>EXP(-LN(2)/2)*BR125+(1-EXP(-LN(2)/2))/(LN(2)/2)*BL126*BO126*VLOOKUP('Données projet'!$B$11,Paramètres!$A$1:$I$89,3,0)*0.475*44/12</f>
        <v>1.6599087693775609E-13</v>
      </c>
      <c r="BS126" s="24">
        <f t="shared" si="63"/>
        <v>0.7812944991669748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3.2</v>
      </c>
      <c r="BY126" s="13">
        <f>IF('Données projet'!$A$114&gt;35,BY125+BX126-CG125,IF(A126&lt;'Données projet'!$A$114,$BV$205^A126,IF(A126='Données projet'!$A$114,'Données projet'!$B$114,BY125+BX126-CG125)))</f>
        <v>277.59999999999945</v>
      </c>
      <c r="BZ126" s="14">
        <f>BY126*VLOOKUP('Données projet'!$B$12,Paramètres!$A$1:$I$89,3,0)*VLOOKUP('Données projet'!$B$12,Paramètres!$A$1:$I$89,5,0)</f>
        <v>251.1724799999995</v>
      </c>
      <c r="CA126" s="14">
        <f t="shared" si="93"/>
        <v>60.836941386956575</v>
      </c>
      <c r="CB126" s="22">
        <f t="shared" si="64"/>
        <v>543.41640891561519</v>
      </c>
      <c r="CC126" s="62">
        <f t="shared" si="65"/>
        <v>836.74974224894845</v>
      </c>
      <c r="CD126" s="62">
        <f ca="1">AVERAGE(OFFSET($CC$3,0,0,'Données projet'!$E$12+1,1))-AVERAGE(OFFSET($H$3,0,0,'Données projet'!$E$12+1,1))</f>
        <v>428.8489304403459</v>
      </c>
      <c r="CE126" s="62">
        <f t="shared" si="94"/>
        <v>247.01165577562966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-1.7053025658242404E-13</v>
      </c>
      <c r="CU126" s="18">
        <f>CT126*VLOOKUP('Données projet'!$B$13,Paramètres!$A$1:$I$89,3,0)*VLOOKUP('Données projet'!$B$13,Paramètres!$A$1:$I$89,5,0)</f>
        <v>-1.3567387213697657E-13</v>
      </c>
      <c r="CV126" s="14" t="e">
        <f t="shared" si="95"/>
        <v>#NUM!</v>
      </c>
      <c r="CW126" s="22" t="e">
        <f t="shared" si="67"/>
        <v>#NUM!</v>
      </c>
      <c r="CX126" s="62" t="e">
        <f t="shared" si="68"/>
        <v>#NUM!</v>
      </c>
      <c r="CY126" s="62">
        <f ca="1">AVERAGE(OFFSET($CX$3,0,0,'Données projet'!$E$13+1,1))-AVERAGE(OFFSET($H$3,0,0,'Données projet'!$E$13+1,1))</f>
        <v>312.53381881960331</v>
      </c>
      <c r="CZ126" s="62">
        <f t="shared" si="96"/>
        <v>342.06887933351783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-1.7053025658242404E-13</v>
      </c>
      <c r="DP126" s="18">
        <f>DO126*VLOOKUP('Données projet'!$B$14,Paramètres!$A$1:$I$89,3,0)*VLOOKUP('Données projet'!$B$14,Paramètres!$A$1:$I$89,5,0)</f>
        <v>-1.250327841262333E-13</v>
      </c>
      <c r="DQ126" s="14" t="e">
        <f t="shared" si="97"/>
        <v>#NUM!</v>
      </c>
      <c r="DR126" s="22" t="e">
        <f t="shared" si="70"/>
        <v>#NUM!</v>
      </c>
      <c r="DS126" s="62" t="e">
        <f t="shared" si="71"/>
        <v>#NUM!</v>
      </c>
      <c r="DT126" s="62">
        <f ca="1">AVERAGE(OFFSET($DS$3,0,0,'Données projet'!$E$14+1,1))-AVERAGE(OFFSET($H$3,0,0,'Données projet'!$E$14+1,1))</f>
        <v>290.85271051443431</v>
      </c>
      <c r="DU126" s="62">
        <f t="shared" si="98"/>
        <v>318.66958823451142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0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4.0999999999999996</v>
      </c>
      <c r="EJ126" s="13">
        <f>IF('Données projet'!$A$192&gt;35,EJ125+EI126-ER125,IF(A126&lt;'Données projet'!$A$192,$EG$205^A126,IF(A126='Données projet'!$A$192,'Données projet'!$B$192,EJ125+EI126-ER125)))</f>
        <v>342.30000000000007</v>
      </c>
      <c r="EK126" s="18">
        <f>EJ126*VLOOKUP('Données projet'!$B$15,Paramètres!$A$1:$I$89,3,0)*VLOOKUP('Données projet'!$B$15,Paramètres!$A$1:$I$89,5,0)</f>
        <v>293.69340000000005</v>
      </c>
      <c r="EL126" s="14">
        <f t="shared" si="99"/>
        <v>69.852727509370581</v>
      </c>
      <c r="EM126" s="22">
        <f t="shared" si="73"/>
        <v>633.17617207882051</v>
      </c>
      <c r="EN126" s="62">
        <f t="shared" si="74"/>
        <v>926.50950541215389</v>
      </c>
      <c r="EO126" s="62">
        <f ca="1">AVERAGE(OFFSET($EN$3,0,0,'Données projet'!$E$15+1,1))-AVERAGE(OFFSET($H$3,0,0,'Données projet'!$E$15+1,1))</f>
        <v>438.65317358403996</v>
      </c>
      <c r="EP126" s="62">
        <f t="shared" si="100"/>
        <v>176.81257896138806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0</v>
      </c>
      <c r="EW126" s="23">
        <f>EXP(-LN(2)/25)*EW125+(1-EXP(-LN(2)/25))/(LN(2)/25)*Calculateur!ER126*Calculateur!ET126*VLOOKUP('Données projet'!$B$15,Paramètres!$A$1:$I$89,3,0)*0.475*44/12</f>
        <v>0</v>
      </c>
      <c r="EX126" s="23">
        <f>EXP(-LN(2)/2)*EX125+(1-EXP(-LN(2)/2))/(LN(2)/2)*ER126*EU126*VLOOKUP('Données projet'!$B$15,Paramètres!$A$1:$I$89,3,0)*0.475*44/12</f>
        <v>0</v>
      </c>
      <c r="EY126" s="24">
        <f t="shared" si="75"/>
        <v>0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2.2737367544323206E-13</v>
      </c>
      <c r="O127" s="14">
        <f>N127*VLOOKUP('Données projet'!$B$9,Paramètres!$A$1:$I$89,3,0)*VLOOKUP('Données projet'!$B$9,Paramètres!$A$1:$I$89,5,0)</f>
        <v>1.2710188457276673E-13</v>
      </c>
      <c r="P127" s="14">
        <f t="shared" si="87"/>
        <v>1.856866851063998E-12</v>
      </c>
      <c r="Q127" s="22">
        <f t="shared" si="107"/>
        <v>3.4554122145673649E-12</v>
      </c>
      <c r="R127" s="62">
        <f t="shared" si="55"/>
        <v>293.33333333333678</v>
      </c>
      <c r="S127" s="62">
        <f ca="1">AVERAGE(OFFSET($R$3,0,0,'Données projet'!$E$9+1,1))-AVERAGE(OFFSET($H$3,0,0,'Données projet'!$E$9+1,1))</f>
        <v>323.98185264074681</v>
      </c>
      <c r="T127" s="62">
        <f t="shared" si="88"/>
        <v>301.22207291854005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0.69355395185749025</v>
      </c>
      <c r="AA127" s="23">
        <f>EXP(-LN(2)/25)*AA126+(1-EXP(-LN(2)/25))/(LN(2)/25)*Calculateur!V127*Calculateur!X127*VLOOKUP('Données projet'!$B$9,Paramètres!$A$1:$I$89,3,0)*0.475*44/12</f>
        <v>0.60875002204549677</v>
      </c>
      <c r="AB127" s="23">
        <f>EXP(-LN(2)/2)*AB126+(1-EXP(-LN(2)/2))/(LN(2)/2)*V127*Y127*VLOOKUP('Données projet'!$B$9,Paramètres!$A$1:$I$89,3,0)*0.475*44/12</f>
        <v>4.325647168185768E-14</v>
      </c>
      <c r="AC127" s="24">
        <f t="shared" si="57"/>
        <v>1.3023039739030302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-2.8421709430404007E-13</v>
      </c>
      <c r="AJ127" s="14">
        <f>AI127*VLOOKUP('Données projet'!$B$10,Paramètres!$A$1:$I$89,3,0)*VLOOKUP('Données projet'!$B$10,Paramètres!$A$1:$I$89,5,0)</f>
        <v>-1.69961822393816E-13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289.12367833861299</v>
      </c>
      <c r="AO127" s="62">
        <f t="shared" si="90"/>
        <v>229.06617320689003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2.9465035410861514E-14</v>
      </c>
      <c r="AX127" s="23">
        <f t="shared" si="60"/>
        <v>2.9465035410861514E-14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>
        <f>BD127*VLOOKUP('Données projet'!$B$11,Paramètres!$A$1:$I$89,3,0)*VLOOKUP('Données projet'!$B$11,Paramètres!$A$1:$I$89,5,0)</f>
        <v>0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240.22884864766218</v>
      </c>
      <c r="BJ127" s="62">
        <f t="shared" si="92"/>
        <v>343.23776884143166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0.75992996000060042</v>
      </c>
      <c r="BR127" s="23">
        <f>EXP(-LN(2)/2)*BR126+(1-EXP(-LN(2)/2))/(LN(2)/2)*BL127*BO127*VLOOKUP('Données projet'!$B$11,Paramètres!$A$1:$I$89,3,0)*0.475*44/12</f>
        <v>1.1737327469778903E-13</v>
      </c>
      <c r="BS127" s="24">
        <f t="shared" si="63"/>
        <v>0.75992996000071777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3.2</v>
      </c>
      <c r="BY127" s="13">
        <f>IF('Données projet'!$A$114&gt;35,BY126+BX127-CG126,IF(A127&lt;'Données projet'!$A$114,$BV$205^A127,IF(A127='Données projet'!$A$114,'Données projet'!$B$114,BY126+BX127-CG126)))</f>
        <v>280.79999999999944</v>
      </c>
      <c r="BZ127" s="14">
        <f>BY127*VLOOKUP('Données projet'!$B$12,Paramètres!$A$1:$I$89,3,0)*VLOOKUP('Données projet'!$B$12,Paramètres!$A$1:$I$89,5,0)</f>
        <v>254.06783999999948</v>
      </c>
      <c r="CA127" s="14">
        <f t="shared" si="93"/>
        <v>61.456187622750612</v>
      </c>
      <c r="CB127" s="22">
        <f t="shared" si="64"/>
        <v>549.53768144295634</v>
      </c>
      <c r="CC127" s="62">
        <f t="shared" si="65"/>
        <v>842.87101477628971</v>
      </c>
      <c r="CD127" s="62">
        <f ca="1">AVERAGE(OFFSET($CC$3,0,0,'Données projet'!$E$12+1,1))-AVERAGE(OFFSET($H$3,0,0,'Données projet'!$E$12+1,1))</f>
        <v>428.8489304403459</v>
      </c>
      <c r="CE127" s="62">
        <f t="shared" si="94"/>
        <v>247.01165577562966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-1.7053025658242404E-13</v>
      </c>
      <c r="CU127" s="18">
        <f>CT127*VLOOKUP('Données projet'!$B$13,Paramètres!$A$1:$I$89,3,0)*VLOOKUP('Données projet'!$B$13,Paramètres!$A$1:$I$89,5,0)</f>
        <v>-1.3567387213697657E-13</v>
      </c>
      <c r="CV127" s="14" t="e">
        <f t="shared" si="95"/>
        <v>#NUM!</v>
      </c>
      <c r="CW127" s="22" t="e">
        <f t="shared" si="67"/>
        <v>#NUM!</v>
      </c>
      <c r="CX127" s="62" t="e">
        <f t="shared" si="68"/>
        <v>#NUM!</v>
      </c>
      <c r="CY127" s="62">
        <f ca="1">AVERAGE(OFFSET($CX$3,0,0,'Données projet'!$E$13+1,1))-AVERAGE(OFFSET($H$3,0,0,'Données projet'!$E$13+1,1))</f>
        <v>312.53381881960331</v>
      </c>
      <c r="CZ127" s="62">
        <f t="shared" si="96"/>
        <v>342.06887933351783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-1.7053025658242404E-13</v>
      </c>
      <c r="DP127" s="18">
        <f>DO127*VLOOKUP('Données projet'!$B$14,Paramètres!$A$1:$I$89,3,0)*VLOOKUP('Données projet'!$B$14,Paramètres!$A$1:$I$89,5,0)</f>
        <v>-1.250327841262333E-13</v>
      </c>
      <c r="DQ127" s="14" t="e">
        <f t="shared" si="97"/>
        <v>#NUM!</v>
      </c>
      <c r="DR127" s="22" t="e">
        <f t="shared" si="70"/>
        <v>#NUM!</v>
      </c>
      <c r="DS127" s="62" t="e">
        <f t="shared" si="71"/>
        <v>#NUM!</v>
      </c>
      <c r="DT127" s="62">
        <f ca="1">AVERAGE(OFFSET($DS$3,0,0,'Données projet'!$E$14+1,1))-AVERAGE(OFFSET($H$3,0,0,'Données projet'!$E$14+1,1))</f>
        <v>290.85271051443431</v>
      </c>
      <c r="DU127" s="62">
        <f t="shared" si="98"/>
        <v>318.66958823451142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0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4.0999999999999996</v>
      </c>
      <c r="EJ127" s="13">
        <f>IF('Données projet'!$A$192&gt;35,EJ126+EI127-ER126,IF(A127&lt;'Données projet'!$A$192,$EG$205^A127,IF(A127='Données projet'!$A$192,'Données projet'!$B$192,EJ126+EI127-ER126)))</f>
        <v>346.40000000000009</v>
      </c>
      <c r="EK127" s="18">
        <f>EJ127*VLOOKUP('Données projet'!$B$15,Paramètres!$A$1:$I$89,3,0)*VLOOKUP('Données projet'!$B$15,Paramètres!$A$1:$I$89,5,0)</f>
        <v>297.21120000000013</v>
      </c>
      <c r="EL127" s="14">
        <f t="shared" si="99"/>
        <v>70.591506471146744</v>
      </c>
      <c r="EM127" s="22">
        <f t="shared" si="73"/>
        <v>640.58971377058072</v>
      </c>
      <c r="EN127" s="62">
        <f t="shared" si="74"/>
        <v>933.92304710391409</v>
      </c>
      <c r="EO127" s="62">
        <f ca="1">AVERAGE(OFFSET($EN$3,0,0,'Données projet'!$E$15+1,1))-AVERAGE(OFFSET($H$3,0,0,'Données projet'!$E$15+1,1))</f>
        <v>438.65317358403996</v>
      </c>
      <c r="EP127" s="62">
        <f t="shared" si="100"/>
        <v>176.81257896138806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0</v>
      </c>
      <c r="EW127" s="23">
        <f>EXP(-LN(2)/25)*EW126+(1-EXP(-LN(2)/25))/(LN(2)/25)*Calculateur!ER127*Calculateur!ET127*VLOOKUP('Données projet'!$B$15,Paramètres!$A$1:$I$89,3,0)*0.475*44/12</f>
        <v>0</v>
      </c>
      <c r="EX127" s="23">
        <f>EXP(-LN(2)/2)*EX126+(1-EXP(-LN(2)/2))/(LN(2)/2)*ER127*EU127*VLOOKUP('Données projet'!$B$15,Paramètres!$A$1:$I$89,3,0)*0.475*44/12</f>
        <v>0</v>
      </c>
      <c r="EY127" s="24">
        <f t="shared" si="75"/>
        <v>0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2.2737367544323206E-13</v>
      </c>
      <c r="O128" s="14">
        <f>N128*VLOOKUP('Données projet'!$B$9,Paramètres!$A$1:$I$89,3,0)*VLOOKUP('Données projet'!$B$9,Paramètres!$A$1:$I$89,5,0)</f>
        <v>1.2710188457276673E-13</v>
      </c>
      <c r="P128" s="14">
        <f t="shared" si="87"/>
        <v>1.856866851063998E-12</v>
      </c>
      <c r="Q128" s="22">
        <f t="shared" si="107"/>
        <v>3.4554122145673649E-12</v>
      </c>
      <c r="R128" s="62">
        <f t="shared" si="55"/>
        <v>293.33333333333678</v>
      </c>
      <c r="S128" s="62">
        <f ca="1">AVERAGE(OFFSET($R$3,0,0,'Données projet'!$E$9+1,1))-AVERAGE(OFFSET($H$3,0,0,'Données projet'!$E$9+1,1))</f>
        <v>323.98185264074681</v>
      </c>
      <c r="T128" s="62">
        <f t="shared" si="88"/>
        <v>301.22207291854005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0.67995378188770517</v>
      </c>
      <c r="AA128" s="23">
        <f>EXP(-LN(2)/25)*AA127+(1-EXP(-LN(2)/25))/(LN(2)/25)*Calculateur!V128*Calculateur!X128*VLOOKUP('Données projet'!$B$9,Paramètres!$A$1:$I$89,3,0)*0.475*44/12</f>
        <v>0.59210372067989037</v>
      </c>
      <c r="AB128" s="23">
        <f>EXP(-LN(2)/2)*AB127+(1-EXP(-LN(2)/2))/(LN(2)/2)*V128*Y128*VLOOKUP('Données projet'!$B$9,Paramètres!$A$1:$I$89,3,0)*0.475*44/12</f>
        <v>3.0586944456445427E-14</v>
      </c>
      <c r="AC128" s="24">
        <f t="shared" si="57"/>
        <v>1.2720575025676262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-2.8421709430404007E-13</v>
      </c>
      <c r="AJ128" s="14">
        <f>AI128*VLOOKUP('Données projet'!$B$10,Paramètres!$A$1:$I$89,3,0)*VLOOKUP('Données projet'!$B$10,Paramètres!$A$1:$I$89,5,0)</f>
        <v>-1.69961822393816E-13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289.12367833861299</v>
      </c>
      <c r="AO128" s="62">
        <f t="shared" si="90"/>
        <v>229.06617320689003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2.0834926346921927E-14</v>
      </c>
      <c r="AX128" s="23">
        <f t="shared" si="60"/>
        <v>2.0834926346921927E-14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>
        <f>BD128*VLOOKUP('Données projet'!$B$11,Paramètres!$A$1:$I$89,3,0)*VLOOKUP('Données projet'!$B$11,Paramètres!$A$1:$I$89,5,0)</f>
        <v>0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240.22884864766218</v>
      </c>
      <c r="BJ128" s="62">
        <f t="shared" si="92"/>
        <v>343.23776884143166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0.7391496352814042</v>
      </c>
      <c r="BR128" s="23">
        <f>EXP(-LN(2)/2)*BR127+(1-EXP(-LN(2)/2))/(LN(2)/2)*BL128*BO128*VLOOKUP('Données projet'!$B$11,Paramètres!$A$1:$I$89,3,0)*0.475*44/12</f>
        <v>8.2995438468878046E-14</v>
      </c>
      <c r="BS128" s="24">
        <f t="shared" si="63"/>
        <v>0.73914963528148725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3.2</v>
      </c>
      <c r="BY128" s="13">
        <f>IF('Données projet'!$A$114&gt;35,BY127+BX128-CG127,IF(A128&lt;'Données projet'!$A$114,$BV$205^A128,IF(A128='Données projet'!$A$114,'Données projet'!$B$114,BY127+BX128-CG127)))</f>
        <v>283.99999999999943</v>
      </c>
      <c r="BZ128" s="14">
        <f>BY128*VLOOKUP('Données projet'!$B$12,Paramètres!$A$1:$I$89,3,0)*VLOOKUP('Données projet'!$B$12,Paramètres!$A$1:$I$89,5,0)</f>
        <v>256.96319999999946</v>
      </c>
      <c r="CA128" s="14">
        <f t="shared" si="93"/>
        <v>62.07461295683791</v>
      </c>
      <c r="CB128" s="22">
        <f t="shared" si="64"/>
        <v>555.65752423315837</v>
      </c>
      <c r="CC128" s="62">
        <f t="shared" si="65"/>
        <v>848.99085756649174</v>
      </c>
      <c r="CD128" s="62">
        <f ca="1">AVERAGE(OFFSET($CC$3,0,0,'Données projet'!$E$12+1,1))-AVERAGE(OFFSET($H$3,0,0,'Données projet'!$E$12+1,1))</f>
        <v>428.8489304403459</v>
      </c>
      <c r="CE128" s="62">
        <f t="shared" si="94"/>
        <v>247.01165577562966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-1.7053025658242404E-13</v>
      </c>
      <c r="CU128" s="18">
        <f>CT128*VLOOKUP('Données projet'!$B$13,Paramètres!$A$1:$I$89,3,0)*VLOOKUP('Données projet'!$B$13,Paramètres!$A$1:$I$89,5,0)</f>
        <v>-1.3567387213697657E-13</v>
      </c>
      <c r="CV128" s="14" t="e">
        <f t="shared" si="95"/>
        <v>#NUM!</v>
      </c>
      <c r="CW128" s="22" t="e">
        <f t="shared" si="67"/>
        <v>#NUM!</v>
      </c>
      <c r="CX128" s="62" t="e">
        <f t="shared" si="68"/>
        <v>#NUM!</v>
      </c>
      <c r="CY128" s="62">
        <f ca="1">AVERAGE(OFFSET($CX$3,0,0,'Données projet'!$E$13+1,1))-AVERAGE(OFFSET($H$3,0,0,'Données projet'!$E$13+1,1))</f>
        <v>312.53381881960331</v>
      </c>
      <c r="CZ128" s="62">
        <f t="shared" si="96"/>
        <v>342.06887933351783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-1.7053025658242404E-13</v>
      </c>
      <c r="DP128" s="18">
        <f>DO128*VLOOKUP('Données projet'!$B$14,Paramètres!$A$1:$I$89,3,0)*VLOOKUP('Données projet'!$B$14,Paramètres!$A$1:$I$89,5,0)</f>
        <v>-1.250327841262333E-13</v>
      </c>
      <c r="DQ128" s="14" t="e">
        <f t="shared" si="97"/>
        <v>#NUM!</v>
      </c>
      <c r="DR128" s="22" t="e">
        <f t="shared" si="70"/>
        <v>#NUM!</v>
      </c>
      <c r="DS128" s="62" t="e">
        <f t="shared" si="71"/>
        <v>#NUM!</v>
      </c>
      <c r="DT128" s="62">
        <f ca="1">AVERAGE(OFFSET($DS$3,0,0,'Données projet'!$E$14+1,1))-AVERAGE(OFFSET($H$3,0,0,'Données projet'!$E$14+1,1))</f>
        <v>290.85271051443431</v>
      </c>
      <c r="DU128" s="62">
        <f t="shared" si="98"/>
        <v>318.66958823451142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0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4.0999999999999996</v>
      </c>
      <c r="EJ128" s="13">
        <f>IF('Données projet'!$A$192&gt;35,EJ127+EI128-ER127,IF(A128&lt;'Données projet'!$A$192,$EG$205^A128,IF(A128='Données projet'!$A$192,'Données projet'!$B$192,EJ127+EI128-ER127)))</f>
        <v>350.50000000000011</v>
      </c>
      <c r="EK128" s="18">
        <f>EJ128*VLOOKUP('Données projet'!$B$15,Paramètres!$A$1:$I$89,3,0)*VLOOKUP('Données projet'!$B$15,Paramètres!$A$1:$I$89,5,0)</f>
        <v>300.72900000000016</v>
      </c>
      <c r="EL128" s="14">
        <f t="shared" si="99"/>
        <v>71.329268282780333</v>
      </c>
      <c r="EM128" s="22">
        <f t="shared" si="73"/>
        <v>648.00148392584265</v>
      </c>
      <c r="EN128" s="62">
        <f t="shared" si="74"/>
        <v>941.33481725917591</v>
      </c>
      <c r="EO128" s="62">
        <f ca="1">AVERAGE(OFFSET($EN$3,0,0,'Données projet'!$E$15+1,1))-AVERAGE(OFFSET($H$3,0,0,'Données projet'!$E$15+1,1))</f>
        <v>438.65317358403996</v>
      </c>
      <c r="EP128" s="62">
        <f t="shared" si="100"/>
        <v>176.81257896138806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0</v>
      </c>
      <c r="EW128" s="23">
        <f>EXP(-LN(2)/25)*EW127+(1-EXP(-LN(2)/25))/(LN(2)/25)*Calculateur!ER128*Calculateur!ET128*VLOOKUP('Données projet'!$B$15,Paramètres!$A$1:$I$89,3,0)*0.475*44/12</f>
        <v>0</v>
      </c>
      <c r="EX128" s="23">
        <f>EXP(-LN(2)/2)*EX127+(1-EXP(-LN(2)/2))/(LN(2)/2)*ER128*EU128*VLOOKUP('Données projet'!$B$15,Paramètres!$A$1:$I$89,3,0)*0.475*44/12</f>
        <v>0</v>
      </c>
      <c r="EY128" s="24">
        <f t="shared" si="75"/>
        <v>0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2.2737367544323206E-13</v>
      </c>
      <c r="O129" s="14">
        <f>N129*VLOOKUP('Données projet'!$B$9,Paramètres!$A$1:$I$89,3,0)*VLOOKUP('Données projet'!$B$9,Paramètres!$A$1:$I$89,5,0)</f>
        <v>1.2710188457276673E-13</v>
      </c>
      <c r="P129" s="14">
        <f t="shared" si="87"/>
        <v>1.856866851063998E-12</v>
      </c>
      <c r="Q129" s="22">
        <f t="shared" si="107"/>
        <v>3.4554122145673649E-12</v>
      </c>
      <c r="R129" s="62">
        <f t="shared" si="55"/>
        <v>293.33333333333678</v>
      </c>
      <c r="S129" s="62">
        <f ca="1">AVERAGE(OFFSET($R$3,0,0,'Données projet'!$E$9+1,1))-AVERAGE(OFFSET($H$3,0,0,'Données projet'!$E$9+1,1))</f>
        <v>323.98185264074681</v>
      </c>
      <c r="T129" s="62">
        <f t="shared" si="88"/>
        <v>301.22207291854005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0.66662030295574293</v>
      </c>
      <c r="AA129" s="23">
        <f>EXP(-LN(2)/25)*AA128+(1-EXP(-LN(2)/25))/(LN(2)/25)*Calculateur!V129*Calculateur!X129*VLOOKUP('Données projet'!$B$9,Paramètres!$A$1:$I$89,3,0)*0.475*44/12</f>
        <v>0.57591261330051735</v>
      </c>
      <c r="AB129" s="23">
        <f>EXP(-LN(2)/2)*AB128+(1-EXP(-LN(2)/2))/(LN(2)/2)*V129*Y129*VLOOKUP('Données projet'!$B$9,Paramètres!$A$1:$I$89,3,0)*0.475*44/12</f>
        <v>2.162823584092884E-14</v>
      </c>
      <c r="AC129" s="24">
        <f t="shared" si="57"/>
        <v>1.2425329162562819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-2.8421709430404007E-13</v>
      </c>
      <c r="AJ129" s="14">
        <f>AI129*VLOOKUP('Données projet'!$B$10,Paramètres!$A$1:$I$89,3,0)*VLOOKUP('Données projet'!$B$10,Paramètres!$A$1:$I$89,5,0)</f>
        <v>-1.69961822393816E-13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289.12367833861299</v>
      </c>
      <c r="AO129" s="62">
        <f t="shared" si="90"/>
        <v>229.06617320689003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1.4732517705430757E-14</v>
      </c>
      <c r="AX129" s="23">
        <f t="shared" si="60"/>
        <v>1.4732517705430757E-14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>
        <f>BD129*VLOOKUP('Données projet'!$B$11,Paramètres!$A$1:$I$89,3,0)*VLOOKUP('Données projet'!$B$11,Paramètres!$A$1:$I$89,5,0)</f>
        <v>0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240.22884864766218</v>
      </c>
      <c r="BJ129" s="62">
        <f t="shared" si="92"/>
        <v>343.23776884143166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0.71893754963444423</v>
      </c>
      <c r="BR129" s="23">
        <f>EXP(-LN(2)/2)*BR128+(1-EXP(-LN(2)/2))/(LN(2)/2)*BL129*BO129*VLOOKUP('Données projet'!$B$11,Paramètres!$A$1:$I$89,3,0)*0.475*44/12</f>
        <v>5.8686637348894517E-14</v>
      </c>
      <c r="BS129" s="24">
        <f t="shared" si="63"/>
        <v>0.71893754963450296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3.2</v>
      </c>
      <c r="BY129" s="13">
        <f>IF('Données projet'!$A$114&gt;35,BY128+BX129-CG128,IF(A129&lt;'Données projet'!$A$114,$BV$205^A129,IF(A129='Données projet'!$A$114,'Données projet'!$B$114,BY128+BX129-CG128)))</f>
        <v>287.19999999999942</v>
      </c>
      <c r="BZ129" s="14">
        <f>BY129*VLOOKUP('Données projet'!$B$12,Paramètres!$A$1:$I$89,3,0)*VLOOKUP('Données projet'!$B$12,Paramètres!$A$1:$I$89,5,0)</f>
        <v>259.85855999999944</v>
      </c>
      <c r="CA129" s="14">
        <f t="shared" si="93"/>
        <v>62.692227709138365</v>
      </c>
      <c r="CB129" s="22">
        <f t="shared" si="64"/>
        <v>561.77595526008167</v>
      </c>
      <c r="CC129" s="62">
        <f t="shared" si="65"/>
        <v>855.10928859341493</v>
      </c>
      <c r="CD129" s="62">
        <f ca="1">AVERAGE(OFFSET($CC$3,0,0,'Données projet'!$E$12+1,1))-AVERAGE(OFFSET($H$3,0,0,'Données projet'!$E$12+1,1))</f>
        <v>428.8489304403459</v>
      </c>
      <c r="CE129" s="62">
        <f t="shared" si="94"/>
        <v>247.01165577562966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-1.7053025658242404E-13</v>
      </c>
      <c r="CU129" s="18">
        <f>CT129*VLOOKUP('Données projet'!$B$13,Paramètres!$A$1:$I$89,3,0)*VLOOKUP('Données projet'!$B$13,Paramètres!$A$1:$I$89,5,0)</f>
        <v>-1.3567387213697657E-13</v>
      </c>
      <c r="CV129" s="14" t="e">
        <f t="shared" si="95"/>
        <v>#NUM!</v>
      </c>
      <c r="CW129" s="22" t="e">
        <f t="shared" si="67"/>
        <v>#NUM!</v>
      </c>
      <c r="CX129" s="62" t="e">
        <f t="shared" si="68"/>
        <v>#NUM!</v>
      </c>
      <c r="CY129" s="62">
        <f ca="1">AVERAGE(OFFSET($CX$3,0,0,'Données projet'!$E$13+1,1))-AVERAGE(OFFSET($H$3,0,0,'Données projet'!$E$13+1,1))</f>
        <v>312.53381881960331</v>
      </c>
      <c r="CZ129" s="62">
        <f t="shared" si="96"/>
        <v>342.06887933351783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-1.7053025658242404E-13</v>
      </c>
      <c r="DP129" s="18">
        <f>DO129*VLOOKUP('Données projet'!$B$14,Paramètres!$A$1:$I$89,3,0)*VLOOKUP('Données projet'!$B$14,Paramètres!$A$1:$I$89,5,0)</f>
        <v>-1.250327841262333E-13</v>
      </c>
      <c r="DQ129" s="14" t="e">
        <f t="shared" si="97"/>
        <v>#NUM!</v>
      </c>
      <c r="DR129" s="22" t="e">
        <f t="shared" si="70"/>
        <v>#NUM!</v>
      </c>
      <c r="DS129" s="62" t="e">
        <f t="shared" si="71"/>
        <v>#NUM!</v>
      </c>
      <c r="DT129" s="62">
        <f ca="1">AVERAGE(OFFSET($DS$3,0,0,'Données projet'!$E$14+1,1))-AVERAGE(OFFSET($H$3,0,0,'Données projet'!$E$14+1,1))</f>
        <v>290.85271051443431</v>
      </c>
      <c r="DU129" s="62">
        <f t="shared" si="98"/>
        <v>318.66958823451142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0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4.0999999999999996</v>
      </c>
      <c r="EJ129" s="13">
        <f>IF('Données projet'!$A$192&gt;35,EJ128+EI129-ER128,IF(A129&lt;'Données projet'!$A$192,$EG$205^A129,IF(A129='Données projet'!$A$192,'Données projet'!$B$192,EJ128+EI129-ER128)))</f>
        <v>354.60000000000014</v>
      </c>
      <c r="EK129" s="18">
        <f>EJ129*VLOOKUP('Données projet'!$B$15,Paramètres!$A$1:$I$89,3,0)*VLOOKUP('Données projet'!$B$15,Paramètres!$A$1:$I$89,5,0)</f>
        <v>304.24680000000012</v>
      </c>
      <c r="EL129" s="14">
        <f t="shared" si="99"/>
        <v>72.066026218980411</v>
      </c>
      <c r="EM129" s="22">
        <f t="shared" si="73"/>
        <v>655.41150566472436</v>
      </c>
      <c r="EN129" s="62">
        <f t="shared" si="74"/>
        <v>948.74483899805773</v>
      </c>
      <c r="EO129" s="62">
        <f ca="1">AVERAGE(OFFSET($EN$3,0,0,'Données projet'!$E$15+1,1))-AVERAGE(OFFSET($H$3,0,0,'Données projet'!$E$15+1,1))</f>
        <v>438.65317358403996</v>
      </c>
      <c r="EP129" s="62">
        <f t="shared" si="100"/>
        <v>176.81257896138806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0</v>
      </c>
      <c r="EW129" s="23">
        <f>EXP(-LN(2)/25)*EW128+(1-EXP(-LN(2)/25))/(LN(2)/25)*Calculateur!ER129*Calculateur!ET129*VLOOKUP('Données projet'!$B$15,Paramètres!$A$1:$I$89,3,0)*0.475*44/12</f>
        <v>0</v>
      </c>
      <c r="EX129" s="23">
        <f>EXP(-LN(2)/2)*EX128+(1-EXP(-LN(2)/2))/(LN(2)/2)*ER129*EU129*VLOOKUP('Données projet'!$B$15,Paramètres!$A$1:$I$89,3,0)*0.475*44/12</f>
        <v>0</v>
      </c>
      <c r="EY129" s="24">
        <f t="shared" si="75"/>
        <v>0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2.2737367544323206E-13</v>
      </c>
      <c r="O130" s="14">
        <f>N130*VLOOKUP('Données projet'!$B$9,Paramètres!$A$1:$I$89,3,0)*VLOOKUP('Données projet'!$B$9,Paramètres!$A$1:$I$89,5,0)</f>
        <v>1.2710188457276673E-13</v>
      </c>
      <c r="P130" s="14">
        <f t="shared" si="87"/>
        <v>1.856866851063998E-12</v>
      </c>
      <c r="Q130" s="22">
        <f t="shared" si="107"/>
        <v>3.4554122145673649E-12</v>
      </c>
      <c r="R130" s="62">
        <f t="shared" si="55"/>
        <v>293.33333333333678</v>
      </c>
      <c r="S130" s="62">
        <f ca="1">AVERAGE(OFFSET($R$3,0,0,'Données projet'!$E$9+1,1))-AVERAGE(OFFSET($H$3,0,0,'Données projet'!$E$9+1,1))</f>
        <v>323.98185264074681</v>
      </c>
      <c r="T130" s="62">
        <f t="shared" si="88"/>
        <v>301.22207291854005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0.65354828541301735</v>
      </c>
      <c r="AA130" s="23">
        <f>EXP(-LN(2)/25)*AA129+(1-EXP(-LN(2)/25))/(LN(2)/25)*Calculateur!V130*Calculateur!X130*VLOOKUP('Données projet'!$B$9,Paramètres!$A$1:$I$89,3,0)*0.475*44/12</f>
        <v>0.56016425260388669</v>
      </c>
      <c r="AB130" s="23">
        <f>EXP(-LN(2)/2)*AB129+(1-EXP(-LN(2)/2))/(LN(2)/2)*V130*Y130*VLOOKUP('Données projet'!$B$9,Paramètres!$A$1:$I$89,3,0)*0.475*44/12</f>
        <v>1.5293472228222714E-14</v>
      </c>
      <c r="AC130" s="24">
        <f t="shared" si="57"/>
        <v>1.2137125380169194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-2.8421709430404007E-13</v>
      </c>
      <c r="AJ130" s="14">
        <f>AI130*VLOOKUP('Données projet'!$B$10,Paramètres!$A$1:$I$89,3,0)*VLOOKUP('Données projet'!$B$10,Paramètres!$A$1:$I$89,5,0)</f>
        <v>-1.69961822393816E-13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289.12367833861299</v>
      </c>
      <c r="AO130" s="62">
        <f t="shared" si="90"/>
        <v>229.06617320689003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1.0417463173460964E-14</v>
      </c>
      <c r="AX130" s="23">
        <f t="shared" si="60"/>
        <v>1.0417463173460964E-14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>
        <f>BD130*VLOOKUP('Données projet'!$B$11,Paramètres!$A$1:$I$89,3,0)*VLOOKUP('Données projet'!$B$11,Paramètres!$A$1:$I$89,5,0)</f>
        <v>0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240.22884864766218</v>
      </c>
      <c r="BJ130" s="62">
        <f t="shared" si="92"/>
        <v>343.23776884143166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0.69927816453240776</v>
      </c>
      <c r="BR130" s="23">
        <f>EXP(-LN(2)/2)*BR129+(1-EXP(-LN(2)/2))/(LN(2)/2)*BL130*BO130*VLOOKUP('Données projet'!$B$11,Paramètres!$A$1:$I$89,3,0)*0.475*44/12</f>
        <v>4.1497719234439023E-14</v>
      </c>
      <c r="BS130" s="24">
        <f t="shared" si="63"/>
        <v>0.69927816453244929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3.2</v>
      </c>
      <c r="BY130" s="13">
        <f>IF('Données projet'!$A$114&gt;35,BY129+BX130-CG129,IF(A130&lt;'Données projet'!$A$114,$BV$205^A130,IF(A130='Données projet'!$A$114,'Données projet'!$B$114,BY129+BX130-CG129)))</f>
        <v>290.39999999999941</v>
      </c>
      <c r="BZ130" s="14">
        <f>BY130*VLOOKUP('Données projet'!$B$12,Paramètres!$A$1:$I$89,3,0)*VLOOKUP('Données projet'!$B$12,Paramètres!$A$1:$I$89,5,0)</f>
        <v>262.75391999999948</v>
      </c>
      <c r="CA130" s="14">
        <f t="shared" si="93"/>
        <v>63.309041956360211</v>
      </c>
      <c r="CB130" s="22">
        <f t="shared" si="64"/>
        <v>567.89299207399313</v>
      </c>
      <c r="CC130" s="62">
        <f t="shared" si="65"/>
        <v>861.22632540732639</v>
      </c>
      <c r="CD130" s="62">
        <f ca="1">AVERAGE(OFFSET($CC$3,0,0,'Données projet'!$E$12+1,1))-AVERAGE(OFFSET($H$3,0,0,'Données projet'!$E$12+1,1))</f>
        <v>428.8489304403459</v>
      </c>
      <c r="CE130" s="62">
        <f t="shared" si="94"/>
        <v>247.01165577562966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-1.7053025658242404E-13</v>
      </c>
      <c r="CU130" s="18">
        <f>CT130*VLOOKUP('Données projet'!$B$13,Paramètres!$A$1:$I$89,3,0)*VLOOKUP('Données projet'!$B$13,Paramètres!$A$1:$I$89,5,0)</f>
        <v>-1.3567387213697657E-13</v>
      </c>
      <c r="CV130" s="14" t="e">
        <f t="shared" si="95"/>
        <v>#NUM!</v>
      </c>
      <c r="CW130" s="22" t="e">
        <f t="shared" si="67"/>
        <v>#NUM!</v>
      </c>
      <c r="CX130" s="62" t="e">
        <f t="shared" si="68"/>
        <v>#NUM!</v>
      </c>
      <c r="CY130" s="62">
        <f ca="1">AVERAGE(OFFSET($CX$3,0,0,'Données projet'!$E$13+1,1))-AVERAGE(OFFSET($H$3,0,0,'Données projet'!$E$13+1,1))</f>
        <v>312.53381881960331</v>
      </c>
      <c r="CZ130" s="62">
        <f t="shared" si="96"/>
        <v>342.06887933351783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-1.7053025658242404E-13</v>
      </c>
      <c r="DP130" s="18">
        <f>DO130*VLOOKUP('Données projet'!$B$14,Paramètres!$A$1:$I$89,3,0)*VLOOKUP('Données projet'!$B$14,Paramètres!$A$1:$I$89,5,0)</f>
        <v>-1.250327841262333E-13</v>
      </c>
      <c r="DQ130" s="14" t="e">
        <f t="shared" si="97"/>
        <v>#NUM!</v>
      </c>
      <c r="DR130" s="22" t="e">
        <f t="shared" si="70"/>
        <v>#NUM!</v>
      </c>
      <c r="DS130" s="62" t="e">
        <f t="shared" si="71"/>
        <v>#NUM!</v>
      </c>
      <c r="DT130" s="62">
        <f ca="1">AVERAGE(OFFSET($DS$3,0,0,'Données projet'!$E$14+1,1))-AVERAGE(OFFSET($H$3,0,0,'Données projet'!$E$14+1,1))</f>
        <v>290.85271051443431</v>
      </c>
      <c r="DU130" s="62">
        <f t="shared" si="98"/>
        <v>318.66958823451142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0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4.0999999999999996</v>
      </c>
      <c r="EJ130" s="13">
        <f>IF('Données projet'!$A$192&gt;35,EJ129+EI130-ER129,IF(A130&lt;'Données projet'!$A$192,$EG$205^A130,IF(A130='Données projet'!$A$192,'Données projet'!$B$192,EJ129+EI130-ER129)))</f>
        <v>358.70000000000016</v>
      </c>
      <c r="EK130" s="18">
        <f>EJ130*VLOOKUP('Données projet'!$B$15,Paramètres!$A$1:$I$89,3,0)*VLOOKUP('Données projet'!$B$15,Paramètres!$A$1:$I$89,5,0)</f>
        <v>307.7646000000002</v>
      </c>
      <c r="EL130" s="14">
        <f t="shared" si="99"/>
        <v>72.801793229813896</v>
      </c>
      <c r="EM130" s="22">
        <f t="shared" si="73"/>
        <v>662.81980154192615</v>
      </c>
      <c r="EN130" s="62">
        <f t="shared" si="74"/>
        <v>956.15313487525941</v>
      </c>
      <c r="EO130" s="62">
        <f ca="1">AVERAGE(OFFSET($EN$3,0,0,'Données projet'!$E$15+1,1))-AVERAGE(OFFSET($H$3,0,0,'Données projet'!$E$15+1,1))</f>
        <v>438.65317358403996</v>
      </c>
      <c r="EP130" s="62">
        <f t="shared" si="100"/>
        <v>176.81257896138806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0</v>
      </c>
      <c r="EW130" s="23">
        <f>EXP(-LN(2)/25)*EW129+(1-EXP(-LN(2)/25))/(LN(2)/25)*Calculateur!ER130*Calculateur!ET130*VLOOKUP('Données projet'!$B$15,Paramètres!$A$1:$I$89,3,0)*0.475*44/12</f>
        <v>0</v>
      </c>
      <c r="EX130" s="23">
        <f>EXP(-LN(2)/2)*EX129+(1-EXP(-LN(2)/2))/(LN(2)/2)*ER130*EU130*VLOOKUP('Données projet'!$B$15,Paramètres!$A$1:$I$89,3,0)*0.475*44/12</f>
        <v>0</v>
      </c>
      <c r="EY130" s="24">
        <f t="shared" si="75"/>
        <v>0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2.2737367544323206E-13</v>
      </c>
      <c r="O131" s="14">
        <f>N131*VLOOKUP('Données projet'!$B$9,Paramètres!$A$1:$I$89,3,0)*VLOOKUP('Données projet'!$B$9,Paramètres!$A$1:$I$89,5,0)</f>
        <v>1.2710188457276673E-13</v>
      </c>
      <c r="P131" s="14">
        <f t="shared" si="87"/>
        <v>1.856866851063998E-12</v>
      </c>
      <c r="Q131" s="22">
        <f t="shared" ref="Q131:Q153" si="108">(O131+P131)*0.475*44/12</f>
        <v>3.4554122145673649E-12</v>
      </c>
      <c r="R131" s="62">
        <f t="shared" ref="R131:R194" si="109">Q131+(I131+J131)*44/12</f>
        <v>293.33333333333678</v>
      </c>
      <c r="S131" s="62">
        <f ca="1">AVERAGE(OFFSET($R$3,0,0,'Données projet'!$E$9+1,1))-AVERAGE(OFFSET($H$3,0,0,'Données projet'!$E$9+1,1))</f>
        <v>323.98185264074681</v>
      </c>
      <c r="T131" s="62">
        <f t="shared" si="88"/>
        <v>301.22207291854005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0.64073260216116124</v>
      </c>
      <c r="AA131" s="23">
        <f>EXP(-LN(2)/25)*AA130+(1-EXP(-LN(2)/25))/(LN(2)/25)*Calculateur!V131*Calculateur!X131*VLOOKUP('Données projet'!$B$9,Paramètres!$A$1:$I$89,3,0)*0.475*44/12</f>
        <v>0.54484653165867569</v>
      </c>
      <c r="AB131" s="23">
        <f>EXP(-LN(2)/2)*AB130+(1-EXP(-LN(2)/2))/(LN(2)/2)*V131*Y131*VLOOKUP('Données projet'!$B$9,Paramètres!$A$1:$I$89,3,0)*0.475*44/12</f>
        <v>1.081411792046442E-14</v>
      </c>
      <c r="AC131" s="24">
        <f t="shared" si="57"/>
        <v>1.1855791338198478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-2.8421709430404007E-13</v>
      </c>
      <c r="AJ131" s="14">
        <f>AI131*VLOOKUP('Données projet'!$B$10,Paramètres!$A$1:$I$89,3,0)*VLOOKUP('Données projet'!$B$10,Paramètres!$A$1:$I$89,5,0)</f>
        <v>-1.69961822393816E-13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289.12367833861299</v>
      </c>
      <c r="AO131" s="62">
        <f t="shared" si="90"/>
        <v>229.06617320689003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7.3662588527153785E-15</v>
      </c>
      <c r="AX131" s="23">
        <f t="shared" si="60"/>
        <v>7.3662588527153785E-15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>
        <f>BD131*VLOOKUP('Données projet'!$B$11,Paramètres!$A$1:$I$89,3,0)*VLOOKUP('Données projet'!$B$11,Paramètres!$A$1:$I$89,5,0)</f>
        <v>0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240.22884864766218</v>
      </c>
      <c r="BJ131" s="62">
        <f t="shared" si="92"/>
        <v>343.23776884143166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0.68015636634982868</v>
      </c>
      <c r="BR131" s="23">
        <f>EXP(-LN(2)/2)*BR130+(1-EXP(-LN(2)/2))/(LN(2)/2)*BL131*BO131*VLOOKUP('Données projet'!$B$11,Paramètres!$A$1:$I$89,3,0)*0.475*44/12</f>
        <v>2.9343318674447259E-14</v>
      </c>
      <c r="BS131" s="24">
        <f t="shared" si="63"/>
        <v>0.68015636634985799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3.2</v>
      </c>
      <c r="BY131" s="13">
        <f>IF('Données projet'!$A$114&gt;35,BY130+BX131-CG130,IF(A131&lt;'Données projet'!$A$114,$BV$205^A131,IF(A131='Données projet'!$A$114,'Données projet'!$B$114,BY130+BX131-CG130)))</f>
        <v>293.5999999999994</v>
      </c>
      <c r="BZ131" s="14">
        <f>BY131*VLOOKUP('Données projet'!$B$12,Paramètres!$A$1:$I$89,3,0)*VLOOKUP('Données projet'!$B$12,Paramètres!$A$1:$I$89,5,0)</f>
        <v>265.64927999999946</v>
      </c>
      <c r="CA131" s="14">
        <f t="shared" si="93"/>
        <v>63.925065540346907</v>
      </c>
      <c r="CB131" s="22">
        <f t="shared" si="64"/>
        <v>574.00865181610322</v>
      </c>
      <c r="CC131" s="62">
        <f t="shared" si="65"/>
        <v>867.3419851494366</v>
      </c>
      <c r="CD131" s="62">
        <f ca="1">AVERAGE(OFFSET($CC$3,0,0,'Données projet'!$E$12+1,1))-AVERAGE(OFFSET($H$3,0,0,'Données projet'!$E$12+1,1))</f>
        <v>428.8489304403459</v>
      </c>
      <c r="CE131" s="62">
        <f t="shared" si="94"/>
        <v>247.01165577562966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-1.7053025658242404E-13</v>
      </c>
      <c r="CU131" s="18">
        <f>CT131*VLOOKUP('Données projet'!$B$13,Paramètres!$A$1:$I$89,3,0)*VLOOKUP('Données projet'!$B$13,Paramètres!$A$1:$I$89,5,0)</f>
        <v>-1.3567387213697657E-13</v>
      </c>
      <c r="CV131" s="14" t="e">
        <f t="shared" si="95"/>
        <v>#NUM!</v>
      </c>
      <c r="CW131" s="22" t="e">
        <f t="shared" si="67"/>
        <v>#NUM!</v>
      </c>
      <c r="CX131" s="62" t="e">
        <f t="shared" si="68"/>
        <v>#NUM!</v>
      </c>
      <c r="CY131" s="62">
        <f ca="1">AVERAGE(OFFSET($CX$3,0,0,'Données projet'!$E$13+1,1))-AVERAGE(OFFSET($H$3,0,0,'Données projet'!$E$13+1,1))</f>
        <v>312.53381881960331</v>
      </c>
      <c r="CZ131" s="62">
        <f t="shared" si="96"/>
        <v>342.06887933351783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-1.7053025658242404E-13</v>
      </c>
      <c r="DP131" s="18">
        <f>DO131*VLOOKUP('Données projet'!$B$14,Paramètres!$A$1:$I$89,3,0)*VLOOKUP('Données projet'!$B$14,Paramètres!$A$1:$I$89,5,0)</f>
        <v>-1.250327841262333E-13</v>
      </c>
      <c r="DQ131" s="14" t="e">
        <f t="shared" si="97"/>
        <v>#NUM!</v>
      </c>
      <c r="DR131" s="22" t="e">
        <f t="shared" si="70"/>
        <v>#NUM!</v>
      </c>
      <c r="DS131" s="62" t="e">
        <f t="shared" si="71"/>
        <v>#NUM!</v>
      </c>
      <c r="DT131" s="62">
        <f ca="1">AVERAGE(OFFSET($DS$3,0,0,'Données projet'!$E$14+1,1))-AVERAGE(OFFSET($H$3,0,0,'Données projet'!$E$14+1,1))</f>
        <v>290.85271051443431</v>
      </c>
      <c r="DU131" s="62">
        <f t="shared" si="98"/>
        <v>318.66958823451142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0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4.0999999999999996</v>
      </c>
      <c r="EJ131" s="13">
        <f>IF('Données projet'!$A$192&gt;35,EJ130+EI131-ER130,IF(A131&lt;'Données projet'!$A$192,$EG$205^A131,IF(A131='Données projet'!$A$192,'Données projet'!$B$192,EJ130+EI131-ER130)))</f>
        <v>362.80000000000018</v>
      </c>
      <c r="EK131" s="18">
        <f>EJ131*VLOOKUP('Données projet'!$B$15,Paramètres!$A$1:$I$89,3,0)*VLOOKUP('Données projet'!$B$15,Paramètres!$A$1:$I$89,5,0)</f>
        <v>311.28240000000017</v>
      </c>
      <c r="EL131" s="14">
        <f t="shared" si="99"/>
        <v>73.536581952263504</v>
      </c>
      <c r="EM131" s="22">
        <f t="shared" si="73"/>
        <v>670.2263935668592</v>
      </c>
      <c r="EN131" s="62">
        <f t="shared" si="74"/>
        <v>963.55972690019257</v>
      </c>
      <c r="EO131" s="62">
        <f ca="1">AVERAGE(OFFSET($EN$3,0,0,'Données projet'!$E$15+1,1))-AVERAGE(OFFSET($H$3,0,0,'Données projet'!$E$15+1,1))</f>
        <v>438.65317358403996</v>
      </c>
      <c r="EP131" s="62">
        <f t="shared" si="100"/>
        <v>176.81257896138806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0</v>
      </c>
      <c r="EW131" s="23">
        <f>EXP(-LN(2)/25)*EW130+(1-EXP(-LN(2)/25))/(LN(2)/25)*Calculateur!ER131*Calculateur!ET131*VLOOKUP('Données projet'!$B$15,Paramètres!$A$1:$I$89,3,0)*0.475*44/12</f>
        <v>0</v>
      </c>
      <c r="EX131" s="23">
        <f>EXP(-LN(2)/2)*EX130+(1-EXP(-LN(2)/2))/(LN(2)/2)*ER131*EU131*VLOOKUP('Données projet'!$B$15,Paramètres!$A$1:$I$89,3,0)*0.475*44/12</f>
        <v>0</v>
      </c>
      <c r="EY131" s="24">
        <f t="shared" si="75"/>
        <v>0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2.2737367544323206E-13</v>
      </c>
      <c r="O132" s="14">
        <f>N132*VLOOKUP('Données projet'!$B$9,Paramètres!$A$1:$I$89,3,0)*VLOOKUP('Données projet'!$B$9,Paramètres!$A$1:$I$89,5,0)</f>
        <v>1.2710188457276673E-13</v>
      </c>
      <c r="P132" s="14">
        <f t="shared" si="87"/>
        <v>1.856866851063998E-12</v>
      </c>
      <c r="Q132" s="22">
        <f t="shared" si="108"/>
        <v>3.4554122145673649E-12</v>
      </c>
      <c r="R132" s="62">
        <f t="shared" si="109"/>
        <v>293.33333333333678</v>
      </c>
      <c r="S132" s="62">
        <f ca="1">AVERAGE(OFFSET($R$3,0,0,'Données projet'!$E$9+1,1))-AVERAGE(OFFSET($H$3,0,0,'Données projet'!$E$9+1,1))</f>
        <v>323.98185264074681</v>
      </c>
      <c r="T132" s="62">
        <f t="shared" si="88"/>
        <v>301.22207291854005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0.62816822664107907</v>
      </c>
      <c r="AA132" s="23">
        <f>EXP(-LN(2)/25)*AA131+(1-EXP(-LN(2)/25))/(LN(2)/25)*Calculateur!V132*Calculateur!X132*VLOOKUP('Données projet'!$B$9,Paramètres!$A$1:$I$89,3,0)*0.475*44/12</f>
        <v>0.52994767459823533</v>
      </c>
      <c r="AB132" s="23">
        <f>EXP(-LN(2)/2)*AB131+(1-EXP(-LN(2)/2))/(LN(2)/2)*V132*Y132*VLOOKUP('Données projet'!$B$9,Paramètres!$A$1:$I$89,3,0)*0.475*44/12</f>
        <v>7.6467361141113569E-15</v>
      </c>
      <c r="AC132" s="24">
        <f t="shared" ref="AC132:AC153" si="111">SUM(Z132:AB132)</f>
        <v>1.1581159012393218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-2.8421709430404007E-13</v>
      </c>
      <c r="AJ132" s="14">
        <f>AI132*VLOOKUP('Données projet'!$B$10,Paramètres!$A$1:$I$89,3,0)*VLOOKUP('Données projet'!$B$10,Paramètres!$A$1:$I$89,5,0)</f>
        <v>-1.69961822393816E-13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289.12367833861299</v>
      </c>
      <c r="AO132" s="62">
        <f t="shared" si="90"/>
        <v>229.06617320689003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5.2087315867304818E-15</v>
      </c>
      <c r="AX132" s="23">
        <f t="shared" ref="AX132:AX153" si="114">SUM(AU132:AW132)</f>
        <v>5.2087315867304818E-15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>
        <f>BD132*VLOOKUP('Données projet'!$B$11,Paramètres!$A$1:$I$89,3,0)*VLOOKUP('Données projet'!$B$11,Paramètres!$A$1:$I$89,5,0)</f>
        <v>0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240.22884864766218</v>
      </c>
      <c r="BJ132" s="62">
        <f t="shared" si="92"/>
        <v>343.23776884143166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0.66155745474412386</v>
      </c>
      <c r="BR132" s="23">
        <f>EXP(-LN(2)/2)*BR131+(1-EXP(-LN(2)/2))/(LN(2)/2)*BL132*BO132*VLOOKUP('Données projet'!$B$11,Paramètres!$A$1:$I$89,3,0)*0.475*44/12</f>
        <v>2.0748859617219512E-14</v>
      </c>
      <c r="BS132" s="24">
        <f t="shared" ref="BS132:BS153" si="117">SUM(BP132:BR132)</f>
        <v>0.66155745474414462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3.2</v>
      </c>
      <c r="BY132" s="13">
        <f>IF('Données projet'!$A$114&gt;35,BY131+BX132-CG131,IF(A132&lt;'Données projet'!$A$114,$BV$205^A132,IF(A132='Données projet'!$A$114,'Données projet'!$B$114,BY131+BX132-CG131)))</f>
        <v>296.79999999999939</v>
      </c>
      <c r="BZ132" s="14">
        <f>BY132*VLOOKUP('Données projet'!$B$12,Paramètres!$A$1:$I$89,3,0)*VLOOKUP('Données projet'!$B$12,Paramètres!$A$1:$I$89,5,0)</f>
        <v>268.54463999999945</v>
      </c>
      <c r="CA132" s="14">
        <f t="shared" si="93"/>
        <v>64.540308076050593</v>
      </c>
      <c r="CB132" s="22">
        <f t="shared" ref="CB132:CB153" si="118">(BZ132+CA132)*0.475*44/12</f>
        <v>580.12295123245383</v>
      </c>
      <c r="CC132" s="62">
        <f t="shared" ref="CC132:CC195" si="119">CB132+(BT132+BU132)*44/12</f>
        <v>873.4562845657872</v>
      </c>
      <c r="CD132" s="62">
        <f ca="1">AVERAGE(OFFSET($CC$3,0,0,'Données projet'!$E$12+1,1))-AVERAGE(OFFSET($H$3,0,0,'Données projet'!$E$12+1,1))</f>
        <v>428.8489304403459</v>
      </c>
      <c r="CE132" s="62">
        <f t="shared" si="94"/>
        <v>247.01165577562966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-1.7053025658242404E-13</v>
      </c>
      <c r="CU132" s="18">
        <f>CT132*VLOOKUP('Données projet'!$B$13,Paramètres!$A$1:$I$89,3,0)*VLOOKUP('Données projet'!$B$13,Paramètres!$A$1:$I$89,5,0)</f>
        <v>-1.3567387213697657E-13</v>
      </c>
      <c r="CV132" s="14" t="e">
        <f t="shared" si="95"/>
        <v>#NUM!</v>
      </c>
      <c r="CW132" s="22" t="e">
        <f t="shared" ref="CW132:CW153" si="121">(CU132+CV132)*0.475*44/12</f>
        <v>#NUM!</v>
      </c>
      <c r="CX132" s="62" t="e">
        <f t="shared" ref="CX132:CX195" si="122">CW132+(CO132+CP132)*44/12</f>
        <v>#NUM!</v>
      </c>
      <c r="CY132" s="62">
        <f ca="1">AVERAGE(OFFSET($CX$3,0,0,'Données projet'!$E$13+1,1))-AVERAGE(OFFSET($H$3,0,0,'Données projet'!$E$13+1,1))</f>
        <v>312.53381881960331</v>
      </c>
      <c r="CZ132" s="62">
        <f t="shared" si="96"/>
        <v>342.06887933351783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-1.7053025658242404E-13</v>
      </c>
      <c r="DP132" s="18">
        <f>DO132*VLOOKUP('Données projet'!$B$14,Paramètres!$A$1:$I$89,3,0)*VLOOKUP('Données projet'!$B$14,Paramètres!$A$1:$I$89,5,0)</f>
        <v>-1.250327841262333E-13</v>
      </c>
      <c r="DQ132" s="14" t="e">
        <f t="shared" si="97"/>
        <v>#NUM!</v>
      </c>
      <c r="DR132" s="22" t="e">
        <f t="shared" ref="DR132:DR153" si="124">(DP132+DQ132)*0.475*44/12</f>
        <v>#NUM!</v>
      </c>
      <c r="DS132" s="62" t="e">
        <f t="shared" ref="DS132:DS195" si="125">DR132+(DJ132+DK132)*44/12</f>
        <v>#NUM!</v>
      </c>
      <c r="DT132" s="62">
        <f ca="1">AVERAGE(OFFSET($DS$3,0,0,'Données projet'!$E$14+1,1))-AVERAGE(OFFSET($H$3,0,0,'Données projet'!$E$14+1,1))</f>
        <v>290.85271051443431</v>
      </c>
      <c r="DU132" s="62">
        <f t="shared" si="98"/>
        <v>318.66958823451142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0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4.0999999999999996</v>
      </c>
      <c r="EJ132" s="13">
        <f>IF('Données projet'!$A$192&gt;35,EJ131+EI132-ER131,IF(A132&lt;'Données projet'!$A$192,$EG$205^A132,IF(A132='Données projet'!$A$192,'Données projet'!$B$192,EJ131+EI132-ER131)))</f>
        <v>366.9000000000002</v>
      </c>
      <c r="EK132" s="18">
        <f>EJ132*VLOOKUP('Données projet'!$B$15,Paramètres!$A$1:$I$89,3,0)*VLOOKUP('Données projet'!$B$15,Paramètres!$A$1:$I$89,5,0)</f>
        <v>314.80020000000019</v>
      </c>
      <c r="EL132" s="14">
        <f t="shared" si="99"/>
        <v>74.270404721247317</v>
      </c>
      <c r="EM132" s="22">
        <f t="shared" ref="EM132:EM153" si="127">(EK132+EL132)*0.475*44/12</f>
        <v>677.63130322283928</v>
      </c>
      <c r="EN132" s="62">
        <f t="shared" ref="EN132:EN195" si="128">EM132+(EE132+EF132)*44/12</f>
        <v>970.96463655617254</v>
      </c>
      <c r="EO132" s="62">
        <f ca="1">AVERAGE(OFFSET($EN$3,0,0,'Données projet'!$E$15+1,1))-AVERAGE(OFFSET($H$3,0,0,'Données projet'!$E$15+1,1))</f>
        <v>438.65317358403996</v>
      </c>
      <c r="EP132" s="62">
        <f t="shared" si="100"/>
        <v>176.81257896138806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0</v>
      </c>
      <c r="EW132" s="23">
        <f>EXP(-LN(2)/25)*EW131+(1-EXP(-LN(2)/25))/(LN(2)/25)*Calculateur!ER132*Calculateur!ET132*VLOOKUP('Données projet'!$B$15,Paramètres!$A$1:$I$89,3,0)*0.475*44/12</f>
        <v>0</v>
      </c>
      <c r="EX132" s="23">
        <f>EXP(-LN(2)/2)*EX131+(1-EXP(-LN(2)/2))/(LN(2)/2)*ER132*EU132*VLOOKUP('Données projet'!$B$15,Paramètres!$A$1:$I$89,3,0)*0.475*44/12</f>
        <v>0</v>
      </c>
      <c r="EY132" s="24">
        <f t="shared" ref="EY132:EY153" si="129">SUM(EV132:EX132)</f>
        <v>0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2.2737367544323206E-13</v>
      </c>
      <c r="O133" s="14">
        <f>N133*VLOOKUP('Données projet'!$B$9,Paramètres!$A$1:$I$89,3,0)*VLOOKUP('Données projet'!$B$9,Paramètres!$A$1:$I$89,5,0)</f>
        <v>1.2710188457276673E-13</v>
      </c>
      <c r="P133" s="14">
        <f t="shared" ref="P133:P196" si="141">EXP(-1.0587+0.8836*LN(O133)+0.284)</f>
        <v>1.856866851063998E-12</v>
      </c>
      <c r="Q133" s="22">
        <f t="shared" si="108"/>
        <v>3.4554122145673649E-12</v>
      </c>
      <c r="R133" s="62">
        <f t="shared" si="109"/>
        <v>293.33333333333678</v>
      </c>
      <c r="S133" s="62">
        <f ca="1">AVERAGE(OFFSET($R$3,0,0,'Données projet'!$E$9+1,1))-AVERAGE(OFFSET($H$3,0,0,'Données projet'!$E$9+1,1))</f>
        <v>323.98185264074681</v>
      </c>
      <c r="T133" s="62">
        <f t="shared" ref="T133:T196" si="142">$T$3</f>
        <v>301.22207291854005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0.61585023086143331</v>
      </c>
      <c r="AA133" s="23">
        <f>EXP(-LN(2)/25)*AA132+(1-EXP(-LN(2)/25))/(LN(2)/25)*Calculateur!V133*Calculateur!X133*VLOOKUP('Données projet'!$B$9,Paramètres!$A$1:$I$89,3,0)*0.475*44/12</f>
        <v>0.51545622756760956</v>
      </c>
      <c r="AB133" s="23">
        <f>EXP(-LN(2)/2)*AB132+(1-EXP(-LN(2)/2))/(LN(2)/2)*V133*Y133*VLOOKUP('Données projet'!$B$9,Paramètres!$A$1:$I$89,3,0)*0.475*44/12</f>
        <v>5.40705896023221E-15</v>
      </c>
      <c r="AC133" s="24">
        <f t="shared" si="111"/>
        <v>1.1313064584290482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-2.8421709430404007E-13</v>
      </c>
      <c r="AJ133" s="14">
        <f>AI133*VLOOKUP('Données projet'!$B$10,Paramètres!$A$1:$I$89,3,0)*VLOOKUP('Données projet'!$B$10,Paramètres!$A$1:$I$89,5,0)</f>
        <v>-1.69961822393816E-13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289.12367833861299</v>
      </c>
      <c r="AO133" s="62">
        <f t="shared" ref="AO133:AO196" si="144">$AO$3</f>
        <v>229.06617320689003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3.6831294263576892E-15</v>
      </c>
      <c r="AX133" s="23">
        <f t="shared" si="114"/>
        <v>3.6831294263576892E-15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>
        <f>BD133*VLOOKUP('Données projet'!$B$11,Paramètres!$A$1:$I$89,3,0)*VLOOKUP('Données projet'!$B$11,Paramètres!$A$1:$I$89,5,0)</f>
        <v>0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240.22884864766218</v>
      </c>
      <c r="BJ133" s="62">
        <f t="shared" ref="BJ133:BJ196" si="146">$BJ$3</f>
        <v>343.23776884143166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0.6434671313543513</v>
      </c>
      <c r="BR133" s="23">
        <f>EXP(-LN(2)/2)*BR132+(1-EXP(-LN(2)/2))/(LN(2)/2)*BL133*BO133*VLOOKUP('Données projet'!$B$11,Paramètres!$A$1:$I$89,3,0)*0.475*44/12</f>
        <v>1.4671659337223629E-14</v>
      </c>
      <c r="BS133" s="24">
        <f t="shared" si="117"/>
        <v>0.64346713135436595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>
        <f>VLOOKUP(A133,'Données projet'!$A$113:$I$133,2,0)</f>
        <v>300</v>
      </c>
      <c r="BW133" s="13">
        <f>VLOOKUP(A133,'Données projet'!$A$113:$I$133,9,0)</f>
        <v>3.2</v>
      </c>
      <c r="BX133" s="13">
        <f t="array" ref="BX133">INDEX(BW:BW,MIN(IF(ISNUMBER(BW133:BW329),ROW(BW133:BW329),"")))</f>
        <v>3.2</v>
      </c>
      <c r="BY133" s="13">
        <f>IF('Données projet'!$A$114&gt;35,BY132+BX133-CG132,IF(A133&lt;'Données projet'!$A$114,$BV$205^A133,IF(A133='Données projet'!$A$114,'Données projet'!$B$114,BY132+BX133-CG132)))</f>
        <v>299.99999999999937</v>
      </c>
      <c r="BZ133" s="14">
        <f>BY133*VLOOKUP('Données projet'!$B$12,Paramètres!$A$1:$I$89,3,0)*VLOOKUP('Données projet'!$B$12,Paramètres!$A$1:$I$89,5,0)</f>
        <v>271.43999999999943</v>
      </c>
      <c r="CA133" s="14">
        <f t="shared" ref="CA133:CA153" si="147">EXP(-1.0587+0.8836*LN(BZ133)+0.284)</f>
        <v>65.154778959151116</v>
      </c>
      <c r="CB133" s="22">
        <f t="shared" si="118"/>
        <v>586.23590668718714</v>
      </c>
      <c r="CC133" s="62">
        <f t="shared" si="119"/>
        <v>879.56924002052051</v>
      </c>
      <c r="CD133" s="62">
        <f ca="1">AVERAGE(OFFSET($CC$3,0,0,'Données projet'!$E$12+1,1))-AVERAGE(OFFSET($H$3,0,0,'Données projet'!$E$12+1,1))</f>
        <v>428.8489304403459</v>
      </c>
      <c r="CE133" s="62">
        <f t="shared" ref="CE133:CE196" si="148">$CE$3</f>
        <v>247.01165577562966</v>
      </c>
      <c r="CF133" s="16">
        <f>IF(ISNA(VLOOKUP(A133,'Données projet'!$A$113:$I$133,3,0)),0,VLOOKUP(A133,'Données projet'!$A$113:$I$133,3,0))</f>
        <v>11</v>
      </c>
      <c r="CG133" s="16">
        <f>IF(ISNA(VLOOKUP(A133,'Données projet'!$A$113:$I$133,4,0)),0,VLOOKUP(A133,'Données projet'!$A$113:$I$133,4,0))</f>
        <v>31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-1.7053025658242404E-13</v>
      </c>
      <c r="CU133" s="18">
        <f>CT133*VLOOKUP('Données projet'!$B$13,Paramètres!$A$1:$I$89,3,0)*VLOOKUP('Données projet'!$B$13,Paramètres!$A$1:$I$89,5,0)</f>
        <v>-1.3567387213697657E-13</v>
      </c>
      <c r="CV133" s="14" t="e">
        <f t="shared" ref="CV133:CV153" si="149">EXP(-1.0587+0.8836*LN(CU133)+0.284)</f>
        <v>#NUM!</v>
      </c>
      <c r="CW133" s="22" t="e">
        <f t="shared" si="121"/>
        <v>#NUM!</v>
      </c>
      <c r="CX133" s="62" t="e">
        <f t="shared" si="122"/>
        <v>#NUM!</v>
      </c>
      <c r="CY133" s="62">
        <f ca="1">AVERAGE(OFFSET($CX$3,0,0,'Données projet'!$E$13+1,1))-AVERAGE(OFFSET($H$3,0,0,'Données projet'!$E$13+1,1))</f>
        <v>312.53381881960331</v>
      </c>
      <c r="CZ133" s="62">
        <f t="shared" ref="CZ133:CZ196" si="150">$CZ$3</f>
        <v>342.06887933351783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-1.7053025658242404E-13</v>
      </c>
      <c r="DP133" s="18">
        <f>DO133*VLOOKUP('Données projet'!$B$14,Paramètres!$A$1:$I$89,3,0)*VLOOKUP('Données projet'!$B$14,Paramètres!$A$1:$I$89,5,0)</f>
        <v>-1.250327841262333E-13</v>
      </c>
      <c r="DQ133" s="14" t="e">
        <f t="shared" ref="DQ133:DQ153" si="151">EXP(-1.0587+0.8836*LN(DP133)+0.284)</f>
        <v>#NUM!</v>
      </c>
      <c r="DR133" s="22" t="e">
        <f t="shared" si="124"/>
        <v>#NUM!</v>
      </c>
      <c r="DS133" s="62" t="e">
        <f t="shared" si="125"/>
        <v>#NUM!</v>
      </c>
      <c r="DT133" s="62">
        <f ca="1">AVERAGE(OFFSET($DS$3,0,0,'Données projet'!$E$14+1,1))-AVERAGE(OFFSET($H$3,0,0,'Données projet'!$E$14+1,1))</f>
        <v>290.85271051443431</v>
      </c>
      <c r="DU133" s="62">
        <f t="shared" ref="DU133:DU196" si="152">$DU$3</f>
        <v>318.66958823451142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0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>
        <f>VLOOKUP(A133,'Données projet'!$A$191:$I$211,2,0)</f>
        <v>371</v>
      </c>
      <c r="EH133" s="13">
        <f>VLOOKUP(A133,'Données projet'!$A$191:$I$211,9,0)</f>
        <v>4.0999999999999996</v>
      </c>
      <c r="EI133" s="13">
        <f t="array" ref="EI133">INDEX(EH:EH,MIN(IF(ISNUMBER(EH133:EH329),ROW(EH133:EH329),"")))</f>
        <v>4.0999999999999996</v>
      </c>
      <c r="EJ133" s="13">
        <f>IF('Données projet'!$A$192&gt;35,EJ132+EI133-ER132,IF(A133&lt;'Données projet'!$A$192,$EG$205^A133,IF(A133='Données projet'!$A$192,'Données projet'!$B$192,EJ132+EI133-ER132)))</f>
        <v>371.00000000000023</v>
      </c>
      <c r="EK133" s="18">
        <f>EJ133*VLOOKUP('Données projet'!$B$15,Paramètres!$A$1:$I$89,3,0)*VLOOKUP('Données projet'!$B$15,Paramètres!$A$1:$I$89,5,0)</f>
        <v>318.31800000000027</v>
      </c>
      <c r="EL133" s="14">
        <f t="shared" ref="EL133:EL153" si="153">EXP(-1.0587+0.8836*LN(EK133)+0.284)</f>
        <v>75.003273580132657</v>
      </c>
      <c r="EM133" s="22">
        <f t="shared" si="127"/>
        <v>685.03455148539808</v>
      </c>
      <c r="EN133" s="62">
        <f t="shared" si="128"/>
        <v>978.36788481873145</v>
      </c>
      <c r="EO133" s="62">
        <f ca="1">AVERAGE(OFFSET($EN$3,0,0,'Données projet'!$E$15+1,1))-AVERAGE(OFFSET($H$3,0,0,'Données projet'!$E$15+1,1))</f>
        <v>438.65317358403996</v>
      </c>
      <c r="EP133" s="62">
        <f t="shared" ref="EP133:EP196" si="154">$EP$3</f>
        <v>176.81257896138806</v>
      </c>
      <c r="EQ133" s="16">
        <f>IF(ISNA(VLOOKUP(A133,'Données projet'!$A$191:$I$211,3,0)),0,VLOOKUP(A133,'Données projet'!$A$191:$I$211,3,0))</f>
        <v>11</v>
      </c>
      <c r="ER133" s="16">
        <f>IF(ISNA(VLOOKUP(A133,'Données projet'!$A$191:$I$211,4,0)),0,VLOOKUP(A133,'Données projet'!$A$191:$I$211,4,0))</f>
        <v>32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0</v>
      </c>
      <c r="EW133" s="23">
        <f>EXP(-LN(2)/25)*EW132+(1-EXP(-LN(2)/25))/(LN(2)/25)*Calculateur!ER133*Calculateur!ET133*VLOOKUP('Données projet'!$B$15,Paramètres!$A$1:$I$89,3,0)*0.475*44/12</f>
        <v>0</v>
      </c>
      <c r="EX133" s="23">
        <f>EXP(-LN(2)/2)*EX132+(1-EXP(-LN(2)/2))/(LN(2)/2)*ER133*EU133*VLOOKUP('Données projet'!$B$15,Paramètres!$A$1:$I$89,3,0)*0.475*44/12</f>
        <v>0</v>
      </c>
      <c r="EY133" s="24">
        <f t="shared" si="129"/>
        <v>0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2.2737367544323206E-13</v>
      </c>
      <c r="O134" s="14">
        <f>N134*VLOOKUP('Données projet'!$B$9,Paramètres!$A$1:$I$89,3,0)*VLOOKUP('Données projet'!$B$9,Paramètres!$A$1:$I$89,5,0)</f>
        <v>1.2710188457276673E-13</v>
      </c>
      <c r="P134" s="14">
        <f t="shared" si="141"/>
        <v>1.856866851063998E-12</v>
      </c>
      <c r="Q134" s="22">
        <f t="shared" si="108"/>
        <v>3.4554122145673649E-12</v>
      </c>
      <c r="R134" s="62">
        <f t="shared" si="109"/>
        <v>293.33333333333678</v>
      </c>
      <c r="S134" s="62">
        <f ca="1">AVERAGE(OFFSET($R$3,0,0,'Données projet'!$E$9+1,1))-AVERAGE(OFFSET($H$3,0,0,'Données projet'!$E$9+1,1))</f>
        <v>323.98185264074681</v>
      </c>
      <c r="T134" s="62">
        <f t="shared" si="142"/>
        <v>301.22207291854005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0.60377378346579091</v>
      </c>
      <c r="AA134" s="23">
        <f>EXP(-LN(2)/25)*AA133+(1-EXP(-LN(2)/25))/(LN(2)/25)*Calculateur!V134*Calculateur!X134*VLOOKUP('Données projet'!$B$9,Paramètres!$A$1:$I$89,3,0)*0.475*44/12</f>
        <v>0.50136104991810837</v>
      </c>
      <c r="AB134" s="23">
        <f>EXP(-LN(2)/2)*AB133+(1-EXP(-LN(2)/2))/(LN(2)/2)*V134*Y134*VLOOKUP('Données projet'!$B$9,Paramètres!$A$1:$I$89,3,0)*0.475*44/12</f>
        <v>3.8233680570556784E-15</v>
      </c>
      <c r="AC134" s="24">
        <f t="shared" si="111"/>
        <v>1.1051348333839031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-2.8421709430404007E-13</v>
      </c>
      <c r="AJ134" s="14">
        <f>AI134*VLOOKUP('Données projet'!$B$10,Paramètres!$A$1:$I$89,3,0)*VLOOKUP('Données projet'!$B$10,Paramètres!$A$1:$I$89,5,0)</f>
        <v>-1.69961822393816E-13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289.12367833861299</v>
      </c>
      <c r="AO134" s="62">
        <f t="shared" si="144"/>
        <v>229.06617320689003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2.6043657933652409E-15</v>
      </c>
      <c r="AX134" s="23">
        <f t="shared" si="114"/>
        <v>2.6043657933652409E-15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>
        <f>BD134*VLOOKUP('Données projet'!$B$11,Paramètres!$A$1:$I$89,3,0)*VLOOKUP('Données projet'!$B$11,Paramètres!$A$1:$I$89,5,0)</f>
        <v>0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240.22884864766218</v>
      </c>
      <c r="BJ134" s="62">
        <f t="shared" si="146"/>
        <v>343.23776884143166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0.62587148880900079</v>
      </c>
      <c r="BR134" s="23">
        <f>EXP(-LN(2)/2)*BR133+(1-EXP(-LN(2)/2))/(LN(2)/2)*BL134*BO134*VLOOKUP('Données projet'!$B$11,Paramètres!$A$1:$I$89,3,0)*0.475*44/12</f>
        <v>1.0374429808609756E-14</v>
      </c>
      <c r="BS134" s="24">
        <f t="shared" si="117"/>
        <v>0.62587148880901111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2.7</v>
      </c>
      <c r="BY134" s="13">
        <f>IF('Données projet'!$A$114&gt;35,BY133+BX134-CG133,IF(A134&lt;'Données projet'!$A$114,$BV$205^A134,IF(A134='Données projet'!$A$114,'Données projet'!$B$114,BY133+BX134-CG133)))</f>
        <v>271.69999999999936</v>
      </c>
      <c r="BZ134" s="14">
        <f>BY134*VLOOKUP('Données projet'!$B$12,Paramètres!$A$1:$I$89,3,0)*VLOOKUP('Données projet'!$B$12,Paramètres!$A$1:$I$89,5,0)</f>
        <v>245.8341599999994</v>
      </c>
      <c r="CA134" s="14">
        <f t="shared" si="147"/>
        <v>59.693018383856675</v>
      </c>
      <c r="CB134" s="22">
        <f t="shared" si="118"/>
        <v>532.12650235188266</v>
      </c>
      <c r="CC134" s="62">
        <f t="shared" si="119"/>
        <v>825.45983568521592</v>
      </c>
      <c r="CD134" s="62">
        <f ca="1">AVERAGE(OFFSET($CC$3,0,0,'Données projet'!$E$12+1,1))-AVERAGE(OFFSET($H$3,0,0,'Données projet'!$E$12+1,1))</f>
        <v>428.8489304403459</v>
      </c>
      <c r="CE134" s="62">
        <f t="shared" si="148"/>
        <v>247.01165577562966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-1.7053025658242404E-13</v>
      </c>
      <c r="CU134" s="18">
        <f>CT134*VLOOKUP('Données projet'!$B$13,Paramètres!$A$1:$I$89,3,0)*VLOOKUP('Données projet'!$B$13,Paramètres!$A$1:$I$89,5,0)</f>
        <v>-1.3567387213697657E-13</v>
      </c>
      <c r="CV134" s="14" t="e">
        <f t="shared" si="149"/>
        <v>#NUM!</v>
      </c>
      <c r="CW134" s="22" t="e">
        <f t="shared" si="121"/>
        <v>#NUM!</v>
      </c>
      <c r="CX134" s="62" t="e">
        <f t="shared" si="122"/>
        <v>#NUM!</v>
      </c>
      <c r="CY134" s="62">
        <f ca="1">AVERAGE(OFFSET($CX$3,0,0,'Données projet'!$E$13+1,1))-AVERAGE(OFFSET($H$3,0,0,'Données projet'!$E$13+1,1))</f>
        <v>312.53381881960331</v>
      </c>
      <c r="CZ134" s="62">
        <f t="shared" si="150"/>
        <v>342.06887933351783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-1.7053025658242404E-13</v>
      </c>
      <c r="DP134" s="18">
        <f>DO134*VLOOKUP('Données projet'!$B$14,Paramètres!$A$1:$I$89,3,0)*VLOOKUP('Données projet'!$B$14,Paramètres!$A$1:$I$89,5,0)</f>
        <v>-1.250327841262333E-13</v>
      </c>
      <c r="DQ134" s="14" t="e">
        <f t="shared" si="151"/>
        <v>#NUM!</v>
      </c>
      <c r="DR134" s="22" t="e">
        <f t="shared" si="124"/>
        <v>#NUM!</v>
      </c>
      <c r="DS134" s="62" t="e">
        <f t="shared" si="125"/>
        <v>#NUM!</v>
      </c>
      <c r="DT134" s="62">
        <f ca="1">AVERAGE(OFFSET($DS$3,0,0,'Données projet'!$E$14+1,1))-AVERAGE(OFFSET($H$3,0,0,'Données projet'!$E$14+1,1))</f>
        <v>290.85271051443431</v>
      </c>
      <c r="DU134" s="62">
        <f t="shared" si="152"/>
        <v>318.66958823451142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0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3.7</v>
      </c>
      <c r="EJ134" s="13">
        <f>IF('Données projet'!$A$192&gt;35,EJ133+EI134-ER133,IF(A134&lt;'Données projet'!$A$192,$EG$205^A134,IF(A134='Données projet'!$A$192,'Données projet'!$B$192,EJ133+EI134-ER133)))</f>
        <v>342.70000000000022</v>
      </c>
      <c r="EK134" s="18">
        <f>EJ134*VLOOKUP('Données projet'!$B$15,Paramètres!$A$1:$I$89,3,0)*VLOOKUP('Données projet'!$B$15,Paramètres!$A$1:$I$89,5,0)</f>
        <v>294.03660000000019</v>
      </c>
      <c r="EL134" s="14">
        <f t="shared" si="153"/>
        <v>69.924848659373836</v>
      </c>
      <c r="EM134" s="22">
        <f t="shared" si="127"/>
        <v>633.89952308174304</v>
      </c>
      <c r="EN134" s="62">
        <f t="shared" si="128"/>
        <v>927.23285641507641</v>
      </c>
      <c r="EO134" s="62">
        <f ca="1">AVERAGE(OFFSET($EN$3,0,0,'Données projet'!$E$15+1,1))-AVERAGE(OFFSET($H$3,0,0,'Données projet'!$E$15+1,1))</f>
        <v>438.65317358403996</v>
      </c>
      <c r="EP134" s="62">
        <f t="shared" si="154"/>
        <v>176.81257896138806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0</v>
      </c>
      <c r="EW134" s="23">
        <f>EXP(-LN(2)/25)*EW133+(1-EXP(-LN(2)/25))/(LN(2)/25)*Calculateur!ER134*Calculateur!ET134*VLOOKUP('Données projet'!$B$15,Paramètres!$A$1:$I$89,3,0)*0.475*44/12</f>
        <v>0</v>
      </c>
      <c r="EX134" s="23">
        <f>EXP(-LN(2)/2)*EX133+(1-EXP(-LN(2)/2))/(LN(2)/2)*ER134*EU134*VLOOKUP('Données projet'!$B$15,Paramètres!$A$1:$I$89,3,0)*0.475*44/12</f>
        <v>0</v>
      </c>
      <c r="EY134" s="24">
        <f t="shared" si="129"/>
        <v>0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2.2737367544323206E-13</v>
      </c>
      <c r="O135" s="14">
        <f>N135*VLOOKUP('Données projet'!$B$9,Paramètres!$A$1:$I$89,3,0)*VLOOKUP('Données projet'!$B$9,Paramètres!$A$1:$I$89,5,0)</f>
        <v>1.2710188457276673E-13</v>
      </c>
      <c r="P135" s="14">
        <f t="shared" si="141"/>
        <v>1.856866851063998E-12</v>
      </c>
      <c r="Q135" s="22">
        <f t="shared" si="108"/>
        <v>3.4554122145673649E-12</v>
      </c>
      <c r="R135" s="62">
        <f t="shared" si="109"/>
        <v>293.33333333333678</v>
      </c>
      <c r="S135" s="62">
        <f ca="1">AVERAGE(OFFSET($R$3,0,0,'Données projet'!$E$9+1,1))-AVERAGE(OFFSET($H$3,0,0,'Données projet'!$E$9+1,1))</f>
        <v>323.98185264074681</v>
      </c>
      <c r="T135" s="62">
        <f t="shared" si="142"/>
        <v>301.22207291854005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0.59193414783767151</v>
      </c>
      <c r="AA135" s="23">
        <f>EXP(-LN(2)/25)*AA134+(1-EXP(-LN(2)/25))/(LN(2)/25)*Calculateur!V135*Calculateur!X135*VLOOKUP('Données projet'!$B$9,Paramètres!$A$1:$I$89,3,0)*0.475*44/12</f>
        <v>0.48765130564266596</v>
      </c>
      <c r="AB135" s="23">
        <f>EXP(-LN(2)/2)*AB134+(1-EXP(-LN(2)/2))/(LN(2)/2)*V135*Y135*VLOOKUP('Données projet'!$B$9,Paramètres!$A$1:$I$89,3,0)*0.475*44/12</f>
        <v>2.703529480116105E-15</v>
      </c>
      <c r="AC135" s="24">
        <f t="shared" si="111"/>
        <v>1.0795854534803402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-2.8421709430404007E-13</v>
      </c>
      <c r="AJ135" s="14">
        <f>AI135*VLOOKUP('Données projet'!$B$10,Paramètres!$A$1:$I$89,3,0)*VLOOKUP('Données projet'!$B$10,Paramètres!$A$1:$I$89,5,0)</f>
        <v>-1.69961822393816E-13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289.12367833861299</v>
      </c>
      <c r="AO135" s="62">
        <f t="shared" si="144"/>
        <v>229.06617320689003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1.8415647131788446E-15</v>
      </c>
      <c r="AX135" s="23">
        <f t="shared" si="114"/>
        <v>1.8415647131788446E-15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>
        <f>BD135*VLOOKUP('Données projet'!$B$11,Paramètres!$A$1:$I$89,3,0)*VLOOKUP('Données projet'!$B$11,Paramètres!$A$1:$I$89,5,0)</f>
        <v>0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240.22884864766218</v>
      </c>
      <c r="BJ135" s="62">
        <f t="shared" si="146"/>
        <v>343.23776884143166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0.6087570000343675</v>
      </c>
      <c r="BR135" s="23">
        <f>EXP(-LN(2)/2)*BR134+(1-EXP(-LN(2)/2))/(LN(2)/2)*BL135*BO135*VLOOKUP('Données projet'!$B$11,Paramètres!$A$1:$I$89,3,0)*0.475*44/12</f>
        <v>7.3358296686118146E-15</v>
      </c>
      <c r="BS135" s="24">
        <f t="shared" si="117"/>
        <v>0.60875700003437483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2.7</v>
      </c>
      <c r="BY135" s="13">
        <f>IF('Données projet'!$A$114&gt;35,BY134+BX135-CG134,IF(A135&lt;'Données projet'!$A$114,$BV$205^A135,IF(A135='Données projet'!$A$114,'Données projet'!$B$114,BY134+BX135-CG134)))</f>
        <v>274.39999999999935</v>
      </c>
      <c r="BZ135" s="14">
        <f>BY135*VLOOKUP('Données projet'!$B$12,Paramètres!$A$1:$I$89,3,0)*VLOOKUP('Données projet'!$B$12,Paramètres!$A$1:$I$89,5,0)</f>
        <v>248.2771199999994</v>
      </c>
      <c r="CA135" s="14">
        <f t="shared" si="147"/>
        <v>60.216863677580257</v>
      </c>
      <c r="CB135" s="22">
        <f t="shared" si="118"/>
        <v>537.29368823845118</v>
      </c>
      <c r="CC135" s="62">
        <f t="shared" si="119"/>
        <v>830.62702157178455</v>
      </c>
      <c r="CD135" s="62">
        <f ca="1">AVERAGE(OFFSET($CC$3,0,0,'Données projet'!$E$12+1,1))-AVERAGE(OFFSET($H$3,0,0,'Données projet'!$E$12+1,1))</f>
        <v>428.8489304403459</v>
      </c>
      <c r="CE135" s="62">
        <f t="shared" si="148"/>
        <v>247.01165577562966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-1.7053025658242404E-13</v>
      </c>
      <c r="CU135" s="18">
        <f>CT135*VLOOKUP('Données projet'!$B$13,Paramètres!$A$1:$I$89,3,0)*VLOOKUP('Données projet'!$B$13,Paramètres!$A$1:$I$89,5,0)</f>
        <v>-1.3567387213697657E-13</v>
      </c>
      <c r="CV135" s="14" t="e">
        <f t="shared" si="149"/>
        <v>#NUM!</v>
      </c>
      <c r="CW135" s="22" t="e">
        <f t="shared" si="121"/>
        <v>#NUM!</v>
      </c>
      <c r="CX135" s="62" t="e">
        <f t="shared" si="122"/>
        <v>#NUM!</v>
      </c>
      <c r="CY135" s="62">
        <f ca="1">AVERAGE(OFFSET($CX$3,0,0,'Données projet'!$E$13+1,1))-AVERAGE(OFFSET($H$3,0,0,'Données projet'!$E$13+1,1))</f>
        <v>312.53381881960331</v>
      </c>
      <c r="CZ135" s="62">
        <f t="shared" si="150"/>
        <v>342.06887933351783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-1.7053025658242404E-13</v>
      </c>
      <c r="DP135" s="18">
        <f>DO135*VLOOKUP('Données projet'!$B$14,Paramètres!$A$1:$I$89,3,0)*VLOOKUP('Données projet'!$B$14,Paramètres!$A$1:$I$89,5,0)</f>
        <v>-1.250327841262333E-13</v>
      </c>
      <c r="DQ135" s="14" t="e">
        <f t="shared" si="151"/>
        <v>#NUM!</v>
      </c>
      <c r="DR135" s="22" t="e">
        <f t="shared" si="124"/>
        <v>#NUM!</v>
      </c>
      <c r="DS135" s="62" t="e">
        <f t="shared" si="125"/>
        <v>#NUM!</v>
      </c>
      <c r="DT135" s="62">
        <f ca="1">AVERAGE(OFFSET($DS$3,0,0,'Données projet'!$E$14+1,1))-AVERAGE(OFFSET($H$3,0,0,'Données projet'!$E$14+1,1))</f>
        <v>290.85271051443431</v>
      </c>
      <c r="DU135" s="62">
        <f t="shared" si="152"/>
        <v>318.66958823451142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0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3.7</v>
      </c>
      <c r="EJ135" s="13">
        <f>IF('Données projet'!$A$192&gt;35,EJ134+EI135-ER134,IF(A135&lt;'Données projet'!$A$192,$EG$205^A135,IF(A135='Données projet'!$A$192,'Données projet'!$B$192,EJ134+EI135-ER134)))</f>
        <v>346.4000000000002</v>
      </c>
      <c r="EK135" s="18">
        <f>EJ135*VLOOKUP('Données projet'!$B$15,Paramètres!$A$1:$I$89,3,0)*VLOOKUP('Données projet'!$B$15,Paramètres!$A$1:$I$89,5,0)</f>
        <v>297.21120000000019</v>
      </c>
      <c r="EL135" s="14">
        <f t="shared" si="153"/>
        <v>70.591506471146744</v>
      </c>
      <c r="EM135" s="22">
        <f t="shared" si="127"/>
        <v>640.58971377058094</v>
      </c>
      <c r="EN135" s="62">
        <f t="shared" si="128"/>
        <v>933.92304710391431</v>
      </c>
      <c r="EO135" s="62">
        <f ca="1">AVERAGE(OFFSET($EN$3,0,0,'Données projet'!$E$15+1,1))-AVERAGE(OFFSET($H$3,0,0,'Données projet'!$E$15+1,1))</f>
        <v>438.65317358403996</v>
      </c>
      <c r="EP135" s="62">
        <f t="shared" si="154"/>
        <v>176.81257896138806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0</v>
      </c>
      <c r="EW135" s="23">
        <f>EXP(-LN(2)/25)*EW134+(1-EXP(-LN(2)/25))/(LN(2)/25)*Calculateur!ER135*Calculateur!ET135*VLOOKUP('Données projet'!$B$15,Paramètres!$A$1:$I$89,3,0)*0.475*44/12</f>
        <v>0</v>
      </c>
      <c r="EX135" s="23">
        <f>EXP(-LN(2)/2)*EX134+(1-EXP(-LN(2)/2))/(LN(2)/2)*ER135*EU135*VLOOKUP('Données projet'!$B$15,Paramètres!$A$1:$I$89,3,0)*0.475*44/12</f>
        <v>0</v>
      </c>
      <c r="EY135" s="24">
        <f t="shared" si="129"/>
        <v>0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2.2737367544323206E-13</v>
      </c>
      <c r="O136" s="14">
        <f>N136*VLOOKUP('Données projet'!$B$9,Paramètres!$A$1:$I$89,3,0)*VLOOKUP('Données projet'!$B$9,Paramètres!$A$1:$I$89,5,0)</f>
        <v>1.2710188457276673E-13</v>
      </c>
      <c r="P136" s="14">
        <f t="shared" si="141"/>
        <v>1.856866851063998E-12</v>
      </c>
      <c r="Q136" s="22">
        <f t="shared" si="108"/>
        <v>3.4554122145673649E-12</v>
      </c>
      <c r="R136" s="62">
        <f t="shared" si="109"/>
        <v>293.33333333333678</v>
      </c>
      <c r="S136" s="62">
        <f ca="1">AVERAGE(OFFSET($R$3,0,0,'Données projet'!$E$9+1,1))-AVERAGE(OFFSET($H$3,0,0,'Données projet'!$E$9+1,1))</f>
        <v>323.98185264074681</v>
      </c>
      <c r="T136" s="62">
        <f t="shared" si="142"/>
        <v>301.22207291854005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0.5803266802427548</v>
      </c>
      <c r="AA136" s="23">
        <f>EXP(-LN(2)/25)*AA135+(1-EXP(-LN(2)/25))/(LN(2)/25)*Calculateur!V136*Calculateur!X136*VLOOKUP('Données projet'!$B$9,Paramètres!$A$1:$I$89,3,0)*0.475*44/12</f>
        <v>0.47431645504539965</v>
      </c>
      <c r="AB136" s="23">
        <f>EXP(-LN(2)/2)*AB135+(1-EXP(-LN(2)/2))/(LN(2)/2)*V136*Y136*VLOOKUP('Données projet'!$B$9,Paramètres!$A$1:$I$89,3,0)*0.475*44/12</f>
        <v>1.9116840285278392E-15</v>
      </c>
      <c r="AC136" s="24">
        <f t="shared" si="111"/>
        <v>1.0546431352881565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-2.8421709430404007E-13</v>
      </c>
      <c r="AJ136" s="14">
        <f>AI136*VLOOKUP('Données projet'!$B$10,Paramètres!$A$1:$I$89,3,0)*VLOOKUP('Données projet'!$B$10,Paramètres!$A$1:$I$89,5,0)</f>
        <v>-1.69961822393816E-13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289.12367833861299</v>
      </c>
      <c r="AO136" s="62">
        <f t="shared" si="144"/>
        <v>229.06617320689003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1.3021828966826205E-15</v>
      </c>
      <c r="AX136" s="23">
        <f t="shared" si="114"/>
        <v>1.3021828966826205E-15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>
        <f>BD136*VLOOKUP('Données projet'!$B$11,Paramètres!$A$1:$I$89,3,0)*VLOOKUP('Données projet'!$B$11,Paramètres!$A$1:$I$89,5,0)</f>
        <v>0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240.22884864766218</v>
      </c>
      <c r="BJ136" s="62">
        <f t="shared" si="146"/>
        <v>343.23776884143166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0.5921105078552884</v>
      </c>
      <c r="BR136" s="23">
        <f>EXP(-LN(2)/2)*BR135+(1-EXP(-LN(2)/2))/(LN(2)/2)*BL136*BO136*VLOOKUP('Données projet'!$B$11,Paramètres!$A$1:$I$89,3,0)*0.475*44/12</f>
        <v>5.1872149043048779E-15</v>
      </c>
      <c r="BS136" s="24">
        <f t="shared" si="117"/>
        <v>0.59211050785529362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2.7</v>
      </c>
      <c r="BY136" s="13">
        <f>IF('Données projet'!$A$114&gt;35,BY135+BX136-CG135,IF(A136&lt;'Données projet'!$A$114,$BV$205^A136,IF(A136='Données projet'!$A$114,'Données projet'!$B$114,BY135+BX136-CG135)))</f>
        <v>277.09999999999934</v>
      </c>
      <c r="BZ136" s="14">
        <f>BY136*VLOOKUP('Données projet'!$B$12,Paramètres!$A$1:$I$89,3,0)*VLOOKUP('Données projet'!$B$12,Paramètres!$A$1:$I$89,5,0)</f>
        <v>250.72007999999943</v>
      </c>
      <c r="CA136" s="14">
        <f t="shared" si="147"/>
        <v>60.740109326032709</v>
      </c>
      <c r="CB136" s="22">
        <f t="shared" si="118"/>
        <v>542.45982974283925</v>
      </c>
      <c r="CC136" s="62">
        <f t="shared" si="119"/>
        <v>835.7931630761725</v>
      </c>
      <c r="CD136" s="62">
        <f ca="1">AVERAGE(OFFSET($CC$3,0,0,'Données projet'!$E$12+1,1))-AVERAGE(OFFSET($H$3,0,0,'Données projet'!$E$12+1,1))</f>
        <v>428.8489304403459</v>
      </c>
      <c r="CE136" s="62">
        <f t="shared" si="148"/>
        <v>247.01165577562966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-1.7053025658242404E-13</v>
      </c>
      <c r="CU136" s="18">
        <f>CT136*VLOOKUP('Données projet'!$B$13,Paramètres!$A$1:$I$89,3,0)*VLOOKUP('Données projet'!$B$13,Paramètres!$A$1:$I$89,5,0)</f>
        <v>-1.3567387213697657E-13</v>
      </c>
      <c r="CV136" s="14" t="e">
        <f t="shared" si="149"/>
        <v>#NUM!</v>
      </c>
      <c r="CW136" s="22" t="e">
        <f t="shared" si="121"/>
        <v>#NUM!</v>
      </c>
      <c r="CX136" s="62" t="e">
        <f t="shared" si="122"/>
        <v>#NUM!</v>
      </c>
      <c r="CY136" s="62">
        <f ca="1">AVERAGE(OFFSET($CX$3,0,0,'Données projet'!$E$13+1,1))-AVERAGE(OFFSET($H$3,0,0,'Données projet'!$E$13+1,1))</f>
        <v>312.53381881960331</v>
      </c>
      <c r="CZ136" s="62">
        <f t="shared" si="150"/>
        <v>342.06887933351783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-1.7053025658242404E-13</v>
      </c>
      <c r="DP136" s="18">
        <f>DO136*VLOOKUP('Données projet'!$B$14,Paramètres!$A$1:$I$89,3,0)*VLOOKUP('Données projet'!$B$14,Paramètres!$A$1:$I$89,5,0)</f>
        <v>-1.250327841262333E-13</v>
      </c>
      <c r="DQ136" s="14" t="e">
        <f t="shared" si="151"/>
        <v>#NUM!</v>
      </c>
      <c r="DR136" s="22" t="e">
        <f t="shared" si="124"/>
        <v>#NUM!</v>
      </c>
      <c r="DS136" s="62" t="e">
        <f t="shared" si="125"/>
        <v>#NUM!</v>
      </c>
      <c r="DT136" s="62">
        <f ca="1">AVERAGE(OFFSET($DS$3,0,0,'Données projet'!$E$14+1,1))-AVERAGE(OFFSET($H$3,0,0,'Données projet'!$E$14+1,1))</f>
        <v>290.85271051443431</v>
      </c>
      <c r="DU136" s="62">
        <f t="shared" si="152"/>
        <v>318.66958823451142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0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3.7</v>
      </c>
      <c r="EJ136" s="13">
        <f>IF('Données projet'!$A$192&gt;35,EJ135+EI136-ER135,IF(A136&lt;'Données projet'!$A$192,$EG$205^A136,IF(A136='Données projet'!$A$192,'Données projet'!$B$192,EJ135+EI136-ER135)))</f>
        <v>350.10000000000019</v>
      </c>
      <c r="EK136" s="18">
        <f>EJ136*VLOOKUP('Données projet'!$B$15,Paramètres!$A$1:$I$89,3,0)*VLOOKUP('Données projet'!$B$15,Paramètres!$A$1:$I$89,5,0)</f>
        <v>300.38580000000019</v>
      </c>
      <c r="EL136" s="14">
        <f t="shared" si="153"/>
        <v>71.257335923957328</v>
      </c>
      <c r="EM136" s="22">
        <f t="shared" si="127"/>
        <v>647.27846173422597</v>
      </c>
      <c r="EN136" s="62">
        <f t="shared" si="128"/>
        <v>940.61179506755934</v>
      </c>
      <c r="EO136" s="62">
        <f ca="1">AVERAGE(OFFSET($EN$3,0,0,'Données projet'!$E$15+1,1))-AVERAGE(OFFSET($H$3,0,0,'Données projet'!$E$15+1,1))</f>
        <v>438.65317358403996</v>
      </c>
      <c r="EP136" s="62">
        <f t="shared" si="154"/>
        <v>176.81257896138806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0</v>
      </c>
      <c r="EW136" s="23">
        <f>EXP(-LN(2)/25)*EW135+(1-EXP(-LN(2)/25))/(LN(2)/25)*Calculateur!ER136*Calculateur!ET136*VLOOKUP('Données projet'!$B$15,Paramètres!$A$1:$I$89,3,0)*0.475*44/12</f>
        <v>0</v>
      </c>
      <c r="EX136" s="23">
        <f>EXP(-LN(2)/2)*EX135+(1-EXP(-LN(2)/2))/(LN(2)/2)*ER136*EU136*VLOOKUP('Données projet'!$B$15,Paramètres!$A$1:$I$89,3,0)*0.475*44/12</f>
        <v>0</v>
      </c>
      <c r="EY136" s="24">
        <f t="shared" si="129"/>
        <v>0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2.2737367544323206E-13</v>
      </c>
      <c r="O137" s="14">
        <f>N137*VLOOKUP('Données projet'!$B$9,Paramètres!$A$1:$I$89,3,0)*VLOOKUP('Données projet'!$B$9,Paramètres!$A$1:$I$89,5,0)</f>
        <v>1.2710188457276673E-13</v>
      </c>
      <c r="P137" s="14">
        <f t="shared" si="141"/>
        <v>1.856866851063998E-12</v>
      </c>
      <c r="Q137" s="22">
        <f t="shared" si="108"/>
        <v>3.4554122145673649E-12</v>
      </c>
      <c r="R137" s="62">
        <f t="shared" si="109"/>
        <v>293.33333333333678</v>
      </c>
      <c r="S137" s="62">
        <f ca="1">AVERAGE(OFFSET($R$3,0,0,'Données projet'!$E$9+1,1))-AVERAGE(OFFSET($H$3,0,0,'Données projet'!$E$9+1,1))</f>
        <v>323.98185264074681</v>
      </c>
      <c r="T137" s="62">
        <f t="shared" si="142"/>
        <v>301.22207291854005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0.56894682800751828</v>
      </c>
      <c r="AA137" s="23">
        <f>EXP(-LN(2)/25)*AA136+(1-EXP(-LN(2)/25))/(LN(2)/25)*Calculateur!V137*Calculateur!X137*VLOOKUP('Données projet'!$B$9,Paramètres!$A$1:$I$89,3,0)*0.475*44/12</f>
        <v>0.4613462466389649</v>
      </c>
      <c r="AB137" s="23">
        <f>EXP(-LN(2)/2)*AB136+(1-EXP(-LN(2)/2))/(LN(2)/2)*V137*Y137*VLOOKUP('Données projet'!$B$9,Paramètres!$A$1:$I$89,3,0)*0.475*44/12</f>
        <v>1.3517647400580525E-15</v>
      </c>
      <c r="AC137" s="24">
        <f t="shared" si="111"/>
        <v>1.0302930746464845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-2.8421709430404007E-13</v>
      </c>
      <c r="AJ137" s="14">
        <f>AI137*VLOOKUP('Données projet'!$B$10,Paramètres!$A$1:$I$89,3,0)*VLOOKUP('Données projet'!$B$10,Paramètres!$A$1:$I$89,5,0)</f>
        <v>-1.69961822393816E-13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289.12367833861299</v>
      </c>
      <c r="AO137" s="62">
        <f t="shared" si="144"/>
        <v>229.06617320689003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9.2078235658942231E-16</v>
      </c>
      <c r="AX137" s="23">
        <f t="shared" si="114"/>
        <v>9.2078235658942231E-16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>
        <f>BD137*VLOOKUP('Données projet'!$B$11,Paramètres!$A$1:$I$89,3,0)*VLOOKUP('Données projet'!$B$11,Paramètres!$A$1:$I$89,5,0)</f>
        <v>0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240.22884864766218</v>
      </c>
      <c r="BJ137" s="62">
        <f t="shared" si="146"/>
        <v>343.23776884143166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0.57591921488024722</v>
      </c>
      <c r="BR137" s="23">
        <f>EXP(-LN(2)/2)*BR136+(1-EXP(-LN(2)/2))/(LN(2)/2)*BL137*BO137*VLOOKUP('Données projet'!$B$11,Paramètres!$A$1:$I$89,3,0)*0.475*44/12</f>
        <v>3.6679148343059073E-15</v>
      </c>
      <c r="BS137" s="24">
        <f t="shared" si="117"/>
        <v>0.57591921488025088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2.7</v>
      </c>
      <c r="BY137" s="13">
        <f>IF('Données projet'!$A$114&gt;35,BY136+BX137-CG136,IF(A137&lt;'Données projet'!$A$114,$BV$205^A137,IF(A137='Données projet'!$A$114,'Données projet'!$B$114,BY136+BX137-CG136)))</f>
        <v>279.79999999999933</v>
      </c>
      <c r="BZ137" s="14">
        <f>BY137*VLOOKUP('Données projet'!$B$12,Paramètres!$A$1:$I$89,3,0)*VLOOKUP('Données projet'!$B$12,Paramètres!$A$1:$I$89,5,0)</f>
        <v>253.16303999999937</v>
      </c>
      <c r="CA137" s="14">
        <f t="shared" si="147"/>
        <v>61.262761848634923</v>
      </c>
      <c r="CB137" s="22">
        <f t="shared" si="118"/>
        <v>547.62493821970475</v>
      </c>
      <c r="CC137" s="62">
        <f t="shared" si="119"/>
        <v>840.958271553038</v>
      </c>
      <c r="CD137" s="62">
        <f ca="1">AVERAGE(OFFSET($CC$3,0,0,'Données projet'!$E$12+1,1))-AVERAGE(OFFSET($H$3,0,0,'Données projet'!$E$12+1,1))</f>
        <v>428.8489304403459</v>
      </c>
      <c r="CE137" s="62">
        <f t="shared" si="148"/>
        <v>247.01165577562966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-1.7053025658242404E-13</v>
      </c>
      <c r="CU137" s="18">
        <f>CT137*VLOOKUP('Données projet'!$B$13,Paramètres!$A$1:$I$89,3,0)*VLOOKUP('Données projet'!$B$13,Paramètres!$A$1:$I$89,5,0)</f>
        <v>-1.3567387213697657E-13</v>
      </c>
      <c r="CV137" s="14" t="e">
        <f t="shared" si="149"/>
        <v>#NUM!</v>
      </c>
      <c r="CW137" s="22" t="e">
        <f t="shared" si="121"/>
        <v>#NUM!</v>
      </c>
      <c r="CX137" s="62" t="e">
        <f t="shared" si="122"/>
        <v>#NUM!</v>
      </c>
      <c r="CY137" s="62">
        <f ca="1">AVERAGE(OFFSET($CX$3,0,0,'Données projet'!$E$13+1,1))-AVERAGE(OFFSET($H$3,0,0,'Données projet'!$E$13+1,1))</f>
        <v>312.53381881960331</v>
      </c>
      <c r="CZ137" s="62">
        <f t="shared" si="150"/>
        <v>342.06887933351783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-1.7053025658242404E-13</v>
      </c>
      <c r="DP137" s="18">
        <f>DO137*VLOOKUP('Données projet'!$B$14,Paramètres!$A$1:$I$89,3,0)*VLOOKUP('Données projet'!$B$14,Paramètres!$A$1:$I$89,5,0)</f>
        <v>-1.250327841262333E-13</v>
      </c>
      <c r="DQ137" s="14" t="e">
        <f t="shared" si="151"/>
        <v>#NUM!</v>
      </c>
      <c r="DR137" s="22" t="e">
        <f t="shared" si="124"/>
        <v>#NUM!</v>
      </c>
      <c r="DS137" s="62" t="e">
        <f t="shared" si="125"/>
        <v>#NUM!</v>
      </c>
      <c r="DT137" s="62">
        <f ca="1">AVERAGE(OFFSET($DS$3,0,0,'Données projet'!$E$14+1,1))-AVERAGE(OFFSET($H$3,0,0,'Données projet'!$E$14+1,1))</f>
        <v>290.85271051443431</v>
      </c>
      <c r="DU137" s="62">
        <f t="shared" si="152"/>
        <v>318.66958823451142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0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3.7</v>
      </c>
      <c r="EJ137" s="13">
        <f>IF('Données projet'!$A$192&gt;35,EJ136+EI137-ER136,IF(A137&lt;'Données projet'!$A$192,$EG$205^A137,IF(A137='Données projet'!$A$192,'Données projet'!$B$192,EJ136+EI137-ER136)))</f>
        <v>353.80000000000018</v>
      </c>
      <c r="EK137" s="18">
        <f>EJ137*VLOOKUP('Données projet'!$B$15,Paramètres!$A$1:$I$89,3,0)*VLOOKUP('Données projet'!$B$15,Paramètres!$A$1:$I$89,5,0)</f>
        <v>303.56040000000019</v>
      </c>
      <c r="EL137" s="14">
        <f t="shared" si="153"/>
        <v>71.922346785614806</v>
      </c>
      <c r="EM137" s="22">
        <f t="shared" si="127"/>
        <v>653.96578398494614</v>
      </c>
      <c r="EN137" s="62">
        <f t="shared" si="128"/>
        <v>947.29911731827951</v>
      </c>
      <c r="EO137" s="62">
        <f ca="1">AVERAGE(OFFSET($EN$3,0,0,'Données projet'!$E$15+1,1))-AVERAGE(OFFSET($H$3,0,0,'Données projet'!$E$15+1,1))</f>
        <v>438.65317358403996</v>
      </c>
      <c r="EP137" s="62">
        <f t="shared" si="154"/>
        <v>176.81257896138806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0</v>
      </c>
      <c r="EW137" s="23">
        <f>EXP(-LN(2)/25)*EW136+(1-EXP(-LN(2)/25))/(LN(2)/25)*Calculateur!ER137*Calculateur!ET137*VLOOKUP('Données projet'!$B$15,Paramètres!$A$1:$I$89,3,0)*0.475*44/12</f>
        <v>0</v>
      </c>
      <c r="EX137" s="23">
        <f>EXP(-LN(2)/2)*EX136+(1-EXP(-LN(2)/2))/(LN(2)/2)*ER137*EU137*VLOOKUP('Données projet'!$B$15,Paramètres!$A$1:$I$89,3,0)*0.475*44/12</f>
        <v>0</v>
      </c>
      <c r="EY137" s="24">
        <f t="shared" si="129"/>
        <v>0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2.2737367544323206E-13</v>
      </c>
      <c r="O138" s="14">
        <f>N138*VLOOKUP('Données projet'!$B$9,Paramètres!$A$1:$I$89,3,0)*VLOOKUP('Données projet'!$B$9,Paramètres!$A$1:$I$89,5,0)</f>
        <v>1.2710188457276673E-13</v>
      </c>
      <c r="P138" s="14">
        <f t="shared" si="141"/>
        <v>1.856866851063998E-12</v>
      </c>
      <c r="Q138" s="22">
        <f t="shared" si="108"/>
        <v>3.4554122145673649E-12</v>
      </c>
      <c r="R138" s="62">
        <f t="shared" si="109"/>
        <v>293.33333333333678</v>
      </c>
      <c r="S138" s="62">
        <f ca="1">AVERAGE(OFFSET($R$3,0,0,'Données projet'!$E$9+1,1))-AVERAGE(OFFSET($H$3,0,0,'Données projet'!$E$9+1,1))</f>
        <v>323.98185264074681</v>
      </c>
      <c r="T138" s="62">
        <f t="shared" si="142"/>
        <v>301.22207291854005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0.55779012773359027</v>
      </c>
      <c r="AA138" s="23">
        <f>EXP(-LN(2)/25)*AA137+(1-EXP(-LN(2)/25))/(LN(2)/25)*Calculateur!V138*Calculateur!X138*VLOOKUP('Données projet'!$B$9,Paramètres!$A$1:$I$89,3,0)*0.475*44/12</f>
        <v>0.44873070926347769</v>
      </c>
      <c r="AB138" s="23">
        <f>EXP(-LN(2)/2)*AB137+(1-EXP(-LN(2)/2))/(LN(2)/2)*V138*Y138*VLOOKUP('Données projet'!$B$9,Paramètres!$A$1:$I$89,3,0)*0.475*44/12</f>
        <v>9.5584201426391961E-16</v>
      </c>
      <c r="AC138" s="24">
        <f t="shared" si="111"/>
        <v>1.0065208369970688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-2.8421709430404007E-13</v>
      </c>
      <c r="AJ138" s="14">
        <f>AI138*VLOOKUP('Données projet'!$B$10,Paramètres!$A$1:$I$89,3,0)*VLOOKUP('Données projet'!$B$10,Paramètres!$A$1:$I$89,5,0)</f>
        <v>-1.69961822393816E-13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289.12367833861299</v>
      </c>
      <c r="AO138" s="62">
        <f t="shared" si="144"/>
        <v>229.06617320689003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6.5109144834131023E-16</v>
      </c>
      <c r="AX138" s="23">
        <f t="shared" si="114"/>
        <v>6.5109144834131023E-16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>
        <f>BD138*VLOOKUP('Données projet'!$B$11,Paramètres!$A$1:$I$89,3,0)*VLOOKUP('Données projet'!$B$11,Paramètres!$A$1:$I$89,5,0)</f>
        <v>0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240.22884864766218</v>
      </c>
      <c r="BJ138" s="62">
        <f t="shared" si="146"/>
        <v>343.23776884143166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0.56017067366307161</v>
      </c>
      <c r="BR138" s="23">
        <f>EXP(-LN(2)/2)*BR137+(1-EXP(-LN(2)/2))/(LN(2)/2)*BL138*BO138*VLOOKUP('Données projet'!$B$11,Paramètres!$A$1:$I$89,3,0)*0.475*44/12</f>
        <v>2.5936074521524389E-15</v>
      </c>
      <c r="BS138" s="24">
        <f t="shared" si="117"/>
        <v>0.56017067366307416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2.7</v>
      </c>
      <c r="BY138" s="13">
        <f>IF('Données projet'!$A$114&gt;35,BY137+BX138-CG137,IF(A138&lt;'Données projet'!$A$114,$BV$205^A138,IF(A138='Données projet'!$A$114,'Données projet'!$B$114,BY137+BX138-CG137)))</f>
        <v>282.49999999999932</v>
      </c>
      <c r="BZ138" s="14">
        <f>BY138*VLOOKUP('Données projet'!$B$12,Paramètres!$A$1:$I$89,3,0)*VLOOKUP('Données projet'!$B$12,Paramètres!$A$1:$I$89,5,0)</f>
        <v>255.60599999999937</v>
      </c>
      <c r="CA138" s="14">
        <f t="shared" si="147"/>
        <v>61.784827631732192</v>
      </c>
      <c r="CB138" s="22">
        <f t="shared" si="118"/>
        <v>552.78902479193243</v>
      </c>
      <c r="CC138" s="62">
        <f t="shared" si="119"/>
        <v>846.12235812526569</v>
      </c>
      <c r="CD138" s="62">
        <f ca="1">AVERAGE(OFFSET($CC$3,0,0,'Données projet'!$E$12+1,1))-AVERAGE(OFFSET($H$3,0,0,'Données projet'!$E$12+1,1))</f>
        <v>428.8489304403459</v>
      </c>
      <c r="CE138" s="62">
        <f t="shared" si="148"/>
        <v>247.01165577562966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-1.7053025658242404E-13</v>
      </c>
      <c r="CU138" s="18">
        <f>CT138*VLOOKUP('Données projet'!$B$13,Paramètres!$A$1:$I$89,3,0)*VLOOKUP('Données projet'!$B$13,Paramètres!$A$1:$I$89,5,0)</f>
        <v>-1.3567387213697657E-13</v>
      </c>
      <c r="CV138" s="14" t="e">
        <f t="shared" si="149"/>
        <v>#NUM!</v>
      </c>
      <c r="CW138" s="22" t="e">
        <f t="shared" si="121"/>
        <v>#NUM!</v>
      </c>
      <c r="CX138" s="62" t="e">
        <f t="shared" si="122"/>
        <v>#NUM!</v>
      </c>
      <c r="CY138" s="62">
        <f ca="1">AVERAGE(OFFSET($CX$3,0,0,'Données projet'!$E$13+1,1))-AVERAGE(OFFSET($H$3,0,0,'Données projet'!$E$13+1,1))</f>
        <v>312.53381881960331</v>
      </c>
      <c r="CZ138" s="62">
        <f t="shared" si="150"/>
        <v>342.06887933351783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-1.7053025658242404E-13</v>
      </c>
      <c r="DP138" s="18">
        <f>DO138*VLOOKUP('Données projet'!$B$14,Paramètres!$A$1:$I$89,3,0)*VLOOKUP('Données projet'!$B$14,Paramètres!$A$1:$I$89,5,0)</f>
        <v>-1.250327841262333E-13</v>
      </c>
      <c r="DQ138" s="14" t="e">
        <f t="shared" si="151"/>
        <v>#NUM!</v>
      </c>
      <c r="DR138" s="22" t="e">
        <f t="shared" si="124"/>
        <v>#NUM!</v>
      </c>
      <c r="DS138" s="62" t="e">
        <f t="shared" si="125"/>
        <v>#NUM!</v>
      </c>
      <c r="DT138" s="62">
        <f ca="1">AVERAGE(OFFSET($DS$3,0,0,'Données projet'!$E$14+1,1))-AVERAGE(OFFSET($H$3,0,0,'Données projet'!$E$14+1,1))</f>
        <v>290.85271051443431</v>
      </c>
      <c r="DU138" s="62">
        <f t="shared" si="152"/>
        <v>318.66958823451142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0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3.7</v>
      </c>
      <c r="EJ138" s="13">
        <f>IF('Données projet'!$A$192&gt;35,EJ137+EI138-ER137,IF(A138&lt;'Données projet'!$A$192,$EG$205^A138,IF(A138='Données projet'!$A$192,'Données projet'!$B$192,EJ137+EI138-ER137)))</f>
        <v>357.50000000000017</v>
      </c>
      <c r="EK138" s="18">
        <f>EJ138*VLOOKUP('Données projet'!$B$15,Paramètres!$A$1:$I$89,3,0)*VLOOKUP('Données projet'!$B$15,Paramètres!$A$1:$I$89,5,0)</f>
        <v>306.73500000000018</v>
      </c>
      <c r="EL138" s="14">
        <f t="shared" si="153"/>
        <v>72.586548607856315</v>
      </c>
      <c r="EM138" s="22">
        <f t="shared" si="127"/>
        <v>660.65169715868331</v>
      </c>
      <c r="EN138" s="62">
        <f t="shared" si="128"/>
        <v>953.98503049201668</v>
      </c>
      <c r="EO138" s="62">
        <f ca="1">AVERAGE(OFFSET($EN$3,0,0,'Données projet'!$E$15+1,1))-AVERAGE(OFFSET($H$3,0,0,'Données projet'!$E$15+1,1))</f>
        <v>438.65317358403996</v>
      </c>
      <c r="EP138" s="62">
        <f t="shared" si="154"/>
        <v>176.81257896138806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0</v>
      </c>
      <c r="EW138" s="23">
        <f>EXP(-LN(2)/25)*EW137+(1-EXP(-LN(2)/25))/(LN(2)/25)*Calculateur!ER138*Calculateur!ET138*VLOOKUP('Données projet'!$B$15,Paramètres!$A$1:$I$89,3,0)*0.475*44/12</f>
        <v>0</v>
      </c>
      <c r="EX138" s="23">
        <f>EXP(-LN(2)/2)*EX137+(1-EXP(-LN(2)/2))/(LN(2)/2)*ER138*EU138*VLOOKUP('Données projet'!$B$15,Paramètres!$A$1:$I$89,3,0)*0.475*44/12</f>
        <v>0</v>
      </c>
      <c r="EY138" s="24">
        <f t="shared" si="129"/>
        <v>0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2.2737367544323206E-13</v>
      </c>
      <c r="O139" s="14">
        <f>N139*VLOOKUP('Données projet'!$B$9,Paramètres!$A$1:$I$89,3,0)*VLOOKUP('Données projet'!$B$9,Paramètres!$A$1:$I$89,5,0)</f>
        <v>1.2710188457276673E-13</v>
      </c>
      <c r="P139" s="14">
        <f t="shared" si="141"/>
        <v>1.856866851063998E-12</v>
      </c>
      <c r="Q139" s="22">
        <f t="shared" si="108"/>
        <v>3.4554122145673649E-12</v>
      </c>
      <c r="R139" s="62">
        <f t="shared" si="109"/>
        <v>293.33333333333678</v>
      </c>
      <c r="S139" s="62">
        <f ca="1">AVERAGE(OFFSET($R$3,0,0,'Données projet'!$E$9+1,1))-AVERAGE(OFFSET($H$3,0,0,'Données projet'!$E$9+1,1))</f>
        <v>323.98185264074681</v>
      </c>
      <c r="T139" s="62">
        <f t="shared" si="142"/>
        <v>301.22207291854005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0.54685220354711872</v>
      </c>
      <c r="AA139" s="23">
        <f>EXP(-LN(2)/25)*AA138+(1-EXP(-LN(2)/25))/(LN(2)/25)*Calculateur!V139*Calculateur!X139*VLOOKUP('Données projet'!$B$9,Paramètres!$A$1:$I$89,3,0)*0.475*44/12</f>
        <v>0.4364601444209455</v>
      </c>
      <c r="AB139" s="23">
        <f>EXP(-LN(2)/2)*AB138+(1-EXP(-LN(2)/2))/(LN(2)/2)*V139*Y139*VLOOKUP('Données projet'!$B$9,Paramètres!$A$1:$I$89,3,0)*0.475*44/12</f>
        <v>6.7588237002902625E-16</v>
      </c>
      <c r="AC139" s="24">
        <f t="shared" si="111"/>
        <v>0.98331234796806488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-2.8421709430404007E-13</v>
      </c>
      <c r="AJ139" s="14">
        <f>AI139*VLOOKUP('Données projet'!$B$10,Paramètres!$A$1:$I$89,3,0)*VLOOKUP('Données projet'!$B$10,Paramètres!$A$1:$I$89,5,0)</f>
        <v>-1.69961822393816E-13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289.12367833861299</v>
      </c>
      <c r="AO139" s="62">
        <f t="shared" si="144"/>
        <v>229.06617320689003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4.6039117829471115E-16</v>
      </c>
      <c r="AX139" s="23">
        <f t="shared" si="114"/>
        <v>4.6039117829471115E-16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>
        <f>BD139*VLOOKUP('Données projet'!$B$11,Paramètres!$A$1:$I$89,3,0)*VLOOKUP('Données projet'!$B$11,Paramètres!$A$1:$I$89,5,0)</f>
        <v>0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240.22884864766218</v>
      </c>
      <c r="BJ139" s="62">
        <f t="shared" si="146"/>
        <v>343.23776884143166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0.54485277713365943</v>
      </c>
      <c r="BR139" s="23">
        <f>EXP(-LN(2)/2)*BR138+(1-EXP(-LN(2)/2))/(LN(2)/2)*BL139*BO139*VLOOKUP('Données projet'!$B$11,Paramètres!$A$1:$I$89,3,0)*0.475*44/12</f>
        <v>1.8339574171529537E-15</v>
      </c>
      <c r="BS139" s="24">
        <f t="shared" si="117"/>
        <v>0.54485277713366131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2.7</v>
      </c>
      <c r="BY139" s="13">
        <f>IF('Données projet'!$A$114&gt;35,BY138+BX139-CG138,IF(A139&lt;'Données projet'!$A$114,$BV$205^A139,IF(A139='Données projet'!$A$114,'Données projet'!$B$114,BY138+BX139-CG138)))</f>
        <v>285.19999999999931</v>
      </c>
      <c r="BZ139" s="14">
        <f>BY139*VLOOKUP('Données projet'!$B$12,Paramètres!$A$1:$I$89,3,0)*VLOOKUP('Données projet'!$B$12,Paramètres!$A$1:$I$89,5,0)</f>
        <v>258.0489599999994</v>
      </c>
      <c r="CA139" s="14">
        <f t="shared" si="147"/>
        <v>62.306312932555649</v>
      </c>
      <c r="CB139" s="22">
        <f t="shared" si="118"/>
        <v>557.95210035753337</v>
      </c>
      <c r="CC139" s="62">
        <f t="shared" si="119"/>
        <v>851.28543369086674</v>
      </c>
      <c r="CD139" s="62">
        <f ca="1">AVERAGE(OFFSET($CC$3,0,0,'Données projet'!$E$12+1,1))-AVERAGE(OFFSET($H$3,0,0,'Données projet'!$E$12+1,1))</f>
        <v>428.8489304403459</v>
      </c>
      <c r="CE139" s="62">
        <f t="shared" si="148"/>
        <v>247.01165577562966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-1.7053025658242404E-13</v>
      </c>
      <c r="CU139" s="18">
        <f>CT139*VLOOKUP('Données projet'!$B$13,Paramètres!$A$1:$I$89,3,0)*VLOOKUP('Données projet'!$B$13,Paramètres!$A$1:$I$89,5,0)</f>
        <v>-1.3567387213697657E-13</v>
      </c>
      <c r="CV139" s="14" t="e">
        <f t="shared" si="149"/>
        <v>#NUM!</v>
      </c>
      <c r="CW139" s="22" t="e">
        <f t="shared" si="121"/>
        <v>#NUM!</v>
      </c>
      <c r="CX139" s="62" t="e">
        <f t="shared" si="122"/>
        <v>#NUM!</v>
      </c>
      <c r="CY139" s="62">
        <f ca="1">AVERAGE(OFFSET($CX$3,0,0,'Données projet'!$E$13+1,1))-AVERAGE(OFFSET($H$3,0,0,'Données projet'!$E$13+1,1))</f>
        <v>312.53381881960331</v>
      </c>
      <c r="CZ139" s="62">
        <f t="shared" si="150"/>
        <v>342.06887933351783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-1.7053025658242404E-13</v>
      </c>
      <c r="DP139" s="18">
        <f>DO139*VLOOKUP('Données projet'!$B$14,Paramètres!$A$1:$I$89,3,0)*VLOOKUP('Données projet'!$B$14,Paramètres!$A$1:$I$89,5,0)</f>
        <v>-1.250327841262333E-13</v>
      </c>
      <c r="DQ139" s="14" t="e">
        <f t="shared" si="151"/>
        <v>#NUM!</v>
      </c>
      <c r="DR139" s="22" t="e">
        <f t="shared" si="124"/>
        <v>#NUM!</v>
      </c>
      <c r="DS139" s="62" t="e">
        <f t="shared" si="125"/>
        <v>#NUM!</v>
      </c>
      <c r="DT139" s="62">
        <f ca="1">AVERAGE(OFFSET($DS$3,0,0,'Données projet'!$E$14+1,1))-AVERAGE(OFFSET($H$3,0,0,'Données projet'!$E$14+1,1))</f>
        <v>290.85271051443431</v>
      </c>
      <c r="DU139" s="62">
        <f t="shared" si="152"/>
        <v>318.66958823451142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0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3.7</v>
      </c>
      <c r="EJ139" s="13">
        <f>IF('Données projet'!$A$192&gt;35,EJ138+EI139-ER138,IF(A139&lt;'Données projet'!$A$192,$EG$205^A139,IF(A139='Données projet'!$A$192,'Données projet'!$B$192,EJ138+EI139-ER138)))</f>
        <v>361.20000000000016</v>
      </c>
      <c r="EK139" s="18">
        <f>EJ139*VLOOKUP('Données projet'!$B$15,Paramètres!$A$1:$I$89,3,0)*VLOOKUP('Données projet'!$B$15,Paramètres!$A$1:$I$89,5,0)</f>
        <v>309.90960000000018</v>
      </c>
      <c r="EL139" s="14">
        <f t="shared" si="153"/>
        <v>73.249950733312943</v>
      </c>
      <c r="EM139" s="22">
        <f t="shared" si="127"/>
        <v>667.33621752718705</v>
      </c>
      <c r="EN139" s="62">
        <f t="shared" si="128"/>
        <v>960.6695508605203</v>
      </c>
      <c r="EO139" s="62">
        <f ca="1">AVERAGE(OFFSET($EN$3,0,0,'Données projet'!$E$15+1,1))-AVERAGE(OFFSET($H$3,0,0,'Données projet'!$E$15+1,1))</f>
        <v>438.65317358403996</v>
      </c>
      <c r="EP139" s="62">
        <f t="shared" si="154"/>
        <v>176.81257896138806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0</v>
      </c>
      <c r="EW139" s="23">
        <f>EXP(-LN(2)/25)*EW138+(1-EXP(-LN(2)/25))/(LN(2)/25)*Calculateur!ER139*Calculateur!ET139*VLOOKUP('Données projet'!$B$15,Paramètres!$A$1:$I$89,3,0)*0.475*44/12</f>
        <v>0</v>
      </c>
      <c r="EX139" s="23">
        <f>EXP(-LN(2)/2)*EX138+(1-EXP(-LN(2)/2))/(LN(2)/2)*ER139*EU139*VLOOKUP('Données projet'!$B$15,Paramètres!$A$1:$I$89,3,0)*0.475*44/12</f>
        <v>0</v>
      </c>
      <c r="EY139" s="24">
        <f t="shared" si="129"/>
        <v>0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2.2737367544323206E-13</v>
      </c>
      <c r="O140" s="14">
        <f>N140*VLOOKUP('Données projet'!$B$9,Paramètres!$A$1:$I$89,3,0)*VLOOKUP('Données projet'!$B$9,Paramètres!$A$1:$I$89,5,0)</f>
        <v>1.2710188457276673E-13</v>
      </c>
      <c r="P140" s="14">
        <f t="shared" si="141"/>
        <v>1.856866851063998E-12</v>
      </c>
      <c r="Q140" s="22">
        <f t="shared" si="108"/>
        <v>3.4554122145673649E-12</v>
      </c>
      <c r="R140" s="62">
        <f t="shared" si="109"/>
        <v>293.33333333333678</v>
      </c>
      <c r="S140" s="62">
        <f ca="1">AVERAGE(OFFSET($R$3,0,0,'Données projet'!$E$9+1,1))-AVERAGE(OFFSET($H$3,0,0,'Données projet'!$E$9+1,1))</f>
        <v>323.98185264074681</v>
      </c>
      <c r="T140" s="62">
        <f t="shared" si="142"/>
        <v>301.22207291854005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0.5361287653824689</v>
      </c>
      <c r="AA140" s="23">
        <f>EXP(-LN(2)/25)*AA139+(1-EXP(-LN(2)/25))/(LN(2)/25)*Calculateur!V140*Calculateur!X140*VLOOKUP('Données projet'!$B$9,Paramètres!$A$1:$I$89,3,0)*0.475*44/12</f>
        <v>0.42452511881931326</v>
      </c>
      <c r="AB140" s="23">
        <f>EXP(-LN(2)/2)*AB139+(1-EXP(-LN(2)/2))/(LN(2)/2)*V140*Y140*VLOOKUP('Données projet'!$B$9,Paramètres!$A$1:$I$89,3,0)*0.475*44/12</f>
        <v>4.779210071319598E-16</v>
      </c>
      <c r="AC140" s="24">
        <f t="shared" si="111"/>
        <v>0.96065388420178266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-2.8421709430404007E-13</v>
      </c>
      <c r="AJ140" s="14">
        <f>AI140*VLOOKUP('Données projet'!$B$10,Paramètres!$A$1:$I$89,3,0)*VLOOKUP('Données projet'!$B$10,Paramètres!$A$1:$I$89,5,0)</f>
        <v>-1.69961822393816E-13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289.12367833861299</v>
      </c>
      <c r="AO140" s="62">
        <f t="shared" si="144"/>
        <v>229.06617320689003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3.2554572417065511E-16</v>
      </c>
      <c r="AX140" s="23">
        <f t="shared" si="114"/>
        <v>3.2554572417065511E-16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>
        <f>BD140*VLOOKUP('Données projet'!$B$11,Paramètres!$A$1:$I$89,3,0)*VLOOKUP('Données projet'!$B$11,Paramètres!$A$1:$I$89,5,0)</f>
        <v>0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240.22884864766218</v>
      </c>
      <c r="BJ140" s="62">
        <f t="shared" si="146"/>
        <v>343.23776884143166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0.5299537492903772</v>
      </c>
      <c r="BR140" s="23">
        <f>EXP(-LN(2)/2)*BR139+(1-EXP(-LN(2)/2))/(LN(2)/2)*BL140*BO140*VLOOKUP('Données projet'!$B$11,Paramètres!$A$1:$I$89,3,0)*0.475*44/12</f>
        <v>1.2968037260762195E-15</v>
      </c>
      <c r="BS140" s="24">
        <f t="shared" si="117"/>
        <v>0.52995374929037853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2.7</v>
      </c>
      <c r="BY140" s="13">
        <f>IF('Données projet'!$A$114&gt;35,BY139+BX140-CG139,IF(A140&lt;'Données projet'!$A$114,$BV$205^A140,IF(A140='Données projet'!$A$114,'Données projet'!$B$114,BY139+BX140-CG139)))</f>
        <v>287.8999999999993</v>
      </c>
      <c r="BZ140" s="14">
        <f>BY140*VLOOKUP('Données projet'!$B$12,Paramètres!$A$1:$I$89,3,0)*VLOOKUP('Données projet'!$B$12,Paramètres!$A$1:$I$89,5,0)</f>
        <v>260.49191999999937</v>
      </c>
      <c r="CA140" s="14">
        <f t="shared" si="147"/>
        <v>62.827223883029681</v>
      </c>
      <c r="CB140" s="22">
        <f t="shared" si="118"/>
        <v>563.11417559627546</v>
      </c>
      <c r="CC140" s="62">
        <f t="shared" si="119"/>
        <v>856.44750892960883</v>
      </c>
      <c r="CD140" s="62">
        <f ca="1">AVERAGE(OFFSET($CC$3,0,0,'Données projet'!$E$12+1,1))-AVERAGE(OFFSET($H$3,0,0,'Données projet'!$E$12+1,1))</f>
        <v>428.8489304403459</v>
      </c>
      <c r="CE140" s="62">
        <f t="shared" si="148"/>
        <v>247.01165577562966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-1.7053025658242404E-13</v>
      </c>
      <c r="CU140" s="18">
        <f>CT140*VLOOKUP('Données projet'!$B$13,Paramètres!$A$1:$I$89,3,0)*VLOOKUP('Données projet'!$B$13,Paramètres!$A$1:$I$89,5,0)</f>
        <v>-1.3567387213697657E-13</v>
      </c>
      <c r="CV140" s="14" t="e">
        <f t="shared" si="149"/>
        <v>#NUM!</v>
      </c>
      <c r="CW140" s="22" t="e">
        <f t="shared" si="121"/>
        <v>#NUM!</v>
      </c>
      <c r="CX140" s="62" t="e">
        <f t="shared" si="122"/>
        <v>#NUM!</v>
      </c>
      <c r="CY140" s="62">
        <f ca="1">AVERAGE(OFFSET($CX$3,0,0,'Données projet'!$E$13+1,1))-AVERAGE(OFFSET($H$3,0,0,'Données projet'!$E$13+1,1))</f>
        <v>312.53381881960331</v>
      </c>
      <c r="CZ140" s="62">
        <f t="shared" si="150"/>
        <v>342.06887933351783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-1.7053025658242404E-13</v>
      </c>
      <c r="DP140" s="18">
        <f>DO140*VLOOKUP('Données projet'!$B$14,Paramètres!$A$1:$I$89,3,0)*VLOOKUP('Données projet'!$B$14,Paramètres!$A$1:$I$89,5,0)</f>
        <v>-1.250327841262333E-13</v>
      </c>
      <c r="DQ140" s="14" t="e">
        <f t="shared" si="151"/>
        <v>#NUM!</v>
      </c>
      <c r="DR140" s="22" t="e">
        <f t="shared" si="124"/>
        <v>#NUM!</v>
      </c>
      <c r="DS140" s="62" t="e">
        <f t="shared" si="125"/>
        <v>#NUM!</v>
      </c>
      <c r="DT140" s="62">
        <f ca="1">AVERAGE(OFFSET($DS$3,0,0,'Données projet'!$E$14+1,1))-AVERAGE(OFFSET($H$3,0,0,'Données projet'!$E$14+1,1))</f>
        <v>290.85271051443431</v>
      </c>
      <c r="DU140" s="62">
        <f t="shared" si="152"/>
        <v>318.66958823451142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0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3.7</v>
      </c>
      <c r="EJ140" s="13">
        <f>IF('Données projet'!$A$192&gt;35,EJ139+EI140-ER139,IF(A140&lt;'Données projet'!$A$192,$EG$205^A140,IF(A140='Données projet'!$A$192,'Données projet'!$B$192,EJ139+EI140-ER139)))</f>
        <v>364.90000000000015</v>
      </c>
      <c r="EK140" s="18">
        <f>EJ140*VLOOKUP('Données projet'!$B$15,Paramètres!$A$1:$I$89,3,0)*VLOOKUP('Données projet'!$B$15,Paramètres!$A$1:$I$89,5,0)</f>
        <v>313.08420000000018</v>
      </c>
      <c r="EL140" s="14">
        <f t="shared" si="153"/>
        <v>73.9125623021812</v>
      </c>
      <c r="EM140" s="22">
        <f t="shared" si="127"/>
        <v>674.01936100963246</v>
      </c>
      <c r="EN140" s="62">
        <f t="shared" si="128"/>
        <v>967.35269434296583</v>
      </c>
      <c r="EO140" s="62">
        <f ca="1">AVERAGE(OFFSET($EN$3,0,0,'Données projet'!$E$15+1,1))-AVERAGE(OFFSET($H$3,0,0,'Données projet'!$E$15+1,1))</f>
        <v>438.65317358403996</v>
      </c>
      <c r="EP140" s="62">
        <f t="shared" si="154"/>
        <v>176.81257896138806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0</v>
      </c>
      <c r="EW140" s="23">
        <f>EXP(-LN(2)/25)*EW139+(1-EXP(-LN(2)/25))/(LN(2)/25)*Calculateur!ER140*Calculateur!ET140*VLOOKUP('Données projet'!$B$15,Paramètres!$A$1:$I$89,3,0)*0.475*44/12</f>
        <v>0</v>
      </c>
      <c r="EX140" s="23">
        <f>EXP(-LN(2)/2)*EX139+(1-EXP(-LN(2)/2))/(LN(2)/2)*ER140*EU140*VLOOKUP('Données projet'!$B$15,Paramètres!$A$1:$I$89,3,0)*0.475*44/12</f>
        <v>0</v>
      </c>
      <c r="EY140" s="24">
        <f t="shared" si="129"/>
        <v>0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2.2737367544323206E-13</v>
      </c>
      <c r="O141" s="14">
        <f>N141*VLOOKUP('Données projet'!$B$9,Paramètres!$A$1:$I$89,3,0)*VLOOKUP('Données projet'!$B$9,Paramètres!$A$1:$I$89,5,0)</f>
        <v>1.2710188457276673E-13</v>
      </c>
      <c r="P141" s="14">
        <f t="shared" si="141"/>
        <v>1.856866851063998E-12</v>
      </c>
      <c r="Q141" s="22">
        <f t="shared" si="108"/>
        <v>3.4554122145673649E-12</v>
      </c>
      <c r="R141" s="62">
        <f t="shared" si="109"/>
        <v>293.33333333333678</v>
      </c>
      <c r="S141" s="62">
        <f ca="1">AVERAGE(OFFSET($R$3,0,0,'Données projet'!$E$9+1,1))-AVERAGE(OFFSET($H$3,0,0,'Données projet'!$E$9+1,1))</f>
        <v>323.98185264074681</v>
      </c>
      <c r="T141" s="62">
        <f t="shared" si="142"/>
        <v>301.22207291854005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0.52561560729957635</v>
      </c>
      <c r="AA141" s="23">
        <f>EXP(-LN(2)/25)*AA140+(1-EXP(-LN(2)/25))/(LN(2)/25)*Calculateur!V141*Calculateur!X141*VLOOKUP('Données projet'!$B$9,Paramètres!$A$1:$I$89,3,0)*0.475*44/12</f>
        <v>0.41291645712039343</v>
      </c>
      <c r="AB141" s="23">
        <f>EXP(-LN(2)/2)*AB140+(1-EXP(-LN(2)/2))/(LN(2)/2)*V141*Y141*VLOOKUP('Données projet'!$B$9,Paramètres!$A$1:$I$89,3,0)*0.475*44/12</f>
        <v>3.3794118501451313E-16</v>
      </c>
      <c r="AC141" s="24">
        <f t="shared" si="111"/>
        <v>0.93853206441997006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-2.8421709430404007E-13</v>
      </c>
      <c r="AJ141" s="14">
        <f>AI141*VLOOKUP('Données projet'!$B$10,Paramètres!$A$1:$I$89,3,0)*VLOOKUP('Données projet'!$B$10,Paramètres!$A$1:$I$89,5,0)</f>
        <v>-1.69961822393816E-13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289.12367833861299</v>
      </c>
      <c r="AO141" s="62">
        <f t="shared" si="144"/>
        <v>229.06617320689003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2.3019558914735558E-16</v>
      </c>
      <c r="AX141" s="23">
        <f t="shared" si="114"/>
        <v>2.3019558914735558E-16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>
        <f>BD141*VLOOKUP('Données projet'!$B$11,Paramètres!$A$1:$I$89,3,0)*VLOOKUP('Données projet'!$B$11,Paramètres!$A$1:$I$89,5,0)</f>
        <v>0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240.22884864766218</v>
      </c>
      <c r="BJ141" s="62">
        <f t="shared" si="146"/>
        <v>343.23776884143166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0.51546213614697534</v>
      </c>
      <c r="BR141" s="23">
        <f>EXP(-LN(2)/2)*BR140+(1-EXP(-LN(2)/2))/(LN(2)/2)*BL141*BO141*VLOOKUP('Données projet'!$B$11,Paramètres!$A$1:$I$89,3,0)*0.475*44/12</f>
        <v>9.1697870857647683E-16</v>
      </c>
      <c r="BS141" s="24">
        <f t="shared" si="117"/>
        <v>0.51546213614697622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2.7</v>
      </c>
      <c r="BY141" s="13">
        <f>IF('Données projet'!$A$114&gt;35,BY140+BX141-CG140,IF(A141&lt;'Données projet'!$A$114,$BV$205^A141,IF(A141='Données projet'!$A$114,'Données projet'!$B$114,BY140+BX141-CG140)))</f>
        <v>290.59999999999928</v>
      </c>
      <c r="BZ141" s="14">
        <f>BY141*VLOOKUP('Données projet'!$B$12,Paramètres!$A$1:$I$89,3,0)*VLOOKUP('Données projet'!$B$12,Paramètres!$A$1:$I$89,5,0)</f>
        <v>262.93487999999934</v>
      </c>
      <c r="CA141" s="14">
        <f t="shared" si="147"/>
        <v>63.347566493432652</v>
      </c>
      <c r="CB141" s="22">
        <f t="shared" si="118"/>
        <v>568.27526097606062</v>
      </c>
      <c r="CC141" s="62">
        <f t="shared" si="119"/>
        <v>861.60859430939399</v>
      </c>
      <c r="CD141" s="62">
        <f ca="1">AVERAGE(OFFSET($CC$3,0,0,'Données projet'!$E$12+1,1))-AVERAGE(OFFSET($H$3,0,0,'Données projet'!$E$12+1,1))</f>
        <v>428.8489304403459</v>
      </c>
      <c r="CE141" s="62">
        <f t="shared" si="148"/>
        <v>247.01165577562966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-1.7053025658242404E-13</v>
      </c>
      <c r="CU141" s="18">
        <f>CT141*VLOOKUP('Données projet'!$B$13,Paramètres!$A$1:$I$89,3,0)*VLOOKUP('Données projet'!$B$13,Paramètres!$A$1:$I$89,5,0)</f>
        <v>-1.3567387213697657E-13</v>
      </c>
      <c r="CV141" s="14" t="e">
        <f t="shared" si="149"/>
        <v>#NUM!</v>
      </c>
      <c r="CW141" s="22" t="e">
        <f t="shared" si="121"/>
        <v>#NUM!</v>
      </c>
      <c r="CX141" s="62" t="e">
        <f t="shared" si="122"/>
        <v>#NUM!</v>
      </c>
      <c r="CY141" s="62">
        <f ca="1">AVERAGE(OFFSET($CX$3,0,0,'Données projet'!$E$13+1,1))-AVERAGE(OFFSET($H$3,0,0,'Données projet'!$E$13+1,1))</f>
        <v>312.53381881960331</v>
      </c>
      <c r="CZ141" s="62">
        <f t="shared" si="150"/>
        <v>342.06887933351783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-1.7053025658242404E-13</v>
      </c>
      <c r="DP141" s="18">
        <f>DO141*VLOOKUP('Données projet'!$B$14,Paramètres!$A$1:$I$89,3,0)*VLOOKUP('Données projet'!$B$14,Paramètres!$A$1:$I$89,5,0)</f>
        <v>-1.250327841262333E-13</v>
      </c>
      <c r="DQ141" s="14" t="e">
        <f t="shared" si="151"/>
        <v>#NUM!</v>
      </c>
      <c r="DR141" s="22" t="e">
        <f t="shared" si="124"/>
        <v>#NUM!</v>
      </c>
      <c r="DS141" s="62" t="e">
        <f t="shared" si="125"/>
        <v>#NUM!</v>
      </c>
      <c r="DT141" s="62">
        <f ca="1">AVERAGE(OFFSET($DS$3,0,0,'Données projet'!$E$14+1,1))-AVERAGE(OFFSET($H$3,0,0,'Données projet'!$E$14+1,1))</f>
        <v>290.85271051443431</v>
      </c>
      <c r="DU141" s="62">
        <f t="shared" si="152"/>
        <v>318.66958823451142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0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3.7</v>
      </c>
      <c r="EJ141" s="13">
        <f>IF('Données projet'!$A$192&gt;35,EJ140+EI141-ER140,IF(A141&lt;'Données projet'!$A$192,$EG$205^A141,IF(A141='Données projet'!$A$192,'Données projet'!$B$192,EJ140+EI141-ER140)))</f>
        <v>368.60000000000014</v>
      </c>
      <c r="EK141" s="18">
        <f>EJ141*VLOOKUP('Données projet'!$B$15,Paramètres!$A$1:$I$89,3,0)*VLOOKUP('Données projet'!$B$15,Paramètres!$A$1:$I$89,5,0)</f>
        <v>316.25880000000018</v>
      </c>
      <c r="EL141" s="14">
        <f t="shared" si="153"/>
        <v>74.574392258616342</v>
      </c>
      <c r="EM141" s="22">
        <f t="shared" si="127"/>
        <v>680.70114318375704</v>
      </c>
      <c r="EN141" s="62">
        <f t="shared" si="128"/>
        <v>974.0344765170903</v>
      </c>
      <c r="EO141" s="62">
        <f ca="1">AVERAGE(OFFSET($EN$3,0,0,'Données projet'!$E$15+1,1))-AVERAGE(OFFSET($H$3,0,0,'Données projet'!$E$15+1,1))</f>
        <v>438.65317358403996</v>
      </c>
      <c r="EP141" s="62">
        <f t="shared" si="154"/>
        <v>176.81257896138806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0</v>
      </c>
      <c r="EW141" s="23">
        <f>EXP(-LN(2)/25)*EW140+(1-EXP(-LN(2)/25))/(LN(2)/25)*Calculateur!ER141*Calculateur!ET141*VLOOKUP('Données projet'!$B$15,Paramètres!$A$1:$I$89,3,0)*0.475*44/12</f>
        <v>0</v>
      </c>
      <c r="EX141" s="23">
        <f>EXP(-LN(2)/2)*EX140+(1-EXP(-LN(2)/2))/(LN(2)/2)*ER141*EU141*VLOOKUP('Données projet'!$B$15,Paramètres!$A$1:$I$89,3,0)*0.475*44/12</f>
        <v>0</v>
      </c>
      <c r="EY141" s="24">
        <f t="shared" si="129"/>
        <v>0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2.2737367544323206E-13</v>
      </c>
      <c r="O142" s="14">
        <f>N142*VLOOKUP('Données projet'!$B$9,Paramètres!$A$1:$I$89,3,0)*VLOOKUP('Données projet'!$B$9,Paramètres!$A$1:$I$89,5,0)</f>
        <v>1.2710188457276673E-13</v>
      </c>
      <c r="P142" s="14">
        <f t="shared" si="141"/>
        <v>1.856866851063998E-12</v>
      </c>
      <c r="Q142" s="22">
        <f t="shared" si="108"/>
        <v>3.4554122145673649E-12</v>
      </c>
      <c r="R142" s="62">
        <f t="shared" si="109"/>
        <v>293.33333333333678</v>
      </c>
      <c r="S142" s="62">
        <f ca="1">AVERAGE(OFFSET($R$3,0,0,'Données projet'!$E$9+1,1))-AVERAGE(OFFSET($H$3,0,0,'Données projet'!$E$9+1,1))</f>
        <v>323.98185264074681</v>
      </c>
      <c r="T142" s="62">
        <f t="shared" si="142"/>
        <v>301.22207291854005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0.51530860583429605</v>
      </c>
      <c r="AA142" s="23">
        <f>EXP(-LN(2)/25)*AA141+(1-EXP(-LN(2)/25))/(LN(2)/25)*Calculateur!V142*Calculateur!X142*VLOOKUP('Données projet'!$B$9,Paramètres!$A$1:$I$89,3,0)*0.475*44/12</f>
        <v>0.40162523488610352</v>
      </c>
      <c r="AB142" s="23">
        <f>EXP(-LN(2)/2)*AB141+(1-EXP(-LN(2)/2))/(LN(2)/2)*V142*Y142*VLOOKUP('Données projet'!$B$9,Paramètres!$A$1:$I$89,3,0)*0.475*44/12</f>
        <v>2.389605035659799E-16</v>
      </c>
      <c r="AC142" s="24">
        <f t="shared" si="111"/>
        <v>0.91693384072039974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-2.8421709430404007E-13</v>
      </c>
      <c r="AJ142" s="14">
        <f>AI142*VLOOKUP('Données projet'!$B$10,Paramètres!$A$1:$I$89,3,0)*VLOOKUP('Données projet'!$B$10,Paramètres!$A$1:$I$89,5,0)</f>
        <v>-1.69961822393816E-13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289.12367833861299</v>
      </c>
      <c r="AO142" s="62">
        <f t="shared" si="144"/>
        <v>229.06617320689003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1.6277286208532756E-16</v>
      </c>
      <c r="AX142" s="23">
        <f t="shared" si="114"/>
        <v>1.6277286208532756E-16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>
        <f>BD142*VLOOKUP('Données projet'!$B$11,Paramètres!$A$1:$I$89,3,0)*VLOOKUP('Données projet'!$B$11,Paramètres!$A$1:$I$89,5,0)</f>
        <v>0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240.22884864766218</v>
      </c>
      <c r="BJ142" s="62">
        <f t="shared" si="146"/>
        <v>343.23776884143166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0.50136679692706065</v>
      </c>
      <c r="BR142" s="23">
        <f>EXP(-LN(2)/2)*BR141+(1-EXP(-LN(2)/2))/(LN(2)/2)*BL142*BO142*VLOOKUP('Données projet'!$B$11,Paramètres!$A$1:$I$89,3,0)*0.475*44/12</f>
        <v>6.4840186303810974E-16</v>
      </c>
      <c r="BS142" s="24">
        <f t="shared" si="117"/>
        <v>0.50136679692706132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2.7</v>
      </c>
      <c r="BY142" s="13">
        <f>IF('Données projet'!$A$114&gt;35,BY141+BX142-CG141,IF(A142&lt;'Données projet'!$A$114,$BV$205^A142,IF(A142='Données projet'!$A$114,'Données projet'!$B$114,BY141+BX142-CG141)))</f>
        <v>293.29999999999927</v>
      </c>
      <c r="BZ142" s="14">
        <f>BY142*VLOOKUP('Données projet'!$B$12,Paramètres!$A$1:$I$89,3,0)*VLOOKUP('Données projet'!$B$12,Paramètres!$A$1:$I$89,5,0)</f>
        <v>265.37783999999937</v>
      </c>
      <c r="CA142" s="14">
        <f t="shared" si="147"/>
        <v>63.867346655917089</v>
      </c>
      <c r="CB142" s="22">
        <f t="shared" si="118"/>
        <v>573.43536675905443</v>
      </c>
      <c r="CC142" s="62">
        <f t="shared" si="119"/>
        <v>866.76870009238769</v>
      </c>
      <c r="CD142" s="62">
        <f ca="1">AVERAGE(OFFSET($CC$3,0,0,'Données projet'!$E$12+1,1))-AVERAGE(OFFSET($H$3,0,0,'Données projet'!$E$12+1,1))</f>
        <v>428.8489304403459</v>
      </c>
      <c r="CE142" s="62">
        <f t="shared" si="148"/>
        <v>247.01165577562966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-1.7053025658242404E-13</v>
      </c>
      <c r="CU142" s="18">
        <f>CT142*VLOOKUP('Données projet'!$B$13,Paramètres!$A$1:$I$89,3,0)*VLOOKUP('Données projet'!$B$13,Paramètres!$A$1:$I$89,5,0)</f>
        <v>-1.3567387213697657E-13</v>
      </c>
      <c r="CV142" s="14" t="e">
        <f t="shared" si="149"/>
        <v>#NUM!</v>
      </c>
      <c r="CW142" s="22" t="e">
        <f t="shared" si="121"/>
        <v>#NUM!</v>
      </c>
      <c r="CX142" s="62" t="e">
        <f t="shared" si="122"/>
        <v>#NUM!</v>
      </c>
      <c r="CY142" s="62">
        <f ca="1">AVERAGE(OFFSET($CX$3,0,0,'Données projet'!$E$13+1,1))-AVERAGE(OFFSET($H$3,0,0,'Données projet'!$E$13+1,1))</f>
        <v>312.53381881960331</v>
      </c>
      <c r="CZ142" s="62">
        <f t="shared" si="150"/>
        <v>342.06887933351783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-1.7053025658242404E-13</v>
      </c>
      <c r="DP142" s="18">
        <f>DO142*VLOOKUP('Données projet'!$B$14,Paramètres!$A$1:$I$89,3,0)*VLOOKUP('Données projet'!$B$14,Paramètres!$A$1:$I$89,5,0)</f>
        <v>-1.250327841262333E-13</v>
      </c>
      <c r="DQ142" s="14" t="e">
        <f t="shared" si="151"/>
        <v>#NUM!</v>
      </c>
      <c r="DR142" s="22" t="e">
        <f t="shared" si="124"/>
        <v>#NUM!</v>
      </c>
      <c r="DS142" s="62" t="e">
        <f t="shared" si="125"/>
        <v>#NUM!</v>
      </c>
      <c r="DT142" s="62">
        <f ca="1">AVERAGE(OFFSET($DS$3,0,0,'Données projet'!$E$14+1,1))-AVERAGE(OFFSET($H$3,0,0,'Données projet'!$E$14+1,1))</f>
        <v>290.85271051443431</v>
      </c>
      <c r="DU142" s="62">
        <f t="shared" si="152"/>
        <v>318.66958823451142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0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3.7</v>
      </c>
      <c r="EJ142" s="13">
        <f>IF('Données projet'!$A$192&gt;35,EJ141+EI142-ER141,IF(A142&lt;'Données projet'!$A$192,$EG$205^A142,IF(A142='Données projet'!$A$192,'Données projet'!$B$192,EJ141+EI142-ER141)))</f>
        <v>372.30000000000013</v>
      </c>
      <c r="EK142" s="18">
        <f>EJ142*VLOOKUP('Données projet'!$B$15,Paramètres!$A$1:$I$89,3,0)*VLOOKUP('Données projet'!$B$15,Paramètres!$A$1:$I$89,5,0)</f>
        <v>319.43340000000012</v>
      </c>
      <c r="EL142" s="14">
        <f t="shared" si="153"/>
        <v>75.235449356862148</v>
      </c>
      <c r="EM142" s="22">
        <f t="shared" si="127"/>
        <v>687.38157929653505</v>
      </c>
      <c r="EN142" s="62">
        <f t="shared" si="128"/>
        <v>980.71491262986842</v>
      </c>
      <c r="EO142" s="62">
        <f ca="1">AVERAGE(OFFSET($EN$3,0,0,'Données projet'!$E$15+1,1))-AVERAGE(OFFSET($H$3,0,0,'Données projet'!$E$15+1,1))</f>
        <v>438.65317358403996</v>
      </c>
      <c r="EP142" s="62">
        <f t="shared" si="154"/>
        <v>176.81257896138806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0</v>
      </c>
      <c r="EW142" s="23">
        <f>EXP(-LN(2)/25)*EW141+(1-EXP(-LN(2)/25))/(LN(2)/25)*Calculateur!ER142*Calculateur!ET142*VLOOKUP('Données projet'!$B$15,Paramètres!$A$1:$I$89,3,0)*0.475*44/12</f>
        <v>0</v>
      </c>
      <c r="EX142" s="23">
        <f>EXP(-LN(2)/2)*EX141+(1-EXP(-LN(2)/2))/(LN(2)/2)*ER142*EU142*VLOOKUP('Données projet'!$B$15,Paramètres!$A$1:$I$89,3,0)*0.475*44/12</f>
        <v>0</v>
      </c>
      <c r="EY142" s="24">
        <f t="shared" si="129"/>
        <v>0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2.2737367544323206E-13</v>
      </c>
      <c r="O143" s="14">
        <f>N143*VLOOKUP('Données projet'!$B$9,Paramètres!$A$1:$I$89,3,0)*VLOOKUP('Données projet'!$B$9,Paramètres!$A$1:$I$89,5,0)</f>
        <v>1.2710188457276673E-13</v>
      </c>
      <c r="P143" s="14">
        <f t="shared" si="141"/>
        <v>1.856866851063998E-12</v>
      </c>
      <c r="Q143" s="22">
        <f t="shared" si="108"/>
        <v>3.4554122145673649E-12</v>
      </c>
      <c r="R143" s="62">
        <f t="shared" si="109"/>
        <v>293.33333333333678</v>
      </c>
      <c r="S143" s="62">
        <f ca="1">AVERAGE(OFFSET($R$3,0,0,'Données projet'!$E$9+1,1))-AVERAGE(OFFSET($H$3,0,0,'Données projet'!$E$9+1,1))</f>
        <v>323.98185264074681</v>
      </c>
      <c r="T143" s="62">
        <f t="shared" si="142"/>
        <v>301.22207291854005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0.50520371838109979</v>
      </c>
      <c r="AA143" s="23">
        <f>EXP(-LN(2)/25)*AA142+(1-EXP(-LN(2)/25))/(LN(2)/25)*Calculateur!V143*Calculateur!X143*VLOOKUP('Données projet'!$B$9,Paramètres!$A$1:$I$89,3,0)*0.475*44/12</f>
        <v>0.39064277171758982</v>
      </c>
      <c r="AB143" s="23">
        <f>EXP(-LN(2)/2)*AB142+(1-EXP(-LN(2)/2))/(LN(2)/2)*V143*Y143*VLOOKUP('Données projet'!$B$9,Paramètres!$A$1:$I$89,3,0)*0.475*44/12</f>
        <v>1.6897059250725656E-16</v>
      </c>
      <c r="AC143" s="24">
        <f t="shared" si="111"/>
        <v>0.89584649009868977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-2.8421709430404007E-13</v>
      </c>
      <c r="AJ143" s="14">
        <f>AI143*VLOOKUP('Données projet'!$B$10,Paramètres!$A$1:$I$89,3,0)*VLOOKUP('Données projet'!$B$10,Paramètres!$A$1:$I$89,5,0)</f>
        <v>-1.69961822393816E-13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289.12367833861299</v>
      </c>
      <c r="AO143" s="62">
        <f t="shared" si="144"/>
        <v>229.06617320689003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1.1509779457367779E-16</v>
      </c>
      <c r="AX143" s="23">
        <f t="shared" si="114"/>
        <v>1.1509779457367779E-16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>
        <f>BD143*VLOOKUP('Données projet'!$B$11,Paramètres!$A$1:$I$89,3,0)*VLOOKUP('Données projet'!$B$11,Paramètres!$A$1:$I$89,5,0)</f>
        <v>0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240.22884864766218</v>
      </c>
      <c r="BJ143" s="62">
        <f t="shared" si="146"/>
        <v>343.23776884143166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0.4876568954993562</v>
      </c>
      <c r="BR143" s="23">
        <f>EXP(-LN(2)/2)*BR142+(1-EXP(-LN(2)/2))/(LN(2)/2)*BL143*BO143*VLOOKUP('Données projet'!$B$11,Paramètres!$A$1:$I$89,3,0)*0.475*44/12</f>
        <v>4.5848935428823841E-16</v>
      </c>
      <c r="BS143" s="24">
        <f t="shared" si="117"/>
        <v>0.48765689549935665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>
        <f>VLOOKUP(A143,'Données projet'!$A$113:$I$133,2,0)</f>
        <v>296</v>
      </c>
      <c r="BW143" s="13">
        <f>VLOOKUP(A143,'Données projet'!$A$113:$I$133,9,0)</f>
        <v>2.7</v>
      </c>
      <c r="BX143" s="13">
        <f t="array" ref="BX143">INDEX(BW:BW,MIN(IF(ISNUMBER(BW143:BW339),ROW(BW143:BW339),"")))</f>
        <v>2.7</v>
      </c>
      <c r="BY143" s="13">
        <f>IF('Données projet'!$A$114&gt;35,BY142+BX143-CG142,IF(A143&lt;'Données projet'!$A$114,$BV$205^A143,IF(A143='Données projet'!$A$114,'Données projet'!$B$114,BY142+BX143-CG142)))</f>
        <v>295.99999999999926</v>
      </c>
      <c r="BZ143" s="14">
        <f>BY143*VLOOKUP('Données projet'!$B$12,Paramètres!$A$1:$I$89,3,0)*VLOOKUP('Données projet'!$B$12,Paramètres!$A$1:$I$89,5,0)</f>
        <v>267.82079999999934</v>
      </c>
      <c r="CA143" s="14">
        <f t="shared" si="147"/>
        <v>64.386570147897245</v>
      </c>
      <c r="CB143" s="22">
        <f t="shared" si="118"/>
        <v>578.59450300758647</v>
      </c>
      <c r="CC143" s="62">
        <f t="shared" si="119"/>
        <v>871.92783634091984</v>
      </c>
      <c r="CD143" s="62">
        <f ca="1">AVERAGE(OFFSET($CC$3,0,0,'Données projet'!$E$12+1,1))-AVERAGE(OFFSET($H$3,0,0,'Données projet'!$E$12+1,1))</f>
        <v>428.8489304403459</v>
      </c>
      <c r="CE143" s="62">
        <f t="shared" si="148"/>
        <v>247.01165577562966</v>
      </c>
      <c r="CF143" s="16">
        <f>IF(ISNA(VLOOKUP(A143,'Données projet'!$A$113:$I$133,3,0)),0,VLOOKUP(A143,'Données projet'!$A$113:$I$133,3,0))</f>
        <v>12</v>
      </c>
      <c r="CG143" s="16">
        <f>IF(ISNA(VLOOKUP(A143,'Données projet'!$A$113:$I$133,4,0)),0,VLOOKUP(A143,'Données projet'!$A$113:$I$133,4,0))</f>
        <v>27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-1.7053025658242404E-13</v>
      </c>
      <c r="CU143" s="18">
        <f>CT143*VLOOKUP('Données projet'!$B$13,Paramètres!$A$1:$I$89,3,0)*VLOOKUP('Données projet'!$B$13,Paramètres!$A$1:$I$89,5,0)</f>
        <v>-1.3567387213697657E-13</v>
      </c>
      <c r="CV143" s="14" t="e">
        <f t="shared" si="149"/>
        <v>#NUM!</v>
      </c>
      <c r="CW143" s="22" t="e">
        <f t="shared" si="121"/>
        <v>#NUM!</v>
      </c>
      <c r="CX143" s="62" t="e">
        <f t="shared" si="122"/>
        <v>#NUM!</v>
      </c>
      <c r="CY143" s="62">
        <f ca="1">AVERAGE(OFFSET($CX$3,0,0,'Données projet'!$E$13+1,1))-AVERAGE(OFFSET($H$3,0,0,'Données projet'!$E$13+1,1))</f>
        <v>312.53381881960331</v>
      </c>
      <c r="CZ143" s="62">
        <f t="shared" si="150"/>
        <v>342.06887933351783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-1.7053025658242404E-13</v>
      </c>
      <c r="DP143" s="18">
        <f>DO143*VLOOKUP('Données projet'!$B$14,Paramètres!$A$1:$I$89,3,0)*VLOOKUP('Données projet'!$B$14,Paramètres!$A$1:$I$89,5,0)</f>
        <v>-1.250327841262333E-13</v>
      </c>
      <c r="DQ143" s="14" t="e">
        <f t="shared" si="151"/>
        <v>#NUM!</v>
      </c>
      <c r="DR143" s="22" t="e">
        <f t="shared" si="124"/>
        <v>#NUM!</v>
      </c>
      <c r="DS143" s="62" t="e">
        <f t="shared" si="125"/>
        <v>#NUM!</v>
      </c>
      <c r="DT143" s="62">
        <f ca="1">AVERAGE(OFFSET($DS$3,0,0,'Données projet'!$E$14+1,1))-AVERAGE(OFFSET($H$3,0,0,'Données projet'!$E$14+1,1))</f>
        <v>290.85271051443431</v>
      </c>
      <c r="DU143" s="62">
        <f t="shared" si="152"/>
        <v>318.66958823451142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0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>
        <f>VLOOKUP(A143,'Données projet'!$A$191:$I$211,2,0)</f>
        <v>376</v>
      </c>
      <c r="EH143" s="13">
        <f>VLOOKUP(A143,'Données projet'!$A$191:$I$211,9,0)</f>
        <v>3.7</v>
      </c>
      <c r="EI143" s="13">
        <f t="array" ref="EI143">INDEX(EH:EH,MIN(IF(ISNUMBER(EH143:EH339),ROW(EH143:EH339),"")))</f>
        <v>3.7</v>
      </c>
      <c r="EJ143" s="13">
        <f>IF('Données projet'!$A$192&gt;35,EJ142+EI143-ER142,IF(A143&lt;'Données projet'!$A$192,$EG$205^A143,IF(A143='Données projet'!$A$192,'Données projet'!$B$192,EJ142+EI143-ER142)))</f>
        <v>376.00000000000011</v>
      </c>
      <c r="EK143" s="18">
        <f>EJ143*VLOOKUP('Données projet'!$B$15,Paramètres!$A$1:$I$89,3,0)*VLOOKUP('Données projet'!$B$15,Paramètres!$A$1:$I$89,5,0)</f>
        <v>322.60800000000012</v>
      </c>
      <c r="EL143" s="14">
        <f t="shared" si="153"/>
        <v>75.895742167129825</v>
      </c>
      <c r="EM143" s="22">
        <f t="shared" si="127"/>
        <v>694.06068427441789</v>
      </c>
      <c r="EN143" s="62">
        <f t="shared" si="128"/>
        <v>987.39401760775127</v>
      </c>
      <c r="EO143" s="62">
        <f ca="1">AVERAGE(OFFSET($EN$3,0,0,'Données projet'!$E$15+1,1))-AVERAGE(OFFSET($H$3,0,0,'Données projet'!$E$15+1,1))</f>
        <v>438.65317358403996</v>
      </c>
      <c r="EP143" s="62">
        <f t="shared" si="154"/>
        <v>176.81257896138806</v>
      </c>
      <c r="EQ143" s="16">
        <f>IF(ISNA(VLOOKUP(A143,'Données projet'!$A$191:$I$211,3,0)),0,VLOOKUP(A143,'Données projet'!$A$191:$I$211,3,0))</f>
        <v>12</v>
      </c>
      <c r="ER143" s="16">
        <f>IF(ISNA(VLOOKUP(A143,'Données projet'!$A$191:$I$211,4,0)),0,VLOOKUP(A143,'Données projet'!$A$191:$I$211,4,0))</f>
        <v>30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0</v>
      </c>
      <c r="EW143" s="23">
        <f>EXP(-LN(2)/25)*EW142+(1-EXP(-LN(2)/25))/(LN(2)/25)*Calculateur!ER143*Calculateur!ET143*VLOOKUP('Données projet'!$B$15,Paramètres!$A$1:$I$89,3,0)*0.475*44/12</f>
        <v>0</v>
      </c>
      <c r="EX143" s="23">
        <f>EXP(-LN(2)/2)*EX142+(1-EXP(-LN(2)/2))/(LN(2)/2)*ER143*EU143*VLOOKUP('Données projet'!$B$15,Paramètres!$A$1:$I$89,3,0)*0.475*44/12</f>
        <v>0</v>
      </c>
      <c r="EY143" s="24">
        <f t="shared" si="129"/>
        <v>0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2.2737367544323206E-13</v>
      </c>
      <c r="O144" s="14">
        <f>N144*VLOOKUP('Données projet'!$B$9,Paramètres!$A$1:$I$89,3,0)*VLOOKUP('Données projet'!$B$9,Paramètres!$A$1:$I$89,5,0)</f>
        <v>1.2710188457276673E-13</v>
      </c>
      <c r="P144" s="14">
        <f t="shared" si="141"/>
        <v>1.856866851063998E-12</v>
      </c>
      <c r="Q144" s="22">
        <f t="shared" si="108"/>
        <v>3.4554122145673649E-12</v>
      </c>
      <c r="R144" s="62">
        <f t="shared" si="109"/>
        <v>293.33333333333678</v>
      </c>
      <c r="S144" s="62">
        <f ca="1">AVERAGE(OFFSET($R$3,0,0,'Données projet'!$E$9+1,1))-AVERAGE(OFFSET($H$3,0,0,'Données projet'!$E$9+1,1))</f>
        <v>323.98185264074681</v>
      </c>
      <c r="T144" s="62">
        <f t="shared" si="142"/>
        <v>301.22207291854005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0.49529698160748797</v>
      </c>
      <c r="AA144" s="23">
        <f>EXP(-LN(2)/25)*AA143+(1-EXP(-LN(2)/25))/(LN(2)/25)*Calculateur!V144*Calculateur!X144*VLOOKUP('Données projet'!$B$9,Paramètres!$A$1:$I$89,3,0)*0.475*44/12</f>
        <v>0.37996062458196178</v>
      </c>
      <c r="AB144" s="23">
        <f>EXP(-LN(2)/2)*AB143+(1-EXP(-LN(2)/2))/(LN(2)/2)*V144*Y144*VLOOKUP('Données projet'!$B$9,Paramètres!$A$1:$I$89,3,0)*0.475*44/12</f>
        <v>1.1948025178298995E-16</v>
      </c>
      <c r="AC144" s="24">
        <f t="shared" si="111"/>
        <v>0.87525760618944981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-2.8421709430404007E-13</v>
      </c>
      <c r="AJ144" s="14">
        <f>AI144*VLOOKUP('Données projet'!$B$10,Paramètres!$A$1:$I$89,3,0)*VLOOKUP('Données projet'!$B$10,Paramètres!$A$1:$I$89,5,0)</f>
        <v>-1.69961822393816E-13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289.12367833861299</v>
      </c>
      <c r="AO144" s="62">
        <f t="shared" si="144"/>
        <v>229.06617320689003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8.1386431042663778E-17</v>
      </c>
      <c r="AX144" s="23">
        <f t="shared" si="114"/>
        <v>8.1386431042663778E-17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>
        <f>BD144*VLOOKUP('Données projet'!$B$11,Paramètres!$A$1:$I$89,3,0)*VLOOKUP('Données projet'!$B$11,Paramètres!$A$1:$I$89,5,0)</f>
        <v>0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240.22884864766218</v>
      </c>
      <c r="BJ144" s="62">
        <f t="shared" si="146"/>
        <v>343.23776884143166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0.47432189204716474</v>
      </c>
      <c r="BR144" s="23">
        <f>EXP(-LN(2)/2)*BR143+(1-EXP(-LN(2)/2))/(LN(2)/2)*BL144*BO144*VLOOKUP('Données projet'!$B$11,Paramètres!$A$1:$I$89,3,0)*0.475*44/12</f>
        <v>3.2420093151905487E-16</v>
      </c>
      <c r="BS144" s="24">
        <f t="shared" si="117"/>
        <v>0.47432189204716507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2.4</v>
      </c>
      <c r="BY144" s="13">
        <f>IF('Données projet'!$A$114&gt;35,BY143+BX144-CG143,IF(A144&lt;'Données projet'!$A$114,$BV$205^A144,IF(A144='Données projet'!$A$114,'Données projet'!$B$114,BY143+BX144-CG143)))</f>
        <v>271.39999999999924</v>
      </c>
      <c r="BZ144" s="14">
        <f>BY144*VLOOKUP('Données projet'!$B$12,Paramètres!$A$1:$I$89,3,0)*VLOOKUP('Données projet'!$B$12,Paramètres!$A$1:$I$89,5,0)</f>
        <v>245.5627199999993</v>
      </c>
      <c r="CA144" s="14">
        <f t="shared" si="147"/>
        <v>59.634776048276741</v>
      </c>
      <c r="CB144" s="22">
        <f t="shared" si="118"/>
        <v>531.55230561741405</v>
      </c>
      <c r="CC144" s="62">
        <f t="shared" si="119"/>
        <v>824.88563895074731</v>
      </c>
      <c r="CD144" s="62">
        <f ca="1">AVERAGE(OFFSET($CC$3,0,0,'Données projet'!$E$12+1,1))-AVERAGE(OFFSET($H$3,0,0,'Données projet'!$E$12+1,1))</f>
        <v>428.8489304403459</v>
      </c>
      <c r="CE144" s="62">
        <f t="shared" si="148"/>
        <v>247.01165577562966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-1.7053025658242404E-13</v>
      </c>
      <c r="CU144" s="18">
        <f>CT144*VLOOKUP('Données projet'!$B$13,Paramètres!$A$1:$I$89,3,0)*VLOOKUP('Données projet'!$B$13,Paramètres!$A$1:$I$89,5,0)</f>
        <v>-1.3567387213697657E-13</v>
      </c>
      <c r="CV144" s="14" t="e">
        <f t="shared" si="149"/>
        <v>#NUM!</v>
      </c>
      <c r="CW144" s="22" t="e">
        <f t="shared" si="121"/>
        <v>#NUM!</v>
      </c>
      <c r="CX144" s="62" t="e">
        <f t="shared" si="122"/>
        <v>#NUM!</v>
      </c>
      <c r="CY144" s="62">
        <f ca="1">AVERAGE(OFFSET($CX$3,0,0,'Données projet'!$E$13+1,1))-AVERAGE(OFFSET($H$3,0,0,'Données projet'!$E$13+1,1))</f>
        <v>312.53381881960331</v>
      </c>
      <c r="CZ144" s="62">
        <f t="shared" si="150"/>
        <v>342.06887933351783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-1.7053025658242404E-13</v>
      </c>
      <c r="DP144" s="18">
        <f>DO144*VLOOKUP('Données projet'!$B$14,Paramètres!$A$1:$I$89,3,0)*VLOOKUP('Données projet'!$B$14,Paramètres!$A$1:$I$89,5,0)</f>
        <v>-1.250327841262333E-13</v>
      </c>
      <c r="DQ144" s="14" t="e">
        <f t="shared" si="151"/>
        <v>#NUM!</v>
      </c>
      <c r="DR144" s="22" t="e">
        <f t="shared" si="124"/>
        <v>#NUM!</v>
      </c>
      <c r="DS144" s="62" t="e">
        <f t="shared" si="125"/>
        <v>#NUM!</v>
      </c>
      <c r="DT144" s="62">
        <f ca="1">AVERAGE(OFFSET($DS$3,0,0,'Données projet'!$E$14+1,1))-AVERAGE(OFFSET($H$3,0,0,'Données projet'!$E$14+1,1))</f>
        <v>290.85271051443431</v>
      </c>
      <c r="DU144" s="62">
        <f t="shared" si="152"/>
        <v>318.66958823451142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0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3.1</v>
      </c>
      <c r="EJ144" s="13">
        <f>IF('Données projet'!$A$192&gt;35,EJ143+EI144-ER143,IF(A144&lt;'Données projet'!$A$192,$EG$205^A144,IF(A144='Données projet'!$A$192,'Données projet'!$B$192,EJ143+EI144-ER143)))</f>
        <v>349.10000000000014</v>
      </c>
      <c r="EK144" s="18">
        <f>EJ144*VLOOKUP('Données projet'!$B$15,Paramètres!$A$1:$I$89,3,0)*VLOOKUP('Données projet'!$B$15,Paramètres!$A$1:$I$89,5,0)</f>
        <v>299.52780000000013</v>
      </c>
      <c r="EL144" s="14">
        <f t="shared" si="153"/>
        <v>71.077463144697887</v>
      </c>
      <c r="EM144" s="22">
        <f t="shared" si="127"/>
        <v>645.47083331034901</v>
      </c>
      <c r="EN144" s="62">
        <f t="shared" si="128"/>
        <v>938.80416664368227</v>
      </c>
      <c r="EO144" s="62">
        <f ca="1">AVERAGE(OFFSET($EN$3,0,0,'Données projet'!$E$15+1,1))-AVERAGE(OFFSET($H$3,0,0,'Données projet'!$E$15+1,1))</f>
        <v>438.65317358403996</v>
      </c>
      <c r="EP144" s="62">
        <f t="shared" si="154"/>
        <v>176.81257896138806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0</v>
      </c>
      <c r="EW144" s="23">
        <f>EXP(-LN(2)/25)*EW143+(1-EXP(-LN(2)/25))/(LN(2)/25)*Calculateur!ER144*Calculateur!ET144*VLOOKUP('Données projet'!$B$15,Paramètres!$A$1:$I$89,3,0)*0.475*44/12</f>
        <v>0</v>
      </c>
      <c r="EX144" s="23">
        <f>EXP(-LN(2)/2)*EX143+(1-EXP(-LN(2)/2))/(LN(2)/2)*ER144*EU144*VLOOKUP('Données projet'!$B$15,Paramètres!$A$1:$I$89,3,0)*0.475*44/12</f>
        <v>0</v>
      </c>
      <c r="EY144" s="24">
        <f t="shared" si="129"/>
        <v>0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2.2737367544323206E-13</v>
      </c>
      <c r="O145" s="14">
        <f>N145*VLOOKUP('Données projet'!$B$9,Paramètres!$A$1:$I$89,3,0)*VLOOKUP('Données projet'!$B$9,Paramètres!$A$1:$I$89,5,0)</f>
        <v>1.2710188457276673E-13</v>
      </c>
      <c r="P145" s="14">
        <f t="shared" si="141"/>
        <v>1.856866851063998E-12</v>
      </c>
      <c r="Q145" s="22">
        <f t="shared" si="108"/>
        <v>3.4554122145673649E-12</v>
      </c>
      <c r="R145" s="62">
        <f t="shared" si="109"/>
        <v>293.33333333333678</v>
      </c>
      <c r="S145" s="62">
        <f ca="1">AVERAGE(OFFSET($R$3,0,0,'Données projet'!$E$9+1,1))-AVERAGE(OFFSET($H$3,0,0,'Données projet'!$E$9+1,1))</f>
        <v>323.98185264074681</v>
      </c>
      <c r="T145" s="62">
        <f t="shared" si="142"/>
        <v>301.22207291854005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0.48558450989949387</v>
      </c>
      <c r="AA145" s="23">
        <f>EXP(-LN(2)/25)*AA144+(1-EXP(-LN(2)/25))/(LN(2)/25)*Calculateur!V145*Calculateur!X145*VLOOKUP('Données projet'!$B$9,Paramètres!$A$1:$I$89,3,0)*0.475*44/12</f>
        <v>0.36957058132150722</v>
      </c>
      <c r="AB145" s="23">
        <f>EXP(-LN(2)/2)*AB144+(1-EXP(-LN(2)/2))/(LN(2)/2)*V145*Y145*VLOOKUP('Données projet'!$B$9,Paramètres!$A$1:$I$89,3,0)*0.475*44/12</f>
        <v>8.4485296253628282E-17</v>
      </c>
      <c r="AC145" s="24">
        <f t="shared" si="111"/>
        <v>0.8551550912210012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-2.8421709430404007E-13</v>
      </c>
      <c r="AJ145" s="14">
        <f>AI145*VLOOKUP('Données projet'!$B$10,Paramètres!$A$1:$I$89,3,0)*VLOOKUP('Données projet'!$B$10,Paramètres!$A$1:$I$89,5,0)</f>
        <v>-1.69961822393816E-13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289.12367833861299</v>
      </c>
      <c r="AO145" s="62">
        <f t="shared" si="144"/>
        <v>229.06617320689003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5.7548897286838894E-17</v>
      </c>
      <c r="AX145" s="23">
        <f t="shared" si="114"/>
        <v>5.7548897286838894E-17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>
        <f>BD145*VLOOKUP('Données projet'!$B$11,Paramètres!$A$1:$I$89,3,0)*VLOOKUP('Données projet'!$B$11,Paramètres!$A$1:$I$89,5,0)</f>
        <v>0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240.22884864766218</v>
      </c>
      <c r="BJ145" s="62">
        <f t="shared" si="146"/>
        <v>343.23776884143166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0.46135153496563081</v>
      </c>
      <c r="BR145" s="23">
        <f>EXP(-LN(2)/2)*BR144+(1-EXP(-LN(2)/2))/(LN(2)/2)*BL145*BO145*VLOOKUP('Données projet'!$B$11,Paramètres!$A$1:$I$89,3,0)*0.475*44/12</f>
        <v>2.2924467714411921E-16</v>
      </c>
      <c r="BS145" s="24">
        <f t="shared" si="117"/>
        <v>0.46135153496563103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2.4</v>
      </c>
      <c r="BY145" s="13">
        <f>IF('Données projet'!$A$114&gt;35,BY144+BX145-CG144,IF(A145&lt;'Données projet'!$A$114,$BV$205^A145,IF(A145='Données projet'!$A$114,'Données projet'!$B$114,BY144+BX145-CG144)))</f>
        <v>273.79999999999922</v>
      </c>
      <c r="BZ145" s="14">
        <f>BY145*VLOOKUP('Données projet'!$B$12,Paramètres!$A$1:$I$89,3,0)*VLOOKUP('Données projet'!$B$12,Paramètres!$A$1:$I$89,5,0)</f>
        <v>247.73423999999929</v>
      </c>
      <c r="CA145" s="14">
        <f t="shared" si="147"/>
        <v>60.100505665694953</v>
      </c>
      <c r="CB145" s="22">
        <f t="shared" si="118"/>
        <v>536.14551536775082</v>
      </c>
      <c r="CC145" s="62">
        <f t="shared" si="119"/>
        <v>829.47884870108419</v>
      </c>
      <c r="CD145" s="62">
        <f ca="1">AVERAGE(OFFSET($CC$3,0,0,'Données projet'!$E$12+1,1))-AVERAGE(OFFSET($H$3,0,0,'Données projet'!$E$12+1,1))</f>
        <v>428.8489304403459</v>
      </c>
      <c r="CE145" s="62">
        <f t="shared" si="148"/>
        <v>247.01165577562966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-1.7053025658242404E-13</v>
      </c>
      <c r="CU145" s="18">
        <f>CT145*VLOOKUP('Données projet'!$B$13,Paramètres!$A$1:$I$89,3,0)*VLOOKUP('Données projet'!$B$13,Paramètres!$A$1:$I$89,5,0)</f>
        <v>-1.3567387213697657E-13</v>
      </c>
      <c r="CV145" s="14" t="e">
        <f t="shared" si="149"/>
        <v>#NUM!</v>
      </c>
      <c r="CW145" s="22" t="e">
        <f t="shared" si="121"/>
        <v>#NUM!</v>
      </c>
      <c r="CX145" s="62" t="e">
        <f t="shared" si="122"/>
        <v>#NUM!</v>
      </c>
      <c r="CY145" s="62">
        <f ca="1">AVERAGE(OFFSET($CX$3,0,0,'Données projet'!$E$13+1,1))-AVERAGE(OFFSET($H$3,0,0,'Données projet'!$E$13+1,1))</f>
        <v>312.53381881960331</v>
      </c>
      <c r="CZ145" s="62">
        <f t="shared" si="150"/>
        <v>342.06887933351783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-1.7053025658242404E-13</v>
      </c>
      <c r="DP145" s="18">
        <f>DO145*VLOOKUP('Données projet'!$B$14,Paramètres!$A$1:$I$89,3,0)*VLOOKUP('Données projet'!$B$14,Paramètres!$A$1:$I$89,5,0)</f>
        <v>-1.250327841262333E-13</v>
      </c>
      <c r="DQ145" s="14" t="e">
        <f t="shared" si="151"/>
        <v>#NUM!</v>
      </c>
      <c r="DR145" s="22" t="e">
        <f t="shared" si="124"/>
        <v>#NUM!</v>
      </c>
      <c r="DS145" s="62" t="e">
        <f t="shared" si="125"/>
        <v>#NUM!</v>
      </c>
      <c r="DT145" s="62">
        <f ca="1">AVERAGE(OFFSET($DS$3,0,0,'Données projet'!$E$14+1,1))-AVERAGE(OFFSET($H$3,0,0,'Données projet'!$E$14+1,1))</f>
        <v>290.85271051443431</v>
      </c>
      <c r="DU145" s="62">
        <f t="shared" si="152"/>
        <v>318.66958823451142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0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3.1</v>
      </c>
      <c r="EJ145" s="13">
        <f>IF('Données projet'!$A$192&gt;35,EJ144+EI145-ER144,IF(A145&lt;'Données projet'!$A$192,$EG$205^A145,IF(A145='Données projet'!$A$192,'Données projet'!$B$192,EJ144+EI145-ER144)))</f>
        <v>352.20000000000016</v>
      </c>
      <c r="EK145" s="18">
        <f>EJ145*VLOOKUP('Données projet'!$B$15,Paramètres!$A$1:$I$89,3,0)*VLOOKUP('Données projet'!$B$15,Paramètres!$A$1:$I$89,5,0)</f>
        <v>302.18760000000015</v>
      </c>
      <c r="EL145" s="14">
        <f t="shared" si="153"/>
        <v>71.634874359060234</v>
      </c>
      <c r="EM145" s="22">
        <f t="shared" si="127"/>
        <v>651.07414284203014</v>
      </c>
      <c r="EN145" s="62">
        <f t="shared" si="128"/>
        <v>944.4074761753634</v>
      </c>
      <c r="EO145" s="62">
        <f ca="1">AVERAGE(OFFSET($EN$3,0,0,'Données projet'!$E$15+1,1))-AVERAGE(OFFSET($H$3,0,0,'Données projet'!$E$15+1,1))</f>
        <v>438.65317358403996</v>
      </c>
      <c r="EP145" s="62">
        <f t="shared" si="154"/>
        <v>176.81257896138806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0</v>
      </c>
      <c r="EW145" s="23">
        <f>EXP(-LN(2)/25)*EW144+(1-EXP(-LN(2)/25))/(LN(2)/25)*Calculateur!ER145*Calculateur!ET145*VLOOKUP('Données projet'!$B$15,Paramètres!$A$1:$I$89,3,0)*0.475*44/12</f>
        <v>0</v>
      </c>
      <c r="EX145" s="23">
        <f>EXP(-LN(2)/2)*EX144+(1-EXP(-LN(2)/2))/(LN(2)/2)*ER145*EU145*VLOOKUP('Données projet'!$B$15,Paramètres!$A$1:$I$89,3,0)*0.475*44/12</f>
        <v>0</v>
      </c>
      <c r="EY145" s="24">
        <f t="shared" si="129"/>
        <v>0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2.2737367544323206E-13</v>
      </c>
      <c r="O146" s="14">
        <f>N146*VLOOKUP('Données projet'!$B$9,Paramètres!$A$1:$I$89,3,0)*VLOOKUP('Données projet'!$B$9,Paramètres!$A$1:$I$89,5,0)</f>
        <v>1.2710188457276673E-13</v>
      </c>
      <c r="P146" s="14">
        <f t="shared" si="141"/>
        <v>1.856866851063998E-12</v>
      </c>
      <c r="Q146" s="22">
        <f t="shared" si="108"/>
        <v>3.4554122145673649E-12</v>
      </c>
      <c r="R146" s="62">
        <f t="shared" si="109"/>
        <v>293.33333333333678</v>
      </c>
      <c r="S146" s="62">
        <f ca="1">AVERAGE(OFFSET($R$3,0,0,'Données projet'!$E$9+1,1))-AVERAGE(OFFSET($H$3,0,0,'Données projet'!$E$9+1,1))</f>
        <v>323.98185264074681</v>
      </c>
      <c r="T146" s="62">
        <f t="shared" si="142"/>
        <v>301.22207291854005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0.47606249383767074</v>
      </c>
      <c r="AA146" s="23">
        <f>EXP(-LN(2)/25)*AA145+(1-EXP(-LN(2)/25))/(LN(2)/25)*Calculateur!V146*Calculateur!X146*VLOOKUP('Données projet'!$B$9,Paramètres!$A$1:$I$89,3,0)*0.475*44/12</f>
        <v>0.35946465434039837</v>
      </c>
      <c r="AB146" s="23">
        <f>EXP(-LN(2)/2)*AB145+(1-EXP(-LN(2)/2))/(LN(2)/2)*V146*Y146*VLOOKUP('Données projet'!$B$9,Paramètres!$A$1:$I$89,3,0)*0.475*44/12</f>
        <v>5.9740125891494975E-17</v>
      </c>
      <c r="AC146" s="24">
        <f t="shared" si="111"/>
        <v>0.83552714817806917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-2.8421709430404007E-13</v>
      </c>
      <c r="AJ146" s="14">
        <f>AI146*VLOOKUP('Données projet'!$B$10,Paramètres!$A$1:$I$89,3,0)*VLOOKUP('Données projet'!$B$10,Paramètres!$A$1:$I$89,5,0)</f>
        <v>-1.69961822393816E-13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289.12367833861299</v>
      </c>
      <c r="AO146" s="62">
        <f t="shared" si="144"/>
        <v>229.06617320689003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4.0693215521331889E-17</v>
      </c>
      <c r="AX146" s="23">
        <f t="shared" si="114"/>
        <v>4.0693215521331889E-17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>
        <f>BD146*VLOOKUP('Données projet'!$B$11,Paramètres!$A$1:$I$89,3,0)*VLOOKUP('Données projet'!$B$11,Paramètres!$A$1:$I$89,5,0)</f>
        <v>0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240.22884864766218</v>
      </c>
      <c r="BJ146" s="62">
        <f t="shared" si="146"/>
        <v>343.23776884143166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0.44873585298057284</v>
      </c>
      <c r="BR146" s="23">
        <f>EXP(-LN(2)/2)*BR145+(1-EXP(-LN(2)/2))/(LN(2)/2)*BL146*BO146*VLOOKUP('Données projet'!$B$11,Paramètres!$A$1:$I$89,3,0)*0.475*44/12</f>
        <v>1.6210046575952743E-16</v>
      </c>
      <c r="BS146" s="24">
        <f t="shared" si="117"/>
        <v>0.448735852980573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2.4</v>
      </c>
      <c r="BY146" s="13">
        <f>IF('Données projet'!$A$114&gt;35,BY145+BX146-CG145,IF(A146&lt;'Données projet'!$A$114,$BV$205^A146,IF(A146='Données projet'!$A$114,'Données projet'!$B$114,BY145+BX146-CG145)))</f>
        <v>276.19999999999919</v>
      </c>
      <c r="BZ146" s="14">
        <f>BY146*VLOOKUP('Données projet'!$B$12,Paramètres!$A$1:$I$89,3,0)*VLOOKUP('Données projet'!$B$12,Paramètres!$A$1:$I$89,5,0)</f>
        <v>249.90575999999925</v>
      </c>
      <c r="CA146" s="14">
        <f t="shared" si="147"/>
        <v>60.565760331923727</v>
      </c>
      <c r="CB146" s="22">
        <f t="shared" si="118"/>
        <v>540.73789791143247</v>
      </c>
      <c r="CC146" s="62">
        <f t="shared" si="119"/>
        <v>834.07123124476584</v>
      </c>
      <c r="CD146" s="62">
        <f ca="1">AVERAGE(OFFSET($CC$3,0,0,'Données projet'!$E$12+1,1))-AVERAGE(OFFSET($H$3,0,0,'Données projet'!$E$12+1,1))</f>
        <v>428.8489304403459</v>
      </c>
      <c r="CE146" s="62">
        <f t="shared" si="148"/>
        <v>247.01165577562966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-1.7053025658242404E-13</v>
      </c>
      <c r="CU146" s="18">
        <f>CT146*VLOOKUP('Données projet'!$B$13,Paramètres!$A$1:$I$89,3,0)*VLOOKUP('Données projet'!$B$13,Paramètres!$A$1:$I$89,5,0)</f>
        <v>-1.3567387213697657E-13</v>
      </c>
      <c r="CV146" s="14" t="e">
        <f t="shared" si="149"/>
        <v>#NUM!</v>
      </c>
      <c r="CW146" s="22" t="e">
        <f t="shared" si="121"/>
        <v>#NUM!</v>
      </c>
      <c r="CX146" s="62" t="e">
        <f t="shared" si="122"/>
        <v>#NUM!</v>
      </c>
      <c r="CY146" s="62">
        <f ca="1">AVERAGE(OFFSET($CX$3,0,0,'Données projet'!$E$13+1,1))-AVERAGE(OFFSET($H$3,0,0,'Données projet'!$E$13+1,1))</f>
        <v>312.53381881960331</v>
      </c>
      <c r="CZ146" s="62">
        <f t="shared" si="150"/>
        <v>342.06887933351783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-1.7053025658242404E-13</v>
      </c>
      <c r="DP146" s="18">
        <f>DO146*VLOOKUP('Données projet'!$B$14,Paramètres!$A$1:$I$89,3,0)*VLOOKUP('Données projet'!$B$14,Paramètres!$A$1:$I$89,5,0)</f>
        <v>-1.250327841262333E-13</v>
      </c>
      <c r="DQ146" s="14" t="e">
        <f t="shared" si="151"/>
        <v>#NUM!</v>
      </c>
      <c r="DR146" s="22" t="e">
        <f t="shared" si="124"/>
        <v>#NUM!</v>
      </c>
      <c r="DS146" s="62" t="e">
        <f t="shared" si="125"/>
        <v>#NUM!</v>
      </c>
      <c r="DT146" s="62">
        <f ca="1">AVERAGE(OFFSET($DS$3,0,0,'Données projet'!$E$14+1,1))-AVERAGE(OFFSET($H$3,0,0,'Données projet'!$E$14+1,1))</f>
        <v>290.85271051443431</v>
      </c>
      <c r="DU146" s="62">
        <f t="shared" si="152"/>
        <v>318.66958823451142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0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3.1</v>
      </c>
      <c r="EJ146" s="13">
        <f>IF('Données projet'!$A$192&gt;35,EJ145+EI146-ER145,IF(A146&lt;'Données projet'!$A$192,$EG$205^A146,IF(A146='Données projet'!$A$192,'Données projet'!$B$192,EJ145+EI146-ER145)))</f>
        <v>355.30000000000018</v>
      </c>
      <c r="EK146" s="18">
        <f>EJ146*VLOOKUP('Données projet'!$B$15,Paramètres!$A$1:$I$89,3,0)*VLOOKUP('Données projet'!$B$15,Paramètres!$A$1:$I$89,5,0)</f>
        <v>304.84740000000016</v>
      </c>
      <c r="EL146" s="14">
        <f t="shared" si="153"/>
        <v>72.191714772718285</v>
      </c>
      <c r="EM146" s="22">
        <f t="shared" si="127"/>
        <v>656.67645822915131</v>
      </c>
      <c r="EN146" s="62">
        <f t="shared" si="128"/>
        <v>950.00979156248468</v>
      </c>
      <c r="EO146" s="62">
        <f ca="1">AVERAGE(OFFSET($EN$3,0,0,'Données projet'!$E$15+1,1))-AVERAGE(OFFSET($H$3,0,0,'Données projet'!$E$15+1,1))</f>
        <v>438.65317358403996</v>
      </c>
      <c r="EP146" s="62">
        <f t="shared" si="154"/>
        <v>176.81257896138806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0</v>
      </c>
      <c r="EW146" s="23">
        <f>EXP(-LN(2)/25)*EW145+(1-EXP(-LN(2)/25))/(LN(2)/25)*Calculateur!ER146*Calculateur!ET146*VLOOKUP('Données projet'!$B$15,Paramètres!$A$1:$I$89,3,0)*0.475*44/12</f>
        <v>0</v>
      </c>
      <c r="EX146" s="23">
        <f>EXP(-LN(2)/2)*EX145+(1-EXP(-LN(2)/2))/(LN(2)/2)*ER146*EU146*VLOOKUP('Données projet'!$B$15,Paramètres!$A$1:$I$89,3,0)*0.475*44/12</f>
        <v>0</v>
      </c>
      <c r="EY146" s="24">
        <f t="shared" si="129"/>
        <v>0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2.2737367544323206E-13</v>
      </c>
      <c r="O147" s="14">
        <f>N147*VLOOKUP('Données projet'!$B$9,Paramètres!$A$1:$I$89,3,0)*VLOOKUP('Données projet'!$B$9,Paramètres!$A$1:$I$89,5,0)</f>
        <v>1.2710188457276673E-13</v>
      </c>
      <c r="P147" s="14">
        <f t="shared" si="141"/>
        <v>1.856866851063998E-12</v>
      </c>
      <c r="Q147" s="22">
        <f t="shared" si="108"/>
        <v>3.4554122145673649E-12</v>
      </c>
      <c r="R147" s="62">
        <f t="shared" si="109"/>
        <v>293.33333333333678</v>
      </c>
      <c r="S147" s="62">
        <f ca="1">AVERAGE(OFFSET($R$3,0,0,'Données projet'!$E$9+1,1))-AVERAGE(OFFSET($H$3,0,0,'Données projet'!$E$9+1,1))</f>
        <v>323.98185264074681</v>
      </c>
      <c r="T147" s="62">
        <f t="shared" si="142"/>
        <v>301.22207291854005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0.46672719870296364</v>
      </c>
      <c r="AA147" s="23">
        <f>EXP(-LN(2)/25)*AA146+(1-EXP(-LN(2)/25))/(LN(2)/25)*Calculateur!V147*Calculateur!X147*VLOOKUP('Données projet'!$B$9,Paramètres!$A$1:$I$89,3,0)*0.475*44/12</f>
        <v>0.34963507446403558</v>
      </c>
      <c r="AB147" s="23">
        <f>EXP(-LN(2)/2)*AB146+(1-EXP(-LN(2)/2))/(LN(2)/2)*V147*Y147*VLOOKUP('Données projet'!$B$9,Paramètres!$A$1:$I$89,3,0)*0.475*44/12</f>
        <v>4.2242648126814141E-17</v>
      </c>
      <c r="AC147" s="24">
        <f t="shared" si="111"/>
        <v>0.81636227316699927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-2.8421709430404007E-13</v>
      </c>
      <c r="AJ147" s="14">
        <f>AI147*VLOOKUP('Données projet'!$B$10,Paramètres!$A$1:$I$89,3,0)*VLOOKUP('Données projet'!$B$10,Paramètres!$A$1:$I$89,5,0)</f>
        <v>-1.69961822393816E-13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289.12367833861299</v>
      </c>
      <c r="AO147" s="62">
        <f t="shared" si="144"/>
        <v>229.06617320689003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2.8774448643419447E-17</v>
      </c>
      <c r="AX147" s="23">
        <f t="shared" si="114"/>
        <v>2.8774448643419447E-17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>
        <f>BD147*VLOOKUP('Données projet'!$B$11,Paramètres!$A$1:$I$89,3,0)*VLOOKUP('Données projet'!$B$11,Paramètres!$A$1:$I$89,5,0)</f>
        <v>0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240.22884864766218</v>
      </c>
      <c r="BJ147" s="62">
        <f t="shared" si="146"/>
        <v>343.23776884143166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0.43646514748282617</v>
      </c>
      <c r="BR147" s="23">
        <f>EXP(-LN(2)/2)*BR146+(1-EXP(-LN(2)/2))/(LN(2)/2)*BL147*BO147*VLOOKUP('Données projet'!$B$11,Paramètres!$A$1:$I$89,3,0)*0.475*44/12</f>
        <v>1.146223385720596E-16</v>
      </c>
      <c r="BS147" s="24">
        <f t="shared" si="117"/>
        <v>0.43646514748282628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2.4</v>
      </c>
      <c r="BY147" s="13">
        <f>IF('Données projet'!$A$114&gt;35,BY146+BX147-CG146,IF(A147&lt;'Données projet'!$A$114,$BV$205^A147,IF(A147='Données projet'!$A$114,'Données projet'!$B$114,BY146+BX147-CG146)))</f>
        <v>278.59999999999917</v>
      </c>
      <c r="BZ147" s="14">
        <f>BY147*VLOOKUP('Données projet'!$B$12,Paramètres!$A$1:$I$89,3,0)*VLOOKUP('Données projet'!$B$12,Paramètres!$A$1:$I$89,5,0)</f>
        <v>252.07727999999923</v>
      </c>
      <c r="CA147" s="14">
        <f t="shared" si="147"/>
        <v>61.030544652154823</v>
      </c>
      <c r="CB147" s="22">
        <f t="shared" si="118"/>
        <v>545.32946126916829</v>
      </c>
      <c r="CC147" s="62">
        <f t="shared" si="119"/>
        <v>838.66279460250166</v>
      </c>
      <c r="CD147" s="62">
        <f ca="1">AVERAGE(OFFSET($CC$3,0,0,'Données projet'!$E$12+1,1))-AVERAGE(OFFSET($H$3,0,0,'Données projet'!$E$12+1,1))</f>
        <v>428.8489304403459</v>
      </c>
      <c r="CE147" s="62">
        <f t="shared" si="148"/>
        <v>247.01165577562966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-1.7053025658242404E-13</v>
      </c>
      <c r="CU147" s="18">
        <f>CT147*VLOOKUP('Données projet'!$B$13,Paramètres!$A$1:$I$89,3,0)*VLOOKUP('Données projet'!$B$13,Paramètres!$A$1:$I$89,5,0)</f>
        <v>-1.3567387213697657E-13</v>
      </c>
      <c r="CV147" s="14" t="e">
        <f t="shared" si="149"/>
        <v>#NUM!</v>
      </c>
      <c r="CW147" s="22" t="e">
        <f t="shared" si="121"/>
        <v>#NUM!</v>
      </c>
      <c r="CX147" s="62" t="e">
        <f t="shared" si="122"/>
        <v>#NUM!</v>
      </c>
      <c r="CY147" s="62">
        <f ca="1">AVERAGE(OFFSET($CX$3,0,0,'Données projet'!$E$13+1,1))-AVERAGE(OFFSET($H$3,0,0,'Données projet'!$E$13+1,1))</f>
        <v>312.53381881960331</v>
      </c>
      <c r="CZ147" s="62">
        <f t="shared" si="150"/>
        <v>342.06887933351783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-1.7053025658242404E-13</v>
      </c>
      <c r="DP147" s="18">
        <f>DO147*VLOOKUP('Données projet'!$B$14,Paramètres!$A$1:$I$89,3,0)*VLOOKUP('Données projet'!$B$14,Paramètres!$A$1:$I$89,5,0)</f>
        <v>-1.250327841262333E-13</v>
      </c>
      <c r="DQ147" s="14" t="e">
        <f t="shared" si="151"/>
        <v>#NUM!</v>
      </c>
      <c r="DR147" s="22" t="e">
        <f t="shared" si="124"/>
        <v>#NUM!</v>
      </c>
      <c r="DS147" s="62" t="e">
        <f t="shared" si="125"/>
        <v>#NUM!</v>
      </c>
      <c r="DT147" s="62">
        <f ca="1">AVERAGE(OFFSET($DS$3,0,0,'Données projet'!$E$14+1,1))-AVERAGE(OFFSET($H$3,0,0,'Données projet'!$E$14+1,1))</f>
        <v>290.85271051443431</v>
      </c>
      <c r="DU147" s="62">
        <f t="shared" si="152"/>
        <v>318.66958823451142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0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3.1</v>
      </c>
      <c r="EJ147" s="13">
        <f>IF('Données projet'!$A$192&gt;35,EJ146+EI147-ER146,IF(A147&lt;'Données projet'!$A$192,$EG$205^A147,IF(A147='Données projet'!$A$192,'Données projet'!$B$192,EJ146+EI147-ER146)))</f>
        <v>358.4000000000002</v>
      </c>
      <c r="EK147" s="18">
        <f>EJ147*VLOOKUP('Données projet'!$B$15,Paramètres!$A$1:$I$89,3,0)*VLOOKUP('Données projet'!$B$15,Paramètres!$A$1:$I$89,5,0)</f>
        <v>307.50720000000018</v>
      </c>
      <c r="EL147" s="14">
        <f t="shared" si="153"/>
        <v>72.74798994294045</v>
      </c>
      <c r="EM147" s="22">
        <f t="shared" si="127"/>
        <v>662.27778915062163</v>
      </c>
      <c r="EN147" s="62">
        <f t="shared" si="128"/>
        <v>955.61112248395489</v>
      </c>
      <c r="EO147" s="62">
        <f ca="1">AVERAGE(OFFSET($EN$3,0,0,'Données projet'!$E$15+1,1))-AVERAGE(OFFSET($H$3,0,0,'Données projet'!$E$15+1,1))</f>
        <v>438.65317358403996</v>
      </c>
      <c r="EP147" s="62">
        <f t="shared" si="154"/>
        <v>176.81257896138806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0</v>
      </c>
      <c r="EW147" s="23">
        <f>EXP(-LN(2)/25)*EW146+(1-EXP(-LN(2)/25))/(LN(2)/25)*Calculateur!ER147*Calculateur!ET147*VLOOKUP('Données projet'!$B$15,Paramètres!$A$1:$I$89,3,0)*0.475*44/12</f>
        <v>0</v>
      </c>
      <c r="EX147" s="23">
        <f>EXP(-LN(2)/2)*EX146+(1-EXP(-LN(2)/2))/(LN(2)/2)*ER147*EU147*VLOOKUP('Données projet'!$B$15,Paramètres!$A$1:$I$89,3,0)*0.475*44/12</f>
        <v>0</v>
      </c>
      <c r="EY147" s="24">
        <f t="shared" si="129"/>
        <v>0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2.2737367544323206E-13</v>
      </c>
      <c r="O148" s="14">
        <f>N148*VLOOKUP('Données projet'!$B$9,Paramètres!$A$1:$I$89,3,0)*VLOOKUP('Données projet'!$B$9,Paramètres!$A$1:$I$89,5,0)</f>
        <v>1.2710188457276673E-13</v>
      </c>
      <c r="P148" s="14">
        <f t="shared" si="141"/>
        <v>1.856866851063998E-12</v>
      </c>
      <c r="Q148" s="22">
        <f t="shared" si="108"/>
        <v>3.4554122145673649E-12</v>
      </c>
      <c r="R148" s="62">
        <f t="shared" si="109"/>
        <v>293.33333333333678</v>
      </c>
      <c r="S148" s="62">
        <f ca="1">AVERAGE(OFFSET($R$3,0,0,'Données projet'!$E$9+1,1))-AVERAGE(OFFSET($H$3,0,0,'Données projet'!$E$9+1,1))</f>
        <v>323.98185264074681</v>
      </c>
      <c r="T148" s="62">
        <f t="shared" si="142"/>
        <v>301.22207291854005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0.45757496301188039</v>
      </c>
      <c r="AA148" s="23">
        <f>EXP(-LN(2)/25)*AA147+(1-EXP(-LN(2)/25))/(LN(2)/25)*Calculateur!V148*Calculateur!X148*VLOOKUP('Données projet'!$B$9,Paramètres!$A$1:$I$89,3,0)*0.475*44/12</f>
        <v>0.34007428496630704</v>
      </c>
      <c r="AB148" s="23">
        <f>EXP(-LN(2)/2)*AB147+(1-EXP(-LN(2)/2))/(LN(2)/2)*V148*Y148*VLOOKUP('Données projet'!$B$9,Paramètres!$A$1:$I$89,3,0)*0.475*44/12</f>
        <v>2.9870062945747488E-17</v>
      </c>
      <c r="AC148" s="24">
        <f t="shared" si="111"/>
        <v>0.79764924797818737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-2.8421709430404007E-13</v>
      </c>
      <c r="AJ148" s="14">
        <f>AI148*VLOOKUP('Données projet'!$B$10,Paramètres!$A$1:$I$89,3,0)*VLOOKUP('Données projet'!$B$10,Paramètres!$A$1:$I$89,5,0)</f>
        <v>-1.69961822393816E-13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289.12367833861299</v>
      </c>
      <c r="AO148" s="62">
        <f t="shared" si="144"/>
        <v>229.06617320689003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2.0346607760665945E-17</v>
      </c>
      <c r="AX148" s="23">
        <f t="shared" si="114"/>
        <v>2.0346607760665945E-17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>
        <f>BD148*VLOOKUP('Données projet'!$B$11,Paramètres!$A$1:$I$89,3,0)*VLOOKUP('Données projet'!$B$11,Paramètres!$A$1:$I$89,5,0)</f>
        <v>0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240.22884864766218</v>
      </c>
      <c r="BJ148" s="62">
        <f t="shared" si="146"/>
        <v>343.23776884143166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0.42452998507220374</v>
      </c>
      <c r="BR148" s="23">
        <f>EXP(-LN(2)/2)*BR147+(1-EXP(-LN(2)/2))/(LN(2)/2)*BL148*BO148*VLOOKUP('Données projet'!$B$11,Paramètres!$A$1:$I$89,3,0)*0.475*44/12</f>
        <v>8.1050232879763717E-17</v>
      </c>
      <c r="BS148" s="24">
        <f t="shared" si="117"/>
        <v>0.4245299850722038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2.4</v>
      </c>
      <c r="BY148" s="13">
        <f>IF('Données projet'!$A$114&gt;35,BY147+BX148-CG147,IF(A148&lt;'Données projet'!$A$114,$BV$205^A148,IF(A148='Données projet'!$A$114,'Données projet'!$B$114,BY147+BX148-CG147)))</f>
        <v>280.99999999999915</v>
      </c>
      <c r="BZ148" s="14">
        <f>BY148*VLOOKUP('Données projet'!$B$12,Paramètres!$A$1:$I$89,3,0)*VLOOKUP('Données projet'!$B$12,Paramètres!$A$1:$I$89,5,0)</f>
        <v>254.24879999999925</v>
      </c>
      <c r="CA148" s="14">
        <f t="shared" si="147"/>
        <v>61.494863147658698</v>
      </c>
      <c r="CB148" s="22">
        <f t="shared" si="118"/>
        <v>549.92021331550427</v>
      </c>
      <c r="CC148" s="62">
        <f t="shared" si="119"/>
        <v>843.25354664883753</v>
      </c>
      <c r="CD148" s="62">
        <f ca="1">AVERAGE(OFFSET($CC$3,0,0,'Données projet'!$E$12+1,1))-AVERAGE(OFFSET($H$3,0,0,'Données projet'!$E$12+1,1))</f>
        <v>428.8489304403459</v>
      </c>
      <c r="CE148" s="62">
        <f t="shared" si="148"/>
        <v>247.01165577562966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-1.7053025658242404E-13</v>
      </c>
      <c r="CU148" s="18">
        <f>CT148*VLOOKUP('Données projet'!$B$13,Paramètres!$A$1:$I$89,3,0)*VLOOKUP('Données projet'!$B$13,Paramètres!$A$1:$I$89,5,0)</f>
        <v>-1.3567387213697657E-13</v>
      </c>
      <c r="CV148" s="14" t="e">
        <f t="shared" si="149"/>
        <v>#NUM!</v>
      </c>
      <c r="CW148" s="22" t="e">
        <f t="shared" si="121"/>
        <v>#NUM!</v>
      </c>
      <c r="CX148" s="62" t="e">
        <f t="shared" si="122"/>
        <v>#NUM!</v>
      </c>
      <c r="CY148" s="62">
        <f ca="1">AVERAGE(OFFSET($CX$3,0,0,'Données projet'!$E$13+1,1))-AVERAGE(OFFSET($H$3,0,0,'Données projet'!$E$13+1,1))</f>
        <v>312.53381881960331</v>
      </c>
      <c r="CZ148" s="62">
        <f t="shared" si="150"/>
        <v>342.06887933351783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-1.7053025658242404E-13</v>
      </c>
      <c r="DP148" s="18">
        <f>DO148*VLOOKUP('Données projet'!$B$14,Paramètres!$A$1:$I$89,3,0)*VLOOKUP('Données projet'!$B$14,Paramètres!$A$1:$I$89,5,0)</f>
        <v>-1.250327841262333E-13</v>
      </c>
      <c r="DQ148" s="14" t="e">
        <f t="shared" si="151"/>
        <v>#NUM!</v>
      </c>
      <c r="DR148" s="22" t="e">
        <f t="shared" si="124"/>
        <v>#NUM!</v>
      </c>
      <c r="DS148" s="62" t="e">
        <f t="shared" si="125"/>
        <v>#NUM!</v>
      </c>
      <c r="DT148" s="62">
        <f ca="1">AVERAGE(OFFSET($DS$3,0,0,'Données projet'!$E$14+1,1))-AVERAGE(OFFSET($H$3,0,0,'Données projet'!$E$14+1,1))</f>
        <v>290.85271051443431</v>
      </c>
      <c r="DU148" s="62">
        <f t="shared" si="152"/>
        <v>318.66958823451142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0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3.1</v>
      </c>
      <c r="EJ148" s="13">
        <f>IF('Données projet'!$A$192&gt;35,EJ147+EI148-ER147,IF(A148&lt;'Données projet'!$A$192,$EG$205^A148,IF(A148='Données projet'!$A$192,'Données projet'!$B$192,EJ147+EI148-ER147)))</f>
        <v>361.50000000000023</v>
      </c>
      <c r="EK148" s="18">
        <f>EJ148*VLOOKUP('Données projet'!$B$15,Paramètres!$A$1:$I$89,3,0)*VLOOKUP('Données projet'!$B$15,Paramètres!$A$1:$I$89,5,0)</f>
        <v>310.1670000000002</v>
      </c>
      <c r="EL148" s="14">
        <f t="shared" si="153"/>
        <v>73.303705325311384</v>
      </c>
      <c r="EM148" s="22">
        <f t="shared" si="127"/>
        <v>667.87814510825103</v>
      </c>
      <c r="EN148" s="62">
        <f t="shared" si="128"/>
        <v>961.2114784415844</v>
      </c>
      <c r="EO148" s="62">
        <f ca="1">AVERAGE(OFFSET($EN$3,0,0,'Données projet'!$E$15+1,1))-AVERAGE(OFFSET($H$3,0,0,'Données projet'!$E$15+1,1))</f>
        <v>438.65317358403996</v>
      </c>
      <c r="EP148" s="62">
        <f t="shared" si="154"/>
        <v>176.81257896138806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0</v>
      </c>
      <c r="EW148" s="23">
        <f>EXP(-LN(2)/25)*EW147+(1-EXP(-LN(2)/25))/(LN(2)/25)*Calculateur!ER148*Calculateur!ET148*VLOOKUP('Données projet'!$B$15,Paramètres!$A$1:$I$89,3,0)*0.475*44/12</f>
        <v>0</v>
      </c>
      <c r="EX148" s="23">
        <f>EXP(-LN(2)/2)*EX147+(1-EXP(-LN(2)/2))/(LN(2)/2)*ER148*EU148*VLOOKUP('Données projet'!$B$15,Paramètres!$A$1:$I$89,3,0)*0.475*44/12</f>
        <v>0</v>
      </c>
      <c r="EY148" s="24">
        <f t="shared" si="129"/>
        <v>0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2.2737367544323206E-13</v>
      </c>
      <c r="O149" s="14">
        <f>N149*VLOOKUP('Données projet'!$B$9,Paramètres!$A$1:$I$89,3,0)*VLOOKUP('Données projet'!$B$9,Paramètres!$A$1:$I$89,5,0)</f>
        <v>1.2710188457276673E-13</v>
      </c>
      <c r="P149" s="14">
        <f t="shared" si="141"/>
        <v>1.856866851063998E-12</v>
      </c>
      <c r="Q149" s="22">
        <f t="shared" si="108"/>
        <v>3.4554122145673649E-12</v>
      </c>
      <c r="R149" s="62">
        <f t="shared" si="109"/>
        <v>293.33333333333678</v>
      </c>
      <c r="S149" s="62">
        <f ca="1">AVERAGE(OFFSET($R$3,0,0,'Données projet'!$E$9+1,1))-AVERAGE(OFFSET($H$3,0,0,'Données projet'!$E$9+1,1))</f>
        <v>323.98185264074681</v>
      </c>
      <c r="T149" s="62">
        <f t="shared" si="142"/>
        <v>301.22207291854005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0.44860219708038668</v>
      </c>
      <c r="AA149" s="23">
        <f>EXP(-LN(2)/25)*AA148+(1-EXP(-LN(2)/25))/(LN(2)/25)*Calculateur!V149*Calculateur!X149*VLOOKUP('Données projet'!$B$9,Paramètres!$A$1:$I$89,3,0)*0.475*44/12</f>
        <v>0.33077493576017397</v>
      </c>
      <c r="AB149" s="23">
        <f>EXP(-LN(2)/2)*AB148+(1-EXP(-LN(2)/2))/(LN(2)/2)*V149*Y149*VLOOKUP('Données projet'!$B$9,Paramètres!$A$1:$I$89,3,0)*0.475*44/12</f>
        <v>2.112132406340707E-17</v>
      </c>
      <c r="AC149" s="24">
        <f t="shared" si="111"/>
        <v>0.77937713284056065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-2.8421709430404007E-13</v>
      </c>
      <c r="AJ149" s="14">
        <f>AI149*VLOOKUP('Données projet'!$B$10,Paramètres!$A$1:$I$89,3,0)*VLOOKUP('Données projet'!$B$10,Paramètres!$A$1:$I$89,5,0)</f>
        <v>-1.69961822393816E-13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289.12367833861299</v>
      </c>
      <c r="AO149" s="62">
        <f t="shared" si="144"/>
        <v>229.06617320689003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1.4387224321709724E-17</v>
      </c>
      <c r="AX149" s="23">
        <f t="shared" si="114"/>
        <v>1.4387224321709724E-17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>
        <f>BD149*VLOOKUP('Données projet'!$B$11,Paramètres!$A$1:$I$89,3,0)*VLOOKUP('Données projet'!$B$11,Paramètres!$A$1:$I$89,5,0)</f>
        <v>0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240.22884864766218</v>
      </c>
      <c r="BJ149" s="62">
        <f t="shared" si="146"/>
        <v>343.23776884143166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0.41292119030534269</v>
      </c>
      <c r="BR149" s="23">
        <f>EXP(-LN(2)/2)*BR148+(1-EXP(-LN(2)/2))/(LN(2)/2)*BL149*BO149*VLOOKUP('Données projet'!$B$11,Paramètres!$A$1:$I$89,3,0)*0.475*44/12</f>
        <v>5.7311169286029802E-17</v>
      </c>
      <c r="BS149" s="24">
        <f t="shared" si="117"/>
        <v>0.41292119030534274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2.4</v>
      </c>
      <c r="BY149" s="13">
        <f>IF('Données projet'!$A$114&gt;35,BY148+BX149-CG148,IF(A149&lt;'Données projet'!$A$114,$BV$205^A149,IF(A149='Données projet'!$A$114,'Données projet'!$B$114,BY148+BX149-CG148)))</f>
        <v>283.39999999999912</v>
      </c>
      <c r="BZ149" s="14">
        <f>BY149*VLOOKUP('Données projet'!$B$12,Paramètres!$A$1:$I$89,3,0)*VLOOKUP('Données projet'!$B$12,Paramètres!$A$1:$I$89,5,0)</f>
        <v>256.42031999999921</v>
      </c>
      <c r="CA149" s="14">
        <f t="shared" si="147"/>
        <v>61.958720258016747</v>
      </c>
      <c r="CB149" s="22">
        <f t="shared" si="118"/>
        <v>554.51016178271107</v>
      </c>
      <c r="CC149" s="62">
        <f t="shared" si="119"/>
        <v>847.84349511604432</v>
      </c>
      <c r="CD149" s="62">
        <f ca="1">AVERAGE(OFFSET($CC$3,0,0,'Données projet'!$E$12+1,1))-AVERAGE(OFFSET($H$3,0,0,'Données projet'!$E$12+1,1))</f>
        <v>428.8489304403459</v>
      </c>
      <c r="CE149" s="62">
        <f t="shared" si="148"/>
        <v>247.01165577562966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-1.7053025658242404E-13</v>
      </c>
      <c r="CU149" s="18">
        <f>CT149*VLOOKUP('Données projet'!$B$13,Paramètres!$A$1:$I$89,3,0)*VLOOKUP('Données projet'!$B$13,Paramètres!$A$1:$I$89,5,0)</f>
        <v>-1.3567387213697657E-13</v>
      </c>
      <c r="CV149" s="14" t="e">
        <f t="shared" si="149"/>
        <v>#NUM!</v>
      </c>
      <c r="CW149" s="22" t="e">
        <f t="shared" si="121"/>
        <v>#NUM!</v>
      </c>
      <c r="CX149" s="62" t="e">
        <f t="shared" si="122"/>
        <v>#NUM!</v>
      </c>
      <c r="CY149" s="62">
        <f ca="1">AVERAGE(OFFSET($CX$3,0,0,'Données projet'!$E$13+1,1))-AVERAGE(OFFSET($H$3,0,0,'Données projet'!$E$13+1,1))</f>
        <v>312.53381881960331</v>
      </c>
      <c r="CZ149" s="62">
        <f t="shared" si="150"/>
        <v>342.06887933351783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-1.7053025658242404E-13</v>
      </c>
      <c r="DP149" s="18">
        <f>DO149*VLOOKUP('Données projet'!$B$14,Paramètres!$A$1:$I$89,3,0)*VLOOKUP('Données projet'!$B$14,Paramètres!$A$1:$I$89,5,0)</f>
        <v>-1.250327841262333E-13</v>
      </c>
      <c r="DQ149" s="14" t="e">
        <f t="shared" si="151"/>
        <v>#NUM!</v>
      </c>
      <c r="DR149" s="22" t="e">
        <f t="shared" si="124"/>
        <v>#NUM!</v>
      </c>
      <c r="DS149" s="62" t="e">
        <f t="shared" si="125"/>
        <v>#NUM!</v>
      </c>
      <c r="DT149" s="62">
        <f ca="1">AVERAGE(OFFSET($DS$3,0,0,'Données projet'!$E$14+1,1))-AVERAGE(OFFSET($H$3,0,0,'Données projet'!$E$14+1,1))</f>
        <v>290.85271051443431</v>
      </c>
      <c r="DU149" s="62">
        <f t="shared" si="152"/>
        <v>318.66958823451142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0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3.1</v>
      </c>
      <c r="EJ149" s="13">
        <f>IF('Données projet'!$A$192&gt;35,EJ148+EI149-ER148,IF(A149&lt;'Données projet'!$A$192,$EG$205^A149,IF(A149='Données projet'!$A$192,'Données projet'!$B$192,EJ148+EI149-ER148)))</f>
        <v>364.60000000000025</v>
      </c>
      <c r="EK149" s="18">
        <f>EJ149*VLOOKUP('Données projet'!$B$15,Paramètres!$A$1:$I$89,3,0)*VLOOKUP('Données projet'!$B$15,Paramètres!$A$1:$I$89,5,0)</f>
        <v>312.82680000000022</v>
      </c>
      <c r="EL149" s="14">
        <f t="shared" si="153"/>
        <v>73.858866276448836</v>
      </c>
      <c r="EM149" s="22">
        <f t="shared" si="127"/>
        <v>673.47753543148212</v>
      </c>
      <c r="EN149" s="62">
        <f t="shared" si="128"/>
        <v>966.8108687648155</v>
      </c>
      <c r="EO149" s="62">
        <f ca="1">AVERAGE(OFFSET($EN$3,0,0,'Données projet'!$E$15+1,1))-AVERAGE(OFFSET($H$3,0,0,'Données projet'!$E$15+1,1))</f>
        <v>438.65317358403996</v>
      </c>
      <c r="EP149" s="62">
        <f t="shared" si="154"/>
        <v>176.81257896138806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0</v>
      </c>
      <c r="EW149" s="23">
        <f>EXP(-LN(2)/25)*EW148+(1-EXP(-LN(2)/25))/(LN(2)/25)*Calculateur!ER149*Calculateur!ET149*VLOOKUP('Données projet'!$B$15,Paramètres!$A$1:$I$89,3,0)*0.475*44/12</f>
        <v>0</v>
      </c>
      <c r="EX149" s="23">
        <f>EXP(-LN(2)/2)*EX148+(1-EXP(-LN(2)/2))/(LN(2)/2)*ER149*EU149*VLOOKUP('Données projet'!$B$15,Paramètres!$A$1:$I$89,3,0)*0.475*44/12</f>
        <v>0</v>
      </c>
      <c r="EY149" s="24">
        <f t="shared" si="129"/>
        <v>0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2.2737367544323206E-13</v>
      </c>
      <c r="O150" s="14">
        <f>N150*VLOOKUP('Données projet'!$B$9,Paramètres!$A$1:$I$89,3,0)*VLOOKUP('Données projet'!$B$9,Paramètres!$A$1:$I$89,5,0)</f>
        <v>1.2710188457276673E-13</v>
      </c>
      <c r="P150" s="14">
        <f t="shared" si="141"/>
        <v>1.856866851063998E-12</v>
      </c>
      <c r="Q150" s="22">
        <f t="shared" si="108"/>
        <v>3.4554122145673649E-12</v>
      </c>
      <c r="R150" s="62">
        <f t="shared" si="109"/>
        <v>293.33333333333678</v>
      </c>
      <c r="S150" s="62">
        <f ca="1">AVERAGE(OFFSET($R$3,0,0,'Données projet'!$E$9+1,1))-AVERAGE(OFFSET($H$3,0,0,'Données projet'!$E$9+1,1))</f>
        <v>323.98185264074681</v>
      </c>
      <c r="T150" s="62">
        <f t="shared" si="142"/>
        <v>301.22207291854005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0.43980538161596278</v>
      </c>
      <c r="AA150" s="23">
        <f>EXP(-LN(2)/25)*AA149+(1-EXP(-LN(2)/25))/(LN(2)/25)*Calculateur!V150*Calculateur!X150*VLOOKUP('Données projet'!$B$9,Paramètres!$A$1:$I$89,3,0)*0.475*44/12</f>
        <v>0.32172987774711415</v>
      </c>
      <c r="AB150" s="23">
        <f>EXP(-LN(2)/2)*AB149+(1-EXP(-LN(2)/2))/(LN(2)/2)*V150*Y150*VLOOKUP('Données projet'!$B$9,Paramètres!$A$1:$I$89,3,0)*0.475*44/12</f>
        <v>1.4935031472873744E-17</v>
      </c>
      <c r="AC150" s="24">
        <f t="shared" si="111"/>
        <v>0.76153525936307687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-2.8421709430404007E-13</v>
      </c>
      <c r="AJ150" s="14">
        <f>AI150*VLOOKUP('Données projet'!$B$10,Paramètres!$A$1:$I$89,3,0)*VLOOKUP('Données projet'!$B$10,Paramètres!$A$1:$I$89,5,0)</f>
        <v>-1.69961822393816E-13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289.12367833861299</v>
      </c>
      <c r="AO150" s="62">
        <f t="shared" si="144"/>
        <v>229.06617320689003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1.0173303880332972E-17</v>
      </c>
      <c r="AX150" s="23">
        <f t="shared" si="114"/>
        <v>1.0173303880332972E-17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>
        <f>BD150*VLOOKUP('Données projet'!$B$11,Paramètres!$A$1:$I$89,3,0)*VLOOKUP('Données projet'!$B$11,Paramètres!$A$1:$I$89,5,0)</f>
        <v>0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240.22884864766218</v>
      </c>
      <c r="BJ150" s="62">
        <f t="shared" si="146"/>
        <v>343.23776884143166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0.40162983864186141</v>
      </c>
      <c r="BR150" s="23">
        <f>EXP(-LN(2)/2)*BR149+(1-EXP(-LN(2)/2))/(LN(2)/2)*BL150*BO150*VLOOKUP('Données projet'!$B$11,Paramètres!$A$1:$I$89,3,0)*0.475*44/12</f>
        <v>4.0525116439881859E-17</v>
      </c>
      <c r="BS150" s="24">
        <f t="shared" si="117"/>
        <v>0.40162983864186147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2.4</v>
      </c>
      <c r="BY150" s="13">
        <f>IF('Données projet'!$A$114&gt;35,BY149+BX150-CG149,IF(A150&lt;'Données projet'!$A$114,$BV$205^A150,IF(A150='Données projet'!$A$114,'Données projet'!$B$114,BY149+BX150-CG149)))</f>
        <v>285.7999999999991</v>
      </c>
      <c r="BZ150" s="14">
        <f>BY150*VLOOKUP('Données projet'!$B$12,Paramètres!$A$1:$I$89,3,0)*VLOOKUP('Données projet'!$B$12,Paramètres!$A$1:$I$89,5,0)</f>
        <v>258.59183999999919</v>
      </c>
      <c r="CA150" s="14">
        <f t="shared" si="147"/>
        <v>62.422120343276475</v>
      </c>
      <c r="CB150" s="22">
        <f t="shared" si="118"/>
        <v>559.09931426453841</v>
      </c>
      <c r="CC150" s="62">
        <f t="shared" si="119"/>
        <v>852.43264759787166</v>
      </c>
      <c r="CD150" s="62">
        <f ca="1">AVERAGE(OFFSET($CC$3,0,0,'Données projet'!$E$12+1,1))-AVERAGE(OFFSET($H$3,0,0,'Données projet'!$E$12+1,1))</f>
        <v>428.8489304403459</v>
      </c>
      <c r="CE150" s="62">
        <f t="shared" si="148"/>
        <v>247.01165577562966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-1.7053025658242404E-13</v>
      </c>
      <c r="CU150" s="18">
        <f>CT150*VLOOKUP('Données projet'!$B$13,Paramètres!$A$1:$I$89,3,0)*VLOOKUP('Données projet'!$B$13,Paramètres!$A$1:$I$89,5,0)</f>
        <v>-1.3567387213697657E-13</v>
      </c>
      <c r="CV150" s="14" t="e">
        <f t="shared" si="149"/>
        <v>#NUM!</v>
      </c>
      <c r="CW150" s="22" t="e">
        <f t="shared" si="121"/>
        <v>#NUM!</v>
      </c>
      <c r="CX150" s="62" t="e">
        <f t="shared" si="122"/>
        <v>#NUM!</v>
      </c>
      <c r="CY150" s="62">
        <f ca="1">AVERAGE(OFFSET($CX$3,0,0,'Données projet'!$E$13+1,1))-AVERAGE(OFFSET($H$3,0,0,'Données projet'!$E$13+1,1))</f>
        <v>312.53381881960331</v>
      </c>
      <c r="CZ150" s="62">
        <f t="shared" si="150"/>
        <v>342.06887933351783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-1.7053025658242404E-13</v>
      </c>
      <c r="DP150" s="18">
        <f>DO150*VLOOKUP('Données projet'!$B$14,Paramètres!$A$1:$I$89,3,0)*VLOOKUP('Données projet'!$B$14,Paramètres!$A$1:$I$89,5,0)</f>
        <v>-1.250327841262333E-13</v>
      </c>
      <c r="DQ150" s="14" t="e">
        <f t="shared" si="151"/>
        <v>#NUM!</v>
      </c>
      <c r="DR150" s="22" t="e">
        <f t="shared" si="124"/>
        <v>#NUM!</v>
      </c>
      <c r="DS150" s="62" t="e">
        <f t="shared" si="125"/>
        <v>#NUM!</v>
      </c>
      <c r="DT150" s="62">
        <f ca="1">AVERAGE(OFFSET($DS$3,0,0,'Données projet'!$E$14+1,1))-AVERAGE(OFFSET($H$3,0,0,'Données projet'!$E$14+1,1))</f>
        <v>290.85271051443431</v>
      </c>
      <c r="DU150" s="62">
        <f t="shared" si="152"/>
        <v>318.66958823451142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0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3.1</v>
      </c>
      <c r="EJ150" s="13">
        <f>IF('Données projet'!$A$192&gt;35,EJ149+EI150-ER149,IF(A150&lt;'Données projet'!$A$192,$EG$205^A150,IF(A150='Données projet'!$A$192,'Données projet'!$B$192,EJ149+EI150-ER149)))</f>
        <v>367.70000000000027</v>
      </c>
      <c r="EK150" s="18">
        <f>EJ150*VLOOKUP('Données projet'!$B$15,Paramètres!$A$1:$I$89,3,0)*VLOOKUP('Données projet'!$B$15,Paramètres!$A$1:$I$89,5,0)</f>
        <v>315.48660000000024</v>
      </c>
      <c r="EL150" s="14">
        <f t="shared" si="153"/>
        <v>74.413478056624157</v>
      </c>
      <c r="EM150" s="22">
        <f t="shared" si="127"/>
        <v>679.07596928195414</v>
      </c>
      <c r="EN150" s="62">
        <f t="shared" si="128"/>
        <v>972.40930261528752</v>
      </c>
      <c r="EO150" s="62">
        <f ca="1">AVERAGE(OFFSET($EN$3,0,0,'Données projet'!$E$15+1,1))-AVERAGE(OFFSET($H$3,0,0,'Données projet'!$E$15+1,1))</f>
        <v>438.65317358403996</v>
      </c>
      <c r="EP150" s="62">
        <f t="shared" si="154"/>
        <v>176.81257896138806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0</v>
      </c>
      <c r="EW150" s="23">
        <f>EXP(-LN(2)/25)*EW149+(1-EXP(-LN(2)/25))/(LN(2)/25)*Calculateur!ER150*Calculateur!ET150*VLOOKUP('Données projet'!$B$15,Paramètres!$A$1:$I$89,3,0)*0.475*44/12</f>
        <v>0</v>
      </c>
      <c r="EX150" s="23">
        <f>EXP(-LN(2)/2)*EX149+(1-EXP(-LN(2)/2))/(LN(2)/2)*ER150*EU150*VLOOKUP('Données projet'!$B$15,Paramètres!$A$1:$I$89,3,0)*0.475*44/12</f>
        <v>0</v>
      </c>
      <c r="EY150" s="24">
        <f t="shared" si="129"/>
        <v>0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2.2737367544323206E-13</v>
      </c>
      <c r="O151" s="14">
        <f>N151*VLOOKUP('Données projet'!$B$9,Paramètres!$A$1:$I$89,3,0)*VLOOKUP('Données projet'!$B$9,Paramètres!$A$1:$I$89,5,0)</f>
        <v>1.2710188457276673E-13</v>
      </c>
      <c r="P151" s="14">
        <f t="shared" si="141"/>
        <v>1.856866851063998E-12</v>
      </c>
      <c r="Q151" s="22">
        <f t="shared" si="108"/>
        <v>3.4554122145673649E-12</v>
      </c>
      <c r="R151" s="62">
        <f t="shared" si="109"/>
        <v>293.33333333333678</v>
      </c>
      <c r="S151" s="62">
        <f ca="1">AVERAGE(OFFSET($R$3,0,0,'Données projet'!$E$9+1,1))-AVERAGE(OFFSET($H$3,0,0,'Données projet'!$E$9+1,1))</f>
        <v>323.98185264074681</v>
      </c>
      <c r="T151" s="62">
        <f t="shared" si="142"/>
        <v>301.22207291854005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0.43118106633726855</v>
      </c>
      <c r="AA151" s="23">
        <f>EXP(-LN(2)/25)*AA150+(1-EXP(-LN(2)/25))/(LN(2)/25)*Calculateur!V151*Calculateur!X151*VLOOKUP('Données projet'!$B$9,Paramètres!$A$1:$I$89,3,0)*0.475*44/12</f>
        <v>0.31293215732108037</v>
      </c>
      <c r="AB151" s="23">
        <f>EXP(-LN(2)/2)*AB150+(1-EXP(-LN(2)/2))/(LN(2)/2)*V151*Y151*VLOOKUP('Données projet'!$B$9,Paramètres!$A$1:$I$89,3,0)*0.475*44/12</f>
        <v>1.0560662031703535E-17</v>
      </c>
      <c r="AC151" s="24">
        <f t="shared" si="111"/>
        <v>0.74411322365834898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-2.8421709430404007E-13</v>
      </c>
      <c r="AJ151" s="14">
        <f>AI151*VLOOKUP('Données projet'!$B$10,Paramètres!$A$1:$I$89,3,0)*VLOOKUP('Données projet'!$B$10,Paramètres!$A$1:$I$89,5,0)</f>
        <v>-1.69961822393816E-13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289.12367833861299</v>
      </c>
      <c r="AO151" s="62">
        <f t="shared" si="144"/>
        <v>229.06617320689003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7.1936121608548618E-18</v>
      </c>
      <c r="AX151" s="23">
        <f t="shared" si="114"/>
        <v>7.1936121608548618E-18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>
        <f>BD151*VLOOKUP('Données projet'!$B$11,Paramètres!$A$1:$I$89,3,0)*VLOOKUP('Données projet'!$B$11,Paramètres!$A$1:$I$89,5,0)</f>
        <v>0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240.22884864766218</v>
      </c>
      <c r="BJ151" s="62">
        <f t="shared" si="146"/>
        <v>343.23776884143166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0.39064724958340441</v>
      </c>
      <c r="BR151" s="23">
        <f>EXP(-LN(2)/2)*BR150+(1-EXP(-LN(2)/2))/(LN(2)/2)*BL151*BO151*VLOOKUP('Données projet'!$B$11,Paramètres!$A$1:$I$89,3,0)*0.475*44/12</f>
        <v>2.8655584643014901E-17</v>
      </c>
      <c r="BS151" s="24">
        <f t="shared" si="117"/>
        <v>0.39064724958340447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2.4</v>
      </c>
      <c r="BY151" s="13">
        <f>IF('Données projet'!$A$114&gt;35,BY150+BX151-CG150,IF(A151&lt;'Données projet'!$A$114,$BV$205^A151,IF(A151='Données projet'!$A$114,'Données projet'!$B$114,BY150+BX151-CG150)))</f>
        <v>288.19999999999908</v>
      </c>
      <c r="BZ151" s="14">
        <f>BY151*VLOOKUP('Données projet'!$B$12,Paramètres!$A$1:$I$89,3,0)*VLOOKUP('Données projet'!$B$12,Paramètres!$A$1:$I$89,5,0)</f>
        <v>260.76335999999918</v>
      </c>
      <c r="CA151" s="14">
        <f t="shared" si="147"/>
        <v>62.885067686031789</v>
      </c>
      <c r="CB151" s="22">
        <f t="shared" si="118"/>
        <v>563.68767821983727</v>
      </c>
      <c r="CC151" s="62">
        <f t="shared" si="119"/>
        <v>857.02101155317064</v>
      </c>
      <c r="CD151" s="62">
        <f ca="1">AVERAGE(OFFSET($CC$3,0,0,'Données projet'!$E$12+1,1))-AVERAGE(OFFSET($H$3,0,0,'Données projet'!$E$12+1,1))</f>
        <v>428.8489304403459</v>
      </c>
      <c r="CE151" s="62">
        <f t="shared" si="148"/>
        <v>247.01165577562966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-1.7053025658242404E-13</v>
      </c>
      <c r="CU151" s="18">
        <f>CT151*VLOOKUP('Données projet'!$B$13,Paramètres!$A$1:$I$89,3,0)*VLOOKUP('Données projet'!$B$13,Paramètres!$A$1:$I$89,5,0)</f>
        <v>-1.3567387213697657E-13</v>
      </c>
      <c r="CV151" s="14" t="e">
        <f t="shared" si="149"/>
        <v>#NUM!</v>
      </c>
      <c r="CW151" s="22" t="e">
        <f t="shared" si="121"/>
        <v>#NUM!</v>
      </c>
      <c r="CX151" s="62" t="e">
        <f t="shared" si="122"/>
        <v>#NUM!</v>
      </c>
      <c r="CY151" s="62">
        <f ca="1">AVERAGE(OFFSET($CX$3,0,0,'Données projet'!$E$13+1,1))-AVERAGE(OFFSET($H$3,0,0,'Données projet'!$E$13+1,1))</f>
        <v>312.53381881960331</v>
      </c>
      <c r="CZ151" s="62">
        <f t="shared" si="150"/>
        <v>342.06887933351783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-1.7053025658242404E-13</v>
      </c>
      <c r="DP151" s="18">
        <f>DO151*VLOOKUP('Données projet'!$B$14,Paramètres!$A$1:$I$89,3,0)*VLOOKUP('Données projet'!$B$14,Paramètres!$A$1:$I$89,5,0)</f>
        <v>-1.250327841262333E-13</v>
      </c>
      <c r="DQ151" s="14" t="e">
        <f t="shared" si="151"/>
        <v>#NUM!</v>
      </c>
      <c r="DR151" s="22" t="e">
        <f t="shared" si="124"/>
        <v>#NUM!</v>
      </c>
      <c r="DS151" s="62" t="e">
        <f t="shared" si="125"/>
        <v>#NUM!</v>
      </c>
      <c r="DT151" s="62">
        <f ca="1">AVERAGE(OFFSET($DS$3,0,0,'Données projet'!$E$14+1,1))-AVERAGE(OFFSET($H$3,0,0,'Données projet'!$E$14+1,1))</f>
        <v>290.85271051443431</v>
      </c>
      <c r="DU151" s="62">
        <f t="shared" si="152"/>
        <v>318.66958823451142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0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3.1</v>
      </c>
      <c r="EJ151" s="13">
        <f>IF('Données projet'!$A$192&gt;35,EJ150+EI151-ER150,IF(A151&lt;'Données projet'!$A$192,$EG$205^A151,IF(A151='Données projet'!$A$192,'Données projet'!$B$192,EJ150+EI151-ER150)))</f>
        <v>370.8000000000003</v>
      </c>
      <c r="EK151" s="18">
        <f>EJ151*VLOOKUP('Données projet'!$B$15,Paramètres!$A$1:$I$89,3,0)*VLOOKUP('Données projet'!$B$15,Paramètres!$A$1:$I$89,5,0)</f>
        <v>318.14640000000026</v>
      </c>
      <c r="EL151" s="14">
        <f t="shared" si="153"/>
        <v>74.967545832293155</v>
      </c>
      <c r="EM151" s="22">
        <f t="shared" si="127"/>
        <v>684.67345565791118</v>
      </c>
      <c r="EN151" s="62">
        <f t="shared" si="128"/>
        <v>978.00678899124455</v>
      </c>
      <c r="EO151" s="62">
        <f ca="1">AVERAGE(OFFSET($EN$3,0,0,'Données projet'!$E$15+1,1))-AVERAGE(OFFSET($H$3,0,0,'Données projet'!$E$15+1,1))</f>
        <v>438.65317358403996</v>
      </c>
      <c r="EP151" s="62">
        <f t="shared" si="154"/>
        <v>176.81257896138806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0</v>
      </c>
      <c r="EW151" s="23">
        <f>EXP(-LN(2)/25)*EW150+(1-EXP(-LN(2)/25))/(LN(2)/25)*Calculateur!ER151*Calculateur!ET151*VLOOKUP('Données projet'!$B$15,Paramètres!$A$1:$I$89,3,0)*0.475*44/12</f>
        <v>0</v>
      </c>
      <c r="EX151" s="23">
        <f>EXP(-LN(2)/2)*EX150+(1-EXP(-LN(2)/2))/(LN(2)/2)*ER151*EU151*VLOOKUP('Données projet'!$B$15,Paramètres!$A$1:$I$89,3,0)*0.475*44/12</f>
        <v>0</v>
      </c>
      <c r="EY151" s="24">
        <f t="shared" si="129"/>
        <v>0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2.2737367544323206E-13</v>
      </c>
      <c r="O152" s="14">
        <f>N152*VLOOKUP('Données projet'!$B$9,Paramètres!$A$1:$I$89,3,0)*VLOOKUP('Données projet'!$B$9,Paramètres!$A$1:$I$89,5,0)</f>
        <v>1.2710188457276673E-13</v>
      </c>
      <c r="P152" s="14">
        <f t="shared" si="141"/>
        <v>1.856866851063998E-12</v>
      </c>
      <c r="Q152" s="22">
        <f t="shared" si="108"/>
        <v>3.4554122145673649E-12</v>
      </c>
      <c r="R152" s="62">
        <f t="shared" si="109"/>
        <v>293.33333333333678</v>
      </c>
      <c r="S152" s="62">
        <f ca="1">AVERAGE(OFFSET($R$3,0,0,'Données projet'!$E$9+1,1))-AVERAGE(OFFSET($H$3,0,0,'Données projet'!$E$9+1,1))</f>
        <v>323.98185264074681</v>
      </c>
      <c r="T152" s="62">
        <f t="shared" si="142"/>
        <v>301.22207291854005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0.42272586862087663</v>
      </c>
      <c r="AA152" s="23">
        <f>EXP(-LN(2)/25)*AA151+(1-EXP(-LN(2)/25))/(LN(2)/25)*Calculateur!V152*Calculateur!X152*VLOOKUP('Données projet'!$B$9,Paramètres!$A$1:$I$89,3,0)*0.475*44/12</f>
        <v>0.3043750110227485</v>
      </c>
      <c r="AB152" s="23">
        <f>EXP(-LN(2)/2)*AB151+(1-EXP(-LN(2)/2))/(LN(2)/2)*V152*Y152*VLOOKUP('Données projet'!$B$9,Paramètres!$A$1:$I$89,3,0)*0.475*44/12</f>
        <v>7.4675157364368719E-18</v>
      </c>
      <c r="AC152" s="24">
        <f t="shared" si="111"/>
        <v>0.72710087964362513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-2.8421709430404007E-13</v>
      </c>
      <c r="AJ152" s="14">
        <f>AI152*VLOOKUP('Données projet'!$B$10,Paramètres!$A$1:$I$89,3,0)*VLOOKUP('Données projet'!$B$10,Paramètres!$A$1:$I$89,5,0)</f>
        <v>-1.69961822393816E-13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289.12367833861299</v>
      </c>
      <c r="AO152" s="62">
        <f t="shared" si="144"/>
        <v>229.06617320689003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5.0866519401664861E-18</v>
      </c>
      <c r="AX152" s="23">
        <f t="shared" si="114"/>
        <v>5.0866519401664861E-18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>
        <f>BD152*VLOOKUP('Données projet'!$B$11,Paramètres!$A$1:$I$89,3,0)*VLOOKUP('Données projet'!$B$11,Paramètres!$A$1:$I$89,5,0)</f>
        <v>0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240.22884864766218</v>
      </c>
      <c r="BJ152" s="62">
        <f t="shared" si="146"/>
        <v>343.23776884143166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0.37996498000030021</v>
      </c>
      <c r="BR152" s="23">
        <f>EXP(-LN(2)/2)*BR151+(1-EXP(-LN(2)/2))/(LN(2)/2)*BL152*BO152*VLOOKUP('Données projet'!$B$11,Paramètres!$A$1:$I$89,3,0)*0.475*44/12</f>
        <v>2.0262558219940929E-17</v>
      </c>
      <c r="BS152" s="24">
        <f t="shared" si="117"/>
        <v>0.37996498000030021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2.4</v>
      </c>
      <c r="BY152" s="13">
        <f>IF('Données projet'!$A$114&gt;35,BY151+BX152-CG151,IF(A152&lt;'Données projet'!$A$114,$BV$205^A152,IF(A152='Données projet'!$A$114,'Données projet'!$B$114,BY151+BX152-CG151)))</f>
        <v>290.59999999999906</v>
      </c>
      <c r="BZ152" s="14">
        <f>BY152*VLOOKUP('Données projet'!$B$12,Paramètres!$A$1:$I$89,3,0)*VLOOKUP('Données projet'!$B$12,Paramètres!$A$1:$I$89,5,0)</f>
        <v>262.93487999999911</v>
      </c>
      <c r="CA152" s="14">
        <f t="shared" si="147"/>
        <v>63.347566493432595</v>
      </c>
      <c r="CB152" s="22">
        <f t="shared" si="118"/>
        <v>568.27526097606028</v>
      </c>
      <c r="CC152" s="62">
        <f t="shared" si="119"/>
        <v>861.60859430939354</v>
      </c>
      <c r="CD152" s="62">
        <f ca="1">AVERAGE(OFFSET($CC$3,0,0,'Données projet'!$E$12+1,1))-AVERAGE(OFFSET($H$3,0,0,'Données projet'!$E$12+1,1))</f>
        <v>428.8489304403459</v>
      </c>
      <c r="CE152" s="62">
        <f t="shared" si="148"/>
        <v>247.01165577562966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-1.7053025658242404E-13</v>
      </c>
      <c r="CU152" s="18">
        <f>CT152*VLOOKUP('Données projet'!$B$13,Paramètres!$A$1:$I$89,3,0)*VLOOKUP('Données projet'!$B$13,Paramètres!$A$1:$I$89,5,0)</f>
        <v>-1.3567387213697657E-13</v>
      </c>
      <c r="CV152" s="14" t="e">
        <f t="shared" si="149"/>
        <v>#NUM!</v>
      </c>
      <c r="CW152" s="22" t="e">
        <f t="shared" si="121"/>
        <v>#NUM!</v>
      </c>
      <c r="CX152" s="62" t="e">
        <f t="shared" si="122"/>
        <v>#NUM!</v>
      </c>
      <c r="CY152" s="62">
        <f ca="1">AVERAGE(OFFSET($CX$3,0,0,'Données projet'!$E$13+1,1))-AVERAGE(OFFSET($H$3,0,0,'Données projet'!$E$13+1,1))</f>
        <v>312.53381881960331</v>
      </c>
      <c r="CZ152" s="62">
        <f t="shared" si="150"/>
        <v>342.06887933351783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-1.7053025658242404E-13</v>
      </c>
      <c r="DP152" s="18">
        <f>DO152*VLOOKUP('Données projet'!$B$14,Paramètres!$A$1:$I$89,3,0)*VLOOKUP('Données projet'!$B$14,Paramètres!$A$1:$I$89,5,0)</f>
        <v>-1.250327841262333E-13</v>
      </c>
      <c r="DQ152" s="14" t="e">
        <f t="shared" si="151"/>
        <v>#NUM!</v>
      </c>
      <c r="DR152" s="22" t="e">
        <f t="shared" si="124"/>
        <v>#NUM!</v>
      </c>
      <c r="DS152" s="62" t="e">
        <f t="shared" si="125"/>
        <v>#NUM!</v>
      </c>
      <c r="DT152" s="62">
        <f ca="1">AVERAGE(OFFSET($DS$3,0,0,'Données projet'!$E$14+1,1))-AVERAGE(OFFSET($H$3,0,0,'Données projet'!$E$14+1,1))</f>
        <v>290.85271051443431</v>
      </c>
      <c r="DU152" s="62">
        <f t="shared" si="152"/>
        <v>318.66958823451142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0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3.1</v>
      </c>
      <c r="EJ152" s="13">
        <f>IF('Données projet'!$A$192&gt;35,EJ151+EI152-ER151,IF(A152&lt;'Données projet'!$A$192,$EG$205^A152,IF(A152='Données projet'!$A$192,'Données projet'!$B$192,EJ151+EI152-ER151)))</f>
        <v>373.90000000000032</v>
      </c>
      <c r="EK152" s="18">
        <f>EJ152*VLOOKUP('Données projet'!$B$15,Paramètres!$A$1:$I$89,3,0)*VLOOKUP('Données projet'!$B$15,Paramètres!$A$1:$I$89,5,0)</f>
        <v>320.80620000000027</v>
      </c>
      <c r="EL152" s="14">
        <f t="shared" si="153"/>
        <v>75.52107467853871</v>
      </c>
      <c r="EM152" s="22">
        <f t="shared" si="127"/>
        <v>690.27000339845529</v>
      </c>
      <c r="EN152" s="62">
        <f t="shared" si="128"/>
        <v>983.60333673178866</v>
      </c>
      <c r="EO152" s="62">
        <f ca="1">AVERAGE(OFFSET($EN$3,0,0,'Données projet'!$E$15+1,1))-AVERAGE(OFFSET($H$3,0,0,'Données projet'!$E$15+1,1))</f>
        <v>438.65317358403996</v>
      </c>
      <c r="EP152" s="62">
        <f t="shared" si="154"/>
        <v>176.81257896138806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0</v>
      </c>
      <c r="EW152" s="23">
        <f>EXP(-LN(2)/25)*EW151+(1-EXP(-LN(2)/25))/(LN(2)/25)*Calculateur!ER152*Calculateur!ET152*VLOOKUP('Données projet'!$B$15,Paramètres!$A$1:$I$89,3,0)*0.475*44/12</f>
        <v>0</v>
      </c>
      <c r="EX152" s="23">
        <f>EXP(-LN(2)/2)*EX151+(1-EXP(-LN(2)/2))/(LN(2)/2)*ER152*EU152*VLOOKUP('Données projet'!$B$15,Paramètres!$A$1:$I$89,3,0)*0.475*44/12</f>
        <v>0</v>
      </c>
      <c r="EY152" s="24">
        <f t="shared" si="129"/>
        <v>0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2.2737367544323206E-13</v>
      </c>
      <c r="O153" s="14">
        <f>N153*VLOOKUP('Données projet'!$B$9,Paramètres!$A$1:$I$89,3,0)*VLOOKUP('Données projet'!$B$9,Paramètres!$A$1:$I$89,5,0)</f>
        <v>1.2710188457276673E-13</v>
      </c>
      <c r="P153" s="14">
        <f t="shared" si="141"/>
        <v>1.856866851063998E-12</v>
      </c>
      <c r="Q153" s="22">
        <f t="shared" si="108"/>
        <v>3.4554122145673649E-12</v>
      </c>
      <c r="R153" s="62">
        <f t="shared" si="109"/>
        <v>293.33333333333678</v>
      </c>
      <c r="S153" s="62">
        <f ca="1">AVERAGE(OFFSET($R$3,0,0,'Données projet'!$E$9+1,1))-AVERAGE(OFFSET($H$3,0,0,'Données projet'!$E$9+1,1))</f>
        <v>323.98185264074681</v>
      </c>
      <c r="T153" s="62">
        <f t="shared" si="142"/>
        <v>301.22207291854005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0.41443647217454177</v>
      </c>
      <c r="AA153" s="23">
        <f>EXP(-LN(2)/25)*AA152+(1-EXP(-LN(2)/25))/(LN(2)/25)*Calculateur!V153*Calculateur!X153*VLOOKUP('Données projet'!$B$9,Paramètres!$A$1:$I$89,3,0)*0.475*44/12</f>
        <v>0.29605186033994529</v>
      </c>
      <c r="AB153" s="23">
        <f>EXP(-LN(2)/2)*AB152+(1-EXP(-LN(2)/2))/(LN(2)/2)*V153*Y153*VLOOKUP('Données projet'!$B$9,Paramètres!$A$1:$I$89,3,0)*0.475*44/12</f>
        <v>5.2803310158517676E-18</v>
      </c>
      <c r="AC153" s="24">
        <f t="shared" si="111"/>
        <v>0.71048833251448706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-2.8421709430404007E-13</v>
      </c>
      <c r="AJ153" s="14">
        <f>AI153*VLOOKUP('Données projet'!$B$10,Paramètres!$A$1:$I$89,3,0)*VLOOKUP('Données projet'!$B$10,Paramètres!$A$1:$I$89,5,0)</f>
        <v>-1.69961822393816E-13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289.12367833861299</v>
      </c>
      <c r="AO153" s="62">
        <f t="shared" si="144"/>
        <v>229.06617320689003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3.5968060804274309E-18</v>
      </c>
      <c r="AX153" s="23">
        <f t="shared" si="114"/>
        <v>3.5968060804274309E-18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>
        <f>BD153*VLOOKUP('Données projet'!$B$11,Paramètres!$A$1:$I$89,3,0)*VLOOKUP('Données projet'!$B$11,Paramètres!$A$1:$I$89,5,0)</f>
        <v>0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240.22884864766218</v>
      </c>
      <c r="BJ153" s="62">
        <f t="shared" si="146"/>
        <v>343.23776884143166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0.3695748176407021</v>
      </c>
      <c r="BR153" s="23">
        <f>EXP(-LN(2)/2)*BR152+(1-EXP(-LN(2)/2))/(LN(2)/2)*BL153*BO153*VLOOKUP('Données projet'!$B$11,Paramètres!$A$1:$I$89,3,0)*0.475*44/12</f>
        <v>1.432779232150745E-17</v>
      </c>
      <c r="BS153" s="24">
        <f t="shared" si="117"/>
        <v>0.3695748176407021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>
        <f>VLOOKUP(A153,'Données projet'!$A$113:$I$133,2,0)</f>
        <v>293</v>
      </c>
      <c r="BW153" s="13">
        <f>VLOOKUP(A153,'Données projet'!$A$113:$I$133,9,0)</f>
        <v>2.4</v>
      </c>
      <c r="BX153" s="13">
        <f t="array" ref="BX153">INDEX(BW:BW,MIN(IF(ISNUMBER(BW153:BW349),ROW(BW153:BW349),"")))</f>
        <v>2.4</v>
      </c>
      <c r="BY153" s="13">
        <f>IF('Données projet'!$A$114&gt;35,BY152+BX153-CG152,IF(A153&lt;'Données projet'!$A$114,$BV$205^A153,IF(A153='Données projet'!$A$114,'Données projet'!$B$114,BY152+BX153-CG152)))</f>
        <v>292.99999999999903</v>
      </c>
      <c r="BZ153" s="14">
        <f>BY153*VLOOKUP('Données projet'!$B$12,Paramètres!$A$1:$I$89,3,0)*VLOOKUP('Données projet'!$B$12,Paramètres!$A$1:$I$89,5,0)</f>
        <v>265.1063999999991</v>
      </c>
      <c r="CA153" s="14">
        <f t="shared" si="147"/>
        <v>63.809620899125136</v>
      </c>
      <c r="CB153" s="22">
        <f t="shared" si="118"/>
        <v>572.86206973264132</v>
      </c>
      <c r="CC153" s="62">
        <f t="shared" si="119"/>
        <v>866.19540306597469</v>
      </c>
      <c r="CD153" s="62">
        <f ca="1">AVERAGE(OFFSET($CC$3,0,0,'Données projet'!$E$12+1,1))-AVERAGE(OFFSET($H$3,0,0,'Données projet'!$E$12+1,1))</f>
        <v>428.8489304403459</v>
      </c>
      <c r="CE153" s="62">
        <f t="shared" si="148"/>
        <v>247.01165577562966</v>
      </c>
      <c r="CF153" s="16">
        <f>IF(ISNA(VLOOKUP(A153,'Données projet'!$A$113:$I$133,3,0)),0,VLOOKUP(A153,'Données projet'!$A$113:$I$133,3,0))</f>
        <v>13</v>
      </c>
      <c r="CG153" s="16">
        <f>IF(ISNA(VLOOKUP(A153,'Données projet'!$A$113:$I$133,4,0)),0,VLOOKUP(A153,'Données projet'!$A$113:$I$133,4,0))</f>
        <v>293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-1.7053025658242404E-13</v>
      </c>
      <c r="CU153" s="18">
        <f>CT153*VLOOKUP('Données projet'!$B$13,Paramètres!$A$1:$I$89,3,0)*VLOOKUP('Données projet'!$B$13,Paramètres!$A$1:$I$89,5,0)</f>
        <v>-1.3567387213697657E-13</v>
      </c>
      <c r="CV153" s="14" t="e">
        <f t="shared" si="149"/>
        <v>#NUM!</v>
      </c>
      <c r="CW153" s="22" t="e">
        <f t="shared" si="121"/>
        <v>#NUM!</v>
      </c>
      <c r="CX153" s="62" t="e">
        <f t="shared" si="122"/>
        <v>#NUM!</v>
      </c>
      <c r="CY153" s="62">
        <f ca="1">AVERAGE(OFFSET($CX$3,0,0,'Données projet'!$E$13+1,1))-AVERAGE(OFFSET($H$3,0,0,'Données projet'!$E$13+1,1))</f>
        <v>312.53381881960331</v>
      </c>
      <c r="CZ153" s="62">
        <f t="shared" si="150"/>
        <v>342.06887933351783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-1.7053025658242404E-13</v>
      </c>
      <c r="DP153" s="18">
        <f>DO153*VLOOKUP('Données projet'!$B$14,Paramètres!$A$1:$I$89,3,0)*VLOOKUP('Données projet'!$B$14,Paramètres!$A$1:$I$89,5,0)</f>
        <v>-1.250327841262333E-13</v>
      </c>
      <c r="DQ153" s="14" t="e">
        <f t="shared" si="151"/>
        <v>#NUM!</v>
      </c>
      <c r="DR153" s="22" t="e">
        <f t="shared" si="124"/>
        <v>#NUM!</v>
      </c>
      <c r="DS153" s="62" t="e">
        <f t="shared" si="125"/>
        <v>#NUM!</v>
      </c>
      <c r="DT153" s="62">
        <f ca="1">AVERAGE(OFFSET($DS$3,0,0,'Données projet'!$E$14+1,1))-AVERAGE(OFFSET($H$3,0,0,'Données projet'!$E$14+1,1))</f>
        <v>290.85271051443431</v>
      </c>
      <c r="DU153" s="62">
        <f t="shared" si="152"/>
        <v>318.66958823451142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0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>
        <f>VLOOKUP(A153,'Données projet'!$A$191:$I$211,2,0)</f>
        <v>377</v>
      </c>
      <c r="EH153" s="13">
        <f>VLOOKUP(A153,'Données projet'!$A$191:$I$211,9,0)</f>
        <v>3.1</v>
      </c>
      <c r="EI153" s="13">
        <f t="array" ref="EI153">INDEX(EH:EH,MIN(IF(ISNUMBER(EH153:EH349),ROW(EH153:EH349),"")))</f>
        <v>3.1</v>
      </c>
      <c r="EJ153" s="13">
        <f>IF('Données projet'!$A$192&gt;35,EJ152+EI153-ER152,IF(A153&lt;'Données projet'!$A$192,$EG$205^A153,IF(A153='Données projet'!$A$192,'Données projet'!$B$192,EJ152+EI153-ER152)))</f>
        <v>377.00000000000034</v>
      </c>
      <c r="EK153" s="18">
        <f>EJ153*VLOOKUP('Données projet'!$B$15,Paramètres!$A$1:$I$89,3,0)*VLOOKUP('Données projet'!$B$15,Paramètres!$A$1:$I$89,5,0)</f>
        <v>323.46600000000029</v>
      </c>
      <c r="EL153" s="14">
        <f t="shared" si="153"/>
        <v>76.074069581431218</v>
      </c>
      <c r="EM153" s="22">
        <f t="shared" si="127"/>
        <v>695.86562118765994</v>
      </c>
      <c r="EN153" s="62">
        <f t="shared" si="128"/>
        <v>989.19895452099331</v>
      </c>
      <c r="EO153" s="62">
        <f ca="1">AVERAGE(OFFSET($EN$3,0,0,'Données projet'!$E$15+1,1))-AVERAGE(OFFSET($H$3,0,0,'Données projet'!$E$15+1,1))</f>
        <v>438.65317358403996</v>
      </c>
      <c r="EP153" s="62">
        <f t="shared" si="154"/>
        <v>176.81257896138806</v>
      </c>
      <c r="EQ153" s="16">
        <f>IF(ISNA(VLOOKUP(A153,'Données projet'!$A$191:$I$211,3,0)),0,VLOOKUP(A153,'Données projet'!$A$191:$I$211,3,0))</f>
        <v>13</v>
      </c>
      <c r="ER153" s="16">
        <f>IF(ISNA(VLOOKUP(A153,'Données projet'!$A$191:$I$211,4,0)),0,VLOOKUP(A153,'Données projet'!$A$191:$I$211,4,0))</f>
        <v>377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0</v>
      </c>
      <c r="EW153" s="23">
        <f>EXP(-LN(2)/25)*EW152+(1-EXP(-LN(2)/25))/(LN(2)/25)*Calculateur!ER153*Calculateur!ET153*VLOOKUP('Données projet'!$B$15,Paramètres!$A$1:$I$89,3,0)*0.475*44/12</f>
        <v>0</v>
      </c>
      <c r="EX153" s="23">
        <f>EXP(-LN(2)/2)*EX152+(1-EXP(-LN(2)/2))/(LN(2)/2)*ER153*EU153*VLOOKUP('Données projet'!$B$15,Paramètres!$A$1:$I$89,3,0)*0.475*44/12</f>
        <v>0</v>
      </c>
      <c r="EY153" s="24">
        <f t="shared" si="129"/>
        <v>0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2.2737367544323206E-13</v>
      </c>
      <c r="O154" s="14">
        <f>N154*VLOOKUP('Données projet'!$B$9,Paramètres!$A$1:$I$89,3,0)*VLOOKUP('Données projet'!$B$9,Paramètres!$A$1:$I$89,5,0)</f>
        <v>1.2710188457276673E-13</v>
      </c>
      <c r="P154" s="14">
        <f t="shared" si="141"/>
        <v>1.856866851063998E-12</v>
      </c>
      <c r="Q154" s="22">
        <f t="shared" ref="Q154:Q203" si="162">(O154+P154)*0.475*44/12</f>
        <v>3.4554122145673649E-12</v>
      </c>
      <c r="R154" s="62">
        <f t="shared" si="109"/>
        <v>293.33333333333678</v>
      </c>
      <c r="S154" s="62">
        <f ca="1">AVERAGE(OFFSET($R$3,0,0,'Données projet'!$E$9+1,1))-AVERAGE(OFFSET($H$3,0,0,'Données projet'!$E$9+1,1))</f>
        <v>323.98185264074681</v>
      </c>
      <c r="T154" s="62">
        <f t="shared" si="142"/>
        <v>301.22207291854005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0.40630962573648693</v>
      </c>
      <c r="AA154" s="23">
        <f>EXP(-LN(2)/25)*AA153+(1-EXP(-LN(2)/25))/(LN(2)/25)*Calculateur!V154*Calculateur!X154*VLOOKUP('Données projet'!$B$9,Paramètres!$A$1:$I$89,3,0)*0.475*44/12</f>
        <v>0.28795630665025879</v>
      </c>
      <c r="AB154" s="23">
        <f>EXP(-LN(2)/2)*AB153+(1-EXP(-LN(2)/2))/(LN(2)/2)*V154*Y154*VLOOKUP('Données projet'!$B$9,Paramètres!$A$1:$I$89,3,0)*0.475*44/12</f>
        <v>3.733757868218436E-18</v>
      </c>
      <c r="AC154" s="24">
        <f t="shared" ref="AC154:AC203" si="163">SUM(Z154:AB154)</f>
        <v>0.69426593238674572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-2.8421709430404007E-13</v>
      </c>
      <c r="AJ154" s="14">
        <f>AI154*VLOOKUP('Données projet'!$B$10,Paramètres!$A$1:$I$89,3,0)*VLOOKUP('Données projet'!$B$10,Paramètres!$A$1:$I$89,5,0)</f>
        <v>-1.69961822393816E-13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289.12367833861299</v>
      </c>
      <c r="AO154" s="62">
        <f t="shared" si="144"/>
        <v>229.06617320689003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2.5433259700832431E-18</v>
      </c>
      <c r="AX154" s="23">
        <f t="shared" ref="AX154:AX203" si="166">SUM(AU154:AW154)</f>
        <v>2.5433259700832431E-18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>
        <f>BD154*VLOOKUP('Données projet'!$B$11,Paramètres!$A$1:$I$89,3,0)*VLOOKUP('Données projet'!$B$11,Paramètres!$A$1:$I$89,5,0)</f>
        <v>0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240.22884864766218</v>
      </c>
      <c r="BJ154" s="62">
        <f t="shared" si="146"/>
        <v>343.23776884143166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0.35946877481722211</v>
      </c>
      <c r="BR154" s="23">
        <f>EXP(-LN(2)/2)*BR153+(1-EXP(-LN(2)/2))/(LN(2)/2)*BL154*BO154*VLOOKUP('Données projet'!$B$11,Paramètres!$A$1:$I$89,3,0)*0.475*44/12</f>
        <v>1.0131279109970465E-17</v>
      </c>
      <c r="BS154" s="24">
        <f t="shared" ref="BS154:BS203" si="169">SUM(BP154:BR154)</f>
        <v>0.35946877481722211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-9.6633812063373625E-13</v>
      </c>
      <c r="BZ154" s="14">
        <f>BY154*VLOOKUP('Données projet'!$B$12,Paramètres!$A$1:$I$89,3,0)*VLOOKUP('Données projet'!$B$12,Paramètres!$A$1:$I$89,5,0)</f>
        <v>-8.7434273154940449E-13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428.8489304403459</v>
      </c>
      <c r="CE154" s="62">
        <f t="shared" si="148"/>
        <v>247.01165577562966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-1.7053025658242404E-13</v>
      </c>
      <c r="CU154" s="18">
        <f>CT154*VLOOKUP('Données projet'!$B$13,Paramètres!$A$1:$I$89,3,0)*VLOOKUP('Données projet'!$B$13,Paramètres!$A$1:$I$89,5,0)</f>
        <v>-1.3567387213697657E-13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2" t="e">
        <f t="shared" si="122"/>
        <v>#NUM!</v>
      </c>
      <c r="CY154" s="62">
        <f ca="1">AVERAGE(OFFSET($CX$3,0,0,'Données projet'!$E$13+1,1))-AVERAGE(OFFSET($H$3,0,0,'Données projet'!$E$13+1,1))</f>
        <v>312.53381881960331</v>
      </c>
      <c r="CZ154" s="62">
        <f t="shared" si="150"/>
        <v>342.06887933351783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-1.7053025658242404E-13</v>
      </c>
      <c r="DP154" s="18">
        <f>DO154*VLOOKUP('Données projet'!$B$14,Paramètres!$A$1:$I$89,3,0)*VLOOKUP('Données projet'!$B$14,Paramètres!$A$1:$I$89,5,0)</f>
        <v>-1.250327841262333E-13</v>
      </c>
      <c r="DQ154" s="14" t="e">
        <f t="shared" ref="DQ154:DQ203" si="176">EXP(-1.0587+0.8836*LN(DP154)+0.284)</f>
        <v>#NUM!</v>
      </c>
      <c r="DR154" s="22" t="e">
        <f t="shared" ref="DR154:DR203" si="177">(DP154+DQ154)*0.475*44/12</f>
        <v>#NUM!</v>
      </c>
      <c r="DS154" s="62" t="e">
        <f t="shared" si="125"/>
        <v>#NUM!</v>
      </c>
      <c r="DT154" s="62">
        <f ca="1">AVERAGE(OFFSET($DS$3,0,0,'Données projet'!$E$14+1,1))-AVERAGE(OFFSET($H$3,0,0,'Données projet'!$E$14+1,1))</f>
        <v>290.85271051443431</v>
      </c>
      <c r="DU154" s="62">
        <f t="shared" si="152"/>
        <v>318.66958823451142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0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3.4106051316484809E-13</v>
      </c>
      <c r="EK154" s="18">
        <f>EJ154*VLOOKUP('Données projet'!$B$15,Paramètres!$A$1:$I$89,3,0)*VLOOKUP('Données projet'!$B$15,Paramètres!$A$1:$I$89,5,0)</f>
        <v>2.9262992029543969E-13</v>
      </c>
      <c r="EL154" s="14">
        <f t="shared" ref="EL154:EL203" si="179">EXP(-1.0587+0.8836*LN(EK154)+0.284)</f>
        <v>3.8796387982050903E-12</v>
      </c>
      <c r="EM154" s="22">
        <f t="shared" ref="EM154:EM203" si="180">(EK154+EL154)*0.475*44/12</f>
        <v>7.2667013513884219E-12</v>
      </c>
      <c r="EN154" s="62">
        <f t="shared" si="128"/>
        <v>293.33333333334059</v>
      </c>
      <c r="EO154" s="62">
        <f ca="1">AVERAGE(OFFSET($EN$3,0,0,'Données projet'!$E$15+1,1))-AVERAGE(OFFSET($H$3,0,0,'Données projet'!$E$15+1,1))</f>
        <v>438.65317358403996</v>
      </c>
      <c r="EP154" s="62">
        <f t="shared" si="154"/>
        <v>176.81257896138806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0</v>
      </c>
      <c r="EW154" s="23">
        <f>EXP(-LN(2)/25)*EW153+(1-EXP(-LN(2)/25))/(LN(2)/25)*Calculateur!ER154*Calculateur!ET154*VLOOKUP('Données projet'!$B$15,Paramètres!$A$1:$I$89,3,0)*0.475*44/12</f>
        <v>0</v>
      </c>
      <c r="EX154" s="23">
        <f>EXP(-LN(2)/2)*EX153+(1-EXP(-LN(2)/2))/(LN(2)/2)*ER154*EU154*VLOOKUP('Données projet'!$B$15,Paramètres!$A$1:$I$89,3,0)*0.475*44/12</f>
        <v>0</v>
      </c>
      <c r="EY154" s="24">
        <f t="shared" ref="EY154:EY203" si="181">SUM(EV154:EX154)</f>
        <v>0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2.2737367544323206E-13</v>
      </c>
      <c r="O155" s="14">
        <f>N155*VLOOKUP('Données projet'!$B$9,Paramètres!$A$1:$I$89,3,0)*VLOOKUP('Données projet'!$B$9,Paramètres!$A$1:$I$89,5,0)</f>
        <v>1.2710188457276673E-13</v>
      </c>
      <c r="P155" s="14">
        <f t="shared" si="141"/>
        <v>1.856866851063998E-12</v>
      </c>
      <c r="Q155" s="22">
        <f t="shared" si="162"/>
        <v>3.4554122145673649E-12</v>
      </c>
      <c r="R155" s="62">
        <f t="shared" si="109"/>
        <v>293.33333333333678</v>
      </c>
      <c r="S155" s="62">
        <f ca="1">AVERAGE(OFFSET($R$3,0,0,'Données projet'!$E$9+1,1))-AVERAGE(OFFSET($H$3,0,0,'Données projet'!$E$9+1,1))</f>
        <v>323.98185264074681</v>
      </c>
      <c r="T155" s="62">
        <f t="shared" si="142"/>
        <v>301.22207291854005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0.3983421418001955</v>
      </c>
      <c r="AA155" s="23">
        <f>EXP(-LN(2)/25)*AA154+(1-EXP(-LN(2)/25))/(LN(2)/25)*Calculateur!V155*Calculateur!X155*VLOOKUP('Données projet'!$B$9,Paramètres!$A$1:$I$89,3,0)*0.475*44/12</f>
        <v>0.2800821263019434</v>
      </c>
      <c r="AB155" s="23">
        <f>EXP(-LN(2)/2)*AB154+(1-EXP(-LN(2)/2))/(LN(2)/2)*V155*Y155*VLOOKUP('Données projet'!$B$9,Paramètres!$A$1:$I$89,3,0)*0.475*44/12</f>
        <v>2.6401655079258838E-18</v>
      </c>
      <c r="AC155" s="24">
        <f t="shared" si="163"/>
        <v>0.67842426810213885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-2.8421709430404007E-13</v>
      </c>
      <c r="AJ155" s="14">
        <f>AI155*VLOOKUP('Données projet'!$B$10,Paramètres!$A$1:$I$89,3,0)*VLOOKUP('Données projet'!$B$10,Paramètres!$A$1:$I$89,5,0)</f>
        <v>-1.69961822393816E-13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289.12367833861299</v>
      </c>
      <c r="AO155" s="62">
        <f t="shared" si="144"/>
        <v>229.06617320689003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1.7984030402137154E-18</v>
      </c>
      <c r="AX155" s="23">
        <f t="shared" si="166"/>
        <v>1.7984030402137154E-18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>
        <f>BD155*VLOOKUP('Données projet'!$B$11,Paramètres!$A$1:$I$89,3,0)*VLOOKUP('Données projet'!$B$11,Paramètres!$A$1:$I$89,5,0)</f>
        <v>0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240.22884864766218</v>
      </c>
      <c r="BJ155" s="62">
        <f t="shared" si="146"/>
        <v>343.23776884143166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0.34963908226620388</v>
      </c>
      <c r="BR155" s="23">
        <f>EXP(-LN(2)/2)*BR154+(1-EXP(-LN(2)/2))/(LN(2)/2)*BL155*BO155*VLOOKUP('Données projet'!$B$11,Paramètres!$A$1:$I$89,3,0)*0.475*44/12</f>
        <v>7.1638961607537252E-18</v>
      </c>
      <c r="BS155" s="24">
        <f t="shared" si="169"/>
        <v>0.34963908226620388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-9.6633812063373625E-13</v>
      </c>
      <c r="BZ155" s="14">
        <f>BY155*VLOOKUP('Données projet'!$B$12,Paramètres!$A$1:$I$89,3,0)*VLOOKUP('Données projet'!$B$12,Paramètres!$A$1:$I$89,5,0)</f>
        <v>-8.7434273154940449E-13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428.8489304403459</v>
      </c>
      <c r="CE155" s="62">
        <f t="shared" si="148"/>
        <v>247.01165577562966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-1.7053025658242404E-13</v>
      </c>
      <c r="CU155" s="18">
        <f>CT155*VLOOKUP('Données projet'!$B$13,Paramètres!$A$1:$I$89,3,0)*VLOOKUP('Données projet'!$B$13,Paramètres!$A$1:$I$89,5,0)</f>
        <v>-1.3567387213697657E-13</v>
      </c>
      <c r="CV155" s="14" t="e">
        <f t="shared" si="173"/>
        <v>#NUM!</v>
      </c>
      <c r="CW155" s="22" t="e">
        <f t="shared" si="174"/>
        <v>#NUM!</v>
      </c>
      <c r="CX155" s="62" t="e">
        <f t="shared" si="122"/>
        <v>#NUM!</v>
      </c>
      <c r="CY155" s="62">
        <f ca="1">AVERAGE(OFFSET($CX$3,0,0,'Données projet'!$E$13+1,1))-AVERAGE(OFFSET($H$3,0,0,'Données projet'!$E$13+1,1))</f>
        <v>312.53381881960331</v>
      </c>
      <c r="CZ155" s="62">
        <f t="shared" si="150"/>
        <v>342.06887933351783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-1.7053025658242404E-13</v>
      </c>
      <c r="DP155" s="18">
        <f>DO155*VLOOKUP('Données projet'!$B$14,Paramètres!$A$1:$I$89,3,0)*VLOOKUP('Données projet'!$B$14,Paramètres!$A$1:$I$89,5,0)</f>
        <v>-1.250327841262333E-13</v>
      </c>
      <c r="DQ155" s="14" t="e">
        <f t="shared" si="176"/>
        <v>#NUM!</v>
      </c>
      <c r="DR155" s="22" t="e">
        <f t="shared" si="177"/>
        <v>#NUM!</v>
      </c>
      <c r="DS155" s="62" t="e">
        <f t="shared" si="125"/>
        <v>#NUM!</v>
      </c>
      <c r="DT155" s="62">
        <f ca="1">AVERAGE(OFFSET($DS$3,0,0,'Données projet'!$E$14+1,1))-AVERAGE(OFFSET($H$3,0,0,'Données projet'!$E$14+1,1))</f>
        <v>290.85271051443431</v>
      </c>
      <c r="DU155" s="62">
        <f t="shared" si="152"/>
        <v>318.66958823451142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0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3.4106051316484809E-13</v>
      </c>
      <c r="EK155" s="18">
        <f>EJ155*VLOOKUP('Données projet'!$B$15,Paramètres!$A$1:$I$89,3,0)*VLOOKUP('Données projet'!$B$15,Paramètres!$A$1:$I$89,5,0)</f>
        <v>2.9262992029543969E-13</v>
      </c>
      <c r="EL155" s="14">
        <f t="shared" si="179"/>
        <v>3.8796387982050903E-12</v>
      </c>
      <c r="EM155" s="22">
        <f t="shared" si="180"/>
        <v>7.2667013513884219E-12</v>
      </c>
      <c r="EN155" s="62">
        <f t="shared" si="128"/>
        <v>293.33333333334059</v>
      </c>
      <c r="EO155" s="62">
        <f ca="1">AVERAGE(OFFSET($EN$3,0,0,'Données projet'!$E$15+1,1))-AVERAGE(OFFSET($H$3,0,0,'Données projet'!$E$15+1,1))</f>
        <v>438.65317358403996</v>
      </c>
      <c r="EP155" s="62">
        <f t="shared" si="154"/>
        <v>176.81257896138806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0</v>
      </c>
      <c r="EW155" s="23">
        <f>EXP(-LN(2)/25)*EW154+(1-EXP(-LN(2)/25))/(LN(2)/25)*Calculateur!ER155*Calculateur!ET155*VLOOKUP('Données projet'!$B$15,Paramètres!$A$1:$I$89,3,0)*0.475*44/12</f>
        <v>0</v>
      </c>
      <c r="EX155" s="23">
        <f>EXP(-LN(2)/2)*EX154+(1-EXP(-LN(2)/2))/(LN(2)/2)*ER155*EU155*VLOOKUP('Données projet'!$B$15,Paramètres!$A$1:$I$89,3,0)*0.475*44/12</f>
        <v>0</v>
      </c>
      <c r="EY155" s="24">
        <f t="shared" si="181"/>
        <v>0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2.2737367544323206E-13</v>
      </c>
      <c r="O156" s="14">
        <f>N156*VLOOKUP('Données projet'!$B$9,Paramètres!$A$1:$I$89,3,0)*VLOOKUP('Données projet'!$B$9,Paramètres!$A$1:$I$89,5,0)</f>
        <v>1.2710188457276673E-13</v>
      </c>
      <c r="P156" s="14">
        <f t="shared" si="141"/>
        <v>1.856866851063998E-12</v>
      </c>
      <c r="Q156" s="22">
        <f t="shared" si="162"/>
        <v>3.4554122145673649E-12</v>
      </c>
      <c r="R156" s="62">
        <f t="shared" si="109"/>
        <v>293.33333333333678</v>
      </c>
      <c r="S156" s="62">
        <f ca="1">AVERAGE(OFFSET($R$3,0,0,'Données projet'!$E$9+1,1))-AVERAGE(OFFSET($H$3,0,0,'Données projet'!$E$9+1,1))</f>
        <v>323.98185264074681</v>
      </c>
      <c r="T156" s="62">
        <f t="shared" si="142"/>
        <v>301.22207291854005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0.39053089536420937</v>
      </c>
      <c r="AA156" s="23">
        <f>EXP(-LN(2)/25)*AA155+(1-EXP(-LN(2)/25))/(LN(2)/25)*Calculateur!V156*Calculateur!X156*VLOOKUP('Données projet'!$B$9,Paramètres!$A$1:$I$89,3,0)*0.475*44/12</f>
        <v>0.27242326582933785</v>
      </c>
      <c r="AB156" s="23">
        <f>EXP(-LN(2)/2)*AB155+(1-EXP(-LN(2)/2))/(LN(2)/2)*V156*Y156*VLOOKUP('Données projet'!$B$9,Paramètres!$A$1:$I$89,3,0)*0.475*44/12</f>
        <v>1.866878934109218E-18</v>
      </c>
      <c r="AC156" s="24">
        <f t="shared" si="163"/>
        <v>0.66295416119354722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-2.8421709430404007E-13</v>
      </c>
      <c r="AJ156" s="14">
        <f>AI156*VLOOKUP('Données projet'!$B$10,Paramètres!$A$1:$I$89,3,0)*VLOOKUP('Données projet'!$B$10,Paramètres!$A$1:$I$89,5,0)</f>
        <v>-1.69961822393816E-13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289.12367833861299</v>
      </c>
      <c r="AO156" s="62">
        <f t="shared" si="144"/>
        <v>229.06617320689003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1.2716629850416215E-18</v>
      </c>
      <c r="AX156" s="23">
        <f t="shared" si="166"/>
        <v>1.2716629850416215E-18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>
        <f>BD156*VLOOKUP('Données projet'!$B$11,Paramètres!$A$1:$I$89,3,0)*VLOOKUP('Données projet'!$B$11,Paramètres!$A$1:$I$89,5,0)</f>
        <v>0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240.22884864766218</v>
      </c>
      <c r="BJ156" s="62">
        <f t="shared" si="146"/>
        <v>343.23776884143166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0.34007818317491434</v>
      </c>
      <c r="BR156" s="23">
        <f>EXP(-LN(2)/2)*BR155+(1-EXP(-LN(2)/2))/(LN(2)/2)*BL156*BO156*VLOOKUP('Données projet'!$B$11,Paramètres!$A$1:$I$89,3,0)*0.475*44/12</f>
        <v>5.0656395549852323E-18</v>
      </c>
      <c r="BS156" s="24">
        <f t="shared" si="169"/>
        <v>0.34007818317491434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-9.6633812063373625E-13</v>
      </c>
      <c r="BZ156" s="14">
        <f>BY156*VLOOKUP('Données projet'!$B$12,Paramètres!$A$1:$I$89,3,0)*VLOOKUP('Données projet'!$B$12,Paramètres!$A$1:$I$89,5,0)</f>
        <v>-8.7434273154940449E-13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428.8489304403459</v>
      </c>
      <c r="CE156" s="62">
        <f t="shared" si="148"/>
        <v>247.01165577562966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-1.7053025658242404E-13</v>
      </c>
      <c r="CU156" s="18">
        <f>CT156*VLOOKUP('Données projet'!$B$13,Paramètres!$A$1:$I$89,3,0)*VLOOKUP('Données projet'!$B$13,Paramètres!$A$1:$I$89,5,0)</f>
        <v>-1.3567387213697657E-13</v>
      </c>
      <c r="CV156" s="14" t="e">
        <f t="shared" si="173"/>
        <v>#NUM!</v>
      </c>
      <c r="CW156" s="22" t="e">
        <f t="shared" si="174"/>
        <v>#NUM!</v>
      </c>
      <c r="CX156" s="62" t="e">
        <f t="shared" si="122"/>
        <v>#NUM!</v>
      </c>
      <c r="CY156" s="62">
        <f ca="1">AVERAGE(OFFSET($CX$3,0,0,'Données projet'!$E$13+1,1))-AVERAGE(OFFSET($H$3,0,0,'Données projet'!$E$13+1,1))</f>
        <v>312.53381881960331</v>
      </c>
      <c r="CZ156" s="62">
        <f t="shared" si="150"/>
        <v>342.06887933351783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-1.7053025658242404E-13</v>
      </c>
      <c r="DP156" s="18">
        <f>DO156*VLOOKUP('Données projet'!$B$14,Paramètres!$A$1:$I$89,3,0)*VLOOKUP('Données projet'!$B$14,Paramètres!$A$1:$I$89,5,0)</f>
        <v>-1.250327841262333E-13</v>
      </c>
      <c r="DQ156" s="14" t="e">
        <f t="shared" si="176"/>
        <v>#NUM!</v>
      </c>
      <c r="DR156" s="22" t="e">
        <f t="shared" si="177"/>
        <v>#NUM!</v>
      </c>
      <c r="DS156" s="62" t="e">
        <f t="shared" si="125"/>
        <v>#NUM!</v>
      </c>
      <c r="DT156" s="62">
        <f ca="1">AVERAGE(OFFSET($DS$3,0,0,'Données projet'!$E$14+1,1))-AVERAGE(OFFSET($H$3,0,0,'Données projet'!$E$14+1,1))</f>
        <v>290.85271051443431</v>
      </c>
      <c r="DU156" s="62">
        <f t="shared" si="152"/>
        <v>318.66958823451142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0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3.4106051316484809E-13</v>
      </c>
      <c r="EK156" s="18">
        <f>EJ156*VLOOKUP('Données projet'!$B$15,Paramètres!$A$1:$I$89,3,0)*VLOOKUP('Données projet'!$B$15,Paramètres!$A$1:$I$89,5,0)</f>
        <v>2.9262992029543969E-13</v>
      </c>
      <c r="EL156" s="14">
        <f t="shared" si="179"/>
        <v>3.8796387982050903E-12</v>
      </c>
      <c r="EM156" s="22">
        <f t="shared" si="180"/>
        <v>7.2667013513884219E-12</v>
      </c>
      <c r="EN156" s="62">
        <f t="shared" si="128"/>
        <v>293.33333333334059</v>
      </c>
      <c r="EO156" s="62">
        <f ca="1">AVERAGE(OFFSET($EN$3,0,0,'Données projet'!$E$15+1,1))-AVERAGE(OFFSET($H$3,0,0,'Données projet'!$E$15+1,1))</f>
        <v>438.65317358403996</v>
      </c>
      <c r="EP156" s="62">
        <f t="shared" si="154"/>
        <v>176.81257896138806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0</v>
      </c>
      <c r="EW156" s="23">
        <f>EXP(-LN(2)/25)*EW155+(1-EXP(-LN(2)/25))/(LN(2)/25)*Calculateur!ER156*Calculateur!ET156*VLOOKUP('Données projet'!$B$15,Paramètres!$A$1:$I$89,3,0)*0.475*44/12</f>
        <v>0</v>
      </c>
      <c r="EX156" s="23">
        <f>EXP(-LN(2)/2)*EX155+(1-EXP(-LN(2)/2))/(LN(2)/2)*ER156*EU156*VLOOKUP('Données projet'!$B$15,Paramètres!$A$1:$I$89,3,0)*0.475*44/12</f>
        <v>0</v>
      </c>
      <c r="EY156" s="24">
        <f t="shared" si="181"/>
        <v>0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2.2737367544323206E-13</v>
      </c>
      <c r="O157" s="14">
        <f>N157*VLOOKUP('Données projet'!$B$9,Paramètres!$A$1:$I$89,3,0)*VLOOKUP('Données projet'!$B$9,Paramètres!$A$1:$I$89,5,0)</f>
        <v>1.2710188457276673E-13</v>
      </c>
      <c r="P157" s="14">
        <f t="shared" si="141"/>
        <v>1.856866851063998E-12</v>
      </c>
      <c r="Q157" s="22">
        <f t="shared" si="162"/>
        <v>3.4554122145673649E-12</v>
      </c>
      <c r="R157" s="62">
        <f t="shared" si="109"/>
        <v>293.33333333333678</v>
      </c>
      <c r="S157" s="62">
        <f ca="1">AVERAGE(OFFSET($R$3,0,0,'Données projet'!$E$9+1,1))-AVERAGE(OFFSET($H$3,0,0,'Données projet'!$E$9+1,1))</f>
        <v>323.98185264074681</v>
      </c>
      <c r="T157" s="62">
        <f t="shared" si="142"/>
        <v>301.22207291854005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0.38287282270644307</v>
      </c>
      <c r="AA157" s="23">
        <f>EXP(-LN(2)/25)*AA156+(1-EXP(-LN(2)/25))/(LN(2)/25)*Calculateur!V157*Calculateur!X157*VLOOKUP('Données projet'!$B$9,Paramètres!$A$1:$I$89,3,0)*0.475*44/12</f>
        <v>0.26497383729911766</v>
      </c>
      <c r="AB157" s="23">
        <f>EXP(-LN(2)/2)*AB156+(1-EXP(-LN(2)/2))/(LN(2)/2)*V157*Y157*VLOOKUP('Données projet'!$B$9,Paramètres!$A$1:$I$89,3,0)*0.475*44/12</f>
        <v>1.3200827539629419E-18</v>
      </c>
      <c r="AC157" s="24">
        <f t="shared" si="163"/>
        <v>0.64784666000556079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-2.8421709430404007E-13</v>
      </c>
      <c r="AJ157" s="14">
        <f>AI157*VLOOKUP('Données projet'!$B$10,Paramètres!$A$1:$I$89,3,0)*VLOOKUP('Données projet'!$B$10,Paramètres!$A$1:$I$89,5,0)</f>
        <v>-1.69961822393816E-13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289.12367833861299</v>
      </c>
      <c r="AO157" s="62">
        <f t="shared" si="144"/>
        <v>229.06617320689003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8.9920152010685772E-19</v>
      </c>
      <c r="AX157" s="23">
        <f t="shared" si="166"/>
        <v>8.9920152010685772E-19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>
        <f>BD157*VLOOKUP('Données projet'!$B$11,Paramètres!$A$1:$I$89,3,0)*VLOOKUP('Données projet'!$B$11,Paramètres!$A$1:$I$89,5,0)</f>
        <v>0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240.22884864766218</v>
      </c>
      <c r="BJ157" s="62">
        <f t="shared" si="146"/>
        <v>343.23776884143166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0.33077872737206193</v>
      </c>
      <c r="BR157" s="23">
        <f>EXP(-LN(2)/2)*BR156+(1-EXP(-LN(2)/2))/(LN(2)/2)*BL157*BO157*VLOOKUP('Données projet'!$B$11,Paramètres!$A$1:$I$89,3,0)*0.475*44/12</f>
        <v>3.5819480803768626E-18</v>
      </c>
      <c r="BS157" s="24">
        <f t="shared" si="169"/>
        <v>0.33077872737206193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-9.6633812063373625E-13</v>
      </c>
      <c r="BZ157" s="14">
        <f>BY157*VLOOKUP('Données projet'!$B$12,Paramètres!$A$1:$I$89,3,0)*VLOOKUP('Données projet'!$B$12,Paramètres!$A$1:$I$89,5,0)</f>
        <v>-8.7434273154940449E-13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428.8489304403459</v>
      </c>
      <c r="CE157" s="62">
        <f t="shared" si="148"/>
        <v>247.01165577562966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-1.7053025658242404E-13</v>
      </c>
      <c r="CU157" s="18">
        <f>CT157*VLOOKUP('Données projet'!$B$13,Paramètres!$A$1:$I$89,3,0)*VLOOKUP('Données projet'!$B$13,Paramètres!$A$1:$I$89,5,0)</f>
        <v>-1.3567387213697657E-13</v>
      </c>
      <c r="CV157" s="14" t="e">
        <f t="shared" si="173"/>
        <v>#NUM!</v>
      </c>
      <c r="CW157" s="22" t="e">
        <f t="shared" si="174"/>
        <v>#NUM!</v>
      </c>
      <c r="CX157" s="62" t="e">
        <f t="shared" si="122"/>
        <v>#NUM!</v>
      </c>
      <c r="CY157" s="62">
        <f ca="1">AVERAGE(OFFSET($CX$3,0,0,'Données projet'!$E$13+1,1))-AVERAGE(OFFSET($H$3,0,0,'Données projet'!$E$13+1,1))</f>
        <v>312.53381881960331</v>
      </c>
      <c r="CZ157" s="62">
        <f t="shared" si="150"/>
        <v>342.06887933351783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-1.7053025658242404E-13</v>
      </c>
      <c r="DP157" s="18">
        <f>DO157*VLOOKUP('Données projet'!$B$14,Paramètres!$A$1:$I$89,3,0)*VLOOKUP('Données projet'!$B$14,Paramètres!$A$1:$I$89,5,0)</f>
        <v>-1.250327841262333E-13</v>
      </c>
      <c r="DQ157" s="14" t="e">
        <f t="shared" si="176"/>
        <v>#NUM!</v>
      </c>
      <c r="DR157" s="22" t="e">
        <f t="shared" si="177"/>
        <v>#NUM!</v>
      </c>
      <c r="DS157" s="62" t="e">
        <f t="shared" si="125"/>
        <v>#NUM!</v>
      </c>
      <c r="DT157" s="62">
        <f ca="1">AVERAGE(OFFSET($DS$3,0,0,'Données projet'!$E$14+1,1))-AVERAGE(OFFSET($H$3,0,0,'Données projet'!$E$14+1,1))</f>
        <v>290.85271051443431</v>
      </c>
      <c r="DU157" s="62">
        <f t="shared" si="152"/>
        <v>318.66958823451142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0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3.4106051316484809E-13</v>
      </c>
      <c r="EK157" s="18">
        <f>EJ157*VLOOKUP('Données projet'!$B$15,Paramètres!$A$1:$I$89,3,0)*VLOOKUP('Données projet'!$B$15,Paramètres!$A$1:$I$89,5,0)</f>
        <v>2.9262992029543969E-13</v>
      </c>
      <c r="EL157" s="14">
        <f t="shared" si="179"/>
        <v>3.8796387982050903E-12</v>
      </c>
      <c r="EM157" s="22">
        <f t="shared" si="180"/>
        <v>7.2667013513884219E-12</v>
      </c>
      <c r="EN157" s="62">
        <f t="shared" si="128"/>
        <v>293.33333333334059</v>
      </c>
      <c r="EO157" s="62">
        <f ca="1">AVERAGE(OFFSET($EN$3,0,0,'Données projet'!$E$15+1,1))-AVERAGE(OFFSET($H$3,0,0,'Données projet'!$E$15+1,1))</f>
        <v>438.65317358403996</v>
      </c>
      <c r="EP157" s="62">
        <f t="shared" si="154"/>
        <v>176.81257896138806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0</v>
      </c>
      <c r="EW157" s="23">
        <f>EXP(-LN(2)/25)*EW156+(1-EXP(-LN(2)/25))/(LN(2)/25)*Calculateur!ER157*Calculateur!ET157*VLOOKUP('Données projet'!$B$15,Paramètres!$A$1:$I$89,3,0)*0.475*44/12</f>
        <v>0</v>
      </c>
      <c r="EX157" s="23">
        <f>EXP(-LN(2)/2)*EX156+(1-EXP(-LN(2)/2))/(LN(2)/2)*ER157*EU157*VLOOKUP('Données projet'!$B$15,Paramètres!$A$1:$I$89,3,0)*0.475*44/12</f>
        <v>0</v>
      </c>
      <c r="EY157" s="24">
        <f t="shared" si="181"/>
        <v>0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2.2737367544323206E-13</v>
      </c>
      <c r="O158" s="14">
        <f>N158*VLOOKUP('Données projet'!$B$9,Paramètres!$A$1:$I$89,3,0)*VLOOKUP('Données projet'!$B$9,Paramètres!$A$1:$I$89,5,0)</f>
        <v>1.2710188457276673E-13</v>
      </c>
      <c r="P158" s="14">
        <f t="shared" si="141"/>
        <v>1.856866851063998E-12</v>
      </c>
      <c r="Q158" s="22">
        <f t="shared" si="162"/>
        <v>3.4554122145673649E-12</v>
      </c>
      <c r="R158" s="62">
        <f t="shared" si="109"/>
        <v>293.33333333333678</v>
      </c>
      <c r="S158" s="62">
        <f ca="1">AVERAGE(OFFSET($R$3,0,0,'Données projet'!$E$9+1,1))-AVERAGE(OFFSET($H$3,0,0,'Données projet'!$E$9+1,1))</f>
        <v>323.98185264074681</v>
      </c>
      <c r="T158" s="62">
        <f t="shared" si="142"/>
        <v>301.22207291854005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0.37536492018253248</v>
      </c>
      <c r="AA158" s="23">
        <f>EXP(-LN(2)/25)*AA157+(1-EXP(-LN(2)/25))/(LN(2)/25)*Calculateur!V158*Calculateur!X158*VLOOKUP('Données projet'!$B$9,Paramètres!$A$1:$I$89,3,0)*0.475*44/12</f>
        <v>0.25772811378380478</v>
      </c>
      <c r="AB158" s="23">
        <f>EXP(-LN(2)/2)*AB157+(1-EXP(-LN(2)/2))/(LN(2)/2)*V158*Y158*VLOOKUP('Données projet'!$B$9,Paramètres!$A$1:$I$89,3,0)*0.475*44/12</f>
        <v>9.3343946705460899E-19</v>
      </c>
      <c r="AC158" s="24">
        <f t="shared" si="163"/>
        <v>0.6330930339663372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-2.8421709430404007E-13</v>
      </c>
      <c r="AJ158" s="14">
        <f>AI158*VLOOKUP('Données projet'!$B$10,Paramètres!$A$1:$I$89,3,0)*VLOOKUP('Données projet'!$B$10,Paramètres!$A$1:$I$89,5,0)</f>
        <v>-1.69961822393816E-13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289.12367833861299</v>
      </c>
      <c r="AO158" s="62">
        <f t="shared" si="144"/>
        <v>229.06617320689003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6.3583149252081077E-19</v>
      </c>
      <c r="AX158" s="23">
        <f t="shared" si="166"/>
        <v>6.3583149252081077E-19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>
        <f>BD158*VLOOKUP('Données projet'!$B$11,Paramètres!$A$1:$I$89,3,0)*VLOOKUP('Données projet'!$B$11,Paramètres!$A$1:$I$89,5,0)</f>
        <v>0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240.22884864766218</v>
      </c>
      <c r="BJ158" s="62">
        <f t="shared" si="146"/>
        <v>343.23776884143166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0.32173356567717565</v>
      </c>
      <c r="BR158" s="23">
        <f>EXP(-LN(2)/2)*BR157+(1-EXP(-LN(2)/2))/(LN(2)/2)*BL158*BO158*VLOOKUP('Données projet'!$B$11,Paramètres!$A$1:$I$89,3,0)*0.475*44/12</f>
        <v>2.5328197774926162E-18</v>
      </c>
      <c r="BS158" s="24">
        <f t="shared" si="169"/>
        <v>0.32173356567717565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-9.6633812063373625E-13</v>
      </c>
      <c r="BZ158" s="14">
        <f>BY158*VLOOKUP('Données projet'!$B$12,Paramètres!$A$1:$I$89,3,0)*VLOOKUP('Données projet'!$B$12,Paramètres!$A$1:$I$89,5,0)</f>
        <v>-8.7434273154940449E-13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428.8489304403459</v>
      </c>
      <c r="CE158" s="62">
        <f t="shared" si="148"/>
        <v>247.01165577562966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-1.7053025658242404E-13</v>
      </c>
      <c r="CU158" s="18">
        <f>CT158*VLOOKUP('Données projet'!$B$13,Paramètres!$A$1:$I$89,3,0)*VLOOKUP('Données projet'!$B$13,Paramètres!$A$1:$I$89,5,0)</f>
        <v>-1.3567387213697657E-13</v>
      </c>
      <c r="CV158" s="14" t="e">
        <f t="shared" si="173"/>
        <v>#NUM!</v>
      </c>
      <c r="CW158" s="22" t="e">
        <f t="shared" si="174"/>
        <v>#NUM!</v>
      </c>
      <c r="CX158" s="62" t="e">
        <f t="shared" si="122"/>
        <v>#NUM!</v>
      </c>
      <c r="CY158" s="62">
        <f ca="1">AVERAGE(OFFSET($CX$3,0,0,'Données projet'!$E$13+1,1))-AVERAGE(OFFSET($H$3,0,0,'Données projet'!$E$13+1,1))</f>
        <v>312.53381881960331</v>
      </c>
      <c r="CZ158" s="62">
        <f t="shared" si="150"/>
        <v>342.06887933351783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-1.7053025658242404E-13</v>
      </c>
      <c r="DP158" s="18">
        <f>DO158*VLOOKUP('Données projet'!$B$14,Paramètres!$A$1:$I$89,3,0)*VLOOKUP('Données projet'!$B$14,Paramètres!$A$1:$I$89,5,0)</f>
        <v>-1.250327841262333E-13</v>
      </c>
      <c r="DQ158" s="14" t="e">
        <f t="shared" si="176"/>
        <v>#NUM!</v>
      </c>
      <c r="DR158" s="22" t="e">
        <f t="shared" si="177"/>
        <v>#NUM!</v>
      </c>
      <c r="DS158" s="62" t="e">
        <f t="shared" si="125"/>
        <v>#NUM!</v>
      </c>
      <c r="DT158" s="62">
        <f ca="1">AVERAGE(OFFSET($DS$3,0,0,'Données projet'!$E$14+1,1))-AVERAGE(OFFSET($H$3,0,0,'Données projet'!$E$14+1,1))</f>
        <v>290.85271051443431</v>
      </c>
      <c r="DU158" s="62">
        <f t="shared" si="152"/>
        <v>318.66958823451142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0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3.4106051316484809E-13</v>
      </c>
      <c r="EK158" s="18">
        <f>EJ158*VLOOKUP('Données projet'!$B$15,Paramètres!$A$1:$I$89,3,0)*VLOOKUP('Données projet'!$B$15,Paramètres!$A$1:$I$89,5,0)</f>
        <v>2.9262992029543969E-13</v>
      </c>
      <c r="EL158" s="14">
        <f t="shared" si="179"/>
        <v>3.8796387982050903E-12</v>
      </c>
      <c r="EM158" s="22">
        <f t="shared" si="180"/>
        <v>7.2667013513884219E-12</v>
      </c>
      <c r="EN158" s="62">
        <f t="shared" si="128"/>
        <v>293.33333333334059</v>
      </c>
      <c r="EO158" s="62">
        <f ca="1">AVERAGE(OFFSET($EN$3,0,0,'Données projet'!$E$15+1,1))-AVERAGE(OFFSET($H$3,0,0,'Données projet'!$E$15+1,1))</f>
        <v>438.65317358403996</v>
      </c>
      <c r="EP158" s="62">
        <f t="shared" si="154"/>
        <v>176.81257896138806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0</v>
      </c>
      <c r="EW158" s="23">
        <f>EXP(-LN(2)/25)*EW157+(1-EXP(-LN(2)/25))/(LN(2)/25)*Calculateur!ER158*Calculateur!ET158*VLOOKUP('Données projet'!$B$15,Paramètres!$A$1:$I$89,3,0)*0.475*44/12</f>
        <v>0</v>
      </c>
      <c r="EX158" s="23">
        <f>EXP(-LN(2)/2)*EX157+(1-EXP(-LN(2)/2))/(LN(2)/2)*ER158*EU158*VLOOKUP('Données projet'!$B$15,Paramètres!$A$1:$I$89,3,0)*0.475*44/12</f>
        <v>0</v>
      </c>
      <c r="EY158" s="24">
        <f t="shared" si="181"/>
        <v>0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2.2737367544323206E-13</v>
      </c>
      <c r="O159" s="14">
        <f>N159*VLOOKUP('Données projet'!$B$9,Paramètres!$A$1:$I$89,3,0)*VLOOKUP('Données projet'!$B$9,Paramètres!$A$1:$I$89,5,0)</f>
        <v>1.2710188457276673E-13</v>
      </c>
      <c r="P159" s="14">
        <f t="shared" si="141"/>
        <v>1.856866851063998E-12</v>
      </c>
      <c r="Q159" s="22">
        <f t="shared" si="162"/>
        <v>3.4554122145673649E-12</v>
      </c>
      <c r="R159" s="62">
        <f t="shared" si="109"/>
        <v>293.33333333333678</v>
      </c>
      <c r="S159" s="62">
        <f ca="1">AVERAGE(OFFSET($R$3,0,0,'Données projet'!$E$9+1,1))-AVERAGE(OFFSET($H$3,0,0,'Données projet'!$E$9+1,1))</f>
        <v>323.98185264074681</v>
      </c>
      <c r="T159" s="62">
        <f t="shared" si="142"/>
        <v>301.22207291854005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0.36800424304774737</v>
      </c>
      <c r="AA159" s="23">
        <f>EXP(-LN(2)/25)*AA158+(1-EXP(-LN(2)/25))/(LN(2)/25)*Calculateur!V159*Calculateur!X159*VLOOKUP('Données projet'!$B$9,Paramètres!$A$1:$I$89,3,0)*0.475*44/12</f>
        <v>0.25068052495905419</v>
      </c>
      <c r="AB159" s="23">
        <f>EXP(-LN(2)/2)*AB158+(1-EXP(-LN(2)/2))/(LN(2)/2)*V159*Y159*VLOOKUP('Données projet'!$B$9,Paramètres!$A$1:$I$89,3,0)*0.475*44/12</f>
        <v>6.6004137698147095E-19</v>
      </c>
      <c r="AC159" s="24">
        <f t="shared" si="163"/>
        <v>0.6186847680068015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-2.8421709430404007E-13</v>
      </c>
      <c r="AJ159" s="14">
        <f>AI159*VLOOKUP('Données projet'!$B$10,Paramètres!$A$1:$I$89,3,0)*VLOOKUP('Données projet'!$B$10,Paramètres!$A$1:$I$89,5,0)</f>
        <v>-1.69961822393816E-13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289.12367833861299</v>
      </c>
      <c r="AO159" s="62">
        <f t="shared" si="144"/>
        <v>229.06617320689003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4.4960076005342886E-19</v>
      </c>
      <c r="AX159" s="23">
        <f t="shared" si="166"/>
        <v>4.4960076005342886E-19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>
        <f>BD159*VLOOKUP('Données projet'!$B$11,Paramètres!$A$1:$I$89,3,0)*VLOOKUP('Données projet'!$B$11,Paramètres!$A$1:$I$89,5,0)</f>
        <v>0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240.22884864766218</v>
      </c>
      <c r="BJ159" s="62">
        <f t="shared" si="146"/>
        <v>343.23776884143166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0.31293574440450039</v>
      </c>
      <c r="BR159" s="23">
        <f>EXP(-LN(2)/2)*BR158+(1-EXP(-LN(2)/2))/(LN(2)/2)*BL159*BO159*VLOOKUP('Données projet'!$B$11,Paramètres!$A$1:$I$89,3,0)*0.475*44/12</f>
        <v>1.7909740401884313E-18</v>
      </c>
      <c r="BS159" s="24">
        <f t="shared" si="169"/>
        <v>0.31293574440450039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-9.6633812063373625E-13</v>
      </c>
      <c r="BZ159" s="14">
        <f>BY159*VLOOKUP('Données projet'!$B$12,Paramètres!$A$1:$I$89,3,0)*VLOOKUP('Données projet'!$B$12,Paramètres!$A$1:$I$89,5,0)</f>
        <v>-8.7434273154940449E-13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428.8489304403459</v>
      </c>
      <c r="CE159" s="62">
        <f t="shared" si="148"/>
        <v>247.01165577562966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-1.7053025658242404E-13</v>
      </c>
      <c r="CU159" s="18">
        <f>CT159*VLOOKUP('Données projet'!$B$13,Paramètres!$A$1:$I$89,3,0)*VLOOKUP('Données projet'!$B$13,Paramètres!$A$1:$I$89,5,0)</f>
        <v>-1.3567387213697657E-13</v>
      </c>
      <c r="CV159" s="14" t="e">
        <f t="shared" si="173"/>
        <v>#NUM!</v>
      </c>
      <c r="CW159" s="22" t="e">
        <f t="shared" si="174"/>
        <v>#NUM!</v>
      </c>
      <c r="CX159" s="62" t="e">
        <f t="shared" si="122"/>
        <v>#NUM!</v>
      </c>
      <c r="CY159" s="62">
        <f ca="1">AVERAGE(OFFSET($CX$3,0,0,'Données projet'!$E$13+1,1))-AVERAGE(OFFSET($H$3,0,0,'Données projet'!$E$13+1,1))</f>
        <v>312.53381881960331</v>
      </c>
      <c r="CZ159" s="62">
        <f t="shared" si="150"/>
        <v>342.06887933351783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-1.7053025658242404E-13</v>
      </c>
      <c r="DP159" s="18">
        <f>DO159*VLOOKUP('Données projet'!$B$14,Paramètres!$A$1:$I$89,3,0)*VLOOKUP('Données projet'!$B$14,Paramètres!$A$1:$I$89,5,0)</f>
        <v>-1.250327841262333E-13</v>
      </c>
      <c r="DQ159" s="14" t="e">
        <f t="shared" si="176"/>
        <v>#NUM!</v>
      </c>
      <c r="DR159" s="22" t="e">
        <f t="shared" si="177"/>
        <v>#NUM!</v>
      </c>
      <c r="DS159" s="62" t="e">
        <f t="shared" si="125"/>
        <v>#NUM!</v>
      </c>
      <c r="DT159" s="62">
        <f ca="1">AVERAGE(OFFSET($DS$3,0,0,'Données projet'!$E$14+1,1))-AVERAGE(OFFSET($H$3,0,0,'Données projet'!$E$14+1,1))</f>
        <v>290.85271051443431</v>
      </c>
      <c r="DU159" s="62">
        <f t="shared" si="152"/>
        <v>318.66958823451142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0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3.4106051316484809E-13</v>
      </c>
      <c r="EK159" s="18">
        <f>EJ159*VLOOKUP('Données projet'!$B$15,Paramètres!$A$1:$I$89,3,0)*VLOOKUP('Données projet'!$B$15,Paramètres!$A$1:$I$89,5,0)</f>
        <v>2.9262992029543969E-13</v>
      </c>
      <c r="EL159" s="14">
        <f t="shared" si="179"/>
        <v>3.8796387982050903E-12</v>
      </c>
      <c r="EM159" s="22">
        <f t="shared" si="180"/>
        <v>7.2667013513884219E-12</v>
      </c>
      <c r="EN159" s="62">
        <f t="shared" si="128"/>
        <v>293.33333333334059</v>
      </c>
      <c r="EO159" s="62">
        <f ca="1">AVERAGE(OFFSET($EN$3,0,0,'Données projet'!$E$15+1,1))-AVERAGE(OFFSET($H$3,0,0,'Données projet'!$E$15+1,1))</f>
        <v>438.65317358403996</v>
      </c>
      <c r="EP159" s="62">
        <f t="shared" si="154"/>
        <v>176.81257896138806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0</v>
      </c>
      <c r="EW159" s="23">
        <f>EXP(-LN(2)/25)*EW158+(1-EXP(-LN(2)/25))/(LN(2)/25)*Calculateur!ER159*Calculateur!ET159*VLOOKUP('Données projet'!$B$15,Paramètres!$A$1:$I$89,3,0)*0.475*44/12</f>
        <v>0</v>
      </c>
      <c r="EX159" s="23">
        <f>EXP(-LN(2)/2)*EX158+(1-EXP(-LN(2)/2))/(LN(2)/2)*ER159*EU159*VLOOKUP('Données projet'!$B$15,Paramètres!$A$1:$I$89,3,0)*0.475*44/12</f>
        <v>0</v>
      </c>
      <c r="EY159" s="24">
        <f t="shared" si="181"/>
        <v>0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2.2737367544323206E-13</v>
      </c>
      <c r="O160" s="14">
        <f>N160*VLOOKUP('Données projet'!$B$9,Paramètres!$A$1:$I$89,3,0)*VLOOKUP('Données projet'!$B$9,Paramètres!$A$1:$I$89,5,0)</f>
        <v>1.2710188457276673E-13</v>
      </c>
      <c r="P160" s="14">
        <f t="shared" si="141"/>
        <v>1.856866851063998E-12</v>
      </c>
      <c r="Q160" s="22">
        <f t="shared" si="162"/>
        <v>3.4554122145673649E-12</v>
      </c>
      <c r="R160" s="62">
        <f t="shared" si="109"/>
        <v>293.33333333333678</v>
      </c>
      <c r="S160" s="62">
        <f ca="1">AVERAGE(OFFSET($R$3,0,0,'Données projet'!$E$9+1,1))-AVERAGE(OFFSET($H$3,0,0,'Données projet'!$E$9+1,1))</f>
        <v>323.98185264074681</v>
      </c>
      <c r="T160" s="62">
        <f t="shared" si="142"/>
        <v>301.22207291854005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0.36078790430200569</v>
      </c>
      <c r="AA160" s="23">
        <f>EXP(-LN(2)/25)*AA159+(1-EXP(-LN(2)/25))/(LN(2)/25)*Calculateur!V160*Calculateur!X160*VLOOKUP('Données projet'!$B$9,Paramètres!$A$1:$I$89,3,0)*0.475*44/12</f>
        <v>0.24382565282133298</v>
      </c>
      <c r="AB160" s="23">
        <f>EXP(-LN(2)/2)*AB159+(1-EXP(-LN(2)/2))/(LN(2)/2)*V160*Y160*VLOOKUP('Données projet'!$B$9,Paramètres!$A$1:$I$89,3,0)*0.475*44/12</f>
        <v>4.667197335273045E-19</v>
      </c>
      <c r="AC160" s="24">
        <f t="shared" si="163"/>
        <v>0.60461355712333864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-2.8421709430404007E-13</v>
      </c>
      <c r="AJ160" s="14">
        <f>AI160*VLOOKUP('Données projet'!$B$10,Paramètres!$A$1:$I$89,3,0)*VLOOKUP('Données projet'!$B$10,Paramètres!$A$1:$I$89,5,0)</f>
        <v>-1.69961822393816E-13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289.12367833861299</v>
      </c>
      <c r="AO160" s="62">
        <f t="shared" si="144"/>
        <v>229.06617320689003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3.1791574626040538E-19</v>
      </c>
      <c r="AX160" s="23">
        <f t="shared" si="166"/>
        <v>3.1791574626040538E-19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>
        <f>BD160*VLOOKUP('Données projet'!$B$11,Paramètres!$A$1:$I$89,3,0)*VLOOKUP('Données projet'!$B$11,Paramètres!$A$1:$I$89,5,0)</f>
        <v>0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240.22884864766218</v>
      </c>
      <c r="BJ160" s="62">
        <f t="shared" si="146"/>
        <v>343.23776884143166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0.30437850001718375</v>
      </c>
      <c r="BR160" s="23">
        <f>EXP(-LN(2)/2)*BR159+(1-EXP(-LN(2)/2))/(LN(2)/2)*BL160*BO160*VLOOKUP('Données projet'!$B$11,Paramètres!$A$1:$I$89,3,0)*0.475*44/12</f>
        <v>1.2664098887463081E-18</v>
      </c>
      <c r="BS160" s="24">
        <f t="shared" si="169"/>
        <v>0.30437850001718375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-9.6633812063373625E-13</v>
      </c>
      <c r="BZ160" s="14">
        <f>BY160*VLOOKUP('Données projet'!$B$12,Paramètres!$A$1:$I$89,3,0)*VLOOKUP('Données projet'!$B$12,Paramètres!$A$1:$I$89,5,0)</f>
        <v>-8.7434273154940449E-13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428.8489304403459</v>
      </c>
      <c r="CE160" s="62">
        <f t="shared" si="148"/>
        <v>247.01165577562966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-1.7053025658242404E-13</v>
      </c>
      <c r="CU160" s="18">
        <f>CT160*VLOOKUP('Données projet'!$B$13,Paramètres!$A$1:$I$89,3,0)*VLOOKUP('Données projet'!$B$13,Paramètres!$A$1:$I$89,5,0)</f>
        <v>-1.3567387213697657E-13</v>
      </c>
      <c r="CV160" s="14" t="e">
        <f t="shared" si="173"/>
        <v>#NUM!</v>
      </c>
      <c r="CW160" s="22" t="e">
        <f t="shared" si="174"/>
        <v>#NUM!</v>
      </c>
      <c r="CX160" s="62" t="e">
        <f t="shared" si="122"/>
        <v>#NUM!</v>
      </c>
      <c r="CY160" s="62">
        <f ca="1">AVERAGE(OFFSET($CX$3,0,0,'Données projet'!$E$13+1,1))-AVERAGE(OFFSET($H$3,0,0,'Données projet'!$E$13+1,1))</f>
        <v>312.53381881960331</v>
      </c>
      <c r="CZ160" s="62">
        <f t="shared" si="150"/>
        <v>342.06887933351783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-1.7053025658242404E-13</v>
      </c>
      <c r="DP160" s="18">
        <f>DO160*VLOOKUP('Données projet'!$B$14,Paramètres!$A$1:$I$89,3,0)*VLOOKUP('Données projet'!$B$14,Paramètres!$A$1:$I$89,5,0)</f>
        <v>-1.250327841262333E-13</v>
      </c>
      <c r="DQ160" s="14" t="e">
        <f t="shared" si="176"/>
        <v>#NUM!</v>
      </c>
      <c r="DR160" s="22" t="e">
        <f t="shared" si="177"/>
        <v>#NUM!</v>
      </c>
      <c r="DS160" s="62" t="e">
        <f t="shared" si="125"/>
        <v>#NUM!</v>
      </c>
      <c r="DT160" s="62">
        <f ca="1">AVERAGE(OFFSET($DS$3,0,0,'Données projet'!$E$14+1,1))-AVERAGE(OFFSET($H$3,0,0,'Données projet'!$E$14+1,1))</f>
        <v>290.85271051443431</v>
      </c>
      <c r="DU160" s="62">
        <f t="shared" si="152"/>
        <v>318.66958823451142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0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3.4106051316484809E-13</v>
      </c>
      <c r="EK160" s="18">
        <f>EJ160*VLOOKUP('Données projet'!$B$15,Paramètres!$A$1:$I$89,3,0)*VLOOKUP('Données projet'!$B$15,Paramètres!$A$1:$I$89,5,0)</f>
        <v>2.9262992029543969E-13</v>
      </c>
      <c r="EL160" s="14">
        <f t="shared" si="179"/>
        <v>3.8796387982050903E-12</v>
      </c>
      <c r="EM160" s="22">
        <f t="shared" si="180"/>
        <v>7.2667013513884219E-12</v>
      </c>
      <c r="EN160" s="62">
        <f t="shared" si="128"/>
        <v>293.33333333334059</v>
      </c>
      <c r="EO160" s="62">
        <f ca="1">AVERAGE(OFFSET($EN$3,0,0,'Données projet'!$E$15+1,1))-AVERAGE(OFFSET($H$3,0,0,'Données projet'!$E$15+1,1))</f>
        <v>438.65317358403996</v>
      </c>
      <c r="EP160" s="62">
        <f t="shared" si="154"/>
        <v>176.81257896138806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0</v>
      </c>
      <c r="EW160" s="23">
        <f>EXP(-LN(2)/25)*EW159+(1-EXP(-LN(2)/25))/(LN(2)/25)*Calculateur!ER160*Calculateur!ET160*VLOOKUP('Données projet'!$B$15,Paramètres!$A$1:$I$89,3,0)*0.475*44/12</f>
        <v>0</v>
      </c>
      <c r="EX160" s="23">
        <f>EXP(-LN(2)/2)*EX159+(1-EXP(-LN(2)/2))/(LN(2)/2)*ER160*EU160*VLOOKUP('Données projet'!$B$15,Paramètres!$A$1:$I$89,3,0)*0.475*44/12</f>
        <v>0</v>
      </c>
      <c r="EY160" s="24">
        <f t="shared" si="181"/>
        <v>0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2.2737367544323206E-13</v>
      </c>
      <c r="O161" s="14">
        <f>N161*VLOOKUP('Données projet'!$B$9,Paramètres!$A$1:$I$89,3,0)*VLOOKUP('Données projet'!$B$9,Paramètres!$A$1:$I$89,5,0)</f>
        <v>1.2710188457276673E-13</v>
      </c>
      <c r="P161" s="14">
        <f t="shared" si="141"/>
        <v>1.856866851063998E-12</v>
      </c>
      <c r="Q161" s="22">
        <f t="shared" si="162"/>
        <v>3.4554122145673649E-12</v>
      </c>
      <c r="R161" s="62">
        <f t="shared" si="109"/>
        <v>293.33333333333678</v>
      </c>
      <c r="S161" s="62">
        <f ca="1">AVERAGE(OFFSET($R$3,0,0,'Données projet'!$E$9+1,1))-AVERAGE(OFFSET($H$3,0,0,'Données projet'!$E$9+1,1))</f>
        <v>323.98185264074681</v>
      </c>
      <c r="T161" s="62">
        <f t="shared" si="142"/>
        <v>301.22207291854005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0.35371307355753595</v>
      </c>
      <c r="AA161" s="23">
        <f>EXP(-LN(2)/25)*AA160+(1-EXP(-LN(2)/25))/(LN(2)/25)*Calculateur!V161*Calculateur!X161*VLOOKUP('Données projet'!$B$9,Paramètres!$A$1:$I$89,3,0)*0.475*44/12</f>
        <v>0.23715822752269983</v>
      </c>
      <c r="AB161" s="23">
        <f>EXP(-LN(2)/2)*AB160+(1-EXP(-LN(2)/2))/(LN(2)/2)*V161*Y161*VLOOKUP('Données projet'!$B$9,Paramètres!$A$1:$I$89,3,0)*0.475*44/12</f>
        <v>3.3002068849073547E-19</v>
      </c>
      <c r="AC161" s="24">
        <f t="shared" si="163"/>
        <v>0.59087130108023578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-2.8421709430404007E-13</v>
      </c>
      <c r="AJ161" s="14">
        <f>AI161*VLOOKUP('Données projet'!$B$10,Paramètres!$A$1:$I$89,3,0)*VLOOKUP('Données projet'!$B$10,Paramètres!$A$1:$I$89,5,0)</f>
        <v>-1.69961822393816E-13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289.12367833861299</v>
      </c>
      <c r="AO161" s="62">
        <f t="shared" si="144"/>
        <v>229.06617320689003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2.2480038002671443E-19</v>
      </c>
      <c r="AX161" s="23">
        <f t="shared" si="166"/>
        <v>2.2480038002671443E-19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>
        <f>BD161*VLOOKUP('Données projet'!$B$11,Paramètres!$A$1:$I$89,3,0)*VLOOKUP('Données projet'!$B$11,Paramètres!$A$1:$I$89,5,0)</f>
        <v>0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240.22884864766218</v>
      </c>
      <c r="BJ161" s="62">
        <f t="shared" si="146"/>
        <v>343.23776884143166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0.2960552539276442</v>
      </c>
      <c r="BR161" s="23">
        <f>EXP(-LN(2)/2)*BR160+(1-EXP(-LN(2)/2))/(LN(2)/2)*BL161*BO161*VLOOKUP('Données projet'!$B$11,Paramètres!$A$1:$I$89,3,0)*0.475*44/12</f>
        <v>8.9548702009421565E-19</v>
      </c>
      <c r="BS161" s="24">
        <f t="shared" si="169"/>
        <v>0.2960552539276442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-9.6633812063373625E-13</v>
      </c>
      <c r="BZ161" s="14">
        <f>BY161*VLOOKUP('Données projet'!$B$12,Paramètres!$A$1:$I$89,3,0)*VLOOKUP('Données projet'!$B$12,Paramètres!$A$1:$I$89,5,0)</f>
        <v>-8.7434273154940449E-13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428.8489304403459</v>
      </c>
      <c r="CE161" s="62">
        <f t="shared" si="148"/>
        <v>247.01165577562966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-1.7053025658242404E-13</v>
      </c>
      <c r="CU161" s="18">
        <f>CT161*VLOOKUP('Données projet'!$B$13,Paramètres!$A$1:$I$89,3,0)*VLOOKUP('Données projet'!$B$13,Paramètres!$A$1:$I$89,5,0)</f>
        <v>-1.3567387213697657E-13</v>
      </c>
      <c r="CV161" s="14" t="e">
        <f t="shared" si="173"/>
        <v>#NUM!</v>
      </c>
      <c r="CW161" s="22" t="e">
        <f t="shared" si="174"/>
        <v>#NUM!</v>
      </c>
      <c r="CX161" s="62" t="e">
        <f t="shared" si="122"/>
        <v>#NUM!</v>
      </c>
      <c r="CY161" s="62">
        <f ca="1">AVERAGE(OFFSET($CX$3,0,0,'Données projet'!$E$13+1,1))-AVERAGE(OFFSET($H$3,0,0,'Données projet'!$E$13+1,1))</f>
        <v>312.53381881960331</v>
      </c>
      <c r="CZ161" s="62">
        <f t="shared" si="150"/>
        <v>342.06887933351783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-1.7053025658242404E-13</v>
      </c>
      <c r="DP161" s="18">
        <f>DO161*VLOOKUP('Données projet'!$B$14,Paramètres!$A$1:$I$89,3,0)*VLOOKUP('Données projet'!$B$14,Paramètres!$A$1:$I$89,5,0)</f>
        <v>-1.250327841262333E-13</v>
      </c>
      <c r="DQ161" s="14" t="e">
        <f t="shared" si="176"/>
        <v>#NUM!</v>
      </c>
      <c r="DR161" s="22" t="e">
        <f t="shared" si="177"/>
        <v>#NUM!</v>
      </c>
      <c r="DS161" s="62" t="e">
        <f t="shared" si="125"/>
        <v>#NUM!</v>
      </c>
      <c r="DT161" s="62">
        <f ca="1">AVERAGE(OFFSET($DS$3,0,0,'Données projet'!$E$14+1,1))-AVERAGE(OFFSET($H$3,0,0,'Données projet'!$E$14+1,1))</f>
        <v>290.85271051443431</v>
      </c>
      <c r="DU161" s="62">
        <f t="shared" si="152"/>
        <v>318.66958823451142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0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3.4106051316484809E-13</v>
      </c>
      <c r="EK161" s="18">
        <f>EJ161*VLOOKUP('Données projet'!$B$15,Paramètres!$A$1:$I$89,3,0)*VLOOKUP('Données projet'!$B$15,Paramètres!$A$1:$I$89,5,0)</f>
        <v>2.9262992029543969E-13</v>
      </c>
      <c r="EL161" s="14">
        <f t="shared" si="179"/>
        <v>3.8796387982050903E-12</v>
      </c>
      <c r="EM161" s="22">
        <f t="shared" si="180"/>
        <v>7.2667013513884219E-12</v>
      </c>
      <c r="EN161" s="62">
        <f t="shared" si="128"/>
        <v>293.33333333334059</v>
      </c>
      <c r="EO161" s="62">
        <f ca="1">AVERAGE(OFFSET($EN$3,0,0,'Données projet'!$E$15+1,1))-AVERAGE(OFFSET($H$3,0,0,'Données projet'!$E$15+1,1))</f>
        <v>438.65317358403996</v>
      </c>
      <c r="EP161" s="62">
        <f t="shared" si="154"/>
        <v>176.81257896138806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0</v>
      </c>
      <c r="EW161" s="23">
        <f>EXP(-LN(2)/25)*EW160+(1-EXP(-LN(2)/25))/(LN(2)/25)*Calculateur!ER161*Calculateur!ET161*VLOOKUP('Données projet'!$B$15,Paramètres!$A$1:$I$89,3,0)*0.475*44/12</f>
        <v>0</v>
      </c>
      <c r="EX161" s="23">
        <f>EXP(-LN(2)/2)*EX160+(1-EXP(-LN(2)/2))/(LN(2)/2)*ER161*EU161*VLOOKUP('Données projet'!$B$15,Paramètres!$A$1:$I$89,3,0)*0.475*44/12</f>
        <v>0</v>
      </c>
      <c r="EY161" s="24">
        <f t="shared" si="181"/>
        <v>0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2.2737367544323206E-13</v>
      </c>
      <c r="O162" s="14">
        <f>N162*VLOOKUP('Données projet'!$B$9,Paramètres!$A$1:$I$89,3,0)*VLOOKUP('Données projet'!$B$9,Paramètres!$A$1:$I$89,5,0)</f>
        <v>1.2710188457276673E-13</v>
      </c>
      <c r="P162" s="14">
        <f t="shared" si="141"/>
        <v>1.856866851063998E-12</v>
      </c>
      <c r="Q162" s="22">
        <f t="shared" si="162"/>
        <v>3.4554122145673649E-12</v>
      </c>
      <c r="R162" s="62">
        <f t="shared" si="109"/>
        <v>293.33333333333678</v>
      </c>
      <c r="S162" s="62">
        <f ca="1">AVERAGE(OFFSET($R$3,0,0,'Données projet'!$E$9+1,1))-AVERAGE(OFFSET($H$3,0,0,'Données projet'!$E$9+1,1))</f>
        <v>323.98185264074681</v>
      </c>
      <c r="T162" s="62">
        <f t="shared" si="142"/>
        <v>301.22207291854005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0.34677697592874462</v>
      </c>
      <c r="AA162" s="23">
        <f>EXP(-LN(2)/25)*AA161+(1-EXP(-LN(2)/25))/(LN(2)/25)*Calculateur!V162*Calculateur!X162*VLOOKUP('Données projet'!$B$9,Paramètres!$A$1:$I$89,3,0)*0.475*44/12</f>
        <v>0.23067312331948245</v>
      </c>
      <c r="AB162" s="23">
        <f>EXP(-LN(2)/2)*AB161+(1-EXP(-LN(2)/2))/(LN(2)/2)*V162*Y162*VLOOKUP('Données projet'!$B$9,Paramètres!$A$1:$I$89,3,0)*0.475*44/12</f>
        <v>2.3335986676365225E-19</v>
      </c>
      <c r="AC162" s="24">
        <f t="shared" si="163"/>
        <v>0.5774500992482271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-2.8421709430404007E-13</v>
      </c>
      <c r="AJ162" s="14">
        <f>AI162*VLOOKUP('Données projet'!$B$10,Paramètres!$A$1:$I$89,3,0)*VLOOKUP('Données projet'!$B$10,Paramètres!$A$1:$I$89,5,0)</f>
        <v>-1.69961822393816E-13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289.12367833861299</v>
      </c>
      <c r="AO162" s="62">
        <f t="shared" si="144"/>
        <v>229.06617320689003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1.5895787313020269E-19</v>
      </c>
      <c r="AX162" s="23">
        <f t="shared" si="166"/>
        <v>1.5895787313020269E-19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>
        <f>BD162*VLOOKUP('Données projet'!$B$11,Paramètres!$A$1:$I$89,3,0)*VLOOKUP('Données projet'!$B$11,Paramètres!$A$1:$I$89,5,0)</f>
        <v>0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240.22884864766218</v>
      </c>
      <c r="BJ162" s="62">
        <f t="shared" si="146"/>
        <v>343.23776884143166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0.28795960744012361</v>
      </c>
      <c r="BR162" s="23">
        <f>EXP(-LN(2)/2)*BR161+(1-EXP(-LN(2)/2))/(LN(2)/2)*BL162*BO162*VLOOKUP('Données projet'!$B$11,Paramètres!$A$1:$I$89,3,0)*0.475*44/12</f>
        <v>6.3320494437315404E-19</v>
      </c>
      <c r="BS162" s="24">
        <f t="shared" si="169"/>
        <v>0.28795960744012361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-9.6633812063373625E-13</v>
      </c>
      <c r="BZ162" s="14">
        <f>BY162*VLOOKUP('Données projet'!$B$12,Paramètres!$A$1:$I$89,3,0)*VLOOKUP('Données projet'!$B$12,Paramètres!$A$1:$I$89,5,0)</f>
        <v>-8.7434273154940449E-13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428.8489304403459</v>
      </c>
      <c r="CE162" s="62">
        <f t="shared" si="148"/>
        <v>247.01165577562966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-1.7053025658242404E-13</v>
      </c>
      <c r="CU162" s="18">
        <f>CT162*VLOOKUP('Données projet'!$B$13,Paramètres!$A$1:$I$89,3,0)*VLOOKUP('Données projet'!$B$13,Paramètres!$A$1:$I$89,5,0)</f>
        <v>-1.3567387213697657E-13</v>
      </c>
      <c r="CV162" s="14" t="e">
        <f t="shared" si="173"/>
        <v>#NUM!</v>
      </c>
      <c r="CW162" s="22" t="e">
        <f t="shared" si="174"/>
        <v>#NUM!</v>
      </c>
      <c r="CX162" s="62" t="e">
        <f t="shared" si="122"/>
        <v>#NUM!</v>
      </c>
      <c r="CY162" s="62">
        <f ca="1">AVERAGE(OFFSET($CX$3,0,0,'Données projet'!$E$13+1,1))-AVERAGE(OFFSET($H$3,0,0,'Données projet'!$E$13+1,1))</f>
        <v>312.53381881960331</v>
      </c>
      <c r="CZ162" s="62">
        <f t="shared" si="150"/>
        <v>342.06887933351783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-1.7053025658242404E-13</v>
      </c>
      <c r="DP162" s="18">
        <f>DO162*VLOOKUP('Données projet'!$B$14,Paramètres!$A$1:$I$89,3,0)*VLOOKUP('Données projet'!$B$14,Paramètres!$A$1:$I$89,5,0)</f>
        <v>-1.250327841262333E-13</v>
      </c>
      <c r="DQ162" s="14" t="e">
        <f t="shared" si="176"/>
        <v>#NUM!</v>
      </c>
      <c r="DR162" s="22" t="e">
        <f t="shared" si="177"/>
        <v>#NUM!</v>
      </c>
      <c r="DS162" s="62" t="e">
        <f t="shared" si="125"/>
        <v>#NUM!</v>
      </c>
      <c r="DT162" s="62">
        <f ca="1">AVERAGE(OFFSET($DS$3,0,0,'Données projet'!$E$14+1,1))-AVERAGE(OFFSET($H$3,0,0,'Données projet'!$E$14+1,1))</f>
        <v>290.85271051443431</v>
      </c>
      <c r="DU162" s="62">
        <f t="shared" si="152"/>
        <v>318.66958823451142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0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3.4106051316484809E-13</v>
      </c>
      <c r="EK162" s="18">
        <f>EJ162*VLOOKUP('Données projet'!$B$15,Paramètres!$A$1:$I$89,3,0)*VLOOKUP('Données projet'!$B$15,Paramètres!$A$1:$I$89,5,0)</f>
        <v>2.9262992029543969E-13</v>
      </c>
      <c r="EL162" s="14">
        <f t="shared" si="179"/>
        <v>3.8796387982050903E-12</v>
      </c>
      <c r="EM162" s="22">
        <f t="shared" si="180"/>
        <v>7.2667013513884219E-12</v>
      </c>
      <c r="EN162" s="62">
        <f t="shared" si="128"/>
        <v>293.33333333334059</v>
      </c>
      <c r="EO162" s="62">
        <f ca="1">AVERAGE(OFFSET($EN$3,0,0,'Données projet'!$E$15+1,1))-AVERAGE(OFFSET($H$3,0,0,'Données projet'!$E$15+1,1))</f>
        <v>438.65317358403996</v>
      </c>
      <c r="EP162" s="62">
        <f t="shared" si="154"/>
        <v>176.81257896138806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0</v>
      </c>
      <c r="EW162" s="23">
        <f>EXP(-LN(2)/25)*EW161+(1-EXP(-LN(2)/25))/(LN(2)/25)*Calculateur!ER162*Calculateur!ET162*VLOOKUP('Données projet'!$B$15,Paramètres!$A$1:$I$89,3,0)*0.475*44/12</f>
        <v>0</v>
      </c>
      <c r="EX162" s="23">
        <f>EXP(-LN(2)/2)*EX161+(1-EXP(-LN(2)/2))/(LN(2)/2)*ER162*EU162*VLOOKUP('Données projet'!$B$15,Paramètres!$A$1:$I$89,3,0)*0.475*44/12</f>
        <v>0</v>
      </c>
      <c r="EY162" s="24">
        <f t="shared" si="181"/>
        <v>0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2.2737367544323206E-13</v>
      </c>
      <c r="O163" s="14">
        <f>N163*VLOOKUP('Données projet'!$B$9,Paramètres!$A$1:$I$89,3,0)*VLOOKUP('Données projet'!$B$9,Paramètres!$A$1:$I$89,5,0)</f>
        <v>1.2710188457276673E-13</v>
      </c>
      <c r="P163" s="14">
        <f t="shared" si="141"/>
        <v>1.856866851063998E-12</v>
      </c>
      <c r="Q163" s="22">
        <f t="shared" si="162"/>
        <v>3.4554122145673649E-12</v>
      </c>
      <c r="R163" s="62">
        <f t="shared" si="109"/>
        <v>293.33333333333678</v>
      </c>
      <c r="S163" s="62">
        <f ca="1">AVERAGE(OFFSET($R$3,0,0,'Données projet'!$E$9+1,1))-AVERAGE(OFFSET($H$3,0,0,'Données projet'!$E$9+1,1))</f>
        <v>323.98185264074681</v>
      </c>
      <c r="T163" s="62">
        <f t="shared" si="142"/>
        <v>301.22207291854005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0.33997689094385208</v>
      </c>
      <c r="AA163" s="23">
        <f>EXP(-LN(2)/25)*AA162+(1-EXP(-LN(2)/25))/(LN(2)/25)*Calculateur!V163*Calculateur!X163*VLOOKUP('Données projet'!$B$9,Paramètres!$A$1:$I$89,3,0)*0.475*44/12</f>
        <v>0.22436535463173884</v>
      </c>
      <c r="AB163" s="23">
        <f>EXP(-LN(2)/2)*AB162+(1-EXP(-LN(2)/2))/(LN(2)/2)*V163*Y163*VLOOKUP('Données projet'!$B$9,Paramètres!$A$1:$I$89,3,0)*0.475*44/12</f>
        <v>1.6501034424536774E-19</v>
      </c>
      <c r="AC163" s="24">
        <f t="shared" si="163"/>
        <v>0.56434224557559087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-2.8421709430404007E-13</v>
      </c>
      <c r="AJ163" s="14">
        <f>AI163*VLOOKUP('Données projet'!$B$10,Paramètres!$A$1:$I$89,3,0)*VLOOKUP('Données projet'!$B$10,Paramètres!$A$1:$I$89,5,0)</f>
        <v>-1.69961822393816E-13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289.12367833861299</v>
      </c>
      <c r="AO163" s="62">
        <f t="shared" si="144"/>
        <v>229.06617320689003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1.1240019001335722E-19</v>
      </c>
      <c r="AX163" s="23">
        <f t="shared" si="166"/>
        <v>1.1240019001335722E-19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>
        <f>BD163*VLOOKUP('Données projet'!$B$11,Paramètres!$A$1:$I$89,3,0)*VLOOKUP('Données projet'!$B$11,Paramètres!$A$1:$I$89,5,0)</f>
        <v>0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240.22884864766218</v>
      </c>
      <c r="BJ163" s="62">
        <f t="shared" si="146"/>
        <v>343.23776884143166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0.2800853368315358</v>
      </c>
      <c r="BR163" s="23">
        <f>EXP(-LN(2)/2)*BR162+(1-EXP(-LN(2)/2))/(LN(2)/2)*BL163*BO163*VLOOKUP('Données projet'!$B$11,Paramètres!$A$1:$I$89,3,0)*0.475*44/12</f>
        <v>4.4774351004710783E-19</v>
      </c>
      <c r="BS163" s="24">
        <f t="shared" si="169"/>
        <v>0.2800853368315358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-9.6633812063373625E-13</v>
      </c>
      <c r="BZ163" s="14">
        <f>BY163*VLOOKUP('Données projet'!$B$12,Paramètres!$A$1:$I$89,3,0)*VLOOKUP('Données projet'!$B$12,Paramètres!$A$1:$I$89,5,0)</f>
        <v>-8.7434273154940449E-13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428.8489304403459</v>
      </c>
      <c r="CE163" s="62">
        <f t="shared" si="148"/>
        <v>247.01165577562966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-1.7053025658242404E-13</v>
      </c>
      <c r="CU163" s="18">
        <f>CT163*VLOOKUP('Données projet'!$B$13,Paramètres!$A$1:$I$89,3,0)*VLOOKUP('Données projet'!$B$13,Paramètres!$A$1:$I$89,5,0)</f>
        <v>-1.3567387213697657E-13</v>
      </c>
      <c r="CV163" s="14" t="e">
        <f t="shared" si="173"/>
        <v>#NUM!</v>
      </c>
      <c r="CW163" s="22" t="e">
        <f t="shared" si="174"/>
        <v>#NUM!</v>
      </c>
      <c r="CX163" s="62" t="e">
        <f t="shared" si="122"/>
        <v>#NUM!</v>
      </c>
      <c r="CY163" s="62">
        <f ca="1">AVERAGE(OFFSET($CX$3,0,0,'Données projet'!$E$13+1,1))-AVERAGE(OFFSET($H$3,0,0,'Données projet'!$E$13+1,1))</f>
        <v>312.53381881960331</v>
      </c>
      <c r="CZ163" s="62">
        <f t="shared" si="150"/>
        <v>342.06887933351783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-1.7053025658242404E-13</v>
      </c>
      <c r="DP163" s="18">
        <f>DO163*VLOOKUP('Données projet'!$B$14,Paramètres!$A$1:$I$89,3,0)*VLOOKUP('Données projet'!$B$14,Paramètres!$A$1:$I$89,5,0)</f>
        <v>-1.250327841262333E-13</v>
      </c>
      <c r="DQ163" s="14" t="e">
        <f t="shared" si="176"/>
        <v>#NUM!</v>
      </c>
      <c r="DR163" s="22" t="e">
        <f t="shared" si="177"/>
        <v>#NUM!</v>
      </c>
      <c r="DS163" s="62" t="e">
        <f t="shared" si="125"/>
        <v>#NUM!</v>
      </c>
      <c r="DT163" s="62">
        <f ca="1">AVERAGE(OFFSET($DS$3,0,0,'Données projet'!$E$14+1,1))-AVERAGE(OFFSET($H$3,0,0,'Données projet'!$E$14+1,1))</f>
        <v>290.85271051443431</v>
      </c>
      <c r="DU163" s="62">
        <f t="shared" si="152"/>
        <v>318.66958823451142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0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3.4106051316484809E-13</v>
      </c>
      <c r="EK163" s="18">
        <f>EJ163*VLOOKUP('Données projet'!$B$15,Paramètres!$A$1:$I$89,3,0)*VLOOKUP('Données projet'!$B$15,Paramètres!$A$1:$I$89,5,0)</f>
        <v>2.9262992029543969E-13</v>
      </c>
      <c r="EL163" s="14">
        <f t="shared" si="179"/>
        <v>3.8796387982050903E-12</v>
      </c>
      <c r="EM163" s="22">
        <f t="shared" si="180"/>
        <v>7.2667013513884219E-12</v>
      </c>
      <c r="EN163" s="62">
        <f t="shared" si="128"/>
        <v>293.33333333334059</v>
      </c>
      <c r="EO163" s="62">
        <f ca="1">AVERAGE(OFFSET($EN$3,0,0,'Données projet'!$E$15+1,1))-AVERAGE(OFFSET($H$3,0,0,'Données projet'!$E$15+1,1))</f>
        <v>438.65317358403996</v>
      </c>
      <c r="EP163" s="62">
        <f t="shared" si="154"/>
        <v>176.81257896138806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0</v>
      </c>
      <c r="EW163" s="23">
        <f>EXP(-LN(2)/25)*EW162+(1-EXP(-LN(2)/25))/(LN(2)/25)*Calculateur!ER163*Calculateur!ET163*VLOOKUP('Données projet'!$B$15,Paramètres!$A$1:$I$89,3,0)*0.475*44/12</f>
        <v>0</v>
      </c>
      <c r="EX163" s="23">
        <f>EXP(-LN(2)/2)*EX162+(1-EXP(-LN(2)/2))/(LN(2)/2)*ER163*EU163*VLOOKUP('Données projet'!$B$15,Paramètres!$A$1:$I$89,3,0)*0.475*44/12</f>
        <v>0</v>
      </c>
      <c r="EY163" s="24">
        <f t="shared" si="181"/>
        <v>0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2.2737367544323206E-13</v>
      </c>
      <c r="O164" s="14">
        <f>N164*VLOOKUP('Données projet'!$B$9,Paramètres!$A$1:$I$89,3,0)*VLOOKUP('Données projet'!$B$9,Paramètres!$A$1:$I$89,5,0)</f>
        <v>1.2710188457276673E-13</v>
      </c>
      <c r="P164" s="14">
        <f t="shared" si="141"/>
        <v>1.856866851063998E-12</v>
      </c>
      <c r="Q164" s="22">
        <f t="shared" si="162"/>
        <v>3.4554122145673649E-12</v>
      </c>
      <c r="R164" s="62">
        <f t="shared" si="109"/>
        <v>293.33333333333678</v>
      </c>
      <c r="S164" s="62">
        <f ca="1">AVERAGE(OFFSET($R$3,0,0,'Données projet'!$E$9+1,1))-AVERAGE(OFFSET($H$3,0,0,'Données projet'!$E$9+1,1))</f>
        <v>323.98185264074681</v>
      </c>
      <c r="T164" s="62">
        <f t="shared" si="142"/>
        <v>301.22207291854005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0.33331015147787096</v>
      </c>
      <c r="AA164" s="23">
        <f>EXP(-LN(2)/25)*AA163+(1-EXP(-LN(2)/25))/(LN(2)/25)*Calculateur!V164*Calculateur!X164*VLOOKUP('Données projet'!$B$9,Paramètres!$A$1:$I$89,3,0)*0.475*44/12</f>
        <v>0.21823007221047275</v>
      </c>
      <c r="AB164" s="23">
        <f>EXP(-LN(2)/2)*AB163+(1-EXP(-LN(2)/2))/(LN(2)/2)*V164*Y164*VLOOKUP('Données projet'!$B$9,Paramètres!$A$1:$I$89,3,0)*0.475*44/12</f>
        <v>1.1667993338182612E-19</v>
      </c>
      <c r="AC164" s="24">
        <f t="shared" si="163"/>
        <v>0.55154022368834377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-2.8421709430404007E-13</v>
      </c>
      <c r="AJ164" s="14">
        <f>AI164*VLOOKUP('Données projet'!$B$10,Paramètres!$A$1:$I$89,3,0)*VLOOKUP('Données projet'!$B$10,Paramètres!$A$1:$I$89,5,0)</f>
        <v>-1.69961822393816E-13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289.12367833861299</v>
      </c>
      <c r="AO164" s="62">
        <f t="shared" si="144"/>
        <v>229.06617320689003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7.9478936565101346E-20</v>
      </c>
      <c r="AX164" s="23">
        <f t="shared" si="166"/>
        <v>7.9478936565101346E-20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>
        <f>BD164*VLOOKUP('Données projet'!$B$11,Paramètres!$A$1:$I$89,3,0)*VLOOKUP('Données projet'!$B$11,Paramètres!$A$1:$I$89,5,0)</f>
        <v>0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240.22884864766218</v>
      </c>
      <c r="BJ164" s="62">
        <f t="shared" si="146"/>
        <v>343.23776884143166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0.27242638856682971</v>
      </c>
      <c r="BR164" s="23">
        <f>EXP(-LN(2)/2)*BR163+(1-EXP(-LN(2)/2))/(LN(2)/2)*BL164*BO164*VLOOKUP('Données projet'!$B$11,Paramètres!$A$1:$I$89,3,0)*0.475*44/12</f>
        <v>3.1660247218657702E-19</v>
      </c>
      <c r="BS164" s="24">
        <f t="shared" si="169"/>
        <v>0.27242638856682971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-9.6633812063373625E-13</v>
      </c>
      <c r="BZ164" s="14">
        <f>BY164*VLOOKUP('Données projet'!$B$12,Paramètres!$A$1:$I$89,3,0)*VLOOKUP('Données projet'!$B$12,Paramètres!$A$1:$I$89,5,0)</f>
        <v>-8.7434273154940449E-13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428.8489304403459</v>
      </c>
      <c r="CE164" s="62">
        <f t="shared" si="148"/>
        <v>247.01165577562966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-1.7053025658242404E-13</v>
      </c>
      <c r="CU164" s="18">
        <f>CT164*VLOOKUP('Données projet'!$B$13,Paramètres!$A$1:$I$89,3,0)*VLOOKUP('Données projet'!$B$13,Paramètres!$A$1:$I$89,5,0)</f>
        <v>-1.3567387213697657E-13</v>
      </c>
      <c r="CV164" s="14" t="e">
        <f t="shared" si="173"/>
        <v>#NUM!</v>
      </c>
      <c r="CW164" s="22" t="e">
        <f t="shared" si="174"/>
        <v>#NUM!</v>
      </c>
      <c r="CX164" s="62" t="e">
        <f t="shared" si="122"/>
        <v>#NUM!</v>
      </c>
      <c r="CY164" s="62">
        <f ca="1">AVERAGE(OFFSET($CX$3,0,0,'Données projet'!$E$13+1,1))-AVERAGE(OFFSET($H$3,0,0,'Données projet'!$E$13+1,1))</f>
        <v>312.53381881960331</v>
      </c>
      <c r="CZ164" s="62">
        <f t="shared" si="150"/>
        <v>342.06887933351783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-1.7053025658242404E-13</v>
      </c>
      <c r="DP164" s="18">
        <f>DO164*VLOOKUP('Données projet'!$B$14,Paramètres!$A$1:$I$89,3,0)*VLOOKUP('Données projet'!$B$14,Paramètres!$A$1:$I$89,5,0)</f>
        <v>-1.250327841262333E-13</v>
      </c>
      <c r="DQ164" s="14" t="e">
        <f t="shared" si="176"/>
        <v>#NUM!</v>
      </c>
      <c r="DR164" s="22" t="e">
        <f t="shared" si="177"/>
        <v>#NUM!</v>
      </c>
      <c r="DS164" s="62" t="e">
        <f t="shared" si="125"/>
        <v>#NUM!</v>
      </c>
      <c r="DT164" s="62">
        <f ca="1">AVERAGE(OFFSET($DS$3,0,0,'Données projet'!$E$14+1,1))-AVERAGE(OFFSET($H$3,0,0,'Données projet'!$E$14+1,1))</f>
        <v>290.85271051443431</v>
      </c>
      <c r="DU164" s="62">
        <f t="shared" si="152"/>
        <v>318.66958823451142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0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3.4106051316484809E-13</v>
      </c>
      <c r="EK164" s="18">
        <f>EJ164*VLOOKUP('Données projet'!$B$15,Paramètres!$A$1:$I$89,3,0)*VLOOKUP('Données projet'!$B$15,Paramètres!$A$1:$I$89,5,0)</f>
        <v>2.9262992029543969E-13</v>
      </c>
      <c r="EL164" s="14">
        <f t="shared" si="179"/>
        <v>3.8796387982050903E-12</v>
      </c>
      <c r="EM164" s="22">
        <f t="shared" si="180"/>
        <v>7.2667013513884219E-12</v>
      </c>
      <c r="EN164" s="62">
        <f t="shared" si="128"/>
        <v>293.33333333334059</v>
      </c>
      <c r="EO164" s="62">
        <f ca="1">AVERAGE(OFFSET($EN$3,0,0,'Données projet'!$E$15+1,1))-AVERAGE(OFFSET($H$3,0,0,'Données projet'!$E$15+1,1))</f>
        <v>438.65317358403996</v>
      </c>
      <c r="EP164" s="62">
        <f t="shared" si="154"/>
        <v>176.81257896138806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0</v>
      </c>
      <c r="EW164" s="23">
        <f>EXP(-LN(2)/25)*EW163+(1-EXP(-LN(2)/25))/(LN(2)/25)*Calculateur!ER164*Calculateur!ET164*VLOOKUP('Données projet'!$B$15,Paramètres!$A$1:$I$89,3,0)*0.475*44/12</f>
        <v>0</v>
      </c>
      <c r="EX164" s="23">
        <f>EXP(-LN(2)/2)*EX163+(1-EXP(-LN(2)/2))/(LN(2)/2)*ER164*EU164*VLOOKUP('Données projet'!$B$15,Paramètres!$A$1:$I$89,3,0)*0.475*44/12</f>
        <v>0</v>
      </c>
      <c r="EY164" s="24">
        <f t="shared" si="181"/>
        <v>0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2.2737367544323206E-13</v>
      </c>
      <c r="O165" s="14">
        <f>N165*VLOOKUP('Données projet'!$B$9,Paramètres!$A$1:$I$89,3,0)*VLOOKUP('Données projet'!$B$9,Paramètres!$A$1:$I$89,5,0)</f>
        <v>1.2710188457276673E-13</v>
      </c>
      <c r="P165" s="14">
        <f t="shared" si="141"/>
        <v>1.856866851063998E-12</v>
      </c>
      <c r="Q165" s="22">
        <f t="shared" si="162"/>
        <v>3.4554122145673649E-12</v>
      </c>
      <c r="R165" s="62">
        <f t="shared" si="109"/>
        <v>293.33333333333678</v>
      </c>
      <c r="S165" s="62">
        <f ca="1">AVERAGE(OFFSET($R$3,0,0,'Données projet'!$E$9+1,1))-AVERAGE(OFFSET($H$3,0,0,'Données projet'!$E$9+1,1))</f>
        <v>323.98185264074681</v>
      </c>
      <c r="T165" s="62">
        <f t="shared" si="142"/>
        <v>301.22207291854005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0.32677414270650817</v>
      </c>
      <c r="AA165" s="23">
        <f>EXP(-LN(2)/25)*AA164+(1-EXP(-LN(2)/25))/(LN(2)/25)*Calculateur!V165*Calculateur!X165*VLOOKUP('Données projet'!$B$9,Paramètres!$A$1:$I$89,3,0)*0.475*44/12</f>
        <v>0.21226255940965663</v>
      </c>
      <c r="AB165" s="23">
        <f>EXP(-LN(2)/2)*AB164+(1-EXP(-LN(2)/2))/(LN(2)/2)*V165*Y165*VLOOKUP('Données projet'!$B$9,Paramètres!$A$1:$I$89,3,0)*0.475*44/12</f>
        <v>8.2505172122683869E-20</v>
      </c>
      <c r="AC165" s="24">
        <f t="shared" si="163"/>
        <v>0.53903670211616483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-2.8421709430404007E-13</v>
      </c>
      <c r="AJ165" s="14">
        <f>AI165*VLOOKUP('Données projet'!$B$10,Paramètres!$A$1:$I$89,3,0)*VLOOKUP('Données projet'!$B$10,Paramètres!$A$1:$I$89,5,0)</f>
        <v>-1.69961822393816E-13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289.12367833861299</v>
      </c>
      <c r="AO165" s="62">
        <f t="shared" si="144"/>
        <v>229.06617320689003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5.6200095006678608E-20</v>
      </c>
      <c r="AX165" s="23">
        <f t="shared" si="166"/>
        <v>5.6200095006678608E-20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>
        <f>BD165*VLOOKUP('Données projet'!$B$11,Paramètres!$A$1:$I$89,3,0)*VLOOKUP('Données projet'!$B$11,Paramètres!$A$1:$I$89,5,0)</f>
        <v>0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240.22884864766218</v>
      </c>
      <c r="BJ165" s="62">
        <f t="shared" si="146"/>
        <v>343.23776884143166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0.2649768746451886</v>
      </c>
      <c r="BR165" s="23">
        <f>EXP(-LN(2)/2)*BR164+(1-EXP(-LN(2)/2))/(LN(2)/2)*BL165*BO165*VLOOKUP('Données projet'!$B$11,Paramètres!$A$1:$I$89,3,0)*0.475*44/12</f>
        <v>2.2387175502355391E-19</v>
      </c>
      <c r="BS165" s="24">
        <f t="shared" si="169"/>
        <v>0.2649768746451886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-9.6633812063373625E-13</v>
      </c>
      <c r="BZ165" s="14">
        <f>BY165*VLOOKUP('Données projet'!$B$12,Paramètres!$A$1:$I$89,3,0)*VLOOKUP('Données projet'!$B$12,Paramètres!$A$1:$I$89,5,0)</f>
        <v>-8.7434273154940449E-13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428.8489304403459</v>
      </c>
      <c r="CE165" s="62">
        <f t="shared" si="148"/>
        <v>247.01165577562966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-1.7053025658242404E-13</v>
      </c>
      <c r="CU165" s="18">
        <f>CT165*VLOOKUP('Données projet'!$B$13,Paramètres!$A$1:$I$89,3,0)*VLOOKUP('Données projet'!$B$13,Paramètres!$A$1:$I$89,5,0)</f>
        <v>-1.3567387213697657E-13</v>
      </c>
      <c r="CV165" s="14" t="e">
        <f t="shared" si="173"/>
        <v>#NUM!</v>
      </c>
      <c r="CW165" s="22" t="e">
        <f t="shared" si="174"/>
        <v>#NUM!</v>
      </c>
      <c r="CX165" s="62" t="e">
        <f t="shared" si="122"/>
        <v>#NUM!</v>
      </c>
      <c r="CY165" s="62">
        <f ca="1">AVERAGE(OFFSET($CX$3,0,0,'Données projet'!$E$13+1,1))-AVERAGE(OFFSET($H$3,0,0,'Données projet'!$E$13+1,1))</f>
        <v>312.53381881960331</v>
      </c>
      <c r="CZ165" s="62">
        <f t="shared" si="150"/>
        <v>342.06887933351783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-1.7053025658242404E-13</v>
      </c>
      <c r="DP165" s="18">
        <f>DO165*VLOOKUP('Données projet'!$B$14,Paramètres!$A$1:$I$89,3,0)*VLOOKUP('Données projet'!$B$14,Paramètres!$A$1:$I$89,5,0)</f>
        <v>-1.250327841262333E-13</v>
      </c>
      <c r="DQ165" s="14" t="e">
        <f t="shared" si="176"/>
        <v>#NUM!</v>
      </c>
      <c r="DR165" s="22" t="e">
        <f t="shared" si="177"/>
        <v>#NUM!</v>
      </c>
      <c r="DS165" s="62" t="e">
        <f t="shared" si="125"/>
        <v>#NUM!</v>
      </c>
      <c r="DT165" s="62">
        <f ca="1">AVERAGE(OFFSET($DS$3,0,0,'Données projet'!$E$14+1,1))-AVERAGE(OFFSET($H$3,0,0,'Données projet'!$E$14+1,1))</f>
        <v>290.85271051443431</v>
      </c>
      <c r="DU165" s="62">
        <f t="shared" si="152"/>
        <v>318.66958823451142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0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3.4106051316484809E-13</v>
      </c>
      <c r="EK165" s="18">
        <f>EJ165*VLOOKUP('Données projet'!$B$15,Paramètres!$A$1:$I$89,3,0)*VLOOKUP('Données projet'!$B$15,Paramètres!$A$1:$I$89,5,0)</f>
        <v>2.9262992029543969E-13</v>
      </c>
      <c r="EL165" s="14">
        <f t="shared" si="179"/>
        <v>3.8796387982050903E-12</v>
      </c>
      <c r="EM165" s="22">
        <f t="shared" si="180"/>
        <v>7.2667013513884219E-12</v>
      </c>
      <c r="EN165" s="62">
        <f t="shared" si="128"/>
        <v>293.33333333334059</v>
      </c>
      <c r="EO165" s="62">
        <f ca="1">AVERAGE(OFFSET($EN$3,0,0,'Données projet'!$E$15+1,1))-AVERAGE(OFFSET($H$3,0,0,'Données projet'!$E$15+1,1))</f>
        <v>438.65317358403996</v>
      </c>
      <c r="EP165" s="62">
        <f t="shared" si="154"/>
        <v>176.81257896138806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0</v>
      </c>
      <c r="EW165" s="23">
        <f>EXP(-LN(2)/25)*EW164+(1-EXP(-LN(2)/25))/(LN(2)/25)*Calculateur!ER165*Calculateur!ET165*VLOOKUP('Données projet'!$B$15,Paramètres!$A$1:$I$89,3,0)*0.475*44/12</f>
        <v>0</v>
      </c>
      <c r="EX165" s="23">
        <f>EXP(-LN(2)/2)*EX164+(1-EXP(-LN(2)/2))/(LN(2)/2)*ER165*EU165*VLOOKUP('Données projet'!$B$15,Paramètres!$A$1:$I$89,3,0)*0.475*44/12</f>
        <v>0</v>
      </c>
      <c r="EY165" s="24">
        <f t="shared" si="181"/>
        <v>0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2.2737367544323206E-13</v>
      </c>
      <c r="O166" s="14">
        <f>N166*VLOOKUP('Données projet'!$B$9,Paramètres!$A$1:$I$89,3,0)*VLOOKUP('Données projet'!$B$9,Paramètres!$A$1:$I$89,5,0)</f>
        <v>1.2710188457276673E-13</v>
      </c>
      <c r="P166" s="14">
        <f t="shared" si="141"/>
        <v>1.856866851063998E-12</v>
      </c>
      <c r="Q166" s="22">
        <f t="shared" si="162"/>
        <v>3.4554122145673649E-12</v>
      </c>
      <c r="R166" s="62">
        <f t="shared" si="109"/>
        <v>293.33333333333678</v>
      </c>
      <c r="S166" s="62">
        <f ca="1">AVERAGE(OFFSET($R$3,0,0,'Données projet'!$E$9+1,1))-AVERAGE(OFFSET($H$3,0,0,'Données projet'!$E$9+1,1))</f>
        <v>323.98185264074681</v>
      </c>
      <c r="T166" s="62">
        <f t="shared" si="142"/>
        <v>301.22207291854005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0.32036630108058012</v>
      </c>
      <c r="AA166" s="23">
        <f>EXP(-LN(2)/25)*AA165+(1-EXP(-LN(2)/25))/(LN(2)/25)*Calculateur!V166*Calculateur!X166*VLOOKUP('Données projet'!$B$9,Paramètres!$A$1:$I$89,3,0)*0.475*44/12</f>
        <v>0.20645822856019672</v>
      </c>
      <c r="AB166" s="23">
        <f>EXP(-LN(2)/2)*AB165+(1-EXP(-LN(2)/2))/(LN(2)/2)*V166*Y166*VLOOKUP('Données projet'!$B$9,Paramètres!$A$1:$I$89,3,0)*0.475*44/12</f>
        <v>5.8339966690913062E-20</v>
      </c>
      <c r="AC166" s="24">
        <f t="shared" si="163"/>
        <v>0.52682452964077686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-2.8421709430404007E-13</v>
      </c>
      <c r="AJ166" s="14">
        <f>AI166*VLOOKUP('Données projet'!$B$10,Paramètres!$A$1:$I$89,3,0)*VLOOKUP('Données projet'!$B$10,Paramètres!$A$1:$I$89,5,0)</f>
        <v>-1.69961822393816E-13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289.12367833861299</v>
      </c>
      <c r="AO166" s="62">
        <f t="shared" si="144"/>
        <v>229.06617320689003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3.9739468282550673E-20</v>
      </c>
      <c r="AX166" s="23">
        <f t="shared" si="166"/>
        <v>3.9739468282550673E-20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>
        <f>BD166*VLOOKUP('Données projet'!$B$11,Paramètres!$A$1:$I$89,3,0)*VLOOKUP('Données projet'!$B$11,Paramètres!$A$1:$I$89,5,0)</f>
        <v>0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240.22884864766218</v>
      </c>
      <c r="BJ166" s="62">
        <f t="shared" si="146"/>
        <v>343.23776884143166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0.25773106807348767</v>
      </c>
      <c r="BR166" s="23">
        <f>EXP(-LN(2)/2)*BR165+(1-EXP(-LN(2)/2))/(LN(2)/2)*BL166*BO166*VLOOKUP('Données projet'!$B$11,Paramètres!$A$1:$I$89,3,0)*0.475*44/12</f>
        <v>1.5830123609328851E-19</v>
      </c>
      <c r="BS166" s="24">
        <f t="shared" si="169"/>
        <v>0.25773106807348767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-9.6633812063373625E-13</v>
      </c>
      <c r="BZ166" s="14">
        <f>BY166*VLOOKUP('Données projet'!$B$12,Paramètres!$A$1:$I$89,3,0)*VLOOKUP('Données projet'!$B$12,Paramètres!$A$1:$I$89,5,0)</f>
        <v>-8.7434273154940449E-13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428.8489304403459</v>
      </c>
      <c r="CE166" s="62">
        <f t="shared" si="148"/>
        <v>247.01165577562966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-1.7053025658242404E-13</v>
      </c>
      <c r="CU166" s="18">
        <f>CT166*VLOOKUP('Données projet'!$B$13,Paramètres!$A$1:$I$89,3,0)*VLOOKUP('Données projet'!$B$13,Paramètres!$A$1:$I$89,5,0)</f>
        <v>-1.3567387213697657E-13</v>
      </c>
      <c r="CV166" s="14" t="e">
        <f t="shared" si="173"/>
        <v>#NUM!</v>
      </c>
      <c r="CW166" s="22" t="e">
        <f t="shared" si="174"/>
        <v>#NUM!</v>
      </c>
      <c r="CX166" s="62" t="e">
        <f t="shared" si="122"/>
        <v>#NUM!</v>
      </c>
      <c r="CY166" s="62">
        <f ca="1">AVERAGE(OFFSET($CX$3,0,0,'Données projet'!$E$13+1,1))-AVERAGE(OFFSET($H$3,0,0,'Données projet'!$E$13+1,1))</f>
        <v>312.53381881960331</v>
      </c>
      <c r="CZ166" s="62">
        <f t="shared" si="150"/>
        <v>342.06887933351783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-1.7053025658242404E-13</v>
      </c>
      <c r="DP166" s="18">
        <f>DO166*VLOOKUP('Données projet'!$B$14,Paramètres!$A$1:$I$89,3,0)*VLOOKUP('Données projet'!$B$14,Paramètres!$A$1:$I$89,5,0)</f>
        <v>-1.250327841262333E-13</v>
      </c>
      <c r="DQ166" s="14" t="e">
        <f t="shared" si="176"/>
        <v>#NUM!</v>
      </c>
      <c r="DR166" s="22" t="e">
        <f t="shared" si="177"/>
        <v>#NUM!</v>
      </c>
      <c r="DS166" s="62" t="e">
        <f t="shared" si="125"/>
        <v>#NUM!</v>
      </c>
      <c r="DT166" s="62">
        <f ca="1">AVERAGE(OFFSET($DS$3,0,0,'Données projet'!$E$14+1,1))-AVERAGE(OFFSET($H$3,0,0,'Données projet'!$E$14+1,1))</f>
        <v>290.85271051443431</v>
      </c>
      <c r="DU166" s="62">
        <f t="shared" si="152"/>
        <v>318.66958823451142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0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3.4106051316484809E-13</v>
      </c>
      <c r="EK166" s="18">
        <f>EJ166*VLOOKUP('Données projet'!$B$15,Paramètres!$A$1:$I$89,3,0)*VLOOKUP('Données projet'!$B$15,Paramètres!$A$1:$I$89,5,0)</f>
        <v>2.9262992029543969E-13</v>
      </c>
      <c r="EL166" s="14">
        <f t="shared" si="179"/>
        <v>3.8796387982050903E-12</v>
      </c>
      <c r="EM166" s="22">
        <f t="shared" si="180"/>
        <v>7.2667013513884219E-12</v>
      </c>
      <c r="EN166" s="62">
        <f t="shared" si="128"/>
        <v>293.33333333334059</v>
      </c>
      <c r="EO166" s="62">
        <f ca="1">AVERAGE(OFFSET($EN$3,0,0,'Données projet'!$E$15+1,1))-AVERAGE(OFFSET($H$3,0,0,'Données projet'!$E$15+1,1))</f>
        <v>438.65317358403996</v>
      </c>
      <c r="EP166" s="62">
        <f t="shared" si="154"/>
        <v>176.81257896138806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0</v>
      </c>
      <c r="EW166" s="23">
        <f>EXP(-LN(2)/25)*EW165+(1-EXP(-LN(2)/25))/(LN(2)/25)*Calculateur!ER166*Calculateur!ET166*VLOOKUP('Données projet'!$B$15,Paramètres!$A$1:$I$89,3,0)*0.475*44/12</f>
        <v>0</v>
      </c>
      <c r="EX166" s="23">
        <f>EXP(-LN(2)/2)*EX165+(1-EXP(-LN(2)/2))/(LN(2)/2)*ER166*EU166*VLOOKUP('Données projet'!$B$15,Paramètres!$A$1:$I$89,3,0)*0.475*44/12</f>
        <v>0</v>
      </c>
      <c r="EY166" s="24">
        <f t="shared" si="181"/>
        <v>0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2.2737367544323206E-13</v>
      </c>
      <c r="O167" s="14">
        <f>N167*VLOOKUP('Données projet'!$B$9,Paramètres!$A$1:$I$89,3,0)*VLOOKUP('Données projet'!$B$9,Paramètres!$A$1:$I$89,5,0)</f>
        <v>1.2710188457276673E-13</v>
      </c>
      <c r="P167" s="14">
        <f t="shared" si="141"/>
        <v>1.856866851063998E-12</v>
      </c>
      <c r="Q167" s="22">
        <f t="shared" si="162"/>
        <v>3.4554122145673649E-12</v>
      </c>
      <c r="R167" s="62">
        <f t="shared" si="109"/>
        <v>293.33333333333678</v>
      </c>
      <c r="S167" s="62">
        <f ca="1">AVERAGE(OFFSET($R$3,0,0,'Données projet'!$E$9+1,1))-AVERAGE(OFFSET($H$3,0,0,'Données projet'!$E$9+1,1))</f>
        <v>323.98185264074681</v>
      </c>
      <c r="T167" s="62">
        <f t="shared" si="142"/>
        <v>301.22207291854005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0.31408411332053904</v>
      </c>
      <c r="AA167" s="23">
        <f>EXP(-LN(2)/25)*AA166+(1-EXP(-LN(2)/25))/(LN(2)/25)*Calculateur!V167*Calculateur!X167*VLOOKUP('Données projet'!$B$9,Paramètres!$A$1:$I$89,3,0)*0.475*44/12</f>
        <v>0.20081261744305176</v>
      </c>
      <c r="AB167" s="23">
        <f>EXP(-LN(2)/2)*AB166+(1-EXP(-LN(2)/2))/(LN(2)/2)*V167*Y167*VLOOKUP('Données projet'!$B$9,Paramètres!$A$1:$I$89,3,0)*0.475*44/12</f>
        <v>4.1252586061341934E-20</v>
      </c>
      <c r="AC167" s="24">
        <f t="shared" si="163"/>
        <v>0.51489673076359077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-2.8421709430404007E-13</v>
      </c>
      <c r="AJ167" s="14">
        <f>AI167*VLOOKUP('Données projet'!$B$10,Paramètres!$A$1:$I$89,3,0)*VLOOKUP('Données projet'!$B$10,Paramètres!$A$1:$I$89,5,0)</f>
        <v>-1.69961822393816E-13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289.12367833861299</v>
      </c>
      <c r="AO167" s="62">
        <f t="shared" si="144"/>
        <v>229.06617320689003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2.8100047503339304E-20</v>
      </c>
      <c r="AX167" s="23">
        <f t="shared" si="166"/>
        <v>2.8100047503339304E-20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>
        <f>BD167*VLOOKUP('Données projet'!$B$11,Paramètres!$A$1:$I$89,3,0)*VLOOKUP('Données projet'!$B$11,Paramètres!$A$1:$I$89,5,0)</f>
        <v>0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240.22884864766218</v>
      </c>
      <c r="BJ167" s="62">
        <f t="shared" si="146"/>
        <v>343.23776884143166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0.25068339846353033</v>
      </c>
      <c r="BR167" s="23">
        <f>EXP(-LN(2)/2)*BR166+(1-EXP(-LN(2)/2))/(LN(2)/2)*BL167*BO167*VLOOKUP('Données projet'!$B$11,Paramètres!$A$1:$I$89,3,0)*0.475*44/12</f>
        <v>1.1193587751177696E-19</v>
      </c>
      <c r="BS167" s="24">
        <f t="shared" si="169"/>
        <v>0.25068339846353033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-9.6633812063373625E-13</v>
      </c>
      <c r="BZ167" s="14">
        <f>BY167*VLOOKUP('Données projet'!$B$12,Paramètres!$A$1:$I$89,3,0)*VLOOKUP('Données projet'!$B$12,Paramètres!$A$1:$I$89,5,0)</f>
        <v>-8.7434273154940449E-13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428.8489304403459</v>
      </c>
      <c r="CE167" s="62">
        <f t="shared" si="148"/>
        <v>247.01165577562966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-1.7053025658242404E-13</v>
      </c>
      <c r="CU167" s="18">
        <f>CT167*VLOOKUP('Données projet'!$B$13,Paramètres!$A$1:$I$89,3,0)*VLOOKUP('Données projet'!$B$13,Paramètres!$A$1:$I$89,5,0)</f>
        <v>-1.3567387213697657E-13</v>
      </c>
      <c r="CV167" s="14" t="e">
        <f t="shared" si="173"/>
        <v>#NUM!</v>
      </c>
      <c r="CW167" s="22" t="e">
        <f t="shared" si="174"/>
        <v>#NUM!</v>
      </c>
      <c r="CX167" s="62" t="e">
        <f t="shared" si="122"/>
        <v>#NUM!</v>
      </c>
      <c r="CY167" s="62">
        <f ca="1">AVERAGE(OFFSET($CX$3,0,0,'Données projet'!$E$13+1,1))-AVERAGE(OFFSET($H$3,0,0,'Données projet'!$E$13+1,1))</f>
        <v>312.53381881960331</v>
      </c>
      <c r="CZ167" s="62">
        <f t="shared" si="150"/>
        <v>342.06887933351783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-1.7053025658242404E-13</v>
      </c>
      <c r="DP167" s="18">
        <f>DO167*VLOOKUP('Données projet'!$B$14,Paramètres!$A$1:$I$89,3,0)*VLOOKUP('Données projet'!$B$14,Paramètres!$A$1:$I$89,5,0)</f>
        <v>-1.250327841262333E-13</v>
      </c>
      <c r="DQ167" s="14" t="e">
        <f t="shared" si="176"/>
        <v>#NUM!</v>
      </c>
      <c r="DR167" s="22" t="e">
        <f t="shared" si="177"/>
        <v>#NUM!</v>
      </c>
      <c r="DS167" s="62" t="e">
        <f t="shared" si="125"/>
        <v>#NUM!</v>
      </c>
      <c r="DT167" s="62">
        <f ca="1">AVERAGE(OFFSET($DS$3,0,0,'Données projet'!$E$14+1,1))-AVERAGE(OFFSET($H$3,0,0,'Données projet'!$E$14+1,1))</f>
        <v>290.85271051443431</v>
      </c>
      <c r="DU167" s="62">
        <f t="shared" si="152"/>
        <v>318.66958823451142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0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3.4106051316484809E-13</v>
      </c>
      <c r="EK167" s="18">
        <f>EJ167*VLOOKUP('Données projet'!$B$15,Paramètres!$A$1:$I$89,3,0)*VLOOKUP('Données projet'!$B$15,Paramètres!$A$1:$I$89,5,0)</f>
        <v>2.9262992029543969E-13</v>
      </c>
      <c r="EL167" s="14">
        <f t="shared" si="179"/>
        <v>3.8796387982050903E-12</v>
      </c>
      <c r="EM167" s="22">
        <f t="shared" si="180"/>
        <v>7.2667013513884219E-12</v>
      </c>
      <c r="EN167" s="62">
        <f t="shared" si="128"/>
        <v>293.33333333334059</v>
      </c>
      <c r="EO167" s="62">
        <f ca="1">AVERAGE(OFFSET($EN$3,0,0,'Données projet'!$E$15+1,1))-AVERAGE(OFFSET($H$3,0,0,'Données projet'!$E$15+1,1))</f>
        <v>438.65317358403996</v>
      </c>
      <c r="EP167" s="62">
        <f t="shared" si="154"/>
        <v>176.81257896138806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0</v>
      </c>
      <c r="EW167" s="23">
        <f>EXP(-LN(2)/25)*EW166+(1-EXP(-LN(2)/25))/(LN(2)/25)*Calculateur!ER167*Calculateur!ET167*VLOOKUP('Données projet'!$B$15,Paramètres!$A$1:$I$89,3,0)*0.475*44/12</f>
        <v>0</v>
      </c>
      <c r="EX167" s="23">
        <f>EXP(-LN(2)/2)*EX166+(1-EXP(-LN(2)/2))/(LN(2)/2)*ER167*EU167*VLOOKUP('Données projet'!$B$15,Paramètres!$A$1:$I$89,3,0)*0.475*44/12</f>
        <v>0</v>
      </c>
      <c r="EY167" s="24">
        <f t="shared" si="181"/>
        <v>0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2.2737367544323206E-13</v>
      </c>
      <c r="O168" s="14">
        <f>N168*VLOOKUP('Données projet'!$B$9,Paramètres!$A$1:$I$89,3,0)*VLOOKUP('Données projet'!$B$9,Paramètres!$A$1:$I$89,5,0)</f>
        <v>1.2710188457276673E-13</v>
      </c>
      <c r="P168" s="14">
        <f t="shared" si="141"/>
        <v>1.856866851063998E-12</v>
      </c>
      <c r="Q168" s="22">
        <f t="shared" si="162"/>
        <v>3.4554122145673649E-12</v>
      </c>
      <c r="R168" s="62">
        <f t="shared" si="109"/>
        <v>293.33333333333678</v>
      </c>
      <c r="S168" s="62">
        <f ca="1">AVERAGE(OFFSET($R$3,0,0,'Données projet'!$E$9+1,1))-AVERAGE(OFFSET($H$3,0,0,'Données projet'!$E$9+1,1))</f>
        <v>323.98185264074681</v>
      </c>
      <c r="T168" s="62">
        <f t="shared" si="142"/>
        <v>301.22207291854005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0.30792511543071621</v>
      </c>
      <c r="AA168" s="23">
        <f>EXP(-LN(2)/25)*AA167+(1-EXP(-LN(2)/25))/(LN(2)/25)*Calculateur!V168*Calculateur!X168*VLOOKUP('Données projet'!$B$9,Paramètres!$A$1:$I$89,3,0)*0.475*44/12</f>
        <v>0.19532138585879491</v>
      </c>
      <c r="AB168" s="23">
        <f>EXP(-LN(2)/2)*AB167+(1-EXP(-LN(2)/2))/(LN(2)/2)*V168*Y168*VLOOKUP('Données projet'!$B$9,Paramètres!$A$1:$I$89,3,0)*0.475*44/12</f>
        <v>2.9169983345456531E-20</v>
      </c>
      <c r="AC168" s="24">
        <f t="shared" si="163"/>
        <v>0.50324650128951109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-2.8421709430404007E-13</v>
      </c>
      <c r="AJ168" s="14">
        <f>AI168*VLOOKUP('Données projet'!$B$10,Paramètres!$A$1:$I$89,3,0)*VLOOKUP('Données projet'!$B$10,Paramètres!$A$1:$I$89,5,0)</f>
        <v>-1.69961822393816E-13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289.12367833861299</v>
      </c>
      <c r="AO168" s="62">
        <f t="shared" si="144"/>
        <v>229.06617320689003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1.9869734141275337E-20</v>
      </c>
      <c r="AX168" s="23">
        <f t="shared" si="166"/>
        <v>1.9869734141275337E-20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>
        <f>BD168*VLOOKUP('Données projet'!$B$11,Paramètres!$A$1:$I$89,3,0)*VLOOKUP('Données projet'!$B$11,Paramètres!$A$1:$I$89,5,0)</f>
        <v>0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240.22884864766218</v>
      </c>
      <c r="BJ168" s="62">
        <f t="shared" si="146"/>
        <v>343.23776884143166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0.2438284477496781</v>
      </c>
      <c r="BR168" s="23">
        <f>EXP(-LN(2)/2)*BR167+(1-EXP(-LN(2)/2))/(LN(2)/2)*BL168*BO168*VLOOKUP('Données projet'!$B$11,Paramètres!$A$1:$I$89,3,0)*0.475*44/12</f>
        <v>7.9150618046644255E-20</v>
      </c>
      <c r="BS168" s="24">
        <f t="shared" si="169"/>
        <v>0.2438284477496781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-9.6633812063373625E-13</v>
      </c>
      <c r="BZ168" s="14">
        <f>BY168*VLOOKUP('Données projet'!$B$12,Paramètres!$A$1:$I$89,3,0)*VLOOKUP('Données projet'!$B$12,Paramètres!$A$1:$I$89,5,0)</f>
        <v>-8.7434273154940449E-13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428.8489304403459</v>
      </c>
      <c r="CE168" s="62">
        <f t="shared" si="148"/>
        <v>247.01165577562966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-1.7053025658242404E-13</v>
      </c>
      <c r="CU168" s="18">
        <f>CT168*VLOOKUP('Données projet'!$B$13,Paramètres!$A$1:$I$89,3,0)*VLOOKUP('Données projet'!$B$13,Paramètres!$A$1:$I$89,5,0)</f>
        <v>-1.3567387213697657E-13</v>
      </c>
      <c r="CV168" s="14" t="e">
        <f t="shared" si="173"/>
        <v>#NUM!</v>
      </c>
      <c r="CW168" s="22" t="e">
        <f t="shared" si="174"/>
        <v>#NUM!</v>
      </c>
      <c r="CX168" s="62" t="e">
        <f t="shared" si="122"/>
        <v>#NUM!</v>
      </c>
      <c r="CY168" s="62">
        <f ca="1">AVERAGE(OFFSET($CX$3,0,0,'Données projet'!$E$13+1,1))-AVERAGE(OFFSET($H$3,0,0,'Données projet'!$E$13+1,1))</f>
        <v>312.53381881960331</v>
      </c>
      <c r="CZ168" s="62">
        <f t="shared" si="150"/>
        <v>342.06887933351783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-1.7053025658242404E-13</v>
      </c>
      <c r="DP168" s="18">
        <f>DO168*VLOOKUP('Données projet'!$B$14,Paramètres!$A$1:$I$89,3,0)*VLOOKUP('Données projet'!$B$14,Paramètres!$A$1:$I$89,5,0)</f>
        <v>-1.250327841262333E-13</v>
      </c>
      <c r="DQ168" s="14" t="e">
        <f t="shared" si="176"/>
        <v>#NUM!</v>
      </c>
      <c r="DR168" s="22" t="e">
        <f t="shared" si="177"/>
        <v>#NUM!</v>
      </c>
      <c r="DS168" s="62" t="e">
        <f t="shared" si="125"/>
        <v>#NUM!</v>
      </c>
      <c r="DT168" s="62">
        <f ca="1">AVERAGE(OFFSET($DS$3,0,0,'Données projet'!$E$14+1,1))-AVERAGE(OFFSET($H$3,0,0,'Données projet'!$E$14+1,1))</f>
        <v>290.85271051443431</v>
      </c>
      <c r="DU168" s="62">
        <f t="shared" si="152"/>
        <v>318.66958823451142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0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3.4106051316484809E-13</v>
      </c>
      <c r="EK168" s="18">
        <f>EJ168*VLOOKUP('Données projet'!$B$15,Paramètres!$A$1:$I$89,3,0)*VLOOKUP('Données projet'!$B$15,Paramètres!$A$1:$I$89,5,0)</f>
        <v>2.9262992029543969E-13</v>
      </c>
      <c r="EL168" s="14">
        <f t="shared" si="179"/>
        <v>3.8796387982050903E-12</v>
      </c>
      <c r="EM168" s="22">
        <f t="shared" si="180"/>
        <v>7.2667013513884219E-12</v>
      </c>
      <c r="EN168" s="62">
        <f t="shared" si="128"/>
        <v>293.33333333334059</v>
      </c>
      <c r="EO168" s="62">
        <f ca="1">AVERAGE(OFFSET($EN$3,0,0,'Données projet'!$E$15+1,1))-AVERAGE(OFFSET($H$3,0,0,'Données projet'!$E$15+1,1))</f>
        <v>438.65317358403996</v>
      </c>
      <c r="EP168" s="62">
        <f t="shared" si="154"/>
        <v>176.81257896138806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0</v>
      </c>
      <c r="EW168" s="23">
        <f>EXP(-LN(2)/25)*EW167+(1-EXP(-LN(2)/25))/(LN(2)/25)*Calculateur!ER168*Calculateur!ET168*VLOOKUP('Données projet'!$B$15,Paramètres!$A$1:$I$89,3,0)*0.475*44/12</f>
        <v>0</v>
      </c>
      <c r="EX168" s="23">
        <f>EXP(-LN(2)/2)*EX167+(1-EXP(-LN(2)/2))/(LN(2)/2)*ER168*EU168*VLOOKUP('Données projet'!$B$15,Paramètres!$A$1:$I$89,3,0)*0.475*44/12</f>
        <v>0</v>
      </c>
      <c r="EY168" s="24">
        <f t="shared" si="181"/>
        <v>0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2.2737367544323206E-13</v>
      </c>
      <c r="O169" s="14">
        <f>N169*VLOOKUP('Données projet'!$B$9,Paramètres!$A$1:$I$89,3,0)*VLOOKUP('Données projet'!$B$9,Paramètres!$A$1:$I$89,5,0)</f>
        <v>1.2710188457276673E-13</v>
      </c>
      <c r="P169" s="14">
        <f t="shared" si="141"/>
        <v>1.856866851063998E-12</v>
      </c>
      <c r="Q169" s="22">
        <f t="shared" si="162"/>
        <v>3.4554122145673649E-12</v>
      </c>
      <c r="R169" s="62">
        <f t="shared" si="109"/>
        <v>293.33333333333678</v>
      </c>
      <c r="S169" s="62">
        <f ca="1">AVERAGE(OFFSET($R$3,0,0,'Données projet'!$E$9+1,1))-AVERAGE(OFFSET($H$3,0,0,'Données projet'!$E$9+1,1))</f>
        <v>323.98185264074681</v>
      </c>
      <c r="T169" s="62">
        <f t="shared" si="142"/>
        <v>301.22207291854005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0.30188689173289501</v>
      </c>
      <c r="AA169" s="23">
        <f>EXP(-LN(2)/25)*AA168+(1-EXP(-LN(2)/25))/(LN(2)/25)*Calculateur!V169*Calculateur!X169*VLOOKUP('Données projet'!$B$9,Paramètres!$A$1:$I$89,3,0)*0.475*44/12</f>
        <v>0.18998031229098089</v>
      </c>
      <c r="AB169" s="23">
        <f>EXP(-LN(2)/2)*AB168+(1-EXP(-LN(2)/2))/(LN(2)/2)*V169*Y169*VLOOKUP('Données projet'!$B$9,Paramètres!$A$1:$I$89,3,0)*0.475*44/12</f>
        <v>2.0626293030670967E-20</v>
      </c>
      <c r="AC169" s="24">
        <f t="shared" si="163"/>
        <v>0.4918672040238759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-2.8421709430404007E-13</v>
      </c>
      <c r="AJ169" s="14">
        <f>AI169*VLOOKUP('Données projet'!$B$10,Paramètres!$A$1:$I$89,3,0)*VLOOKUP('Données projet'!$B$10,Paramètres!$A$1:$I$89,5,0)</f>
        <v>-1.69961822393816E-13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289.12367833861299</v>
      </c>
      <c r="AO169" s="62">
        <f t="shared" si="144"/>
        <v>229.06617320689003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1.4050023751669652E-20</v>
      </c>
      <c r="AX169" s="23">
        <f t="shared" si="166"/>
        <v>1.4050023751669652E-20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>
        <f>BD169*VLOOKUP('Données projet'!$B$11,Paramètres!$A$1:$I$89,3,0)*VLOOKUP('Données projet'!$B$11,Paramètres!$A$1:$I$89,5,0)</f>
        <v>0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240.22884864766218</v>
      </c>
      <c r="BJ169" s="62">
        <f t="shared" si="146"/>
        <v>343.23776884143166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0.23716094602358237</v>
      </c>
      <c r="BR169" s="23">
        <f>EXP(-LN(2)/2)*BR168+(1-EXP(-LN(2)/2))/(LN(2)/2)*BL169*BO169*VLOOKUP('Données projet'!$B$11,Paramètres!$A$1:$I$89,3,0)*0.475*44/12</f>
        <v>5.5967938755888478E-20</v>
      </c>
      <c r="BS169" s="24">
        <f t="shared" si="169"/>
        <v>0.23716094602358237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-9.6633812063373625E-13</v>
      </c>
      <c r="BZ169" s="14">
        <f>BY169*VLOOKUP('Données projet'!$B$12,Paramètres!$A$1:$I$89,3,0)*VLOOKUP('Données projet'!$B$12,Paramètres!$A$1:$I$89,5,0)</f>
        <v>-8.7434273154940449E-13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428.8489304403459</v>
      </c>
      <c r="CE169" s="62">
        <f t="shared" si="148"/>
        <v>247.01165577562966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-1.7053025658242404E-13</v>
      </c>
      <c r="CU169" s="18">
        <f>CT169*VLOOKUP('Données projet'!$B$13,Paramètres!$A$1:$I$89,3,0)*VLOOKUP('Données projet'!$B$13,Paramètres!$A$1:$I$89,5,0)</f>
        <v>-1.3567387213697657E-13</v>
      </c>
      <c r="CV169" s="14" t="e">
        <f t="shared" si="173"/>
        <v>#NUM!</v>
      </c>
      <c r="CW169" s="22" t="e">
        <f t="shared" si="174"/>
        <v>#NUM!</v>
      </c>
      <c r="CX169" s="62" t="e">
        <f t="shared" si="122"/>
        <v>#NUM!</v>
      </c>
      <c r="CY169" s="62">
        <f ca="1">AVERAGE(OFFSET($CX$3,0,0,'Données projet'!$E$13+1,1))-AVERAGE(OFFSET($H$3,0,0,'Données projet'!$E$13+1,1))</f>
        <v>312.53381881960331</v>
      </c>
      <c r="CZ169" s="62">
        <f t="shared" si="150"/>
        <v>342.06887933351783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-1.7053025658242404E-13</v>
      </c>
      <c r="DP169" s="18">
        <f>DO169*VLOOKUP('Données projet'!$B$14,Paramètres!$A$1:$I$89,3,0)*VLOOKUP('Données projet'!$B$14,Paramètres!$A$1:$I$89,5,0)</f>
        <v>-1.250327841262333E-13</v>
      </c>
      <c r="DQ169" s="14" t="e">
        <f t="shared" si="176"/>
        <v>#NUM!</v>
      </c>
      <c r="DR169" s="22" t="e">
        <f t="shared" si="177"/>
        <v>#NUM!</v>
      </c>
      <c r="DS169" s="62" t="e">
        <f t="shared" si="125"/>
        <v>#NUM!</v>
      </c>
      <c r="DT169" s="62">
        <f ca="1">AVERAGE(OFFSET($DS$3,0,0,'Données projet'!$E$14+1,1))-AVERAGE(OFFSET($H$3,0,0,'Données projet'!$E$14+1,1))</f>
        <v>290.85271051443431</v>
      </c>
      <c r="DU169" s="62">
        <f t="shared" si="152"/>
        <v>318.66958823451142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0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3.4106051316484809E-13</v>
      </c>
      <c r="EK169" s="18">
        <f>EJ169*VLOOKUP('Données projet'!$B$15,Paramètres!$A$1:$I$89,3,0)*VLOOKUP('Données projet'!$B$15,Paramètres!$A$1:$I$89,5,0)</f>
        <v>2.9262992029543969E-13</v>
      </c>
      <c r="EL169" s="14">
        <f t="shared" si="179"/>
        <v>3.8796387982050903E-12</v>
      </c>
      <c r="EM169" s="22">
        <f t="shared" si="180"/>
        <v>7.2667013513884219E-12</v>
      </c>
      <c r="EN169" s="62">
        <f t="shared" si="128"/>
        <v>293.33333333334059</v>
      </c>
      <c r="EO169" s="62">
        <f ca="1">AVERAGE(OFFSET($EN$3,0,0,'Données projet'!$E$15+1,1))-AVERAGE(OFFSET($H$3,0,0,'Données projet'!$E$15+1,1))</f>
        <v>438.65317358403996</v>
      </c>
      <c r="EP169" s="62">
        <f t="shared" si="154"/>
        <v>176.81257896138806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0</v>
      </c>
      <c r="EW169" s="23">
        <f>EXP(-LN(2)/25)*EW168+(1-EXP(-LN(2)/25))/(LN(2)/25)*Calculateur!ER169*Calculateur!ET169*VLOOKUP('Données projet'!$B$15,Paramètres!$A$1:$I$89,3,0)*0.475*44/12</f>
        <v>0</v>
      </c>
      <c r="EX169" s="23">
        <f>EXP(-LN(2)/2)*EX168+(1-EXP(-LN(2)/2))/(LN(2)/2)*ER169*EU169*VLOOKUP('Données projet'!$B$15,Paramètres!$A$1:$I$89,3,0)*0.475*44/12</f>
        <v>0</v>
      </c>
      <c r="EY169" s="24">
        <f t="shared" si="181"/>
        <v>0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2.2737367544323206E-13</v>
      </c>
      <c r="O170" s="14">
        <f>N170*VLOOKUP('Données projet'!$B$9,Paramètres!$A$1:$I$89,3,0)*VLOOKUP('Données projet'!$B$9,Paramètres!$A$1:$I$89,5,0)</f>
        <v>1.2710188457276673E-13</v>
      </c>
      <c r="P170" s="14">
        <f t="shared" si="141"/>
        <v>1.856866851063998E-12</v>
      </c>
      <c r="Q170" s="22">
        <f t="shared" si="162"/>
        <v>3.4554122145673649E-12</v>
      </c>
      <c r="R170" s="62">
        <f t="shared" si="109"/>
        <v>293.33333333333678</v>
      </c>
      <c r="S170" s="62">
        <f ca="1">AVERAGE(OFFSET($R$3,0,0,'Données projet'!$E$9+1,1))-AVERAGE(OFFSET($H$3,0,0,'Données projet'!$E$9+1,1))</f>
        <v>323.98185264074681</v>
      </c>
      <c r="T170" s="62">
        <f t="shared" si="142"/>
        <v>301.22207291854005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0.29596707391883531</v>
      </c>
      <c r="AA170" s="23">
        <f>EXP(-LN(2)/25)*AA169+(1-EXP(-LN(2)/25))/(LN(2)/25)*Calculateur!V170*Calculateur!X170*VLOOKUP('Données projet'!$B$9,Paramètres!$A$1:$I$89,3,0)*0.475*44/12</f>
        <v>0.18478529066075361</v>
      </c>
      <c r="AB170" s="23">
        <f>EXP(-LN(2)/2)*AB169+(1-EXP(-LN(2)/2))/(LN(2)/2)*V170*Y170*VLOOKUP('Données projet'!$B$9,Paramètres!$A$1:$I$89,3,0)*0.475*44/12</f>
        <v>1.4584991672728265E-20</v>
      </c>
      <c r="AC170" s="24">
        <f t="shared" si="163"/>
        <v>0.48075236457958892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-2.8421709430404007E-13</v>
      </c>
      <c r="AJ170" s="14">
        <f>AI170*VLOOKUP('Données projet'!$B$10,Paramètres!$A$1:$I$89,3,0)*VLOOKUP('Données projet'!$B$10,Paramètres!$A$1:$I$89,5,0)</f>
        <v>-1.69961822393816E-13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289.12367833861299</v>
      </c>
      <c r="AO170" s="62">
        <f t="shared" si="144"/>
        <v>229.06617320689003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9.9348670706376683E-21</v>
      </c>
      <c r="AX170" s="23">
        <f t="shared" si="166"/>
        <v>9.9348670706376683E-21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>
        <f>BD170*VLOOKUP('Données projet'!$B$11,Paramètres!$A$1:$I$89,3,0)*VLOOKUP('Données projet'!$B$11,Paramètres!$A$1:$I$89,5,0)</f>
        <v>0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240.22884864766218</v>
      </c>
      <c r="BJ170" s="62">
        <f t="shared" si="146"/>
        <v>343.23776884143166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0.2306757674828154</v>
      </c>
      <c r="BR170" s="23">
        <f>EXP(-LN(2)/2)*BR169+(1-EXP(-LN(2)/2))/(LN(2)/2)*BL170*BO170*VLOOKUP('Données projet'!$B$11,Paramètres!$A$1:$I$89,3,0)*0.475*44/12</f>
        <v>3.9575309023322127E-20</v>
      </c>
      <c r="BS170" s="24">
        <f t="shared" si="169"/>
        <v>0.2306757674828154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-9.6633812063373625E-13</v>
      </c>
      <c r="BZ170" s="14">
        <f>BY170*VLOOKUP('Données projet'!$B$12,Paramètres!$A$1:$I$89,3,0)*VLOOKUP('Données projet'!$B$12,Paramètres!$A$1:$I$89,5,0)</f>
        <v>-8.7434273154940449E-13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428.8489304403459</v>
      </c>
      <c r="CE170" s="62">
        <f t="shared" si="148"/>
        <v>247.01165577562966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-1.7053025658242404E-13</v>
      </c>
      <c r="CU170" s="18">
        <f>CT170*VLOOKUP('Données projet'!$B$13,Paramètres!$A$1:$I$89,3,0)*VLOOKUP('Données projet'!$B$13,Paramètres!$A$1:$I$89,5,0)</f>
        <v>-1.3567387213697657E-13</v>
      </c>
      <c r="CV170" s="14" t="e">
        <f t="shared" si="173"/>
        <v>#NUM!</v>
      </c>
      <c r="CW170" s="22" t="e">
        <f t="shared" si="174"/>
        <v>#NUM!</v>
      </c>
      <c r="CX170" s="62" t="e">
        <f t="shared" si="122"/>
        <v>#NUM!</v>
      </c>
      <c r="CY170" s="62">
        <f ca="1">AVERAGE(OFFSET($CX$3,0,0,'Données projet'!$E$13+1,1))-AVERAGE(OFFSET($H$3,0,0,'Données projet'!$E$13+1,1))</f>
        <v>312.53381881960331</v>
      </c>
      <c r="CZ170" s="62">
        <f t="shared" si="150"/>
        <v>342.06887933351783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-1.7053025658242404E-13</v>
      </c>
      <c r="DP170" s="18">
        <f>DO170*VLOOKUP('Données projet'!$B$14,Paramètres!$A$1:$I$89,3,0)*VLOOKUP('Données projet'!$B$14,Paramètres!$A$1:$I$89,5,0)</f>
        <v>-1.250327841262333E-13</v>
      </c>
      <c r="DQ170" s="14" t="e">
        <f t="shared" si="176"/>
        <v>#NUM!</v>
      </c>
      <c r="DR170" s="22" t="e">
        <f t="shared" si="177"/>
        <v>#NUM!</v>
      </c>
      <c r="DS170" s="62" t="e">
        <f t="shared" si="125"/>
        <v>#NUM!</v>
      </c>
      <c r="DT170" s="62">
        <f ca="1">AVERAGE(OFFSET($DS$3,0,0,'Données projet'!$E$14+1,1))-AVERAGE(OFFSET($H$3,0,0,'Données projet'!$E$14+1,1))</f>
        <v>290.85271051443431</v>
      </c>
      <c r="DU170" s="62">
        <f t="shared" si="152"/>
        <v>318.66958823451142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0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3.4106051316484809E-13</v>
      </c>
      <c r="EK170" s="18">
        <f>EJ170*VLOOKUP('Données projet'!$B$15,Paramètres!$A$1:$I$89,3,0)*VLOOKUP('Données projet'!$B$15,Paramètres!$A$1:$I$89,5,0)</f>
        <v>2.9262992029543969E-13</v>
      </c>
      <c r="EL170" s="14">
        <f t="shared" si="179"/>
        <v>3.8796387982050903E-12</v>
      </c>
      <c r="EM170" s="22">
        <f t="shared" si="180"/>
        <v>7.2667013513884219E-12</v>
      </c>
      <c r="EN170" s="62">
        <f t="shared" si="128"/>
        <v>293.33333333334059</v>
      </c>
      <c r="EO170" s="62">
        <f ca="1">AVERAGE(OFFSET($EN$3,0,0,'Données projet'!$E$15+1,1))-AVERAGE(OFFSET($H$3,0,0,'Données projet'!$E$15+1,1))</f>
        <v>438.65317358403996</v>
      </c>
      <c r="EP170" s="62">
        <f t="shared" si="154"/>
        <v>176.81257896138806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0</v>
      </c>
      <c r="EW170" s="23">
        <f>EXP(-LN(2)/25)*EW169+(1-EXP(-LN(2)/25))/(LN(2)/25)*Calculateur!ER170*Calculateur!ET170*VLOOKUP('Données projet'!$B$15,Paramètres!$A$1:$I$89,3,0)*0.475*44/12</f>
        <v>0</v>
      </c>
      <c r="EX170" s="23">
        <f>EXP(-LN(2)/2)*EX169+(1-EXP(-LN(2)/2))/(LN(2)/2)*ER170*EU170*VLOOKUP('Données projet'!$B$15,Paramètres!$A$1:$I$89,3,0)*0.475*44/12</f>
        <v>0</v>
      </c>
      <c r="EY170" s="24">
        <f t="shared" si="181"/>
        <v>0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2.2737367544323206E-13</v>
      </c>
      <c r="O171" s="14">
        <f>N171*VLOOKUP('Données projet'!$B$9,Paramètres!$A$1:$I$89,3,0)*VLOOKUP('Données projet'!$B$9,Paramètres!$A$1:$I$89,5,0)</f>
        <v>1.2710188457276673E-13</v>
      </c>
      <c r="P171" s="14">
        <f t="shared" si="141"/>
        <v>1.856866851063998E-12</v>
      </c>
      <c r="Q171" s="22">
        <f t="shared" si="162"/>
        <v>3.4554122145673649E-12</v>
      </c>
      <c r="R171" s="62">
        <f t="shared" si="109"/>
        <v>293.33333333333678</v>
      </c>
      <c r="S171" s="62">
        <f ca="1">AVERAGE(OFFSET($R$3,0,0,'Données projet'!$E$9+1,1))-AVERAGE(OFFSET($H$3,0,0,'Données projet'!$E$9+1,1))</f>
        <v>323.98185264074681</v>
      </c>
      <c r="T171" s="62">
        <f t="shared" si="142"/>
        <v>301.22207291854005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0.29016334012137696</v>
      </c>
      <c r="AA171" s="23">
        <f>EXP(-LN(2)/25)*AA170+(1-EXP(-LN(2)/25))/(LN(2)/25)*Calculateur!V171*Calculateur!X171*VLOOKUP('Données projet'!$B$9,Paramètres!$A$1:$I$89,3,0)*0.475*44/12</f>
        <v>0.17973232717019919</v>
      </c>
      <c r="AB171" s="23">
        <f>EXP(-LN(2)/2)*AB170+(1-EXP(-LN(2)/2))/(LN(2)/2)*V171*Y171*VLOOKUP('Données projet'!$B$9,Paramètres!$A$1:$I$89,3,0)*0.475*44/12</f>
        <v>1.0313146515335484E-20</v>
      </c>
      <c r="AC171" s="24">
        <f t="shared" si="163"/>
        <v>0.46989566729157617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-2.8421709430404007E-13</v>
      </c>
      <c r="AJ171" s="14">
        <f>AI171*VLOOKUP('Données projet'!$B$10,Paramètres!$A$1:$I$89,3,0)*VLOOKUP('Données projet'!$B$10,Paramètres!$A$1:$I$89,5,0)</f>
        <v>-1.69961822393816E-13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289.12367833861299</v>
      </c>
      <c r="AO171" s="62">
        <f t="shared" si="144"/>
        <v>229.06617320689003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7.025011875834826E-21</v>
      </c>
      <c r="AX171" s="23">
        <f t="shared" si="166"/>
        <v>7.025011875834826E-21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>
        <f>BD171*VLOOKUP('Données projet'!$B$11,Paramètres!$A$1:$I$89,3,0)*VLOOKUP('Données projet'!$B$11,Paramètres!$A$1:$I$89,5,0)</f>
        <v>0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240.22884864766218</v>
      </c>
      <c r="BJ171" s="62">
        <f t="shared" si="146"/>
        <v>343.23776884143166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0.22436792649028642</v>
      </c>
      <c r="BR171" s="23">
        <f>EXP(-LN(2)/2)*BR170+(1-EXP(-LN(2)/2))/(LN(2)/2)*BL171*BO171*VLOOKUP('Données projet'!$B$11,Paramètres!$A$1:$I$89,3,0)*0.475*44/12</f>
        <v>2.7983969377944239E-20</v>
      </c>
      <c r="BS171" s="24">
        <f t="shared" si="169"/>
        <v>0.22436792649028642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-9.6633812063373625E-13</v>
      </c>
      <c r="BZ171" s="14">
        <f>BY171*VLOOKUP('Données projet'!$B$12,Paramètres!$A$1:$I$89,3,0)*VLOOKUP('Données projet'!$B$12,Paramètres!$A$1:$I$89,5,0)</f>
        <v>-8.7434273154940449E-13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428.8489304403459</v>
      </c>
      <c r="CE171" s="62">
        <f t="shared" si="148"/>
        <v>247.01165577562966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-1.7053025658242404E-13</v>
      </c>
      <c r="CU171" s="18">
        <f>CT171*VLOOKUP('Données projet'!$B$13,Paramètres!$A$1:$I$89,3,0)*VLOOKUP('Données projet'!$B$13,Paramètres!$A$1:$I$89,5,0)</f>
        <v>-1.3567387213697657E-13</v>
      </c>
      <c r="CV171" s="14" t="e">
        <f t="shared" si="173"/>
        <v>#NUM!</v>
      </c>
      <c r="CW171" s="22" t="e">
        <f t="shared" si="174"/>
        <v>#NUM!</v>
      </c>
      <c r="CX171" s="62" t="e">
        <f t="shared" si="122"/>
        <v>#NUM!</v>
      </c>
      <c r="CY171" s="62">
        <f ca="1">AVERAGE(OFFSET($CX$3,0,0,'Données projet'!$E$13+1,1))-AVERAGE(OFFSET($H$3,0,0,'Données projet'!$E$13+1,1))</f>
        <v>312.53381881960331</v>
      </c>
      <c r="CZ171" s="62">
        <f t="shared" si="150"/>
        <v>342.06887933351783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-1.7053025658242404E-13</v>
      </c>
      <c r="DP171" s="18">
        <f>DO171*VLOOKUP('Données projet'!$B$14,Paramètres!$A$1:$I$89,3,0)*VLOOKUP('Données projet'!$B$14,Paramètres!$A$1:$I$89,5,0)</f>
        <v>-1.250327841262333E-13</v>
      </c>
      <c r="DQ171" s="14" t="e">
        <f t="shared" si="176"/>
        <v>#NUM!</v>
      </c>
      <c r="DR171" s="22" t="e">
        <f t="shared" si="177"/>
        <v>#NUM!</v>
      </c>
      <c r="DS171" s="62" t="e">
        <f t="shared" si="125"/>
        <v>#NUM!</v>
      </c>
      <c r="DT171" s="62">
        <f ca="1">AVERAGE(OFFSET($DS$3,0,0,'Données projet'!$E$14+1,1))-AVERAGE(OFFSET($H$3,0,0,'Données projet'!$E$14+1,1))</f>
        <v>290.85271051443431</v>
      </c>
      <c r="DU171" s="62">
        <f t="shared" si="152"/>
        <v>318.66958823451142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0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3.4106051316484809E-13</v>
      </c>
      <c r="EK171" s="18">
        <f>EJ171*VLOOKUP('Données projet'!$B$15,Paramètres!$A$1:$I$89,3,0)*VLOOKUP('Données projet'!$B$15,Paramètres!$A$1:$I$89,5,0)</f>
        <v>2.9262992029543969E-13</v>
      </c>
      <c r="EL171" s="14">
        <f t="shared" si="179"/>
        <v>3.8796387982050903E-12</v>
      </c>
      <c r="EM171" s="22">
        <f t="shared" si="180"/>
        <v>7.2667013513884219E-12</v>
      </c>
      <c r="EN171" s="62">
        <f t="shared" si="128"/>
        <v>293.33333333334059</v>
      </c>
      <c r="EO171" s="62">
        <f ca="1">AVERAGE(OFFSET($EN$3,0,0,'Données projet'!$E$15+1,1))-AVERAGE(OFFSET($H$3,0,0,'Données projet'!$E$15+1,1))</f>
        <v>438.65317358403996</v>
      </c>
      <c r="EP171" s="62">
        <f t="shared" si="154"/>
        <v>176.81257896138806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0</v>
      </c>
      <c r="EW171" s="23">
        <f>EXP(-LN(2)/25)*EW170+(1-EXP(-LN(2)/25))/(LN(2)/25)*Calculateur!ER171*Calculateur!ET171*VLOOKUP('Données projet'!$B$15,Paramètres!$A$1:$I$89,3,0)*0.475*44/12</f>
        <v>0</v>
      </c>
      <c r="EX171" s="23">
        <f>EXP(-LN(2)/2)*EX170+(1-EXP(-LN(2)/2))/(LN(2)/2)*ER171*EU171*VLOOKUP('Données projet'!$B$15,Paramètres!$A$1:$I$89,3,0)*0.475*44/12</f>
        <v>0</v>
      </c>
      <c r="EY171" s="24">
        <f t="shared" si="181"/>
        <v>0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2.2737367544323206E-13</v>
      </c>
      <c r="O172" s="14">
        <f>N172*VLOOKUP('Données projet'!$B$9,Paramètres!$A$1:$I$89,3,0)*VLOOKUP('Données projet'!$B$9,Paramètres!$A$1:$I$89,5,0)</f>
        <v>1.2710188457276673E-13</v>
      </c>
      <c r="P172" s="14">
        <f t="shared" si="141"/>
        <v>1.856866851063998E-12</v>
      </c>
      <c r="Q172" s="22">
        <f t="shared" si="162"/>
        <v>3.4554122145673649E-12</v>
      </c>
      <c r="R172" s="62">
        <f t="shared" si="109"/>
        <v>293.33333333333678</v>
      </c>
      <c r="S172" s="62">
        <f ca="1">AVERAGE(OFFSET($R$3,0,0,'Données projet'!$E$9+1,1))-AVERAGE(OFFSET($H$3,0,0,'Données projet'!$E$9+1,1))</f>
        <v>323.98185264074681</v>
      </c>
      <c r="T172" s="62">
        <f t="shared" si="142"/>
        <v>301.22207291854005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0.2844734140037587</v>
      </c>
      <c r="AA172" s="23">
        <f>EXP(-LN(2)/25)*AA171+(1-EXP(-LN(2)/25))/(LN(2)/25)*Calculateur!V172*Calculateur!X172*VLOOKUP('Données projet'!$B$9,Paramètres!$A$1:$I$89,3,0)*0.475*44/12</f>
        <v>0.17481753723201779</v>
      </c>
      <c r="AB172" s="23">
        <f>EXP(-LN(2)/2)*AB171+(1-EXP(-LN(2)/2))/(LN(2)/2)*V172*Y172*VLOOKUP('Données projet'!$B$9,Paramètres!$A$1:$I$89,3,0)*0.475*44/12</f>
        <v>7.2924958363641327E-21</v>
      </c>
      <c r="AC172" s="24">
        <f t="shared" si="163"/>
        <v>0.45929095123577646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-2.8421709430404007E-13</v>
      </c>
      <c r="AJ172" s="14">
        <f>AI172*VLOOKUP('Données projet'!$B$10,Paramètres!$A$1:$I$89,3,0)*VLOOKUP('Données projet'!$B$10,Paramètres!$A$1:$I$89,5,0)</f>
        <v>-1.69961822393816E-13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289.12367833861299</v>
      </c>
      <c r="AO172" s="62">
        <f t="shared" si="144"/>
        <v>229.06617320689003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4.9674335353188341E-21</v>
      </c>
      <c r="AX172" s="23">
        <f t="shared" si="166"/>
        <v>4.9674335353188341E-21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>
        <f>BD172*VLOOKUP('Données projet'!$B$11,Paramètres!$A$1:$I$89,3,0)*VLOOKUP('Données projet'!$B$11,Paramètres!$A$1:$I$89,5,0)</f>
        <v>0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240.22884864766218</v>
      </c>
      <c r="BJ172" s="62">
        <f t="shared" si="146"/>
        <v>343.23776884143166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0.21823257374141308</v>
      </c>
      <c r="BR172" s="23">
        <f>EXP(-LN(2)/2)*BR171+(1-EXP(-LN(2)/2))/(LN(2)/2)*BL172*BO172*VLOOKUP('Données projet'!$B$11,Paramètres!$A$1:$I$89,3,0)*0.475*44/12</f>
        <v>1.9787654511661064E-20</v>
      </c>
      <c r="BS172" s="24">
        <f t="shared" si="169"/>
        <v>0.21823257374141308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-9.6633812063373625E-13</v>
      </c>
      <c r="BZ172" s="14">
        <f>BY172*VLOOKUP('Données projet'!$B$12,Paramètres!$A$1:$I$89,3,0)*VLOOKUP('Données projet'!$B$12,Paramètres!$A$1:$I$89,5,0)</f>
        <v>-8.7434273154940449E-13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428.8489304403459</v>
      </c>
      <c r="CE172" s="62">
        <f t="shared" si="148"/>
        <v>247.01165577562966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-1.7053025658242404E-13</v>
      </c>
      <c r="CU172" s="18">
        <f>CT172*VLOOKUP('Données projet'!$B$13,Paramètres!$A$1:$I$89,3,0)*VLOOKUP('Données projet'!$B$13,Paramètres!$A$1:$I$89,5,0)</f>
        <v>-1.3567387213697657E-13</v>
      </c>
      <c r="CV172" s="14" t="e">
        <f t="shared" si="173"/>
        <v>#NUM!</v>
      </c>
      <c r="CW172" s="22" t="e">
        <f t="shared" si="174"/>
        <v>#NUM!</v>
      </c>
      <c r="CX172" s="62" t="e">
        <f t="shared" si="122"/>
        <v>#NUM!</v>
      </c>
      <c r="CY172" s="62">
        <f ca="1">AVERAGE(OFFSET($CX$3,0,0,'Données projet'!$E$13+1,1))-AVERAGE(OFFSET($H$3,0,0,'Données projet'!$E$13+1,1))</f>
        <v>312.53381881960331</v>
      </c>
      <c r="CZ172" s="62">
        <f t="shared" si="150"/>
        <v>342.06887933351783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-1.7053025658242404E-13</v>
      </c>
      <c r="DP172" s="18">
        <f>DO172*VLOOKUP('Données projet'!$B$14,Paramètres!$A$1:$I$89,3,0)*VLOOKUP('Données projet'!$B$14,Paramètres!$A$1:$I$89,5,0)</f>
        <v>-1.250327841262333E-13</v>
      </c>
      <c r="DQ172" s="14" t="e">
        <f t="shared" si="176"/>
        <v>#NUM!</v>
      </c>
      <c r="DR172" s="22" t="e">
        <f t="shared" si="177"/>
        <v>#NUM!</v>
      </c>
      <c r="DS172" s="62" t="e">
        <f t="shared" si="125"/>
        <v>#NUM!</v>
      </c>
      <c r="DT172" s="62">
        <f ca="1">AVERAGE(OFFSET($DS$3,0,0,'Données projet'!$E$14+1,1))-AVERAGE(OFFSET($H$3,0,0,'Données projet'!$E$14+1,1))</f>
        <v>290.85271051443431</v>
      </c>
      <c r="DU172" s="62">
        <f t="shared" si="152"/>
        <v>318.66958823451142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0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3.4106051316484809E-13</v>
      </c>
      <c r="EK172" s="18">
        <f>EJ172*VLOOKUP('Données projet'!$B$15,Paramètres!$A$1:$I$89,3,0)*VLOOKUP('Données projet'!$B$15,Paramètres!$A$1:$I$89,5,0)</f>
        <v>2.9262992029543969E-13</v>
      </c>
      <c r="EL172" s="14">
        <f t="shared" si="179"/>
        <v>3.8796387982050903E-12</v>
      </c>
      <c r="EM172" s="22">
        <f t="shared" si="180"/>
        <v>7.2667013513884219E-12</v>
      </c>
      <c r="EN172" s="62">
        <f t="shared" si="128"/>
        <v>293.33333333334059</v>
      </c>
      <c r="EO172" s="62">
        <f ca="1">AVERAGE(OFFSET($EN$3,0,0,'Données projet'!$E$15+1,1))-AVERAGE(OFFSET($H$3,0,0,'Données projet'!$E$15+1,1))</f>
        <v>438.65317358403996</v>
      </c>
      <c r="EP172" s="62">
        <f t="shared" si="154"/>
        <v>176.81257896138806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0</v>
      </c>
      <c r="EW172" s="23">
        <f>EXP(-LN(2)/25)*EW171+(1-EXP(-LN(2)/25))/(LN(2)/25)*Calculateur!ER172*Calculateur!ET172*VLOOKUP('Données projet'!$B$15,Paramètres!$A$1:$I$89,3,0)*0.475*44/12</f>
        <v>0</v>
      </c>
      <c r="EX172" s="23">
        <f>EXP(-LN(2)/2)*EX171+(1-EXP(-LN(2)/2))/(LN(2)/2)*ER172*EU172*VLOOKUP('Données projet'!$B$15,Paramètres!$A$1:$I$89,3,0)*0.475*44/12</f>
        <v>0</v>
      </c>
      <c r="EY172" s="24">
        <f t="shared" si="181"/>
        <v>0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2.2737367544323206E-13</v>
      </c>
      <c r="O173" s="14">
        <f>N173*VLOOKUP('Données projet'!$B$9,Paramètres!$A$1:$I$89,3,0)*VLOOKUP('Données projet'!$B$9,Paramètres!$A$1:$I$89,5,0)</f>
        <v>1.2710188457276673E-13</v>
      </c>
      <c r="P173" s="14">
        <f t="shared" si="141"/>
        <v>1.856866851063998E-12</v>
      </c>
      <c r="Q173" s="22">
        <f t="shared" si="162"/>
        <v>3.4554122145673649E-12</v>
      </c>
      <c r="R173" s="62">
        <f t="shared" si="109"/>
        <v>293.33333333333678</v>
      </c>
      <c r="S173" s="62">
        <f ca="1">AVERAGE(OFFSET($R$3,0,0,'Données projet'!$E$9+1,1))-AVERAGE(OFFSET($H$3,0,0,'Données projet'!$E$9+1,1))</f>
        <v>323.98185264074681</v>
      </c>
      <c r="T173" s="62">
        <f t="shared" si="142"/>
        <v>301.22207291854005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0.27889506386679469</v>
      </c>
      <c r="AA173" s="23">
        <f>EXP(-LN(2)/25)*AA172+(1-EXP(-LN(2)/25))/(LN(2)/25)*Calculateur!V173*Calculateur!X173*VLOOKUP('Données projet'!$B$9,Paramètres!$A$1:$I$89,3,0)*0.475*44/12</f>
        <v>0.17003714248315352</v>
      </c>
      <c r="AB173" s="23">
        <f>EXP(-LN(2)/2)*AB172+(1-EXP(-LN(2)/2))/(LN(2)/2)*V173*Y173*VLOOKUP('Données projet'!$B$9,Paramètres!$A$1:$I$89,3,0)*0.475*44/12</f>
        <v>5.1565732576677418E-21</v>
      </c>
      <c r="AC173" s="24">
        <f t="shared" si="163"/>
        <v>0.44893220634994824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-2.8421709430404007E-13</v>
      </c>
      <c r="AJ173" s="14">
        <f>AI173*VLOOKUP('Données projet'!$B$10,Paramètres!$A$1:$I$89,3,0)*VLOOKUP('Données projet'!$B$10,Paramètres!$A$1:$I$89,5,0)</f>
        <v>-1.69961822393816E-13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289.12367833861299</v>
      </c>
      <c r="AO173" s="62">
        <f t="shared" si="144"/>
        <v>229.06617320689003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3.512505937917413E-21</v>
      </c>
      <c r="AX173" s="23">
        <f t="shared" si="166"/>
        <v>3.512505937917413E-21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>
        <f>BD173*VLOOKUP('Données projet'!$B$11,Paramètres!$A$1:$I$89,3,0)*VLOOKUP('Données projet'!$B$11,Paramètres!$A$1:$I$89,5,0)</f>
        <v>0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240.22884864766218</v>
      </c>
      <c r="BJ173" s="62">
        <f t="shared" si="146"/>
        <v>343.23776884143166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0.21226499253610187</v>
      </c>
      <c r="BR173" s="23">
        <f>EXP(-LN(2)/2)*BR172+(1-EXP(-LN(2)/2))/(LN(2)/2)*BL173*BO173*VLOOKUP('Données projet'!$B$11,Paramètres!$A$1:$I$89,3,0)*0.475*44/12</f>
        <v>1.399198468897212E-20</v>
      </c>
      <c r="BS173" s="24">
        <f t="shared" si="169"/>
        <v>0.21226499253610187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-9.6633812063373625E-13</v>
      </c>
      <c r="BZ173" s="14">
        <f>BY173*VLOOKUP('Données projet'!$B$12,Paramètres!$A$1:$I$89,3,0)*VLOOKUP('Données projet'!$B$12,Paramètres!$A$1:$I$89,5,0)</f>
        <v>-8.7434273154940449E-13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428.8489304403459</v>
      </c>
      <c r="CE173" s="62">
        <f t="shared" si="148"/>
        <v>247.01165577562966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-1.7053025658242404E-13</v>
      </c>
      <c r="CU173" s="18">
        <f>CT173*VLOOKUP('Données projet'!$B$13,Paramètres!$A$1:$I$89,3,0)*VLOOKUP('Données projet'!$B$13,Paramètres!$A$1:$I$89,5,0)</f>
        <v>-1.3567387213697657E-13</v>
      </c>
      <c r="CV173" s="14" t="e">
        <f t="shared" si="173"/>
        <v>#NUM!</v>
      </c>
      <c r="CW173" s="22" t="e">
        <f t="shared" si="174"/>
        <v>#NUM!</v>
      </c>
      <c r="CX173" s="62" t="e">
        <f t="shared" si="122"/>
        <v>#NUM!</v>
      </c>
      <c r="CY173" s="62">
        <f ca="1">AVERAGE(OFFSET($CX$3,0,0,'Données projet'!$E$13+1,1))-AVERAGE(OFFSET($H$3,0,0,'Données projet'!$E$13+1,1))</f>
        <v>312.53381881960331</v>
      </c>
      <c r="CZ173" s="62">
        <f t="shared" si="150"/>
        <v>342.06887933351783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-1.7053025658242404E-13</v>
      </c>
      <c r="DP173" s="18">
        <f>DO173*VLOOKUP('Données projet'!$B$14,Paramètres!$A$1:$I$89,3,0)*VLOOKUP('Données projet'!$B$14,Paramètres!$A$1:$I$89,5,0)</f>
        <v>-1.250327841262333E-13</v>
      </c>
      <c r="DQ173" s="14" t="e">
        <f t="shared" si="176"/>
        <v>#NUM!</v>
      </c>
      <c r="DR173" s="22" t="e">
        <f t="shared" si="177"/>
        <v>#NUM!</v>
      </c>
      <c r="DS173" s="62" t="e">
        <f t="shared" si="125"/>
        <v>#NUM!</v>
      </c>
      <c r="DT173" s="62">
        <f ca="1">AVERAGE(OFFSET($DS$3,0,0,'Données projet'!$E$14+1,1))-AVERAGE(OFFSET($H$3,0,0,'Données projet'!$E$14+1,1))</f>
        <v>290.85271051443431</v>
      </c>
      <c r="DU173" s="62">
        <f t="shared" si="152"/>
        <v>318.66958823451142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0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3.4106051316484809E-13</v>
      </c>
      <c r="EK173" s="18">
        <f>EJ173*VLOOKUP('Données projet'!$B$15,Paramètres!$A$1:$I$89,3,0)*VLOOKUP('Données projet'!$B$15,Paramètres!$A$1:$I$89,5,0)</f>
        <v>2.9262992029543969E-13</v>
      </c>
      <c r="EL173" s="14">
        <f t="shared" si="179"/>
        <v>3.8796387982050903E-12</v>
      </c>
      <c r="EM173" s="22">
        <f t="shared" si="180"/>
        <v>7.2667013513884219E-12</v>
      </c>
      <c r="EN173" s="62">
        <f t="shared" si="128"/>
        <v>293.33333333334059</v>
      </c>
      <c r="EO173" s="62">
        <f ca="1">AVERAGE(OFFSET($EN$3,0,0,'Données projet'!$E$15+1,1))-AVERAGE(OFFSET($H$3,0,0,'Données projet'!$E$15+1,1))</f>
        <v>438.65317358403996</v>
      </c>
      <c r="EP173" s="62">
        <f t="shared" si="154"/>
        <v>176.81257896138806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0</v>
      </c>
      <c r="EW173" s="23">
        <f>EXP(-LN(2)/25)*EW172+(1-EXP(-LN(2)/25))/(LN(2)/25)*Calculateur!ER173*Calculateur!ET173*VLOOKUP('Données projet'!$B$15,Paramètres!$A$1:$I$89,3,0)*0.475*44/12</f>
        <v>0</v>
      </c>
      <c r="EX173" s="23">
        <f>EXP(-LN(2)/2)*EX172+(1-EXP(-LN(2)/2))/(LN(2)/2)*ER173*EU173*VLOOKUP('Données projet'!$B$15,Paramètres!$A$1:$I$89,3,0)*0.475*44/12</f>
        <v>0</v>
      </c>
      <c r="EY173" s="24">
        <f t="shared" si="181"/>
        <v>0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2.2737367544323206E-13</v>
      </c>
      <c r="O174" s="14">
        <f>N174*VLOOKUP('Données projet'!$B$9,Paramètres!$A$1:$I$89,3,0)*VLOOKUP('Données projet'!$B$9,Paramètres!$A$1:$I$89,5,0)</f>
        <v>1.2710188457276673E-13</v>
      </c>
      <c r="P174" s="14">
        <f t="shared" si="141"/>
        <v>1.856866851063998E-12</v>
      </c>
      <c r="Q174" s="22">
        <f t="shared" si="162"/>
        <v>3.4554122145673649E-12</v>
      </c>
      <c r="R174" s="62">
        <f t="shared" si="109"/>
        <v>293.33333333333678</v>
      </c>
      <c r="S174" s="62">
        <f ca="1">AVERAGE(OFFSET($R$3,0,0,'Données projet'!$E$9+1,1))-AVERAGE(OFFSET($H$3,0,0,'Données projet'!$E$9+1,1))</f>
        <v>323.98185264074681</v>
      </c>
      <c r="T174" s="62">
        <f t="shared" si="142"/>
        <v>301.22207291854005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0.27342610177355892</v>
      </c>
      <c r="AA174" s="23">
        <f>EXP(-LN(2)/25)*AA173+(1-EXP(-LN(2)/25))/(LN(2)/25)*Calculateur!V174*Calculateur!X174*VLOOKUP('Données projet'!$B$9,Paramètres!$A$1:$I$89,3,0)*0.475*44/12</f>
        <v>0.16538746788008699</v>
      </c>
      <c r="AB174" s="23">
        <f>EXP(-LN(2)/2)*AB173+(1-EXP(-LN(2)/2))/(LN(2)/2)*V174*Y174*VLOOKUP('Données projet'!$B$9,Paramètres!$A$1:$I$89,3,0)*0.475*44/12</f>
        <v>3.6462479181820664E-21</v>
      </c>
      <c r="AC174" s="24">
        <f t="shared" si="163"/>
        <v>0.43881356965364593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-2.8421709430404007E-13</v>
      </c>
      <c r="AJ174" s="14">
        <f>AI174*VLOOKUP('Données projet'!$B$10,Paramètres!$A$1:$I$89,3,0)*VLOOKUP('Données projet'!$B$10,Paramètres!$A$1:$I$89,5,0)</f>
        <v>-1.69961822393816E-13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289.12367833861299</v>
      </c>
      <c r="AO174" s="62">
        <f t="shared" si="144"/>
        <v>229.06617320689003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2.4837167676594171E-21</v>
      </c>
      <c r="AX174" s="23">
        <f t="shared" si="166"/>
        <v>2.4837167676594171E-21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>
        <f>BD174*VLOOKUP('Données projet'!$B$11,Paramètres!$A$1:$I$89,3,0)*VLOOKUP('Données projet'!$B$11,Paramètres!$A$1:$I$89,5,0)</f>
        <v>0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240.22884864766218</v>
      </c>
      <c r="BJ174" s="62">
        <f t="shared" si="146"/>
        <v>343.23776884143166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0.20646059515267134</v>
      </c>
      <c r="BR174" s="23">
        <f>EXP(-LN(2)/2)*BR173+(1-EXP(-LN(2)/2))/(LN(2)/2)*BL174*BO174*VLOOKUP('Données projet'!$B$11,Paramètres!$A$1:$I$89,3,0)*0.475*44/12</f>
        <v>9.8938272558305319E-21</v>
      </c>
      <c r="BS174" s="24">
        <f t="shared" si="169"/>
        <v>0.20646059515267134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-9.6633812063373625E-13</v>
      </c>
      <c r="BZ174" s="14">
        <f>BY174*VLOOKUP('Données projet'!$B$12,Paramètres!$A$1:$I$89,3,0)*VLOOKUP('Données projet'!$B$12,Paramètres!$A$1:$I$89,5,0)</f>
        <v>-8.7434273154940449E-13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428.8489304403459</v>
      </c>
      <c r="CE174" s="62">
        <f t="shared" si="148"/>
        <v>247.01165577562966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-1.7053025658242404E-13</v>
      </c>
      <c r="CU174" s="18">
        <f>CT174*VLOOKUP('Données projet'!$B$13,Paramètres!$A$1:$I$89,3,0)*VLOOKUP('Données projet'!$B$13,Paramètres!$A$1:$I$89,5,0)</f>
        <v>-1.3567387213697657E-13</v>
      </c>
      <c r="CV174" s="14" t="e">
        <f t="shared" si="173"/>
        <v>#NUM!</v>
      </c>
      <c r="CW174" s="22" t="e">
        <f t="shared" si="174"/>
        <v>#NUM!</v>
      </c>
      <c r="CX174" s="62" t="e">
        <f t="shared" si="122"/>
        <v>#NUM!</v>
      </c>
      <c r="CY174" s="62">
        <f ca="1">AVERAGE(OFFSET($CX$3,0,0,'Données projet'!$E$13+1,1))-AVERAGE(OFFSET($H$3,0,0,'Données projet'!$E$13+1,1))</f>
        <v>312.53381881960331</v>
      </c>
      <c r="CZ174" s="62">
        <f t="shared" si="150"/>
        <v>342.06887933351783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-1.7053025658242404E-13</v>
      </c>
      <c r="DP174" s="18">
        <f>DO174*VLOOKUP('Données projet'!$B$14,Paramètres!$A$1:$I$89,3,0)*VLOOKUP('Données projet'!$B$14,Paramètres!$A$1:$I$89,5,0)</f>
        <v>-1.250327841262333E-13</v>
      </c>
      <c r="DQ174" s="14" t="e">
        <f t="shared" si="176"/>
        <v>#NUM!</v>
      </c>
      <c r="DR174" s="22" t="e">
        <f t="shared" si="177"/>
        <v>#NUM!</v>
      </c>
      <c r="DS174" s="62" t="e">
        <f t="shared" si="125"/>
        <v>#NUM!</v>
      </c>
      <c r="DT174" s="62">
        <f ca="1">AVERAGE(OFFSET($DS$3,0,0,'Données projet'!$E$14+1,1))-AVERAGE(OFFSET($H$3,0,0,'Données projet'!$E$14+1,1))</f>
        <v>290.85271051443431</v>
      </c>
      <c r="DU174" s="62">
        <f t="shared" si="152"/>
        <v>318.66958823451142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0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3.4106051316484809E-13</v>
      </c>
      <c r="EK174" s="18">
        <f>EJ174*VLOOKUP('Données projet'!$B$15,Paramètres!$A$1:$I$89,3,0)*VLOOKUP('Données projet'!$B$15,Paramètres!$A$1:$I$89,5,0)</f>
        <v>2.9262992029543969E-13</v>
      </c>
      <c r="EL174" s="14">
        <f t="shared" si="179"/>
        <v>3.8796387982050903E-12</v>
      </c>
      <c r="EM174" s="22">
        <f t="shared" si="180"/>
        <v>7.2667013513884219E-12</v>
      </c>
      <c r="EN174" s="62">
        <f t="shared" si="128"/>
        <v>293.33333333334059</v>
      </c>
      <c r="EO174" s="62">
        <f ca="1">AVERAGE(OFFSET($EN$3,0,0,'Données projet'!$E$15+1,1))-AVERAGE(OFFSET($H$3,0,0,'Données projet'!$E$15+1,1))</f>
        <v>438.65317358403996</v>
      </c>
      <c r="EP174" s="62">
        <f t="shared" si="154"/>
        <v>176.81257896138806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0</v>
      </c>
      <c r="EW174" s="23">
        <f>EXP(-LN(2)/25)*EW173+(1-EXP(-LN(2)/25))/(LN(2)/25)*Calculateur!ER174*Calculateur!ET174*VLOOKUP('Données projet'!$B$15,Paramètres!$A$1:$I$89,3,0)*0.475*44/12</f>
        <v>0</v>
      </c>
      <c r="EX174" s="23">
        <f>EXP(-LN(2)/2)*EX173+(1-EXP(-LN(2)/2))/(LN(2)/2)*ER174*EU174*VLOOKUP('Données projet'!$B$15,Paramètres!$A$1:$I$89,3,0)*0.475*44/12</f>
        <v>0</v>
      </c>
      <c r="EY174" s="24">
        <f t="shared" si="181"/>
        <v>0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2.2737367544323206E-13</v>
      </c>
      <c r="O175" s="14">
        <f>N175*VLOOKUP('Données projet'!$B$9,Paramètres!$A$1:$I$89,3,0)*VLOOKUP('Données projet'!$B$9,Paramètres!$A$1:$I$89,5,0)</f>
        <v>1.2710188457276673E-13</v>
      </c>
      <c r="P175" s="14">
        <f t="shared" si="141"/>
        <v>1.856866851063998E-12</v>
      </c>
      <c r="Q175" s="22">
        <f t="shared" si="162"/>
        <v>3.4554122145673649E-12</v>
      </c>
      <c r="R175" s="62">
        <f t="shared" si="109"/>
        <v>293.33333333333678</v>
      </c>
      <c r="S175" s="62">
        <f ca="1">AVERAGE(OFFSET($R$3,0,0,'Données projet'!$E$9+1,1))-AVERAGE(OFFSET($H$3,0,0,'Données projet'!$E$9+1,1))</f>
        <v>323.98185264074681</v>
      </c>
      <c r="T175" s="62">
        <f t="shared" si="142"/>
        <v>301.22207291854005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0.268064382691234</v>
      </c>
      <c r="AA175" s="23">
        <f>EXP(-LN(2)/25)*AA174+(1-EXP(-LN(2)/25))/(LN(2)/25)*Calculateur!V175*Calculateur!X175*VLOOKUP('Données projet'!$B$9,Paramètres!$A$1:$I$89,3,0)*0.475*44/12</f>
        <v>0.16086493887355707</v>
      </c>
      <c r="AB175" s="23">
        <f>EXP(-LN(2)/2)*AB174+(1-EXP(-LN(2)/2))/(LN(2)/2)*V175*Y175*VLOOKUP('Données projet'!$B$9,Paramètres!$A$1:$I$89,3,0)*0.475*44/12</f>
        <v>2.5782866288338709E-21</v>
      </c>
      <c r="AC175" s="24">
        <f t="shared" si="163"/>
        <v>0.42892932156479108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-2.8421709430404007E-13</v>
      </c>
      <c r="AJ175" s="14">
        <f>AI175*VLOOKUP('Données projet'!$B$10,Paramètres!$A$1:$I$89,3,0)*VLOOKUP('Données projet'!$B$10,Paramètres!$A$1:$I$89,5,0)</f>
        <v>-1.69961822393816E-13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289.12367833861299</v>
      </c>
      <c r="AO175" s="62">
        <f t="shared" si="144"/>
        <v>229.06617320689003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1.7562529689587065E-21</v>
      </c>
      <c r="AX175" s="23">
        <f t="shared" si="166"/>
        <v>1.7562529689587065E-21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>
        <f>BD175*VLOOKUP('Données projet'!$B$11,Paramètres!$A$1:$I$89,3,0)*VLOOKUP('Données projet'!$B$11,Paramètres!$A$1:$I$89,5,0)</f>
        <v>0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240.22884864766218</v>
      </c>
      <c r="BJ175" s="62">
        <f t="shared" si="146"/>
        <v>343.23776884143166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0.20081491932093071</v>
      </c>
      <c r="BR175" s="23">
        <f>EXP(-LN(2)/2)*BR174+(1-EXP(-LN(2)/2))/(LN(2)/2)*BL175*BO175*VLOOKUP('Données projet'!$B$11,Paramètres!$A$1:$I$89,3,0)*0.475*44/12</f>
        <v>6.9959923444860598E-21</v>
      </c>
      <c r="BS175" s="24">
        <f t="shared" si="169"/>
        <v>0.20081491932093071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-9.6633812063373625E-13</v>
      </c>
      <c r="BZ175" s="14">
        <f>BY175*VLOOKUP('Données projet'!$B$12,Paramètres!$A$1:$I$89,3,0)*VLOOKUP('Données projet'!$B$12,Paramètres!$A$1:$I$89,5,0)</f>
        <v>-8.7434273154940449E-13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428.8489304403459</v>
      </c>
      <c r="CE175" s="62">
        <f t="shared" si="148"/>
        <v>247.01165577562966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-1.7053025658242404E-13</v>
      </c>
      <c r="CU175" s="18">
        <f>CT175*VLOOKUP('Données projet'!$B$13,Paramètres!$A$1:$I$89,3,0)*VLOOKUP('Données projet'!$B$13,Paramètres!$A$1:$I$89,5,0)</f>
        <v>-1.3567387213697657E-13</v>
      </c>
      <c r="CV175" s="14" t="e">
        <f t="shared" si="173"/>
        <v>#NUM!</v>
      </c>
      <c r="CW175" s="22" t="e">
        <f t="shared" si="174"/>
        <v>#NUM!</v>
      </c>
      <c r="CX175" s="62" t="e">
        <f t="shared" si="122"/>
        <v>#NUM!</v>
      </c>
      <c r="CY175" s="62">
        <f ca="1">AVERAGE(OFFSET($CX$3,0,0,'Données projet'!$E$13+1,1))-AVERAGE(OFFSET($H$3,0,0,'Données projet'!$E$13+1,1))</f>
        <v>312.53381881960331</v>
      </c>
      <c r="CZ175" s="62">
        <f t="shared" si="150"/>
        <v>342.06887933351783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-1.7053025658242404E-13</v>
      </c>
      <c r="DP175" s="18">
        <f>DO175*VLOOKUP('Données projet'!$B$14,Paramètres!$A$1:$I$89,3,0)*VLOOKUP('Données projet'!$B$14,Paramètres!$A$1:$I$89,5,0)</f>
        <v>-1.250327841262333E-13</v>
      </c>
      <c r="DQ175" s="14" t="e">
        <f t="shared" si="176"/>
        <v>#NUM!</v>
      </c>
      <c r="DR175" s="22" t="e">
        <f t="shared" si="177"/>
        <v>#NUM!</v>
      </c>
      <c r="DS175" s="62" t="e">
        <f t="shared" si="125"/>
        <v>#NUM!</v>
      </c>
      <c r="DT175" s="62">
        <f ca="1">AVERAGE(OFFSET($DS$3,0,0,'Données projet'!$E$14+1,1))-AVERAGE(OFFSET($H$3,0,0,'Données projet'!$E$14+1,1))</f>
        <v>290.85271051443431</v>
      </c>
      <c r="DU175" s="62">
        <f t="shared" si="152"/>
        <v>318.66958823451142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0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3.4106051316484809E-13</v>
      </c>
      <c r="EK175" s="18">
        <f>EJ175*VLOOKUP('Données projet'!$B$15,Paramètres!$A$1:$I$89,3,0)*VLOOKUP('Données projet'!$B$15,Paramètres!$A$1:$I$89,5,0)</f>
        <v>2.9262992029543969E-13</v>
      </c>
      <c r="EL175" s="14">
        <f t="shared" si="179"/>
        <v>3.8796387982050903E-12</v>
      </c>
      <c r="EM175" s="22">
        <f t="shared" si="180"/>
        <v>7.2667013513884219E-12</v>
      </c>
      <c r="EN175" s="62">
        <f t="shared" si="128"/>
        <v>293.33333333334059</v>
      </c>
      <c r="EO175" s="62">
        <f ca="1">AVERAGE(OFFSET($EN$3,0,0,'Données projet'!$E$15+1,1))-AVERAGE(OFFSET($H$3,0,0,'Données projet'!$E$15+1,1))</f>
        <v>438.65317358403996</v>
      </c>
      <c r="EP175" s="62">
        <f t="shared" si="154"/>
        <v>176.81257896138806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0</v>
      </c>
      <c r="EW175" s="23">
        <f>EXP(-LN(2)/25)*EW174+(1-EXP(-LN(2)/25))/(LN(2)/25)*Calculateur!ER175*Calculateur!ET175*VLOOKUP('Données projet'!$B$15,Paramètres!$A$1:$I$89,3,0)*0.475*44/12</f>
        <v>0</v>
      </c>
      <c r="EX175" s="23">
        <f>EXP(-LN(2)/2)*EX174+(1-EXP(-LN(2)/2))/(LN(2)/2)*ER175*EU175*VLOOKUP('Données projet'!$B$15,Paramètres!$A$1:$I$89,3,0)*0.475*44/12</f>
        <v>0</v>
      </c>
      <c r="EY175" s="24">
        <f t="shared" si="181"/>
        <v>0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2.2737367544323206E-13</v>
      </c>
      <c r="O176" s="14">
        <f>N176*VLOOKUP('Données projet'!$B$9,Paramètres!$A$1:$I$89,3,0)*VLOOKUP('Données projet'!$B$9,Paramètres!$A$1:$I$89,5,0)</f>
        <v>1.2710188457276673E-13</v>
      </c>
      <c r="P176" s="14">
        <f t="shared" si="141"/>
        <v>1.856866851063998E-12</v>
      </c>
      <c r="Q176" s="22">
        <f t="shared" si="162"/>
        <v>3.4554122145673649E-12</v>
      </c>
      <c r="R176" s="62">
        <f t="shared" si="109"/>
        <v>293.33333333333678</v>
      </c>
      <c r="S176" s="62">
        <f ca="1">AVERAGE(OFFSET($R$3,0,0,'Données projet'!$E$9+1,1))-AVERAGE(OFFSET($H$3,0,0,'Données projet'!$E$9+1,1))</f>
        <v>323.98185264074681</v>
      </c>
      <c r="T176" s="62">
        <f t="shared" si="142"/>
        <v>301.22207291854005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0.26280780364978773</v>
      </c>
      <c r="AA176" s="23">
        <f>EXP(-LN(2)/25)*AA175+(1-EXP(-LN(2)/25))/(LN(2)/25)*Calculateur!V176*Calculateur!X176*VLOOKUP('Données projet'!$B$9,Paramètres!$A$1:$I$89,3,0)*0.475*44/12</f>
        <v>0.15646607866054019</v>
      </c>
      <c r="AB176" s="23">
        <f>EXP(-LN(2)/2)*AB175+(1-EXP(-LN(2)/2))/(LN(2)/2)*V176*Y176*VLOOKUP('Données projet'!$B$9,Paramètres!$A$1:$I$89,3,0)*0.475*44/12</f>
        <v>1.8231239590910332E-21</v>
      </c>
      <c r="AC176" s="24">
        <f t="shared" si="163"/>
        <v>0.41927388231032792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-2.8421709430404007E-13</v>
      </c>
      <c r="AJ176" s="14">
        <f>AI176*VLOOKUP('Données projet'!$B$10,Paramètres!$A$1:$I$89,3,0)*VLOOKUP('Données projet'!$B$10,Paramètres!$A$1:$I$89,5,0)</f>
        <v>-1.69961822393816E-13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289.12367833861299</v>
      </c>
      <c r="AO176" s="62">
        <f t="shared" si="144"/>
        <v>229.06617320689003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1.2418583838297085E-21</v>
      </c>
      <c r="AX176" s="23">
        <f t="shared" si="166"/>
        <v>1.2418583838297085E-21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>
        <f>BD176*VLOOKUP('Données projet'!$B$11,Paramètres!$A$1:$I$89,3,0)*VLOOKUP('Données projet'!$B$11,Paramètres!$A$1:$I$89,5,0)</f>
        <v>0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240.22884864766218</v>
      </c>
      <c r="BJ176" s="62">
        <f t="shared" si="146"/>
        <v>343.23776884143166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0.19532362479170221</v>
      </c>
      <c r="BR176" s="23">
        <f>EXP(-LN(2)/2)*BR175+(1-EXP(-LN(2)/2))/(LN(2)/2)*BL176*BO176*VLOOKUP('Données projet'!$B$11,Paramètres!$A$1:$I$89,3,0)*0.475*44/12</f>
        <v>4.9469136279152659E-21</v>
      </c>
      <c r="BS176" s="24">
        <f t="shared" si="169"/>
        <v>0.19532362479170221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-9.6633812063373625E-13</v>
      </c>
      <c r="BZ176" s="14">
        <f>BY176*VLOOKUP('Données projet'!$B$12,Paramètres!$A$1:$I$89,3,0)*VLOOKUP('Données projet'!$B$12,Paramètres!$A$1:$I$89,5,0)</f>
        <v>-8.7434273154940449E-13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428.8489304403459</v>
      </c>
      <c r="CE176" s="62">
        <f t="shared" si="148"/>
        <v>247.01165577562966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-1.7053025658242404E-13</v>
      </c>
      <c r="CU176" s="18">
        <f>CT176*VLOOKUP('Données projet'!$B$13,Paramètres!$A$1:$I$89,3,0)*VLOOKUP('Données projet'!$B$13,Paramètres!$A$1:$I$89,5,0)</f>
        <v>-1.3567387213697657E-13</v>
      </c>
      <c r="CV176" s="14" t="e">
        <f t="shared" si="173"/>
        <v>#NUM!</v>
      </c>
      <c r="CW176" s="22" t="e">
        <f t="shared" si="174"/>
        <v>#NUM!</v>
      </c>
      <c r="CX176" s="62" t="e">
        <f t="shared" si="122"/>
        <v>#NUM!</v>
      </c>
      <c r="CY176" s="62">
        <f ca="1">AVERAGE(OFFSET($CX$3,0,0,'Données projet'!$E$13+1,1))-AVERAGE(OFFSET($H$3,0,0,'Données projet'!$E$13+1,1))</f>
        <v>312.53381881960331</v>
      </c>
      <c r="CZ176" s="62">
        <f t="shared" si="150"/>
        <v>342.06887933351783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-1.7053025658242404E-13</v>
      </c>
      <c r="DP176" s="18">
        <f>DO176*VLOOKUP('Données projet'!$B$14,Paramètres!$A$1:$I$89,3,0)*VLOOKUP('Données projet'!$B$14,Paramètres!$A$1:$I$89,5,0)</f>
        <v>-1.250327841262333E-13</v>
      </c>
      <c r="DQ176" s="14" t="e">
        <f t="shared" si="176"/>
        <v>#NUM!</v>
      </c>
      <c r="DR176" s="22" t="e">
        <f t="shared" si="177"/>
        <v>#NUM!</v>
      </c>
      <c r="DS176" s="62" t="e">
        <f t="shared" si="125"/>
        <v>#NUM!</v>
      </c>
      <c r="DT176" s="62">
        <f ca="1">AVERAGE(OFFSET($DS$3,0,0,'Données projet'!$E$14+1,1))-AVERAGE(OFFSET($H$3,0,0,'Données projet'!$E$14+1,1))</f>
        <v>290.85271051443431</v>
      </c>
      <c r="DU176" s="62">
        <f t="shared" si="152"/>
        <v>318.66958823451142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0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3.4106051316484809E-13</v>
      </c>
      <c r="EK176" s="18">
        <f>EJ176*VLOOKUP('Données projet'!$B$15,Paramètres!$A$1:$I$89,3,0)*VLOOKUP('Données projet'!$B$15,Paramètres!$A$1:$I$89,5,0)</f>
        <v>2.9262992029543969E-13</v>
      </c>
      <c r="EL176" s="14">
        <f t="shared" si="179"/>
        <v>3.8796387982050903E-12</v>
      </c>
      <c r="EM176" s="22">
        <f t="shared" si="180"/>
        <v>7.2667013513884219E-12</v>
      </c>
      <c r="EN176" s="62">
        <f t="shared" si="128"/>
        <v>293.33333333334059</v>
      </c>
      <c r="EO176" s="62">
        <f ca="1">AVERAGE(OFFSET($EN$3,0,0,'Données projet'!$E$15+1,1))-AVERAGE(OFFSET($H$3,0,0,'Données projet'!$E$15+1,1))</f>
        <v>438.65317358403996</v>
      </c>
      <c r="EP176" s="62">
        <f t="shared" si="154"/>
        <v>176.81257896138806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0</v>
      </c>
      <c r="EW176" s="23">
        <f>EXP(-LN(2)/25)*EW175+(1-EXP(-LN(2)/25))/(LN(2)/25)*Calculateur!ER176*Calculateur!ET176*VLOOKUP('Données projet'!$B$15,Paramètres!$A$1:$I$89,3,0)*0.475*44/12</f>
        <v>0</v>
      </c>
      <c r="EX176" s="23">
        <f>EXP(-LN(2)/2)*EX175+(1-EXP(-LN(2)/2))/(LN(2)/2)*ER176*EU176*VLOOKUP('Données projet'!$B$15,Paramètres!$A$1:$I$89,3,0)*0.475*44/12</f>
        <v>0</v>
      </c>
      <c r="EY176" s="24">
        <f t="shared" si="181"/>
        <v>0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2.2737367544323206E-13</v>
      </c>
      <c r="O177" s="14">
        <f>N177*VLOOKUP('Données projet'!$B$9,Paramètres!$A$1:$I$89,3,0)*VLOOKUP('Données projet'!$B$9,Paramètres!$A$1:$I$89,5,0)</f>
        <v>1.2710188457276673E-13</v>
      </c>
      <c r="P177" s="14">
        <f t="shared" si="141"/>
        <v>1.856866851063998E-12</v>
      </c>
      <c r="Q177" s="22">
        <f t="shared" si="162"/>
        <v>3.4554122145673649E-12</v>
      </c>
      <c r="R177" s="62">
        <f t="shared" si="109"/>
        <v>293.33333333333678</v>
      </c>
      <c r="S177" s="62">
        <f ca="1">AVERAGE(OFFSET($R$3,0,0,'Données projet'!$E$9+1,1))-AVERAGE(OFFSET($H$3,0,0,'Données projet'!$E$9+1,1))</f>
        <v>323.98185264074681</v>
      </c>
      <c r="T177" s="62">
        <f t="shared" si="142"/>
        <v>301.22207291854005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0.25765430291714764</v>
      </c>
      <c r="AA177" s="23">
        <f>EXP(-LN(2)/25)*AA176+(1-EXP(-LN(2)/25))/(LN(2)/25)*Calculateur!V177*Calculateur!X177*VLOOKUP('Données projet'!$B$9,Paramètres!$A$1:$I$89,3,0)*0.475*44/12</f>
        <v>0.15218750551137425</v>
      </c>
      <c r="AB177" s="23">
        <f>EXP(-LN(2)/2)*AB176+(1-EXP(-LN(2)/2))/(LN(2)/2)*V177*Y177*VLOOKUP('Données projet'!$B$9,Paramètres!$A$1:$I$89,3,0)*0.475*44/12</f>
        <v>1.2891433144169354E-21</v>
      </c>
      <c r="AC177" s="24">
        <f t="shared" si="163"/>
        <v>0.40984180842852191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-2.8421709430404007E-13</v>
      </c>
      <c r="AJ177" s="14">
        <f>AI177*VLOOKUP('Données projet'!$B$10,Paramètres!$A$1:$I$89,3,0)*VLOOKUP('Données projet'!$B$10,Paramètres!$A$1:$I$89,5,0)</f>
        <v>-1.69961822393816E-13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289.12367833861299</v>
      </c>
      <c r="AO177" s="62">
        <f t="shared" si="144"/>
        <v>229.06617320689003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8.7812648447935325E-22</v>
      </c>
      <c r="AX177" s="23">
        <f t="shared" si="166"/>
        <v>8.7812648447935325E-22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>
        <f>BD177*VLOOKUP('Données projet'!$B$11,Paramètres!$A$1:$I$89,3,0)*VLOOKUP('Données projet'!$B$11,Paramètres!$A$1:$I$89,5,0)</f>
        <v>0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240.22884864766218</v>
      </c>
      <c r="BJ177" s="62">
        <f t="shared" si="146"/>
        <v>343.23776884143166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0.18998249000015011</v>
      </c>
      <c r="BR177" s="23">
        <f>EXP(-LN(2)/2)*BR176+(1-EXP(-LN(2)/2))/(LN(2)/2)*BL177*BO177*VLOOKUP('Données projet'!$B$11,Paramètres!$A$1:$I$89,3,0)*0.475*44/12</f>
        <v>3.4979961722430299E-21</v>
      </c>
      <c r="BS177" s="24">
        <f t="shared" si="169"/>
        <v>0.18998249000015011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-9.6633812063373625E-13</v>
      </c>
      <c r="BZ177" s="14">
        <f>BY177*VLOOKUP('Données projet'!$B$12,Paramètres!$A$1:$I$89,3,0)*VLOOKUP('Données projet'!$B$12,Paramètres!$A$1:$I$89,5,0)</f>
        <v>-8.7434273154940449E-13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428.8489304403459</v>
      </c>
      <c r="CE177" s="62">
        <f t="shared" si="148"/>
        <v>247.01165577562966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-1.7053025658242404E-13</v>
      </c>
      <c r="CU177" s="18">
        <f>CT177*VLOOKUP('Données projet'!$B$13,Paramètres!$A$1:$I$89,3,0)*VLOOKUP('Données projet'!$B$13,Paramètres!$A$1:$I$89,5,0)</f>
        <v>-1.3567387213697657E-13</v>
      </c>
      <c r="CV177" s="14" t="e">
        <f t="shared" si="173"/>
        <v>#NUM!</v>
      </c>
      <c r="CW177" s="22" t="e">
        <f t="shared" si="174"/>
        <v>#NUM!</v>
      </c>
      <c r="CX177" s="62" t="e">
        <f t="shared" si="122"/>
        <v>#NUM!</v>
      </c>
      <c r="CY177" s="62">
        <f ca="1">AVERAGE(OFFSET($CX$3,0,0,'Données projet'!$E$13+1,1))-AVERAGE(OFFSET($H$3,0,0,'Données projet'!$E$13+1,1))</f>
        <v>312.53381881960331</v>
      </c>
      <c r="CZ177" s="62">
        <f t="shared" si="150"/>
        <v>342.06887933351783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-1.7053025658242404E-13</v>
      </c>
      <c r="DP177" s="18">
        <f>DO177*VLOOKUP('Données projet'!$B$14,Paramètres!$A$1:$I$89,3,0)*VLOOKUP('Données projet'!$B$14,Paramètres!$A$1:$I$89,5,0)</f>
        <v>-1.250327841262333E-13</v>
      </c>
      <c r="DQ177" s="14" t="e">
        <f t="shared" si="176"/>
        <v>#NUM!</v>
      </c>
      <c r="DR177" s="22" t="e">
        <f t="shared" si="177"/>
        <v>#NUM!</v>
      </c>
      <c r="DS177" s="62" t="e">
        <f t="shared" si="125"/>
        <v>#NUM!</v>
      </c>
      <c r="DT177" s="62">
        <f ca="1">AVERAGE(OFFSET($DS$3,0,0,'Données projet'!$E$14+1,1))-AVERAGE(OFFSET($H$3,0,0,'Données projet'!$E$14+1,1))</f>
        <v>290.85271051443431</v>
      </c>
      <c r="DU177" s="62">
        <f t="shared" si="152"/>
        <v>318.66958823451142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0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3.4106051316484809E-13</v>
      </c>
      <c r="EK177" s="18">
        <f>EJ177*VLOOKUP('Données projet'!$B$15,Paramètres!$A$1:$I$89,3,0)*VLOOKUP('Données projet'!$B$15,Paramètres!$A$1:$I$89,5,0)</f>
        <v>2.9262992029543969E-13</v>
      </c>
      <c r="EL177" s="14">
        <f t="shared" si="179"/>
        <v>3.8796387982050903E-12</v>
      </c>
      <c r="EM177" s="22">
        <f t="shared" si="180"/>
        <v>7.2667013513884219E-12</v>
      </c>
      <c r="EN177" s="62">
        <f t="shared" si="128"/>
        <v>293.33333333334059</v>
      </c>
      <c r="EO177" s="62">
        <f ca="1">AVERAGE(OFFSET($EN$3,0,0,'Données projet'!$E$15+1,1))-AVERAGE(OFFSET($H$3,0,0,'Données projet'!$E$15+1,1))</f>
        <v>438.65317358403996</v>
      </c>
      <c r="EP177" s="62">
        <f t="shared" si="154"/>
        <v>176.81257896138806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0</v>
      </c>
      <c r="EW177" s="23">
        <f>EXP(-LN(2)/25)*EW176+(1-EXP(-LN(2)/25))/(LN(2)/25)*Calculateur!ER177*Calculateur!ET177*VLOOKUP('Données projet'!$B$15,Paramètres!$A$1:$I$89,3,0)*0.475*44/12</f>
        <v>0</v>
      </c>
      <c r="EX177" s="23">
        <f>EXP(-LN(2)/2)*EX176+(1-EXP(-LN(2)/2))/(LN(2)/2)*ER177*EU177*VLOOKUP('Données projet'!$B$15,Paramètres!$A$1:$I$89,3,0)*0.475*44/12</f>
        <v>0</v>
      </c>
      <c r="EY177" s="24">
        <f t="shared" si="181"/>
        <v>0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2.2737367544323206E-13</v>
      </c>
      <c r="O178" s="14">
        <f>N178*VLOOKUP('Données projet'!$B$9,Paramètres!$A$1:$I$89,3,0)*VLOOKUP('Données projet'!$B$9,Paramètres!$A$1:$I$89,5,0)</f>
        <v>1.2710188457276673E-13</v>
      </c>
      <c r="P178" s="14">
        <f t="shared" si="141"/>
        <v>1.856866851063998E-12</v>
      </c>
      <c r="Q178" s="22">
        <f t="shared" si="162"/>
        <v>3.4554122145673649E-12</v>
      </c>
      <c r="R178" s="62">
        <f t="shared" si="109"/>
        <v>293.33333333333678</v>
      </c>
      <c r="S178" s="62">
        <f ca="1">AVERAGE(OFFSET($R$3,0,0,'Données projet'!$E$9+1,1))-AVERAGE(OFFSET($H$3,0,0,'Données projet'!$E$9+1,1))</f>
        <v>323.98185264074681</v>
      </c>
      <c r="T178" s="62">
        <f t="shared" si="142"/>
        <v>301.22207291854005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0.2526018591905495</v>
      </c>
      <c r="AA178" s="23">
        <f>EXP(-LN(2)/25)*AA177+(1-EXP(-LN(2)/25))/(LN(2)/25)*Calculateur!V178*Calculateur!X178*VLOOKUP('Données projet'!$B$9,Paramètres!$A$1:$I$89,3,0)*0.475*44/12</f>
        <v>0.14802593016997265</v>
      </c>
      <c r="AB178" s="23">
        <f>EXP(-LN(2)/2)*AB177+(1-EXP(-LN(2)/2))/(LN(2)/2)*V178*Y178*VLOOKUP('Données projet'!$B$9,Paramètres!$A$1:$I$89,3,0)*0.475*44/12</f>
        <v>9.1156197954551659E-22</v>
      </c>
      <c r="AC178" s="24">
        <f t="shared" si="163"/>
        <v>0.40062778936052212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-2.8421709430404007E-13</v>
      </c>
      <c r="AJ178" s="14">
        <f>AI178*VLOOKUP('Données projet'!$B$10,Paramètres!$A$1:$I$89,3,0)*VLOOKUP('Données projet'!$B$10,Paramètres!$A$1:$I$89,5,0)</f>
        <v>-1.69961822393816E-13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289.12367833861299</v>
      </c>
      <c r="AO178" s="62">
        <f t="shared" si="144"/>
        <v>229.06617320689003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6.2092919191485427E-22</v>
      </c>
      <c r="AX178" s="23">
        <f t="shared" si="166"/>
        <v>6.2092919191485427E-22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>
        <f>BD178*VLOOKUP('Données projet'!$B$11,Paramètres!$A$1:$I$89,3,0)*VLOOKUP('Données projet'!$B$11,Paramètres!$A$1:$I$89,5,0)</f>
        <v>0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240.22884864766218</v>
      </c>
      <c r="BJ178" s="62">
        <f t="shared" si="146"/>
        <v>343.23776884143166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0.18478740882035105</v>
      </c>
      <c r="BR178" s="23">
        <f>EXP(-LN(2)/2)*BR177+(1-EXP(-LN(2)/2))/(LN(2)/2)*BL178*BO178*VLOOKUP('Données projet'!$B$11,Paramètres!$A$1:$I$89,3,0)*0.475*44/12</f>
        <v>2.473456813957633E-21</v>
      </c>
      <c r="BS178" s="24">
        <f t="shared" si="169"/>
        <v>0.18478740882035105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-9.6633812063373625E-13</v>
      </c>
      <c r="BZ178" s="14">
        <f>BY178*VLOOKUP('Données projet'!$B$12,Paramètres!$A$1:$I$89,3,0)*VLOOKUP('Données projet'!$B$12,Paramètres!$A$1:$I$89,5,0)</f>
        <v>-8.7434273154940449E-13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428.8489304403459</v>
      </c>
      <c r="CE178" s="62">
        <f t="shared" si="148"/>
        <v>247.01165577562966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-1.7053025658242404E-13</v>
      </c>
      <c r="CU178" s="18">
        <f>CT178*VLOOKUP('Données projet'!$B$13,Paramètres!$A$1:$I$89,3,0)*VLOOKUP('Données projet'!$B$13,Paramètres!$A$1:$I$89,5,0)</f>
        <v>-1.3567387213697657E-13</v>
      </c>
      <c r="CV178" s="14" t="e">
        <f t="shared" si="173"/>
        <v>#NUM!</v>
      </c>
      <c r="CW178" s="22" t="e">
        <f t="shared" si="174"/>
        <v>#NUM!</v>
      </c>
      <c r="CX178" s="62" t="e">
        <f t="shared" si="122"/>
        <v>#NUM!</v>
      </c>
      <c r="CY178" s="62">
        <f ca="1">AVERAGE(OFFSET($CX$3,0,0,'Données projet'!$E$13+1,1))-AVERAGE(OFFSET($H$3,0,0,'Données projet'!$E$13+1,1))</f>
        <v>312.53381881960331</v>
      </c>
      <c r="CZ178" s="62">
        <f t="shared" si="150"/>
        <v>342.06887933351783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-1.7053025658242404E-13</v>
      </c>
      <c r="DP178" s="18">
        <f>DO178*VLOOKUP('Données projet'!$B$14,Paramètres!$A$1:$I$89,3,0)*VLOOKUP('Données projet'!$B$14,Paramètres!$A$1:$I$89,5,0)</f>
        <v>-1.250327841262333E-13</v>
      </c>
      <c r="DQ178" s="14" t="e">
        <f t="shared" si="176"/>
        <v>#NUM!</v>
      </c>
      <c r="DR178" s="22" t="e">
        <f t="shared" si="177"/>
        <v>#NUM!</v>
      </c>
      <c r="DS178" s="62" t="e">
        <f t="shared" si="125"/>
        <v>#NUM!</v>
      </c>
      <c r="DT178" s="62">
        <f ca="1">AVERAGE(OFFSET($DS$3,0,0,'Données projet'!$E$14+1,1))-AVERAGE(OFFSET($H$3,0,0,'Données projet'!$E$14+1,1))</f>
        <v>290.85271051443431</v>
      </c>
      <c r="DU178" s="62">
        <f t="shared" si="152"/>
        <v>318.66958823451142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0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3.4106051316484809E-13</v>
      </c>
      <c r="EK178" s="18">
        <f>EJ178*VLOOKUP('Données projet'!$B$15,Paramètres!$A$1:$I$89,3,0)*VLOOKUP('Données projet'!$B$15,Paramètres!$A$1:$I$89,5,0)</f>
        <v>2.9262992029543969E-13</v>
      </c>
      <c r="EL178" s="14">
        <f t="shared" si="179"/>
        <v>3.8796387982050903E-12</v>
      </c>
      <c r="EM178" s="22">
        <f t="shared" si="180"/>
        <v>7.2667013513884219E-12</v>
      </c>
      <c r="EN178" s="62">
        <f t="shared" si="128"/>
        <v>293.33333333334059</v>
      </c>
      <c r="EO178" s="62">
        <f ca="1">AVERAGE(OFFSET($EN$3,0,0,'Données projet'!$E$15+1,1))-AVERAGE(OFFSET($H$3,0,0,'Données projet'!$E$15+1,1))</f>
        <v>438.65317358403996</v>
      </c>
      <c r="EP178" s="62">
        <f t="shared" si="154"/>
        <v>176.81257896138806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0</v>
      </c>
      <c r="EW178" s="23">
        <f>EXP(-LN(2)/25)*EW177+(1-EXP(-LN(2)/25))/(LN(2)/25)*Calculateur!ER178*Calculateur!ET178*VLOOKUP('Données projet'!$B$15,Paramètres!$A$1:$I$89,3,0)*0.475*44/12</f>
        <v>0</v>
      </c>
      <c r="EX178" s="23">
        <f>EXP(-LN(2)/2)*EX177+(1-EXP(-LN(2)/2))/(LN(2)/2)*ER178*EU178*VLOOKUP('Données projet'!$B$15,Paramètres!$A$1:$I$89,3,0)*0.475*44/12</f>
        <v>0</v>
      </c>
      <c r="EY178" s="24">
        <f t="shared" si="181"/>
        <v>0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2.2737367544323206E-13</v>
      </c>
      <c r="O179" s="14">
        <f>N179*VLOOKUP('Données projet'!$B$9,Paramètres!$A$1:$I$89,3,0)*VLOOKUP('Données projet'!$B$9,Paramètres!$A$1:$I$89,5,0)</f>
        <v>1.2710188457276673E-13</v>
      </c>
      <c r="P179" s="14">
        <f t="shared" si="141"/>
        <v>1.856866851063998E-12</v>
      </c>
      <c r="Q179" s="22">
        <f t="shared" si="162"/>
        <v>3.4554122145673649E-12</v>
      </c>
      <c r="R179" s="62">
        <f t="shared" si="109"/>
        <v>293.33333333333678</v>
      </c>
      <c r="S179" s="62">
        <f ca="1">AVERAGE(OFFSET($R$3,0,0,'Données projet'!$E$9+1,1))-AVERAGE(OFFSET($H$3,0,0,'Données projet'!$E$9+1,1))</f>
        <v>323.98185264074681</v>
      </c>
      <c r="T179" s="62">
        <f t="shared" si="142"/>
        <v>301.22207291854005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0.2476484908037436</v>
      </c>
      <c r="AA179" s="23">
        <f>EXP(-LN(2)/25)*AA178+(1-EXP(-LN(2)/25))/(LN(2)/25)*Calculateur!V179*Calculateur!X179*VLOOKUP('Données projet'!$B$9,Paramètres!$A$1:$I$89,3,0)*0.475*44/12</f>
        <v>0.14397815332512939</v>
      </c>
      <c r="AB179" s="23">
        <f>EXP(-LN(2)/2)*AB178+(1-EXP(-LN(2)/2))/(LN(2)/2)*V179*Y179*VLOOKUP('Données projet'!$B$9,Paramètres!$A$1:$I$89,3,0)*0.475*44/12</f>
        <v>6.4457165720846772E-22</v>
      </c>
      <c r="AC179" s="24">
        <f t="shared" si="163"/>
        <v>0.39162664412887299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-2.8421709430404007E-13</v>
      </c>
      <c r="AJ179" s="14">
        <f>AI179*VLOOKUP('Données projet'!$B$10,Paramètres!$A$1:$I$89,3,0)*VLOOKUP('Données projet'!$B$10,Paramètres!$A$1:$I$89,5,0)</f>
        <v>-1.69961822393816E-13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289.12367833861299</v>
      </c>
      <c r="AO179" s="62">
        <f t="shared" si="144"/>
        <v>229.06617320689003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4.3906324223967662E-22</v>
      </c>
      <c r="AX179" s="23">
        <f t="shared" si="166"/>
        <v>4.3906324223967662E-22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>
        <f>BD179*VLOOKUP('Données projet'!$B$11,Paramètres!$A$1:$I$89,3,0)*VLOOKUP('Données projet'!$B$11,Paramètres!$A$1:$I$89,5,0)</f>
        <v>0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240.22884864766218</v>
      </c>
      <c r="BJ179" s="62">
        <f t="shared" si="146"/>
        <v>343.23776884143166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0.17973438740861106</v>
      </c>
      <c r="BR179" s="23">
        <f>EXP(-LN(2)/2)*BR178+(1-EXP(-LN(2)/2))/(LN(2)/2)*BL179*BO179*VLOOKUP('Données projet'!$B$11,Paramètres!$A$1:$I$89,3,0)*0.475*44/12</f>
        <v>1.7489980861215149E-21</v>
      </c>
      <c r="BS179" s="24">
        <f t="shared" si="169"/>
        <v>0.17973438740861106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-9.6633812063373625E-13</v>
      </c>
      <c r="BZ179" s="14">
        <f>BY179*VLOOKUP('Données projet'!$B$12,Paramètres!$A$1:$I$89,3,0)*VLOOKUP('Données projet'!$B$12,Paramètres!$A$1:$I$89,5,0)</f>
        <v>-8.7434273154940449E-13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428.8489304403459</v>
      </c>
      <c r="CE179" s="62">
        <f t="shared" si="148"/>
        <v>247.01165577562966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-1.7053025658242404E-13</v>
      </c>
      <c r="CU179" s="18">
        <f>CT179*VLOOKUP('Données projet'!$B$13,Paramètres!$A$1:$I$89,3,0)*VLOOKUP('Données projet'!$B$13,Paramètres!$A$1:$I$89,5,0)</f>
        <v>-1.3567387213697657E-13</v>
      </c>
      <c r="CV179" s="14" t="e">
        <f t="shared" si="173"/>
        <v>#NUM!</v>
      </c>
      <c r="CW179" s="22" t="e">
        <f t="shared" si="174"/>
        <v>#NUM!</v>
      </c>
      <c r="CX179" s="62" t="e">
        <f t="shared" si="122"/>
        <v>#NUM!</v>
      </c>
      <c r="CY179" s="62">
        <f ca="1">AVERAGE(OFFSET($CX$3,0,0,'Données projet'!$E$13+1,1))-AVERAGE(OFFSET($H$3,0,0,'Données projet'!$E$13+1,1))</f>
        <v>312.53381881960331</v>
      </c>
      <c r="CZ179" s="62">
        <f t="shared" si="150"/>
        <v>342.06887933351783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-1.7053025658242404E-13</v>
      </c>
      <c r="DP179" s="18">
        <f>DO179*VLOOKUP('Données projet'!$B$14,Paramètres!$A$1:$I$89,3,0)*VLOOKUP('Données projet'!$B$14,Paramètres!$A$1:$I$89,5,0)</f>
        <v>-1.250327841262333E-13</v>
      </c>
      <c r="DQ179" s="14" t="e">
        <f t="shared" si="176"/>
        <v>#NUM!</v>
      </c>
      <c r="DR179" s="22" t="e">
        <f t="shared" si="177"/>
        <v>#NUM!</v>
      </c>
      <c r="DS179" s="62" t="e">
        <f t="shared" si="125"/>
        <v>#NUM!</v>
      </c>
      <c r="DT179" s="62">
        <f ca="1">AVERAGE(OFFSET($DS$3,0,0,'Données projet'!$E$14+1,1))-AVERAGE(OFFSET($H$3,0,0,'Données projet'!$E$14+1,1))</f>
        <v>290.85271051443431</v>
      </c>
      <c r="DU179" s="62">
        <f t="shared" si="152"/>
        <v>318.66958823451142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0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3.4106051316484809E-13</v>
      </c>
      <c r="EK179" s="18">
        <f>EJ179*VLOOKUP('Données projet'!$B$15,Paramètres!$A$1:$I$89,3,0)*VLOOKUP('Données projet'!$B$15,Paramètres!$A$1:$I$89,5,0)</f>
        <v>2.9262992029543969E-13</v>
      </c>
      <c r="EL179" s="14">
        <f t="shared" si="179"/>
        <v>3.8796387982050903E-12</v>
      </c>
      <c r="EM179" s="22">
        <f t="shared" si="180"/>
        <v>7.2667013513884219E-12</v>
      </c>
      <c r="EN179" s="62">
        <f t="shared" si="128"/>
        <v>293.33333333334059</v>
      </c>
      <c r="EO179" s="62">
        <f ca="1">AVERAGE(OFFSET($EN$3,0,0,'Données projet'!$E$15+1,1))-AVERAGE(OFFSET($H$3,0,0,'Données projet'!$E$15+1,1))</f>
        <v>438.65317358403996</v>
      </c>
      <c r="EP179" s="62">
        <f t="shared" si="154"/>
        <v>176.81257896138806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0</v>
      </c>
      <c r="EW179" s="23">
        <f>EXP(-LN(2)/25)*EW178+(1-EXP(-LN(2)/25))/(LN(2)/25)*Calculateur!ER179*Calculateur!ET179*VLOOKUP('Données projet'!$B$15,Paramètres!$A$1:$I$89,3,0)*0.475*44/12</f>
        <v>0</v>
      </c>
      <c r="EX179" s="23">
        <f>EXP(-LN(2)/2)*EX178+(1-EXP(-LN(2)/2))/(LN(2)/2)*ER179*EU179*VLOOKUP('Données projet'!$B$15,Paramètres!$A$1:$I$89,3,0)*0.475*44/12</f>
        <v>0</v>
      </c>
      <c r="EY179" s="24">
        <f t="shared" si="181"/>
        <v>0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2.2737367544323206E-13</v>
      </c>
      <c r="O180" s="14">
        <f>N180*VLOOKUP('Données projet'!$B$9,Paramètres!$A$1:$I$89,3,0)*VLOOKUP('Données projet'!$B$9,Paramètres!$A$1:$I$89,5,0)</f>
        <v>1.2710188457276673E-13</v>
      </c>
      <c r="P180" s="14">
        <f t="shared" si="141"/>
        <v>1.856866851063998E-12</v>
      </c>
      <c r="Q180" s="22">
        <f t="shared" si="162"/>
        <v>3.4554122145673649E-12</v>
      </c>
      <c r="R180" s="62">
        <f t="shared" si="109"/>
        <v>293.33333333333678</v>
      </c>
      <c r="S180" s="62">
        <f ca="1">AVERAGE(OFFSET($R$3,0,0,'Données projet'!$E$9+1,1))-AVERAGE(OFFSET($H$3,0,0,'Données projet'!$E$9+1,1))</f>
        <v>323.98185264074681</v>
      </c>
      <c r="T180" s="62">
        <f t="shared" si="142"/>
        <v>301.22207291854005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0.24279225494974657</v>
      </c>
      <c r="AA180" s="23">
        <f>EXP(-LN(2)/25)*AA179+(1-EXP(-LN(2)/25))/(LN(2)/25)*Calculateur!V180*Calculateur!X180*VLOOKUP('Données projet'!$B$9,Paramètres!$A$1:$I$89,3,0)*0.475*44/12</f>
        <v>0.1400410631509717</v>
      </c>
      <c r="AB180" s="23">
        <f>EXP(-LN(2)/2)*AB179+(1-EXP(-LN(2)/2))/(LN(2)/2)*V180*Y180*VLOOKUP('Données projet'!$B$9,Paramètres!$A$1:$I$89,3,0)*0.475*44/12</f>
        <v>4.557809897727583E-22</v>
      </c>
      <c r="AC180" s="24">
        <f t="shared" si="163"/>
        <v>0.3828333181007183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-2.8421709430404007E-13</v>
      </c>
      <c r="AJ180" s="14">
        <f>AI180*VLOOKUP('Données projet'!$B$10,Paramètres!$A$1:$I$89,3,0)*VLOOKUP('Données projet'!$B$10,Paramètres!$A$1:$I$89,5,0)</f>
        <v>-1.69961822393816E-13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289.12367833861299</v>
      </c>
      <c r="AO180" s="62">
        <f t="shared" si="144"/>
        <v>229.06617320689003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3.1046459595742713E-22</v>
      </c>
      <c r="AX180" s="23">
        <f t="shared" si="166"/>
        <v>3.1046459595742713E-22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>
        <f>BD180*VLOOKUP('Données projet'!$B$11,Paramètres!$A$1:$I$89,3,0)*VLOOKUP('Données projet'!$B$11,Paramètres!$A$1:$I$89,5,0)</f>
        <v>0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240.22884864766218</v>
      </c>
      <c r="BJ180" s="62">
        <f t="shared" si="146"/>
        <v>343.23776884143166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0.17481954113310194</v>
      </c>
      <c r="BR180" s="23">
        <f>EXP(-LN(2)/2)*BR179+(1-EXP(-LN(2)/2))/(LN(2)/2)*BL180*BO180*VLOOKUP('Données projet'!$B$11,Paramètres!$A$1:$I$89,3,0)*0.475*44/12</f>
        <v>1.2367284069788165E-21</v>
      </c>
      <c r="BS180" s="24">
        <f t="shared" si="169"/>
        <v>0.17481954113310194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-9.6633812063373625E-13</v>
      </c>
      <c r="BZ180" s="14">
        <f>BY180*VLOOKUP('Données projet'!$B$12,Paramètres!$A$1:$I$89,3,0)*VLOOKUP('Données projet'!$B$12,Paramètres!$A$1:$I$89,5,0)</f>
        <v>-8.7434273154940449E-13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428.8489304403459</v>
      </c>
      <c r="CE180" s="62">
        <f t="shared" si="148"/>
        <v>247.01165577562966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-1.7053025658242404E-13</v>
      </c>
      <c r="CU180" s="18">
        <f>CT180*VLOOKUP('Données projet'!$B$13,Paramètres!$A$1:$I$89,3,0)*VLOOKUP('Données projet'!$B$13,Paramètres!$A$1:$I$89,5,0)</f>
        <v>-1.3567387213697657E-13</v>
      </c>
      <c r="CV180" s="14" t="e">
        <f t="shared" si="173"/>
        <v>#NUM!</v>
      </c>
      <c r="CW180" s="22" t="e">
        <f t="shared" si="174"/>
        <v>#NUM!</v>
      </c>
      <c r="CX180" s="62" t="e">
        <f t="shared" si="122"/>
        <v>#NUM!</v>
      </c>
      <c r="CY180" s="62">
        <f ca="1">AVERAGE(OFFSET($CX$3,0,0,'Données projet'!$E$13+1,1))-AVERAGE(OFFSET($H$3,0,0,'Données projet'!$E$13+1,1))</f>
        <v>312.53381881960331</v>
      </c>
      <c r="CZ180" s="62">
        <f t="shared" si="150"/>
        <v>342.06887933351783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-1.7053025658242404E-13</v>
      </c>
      <c r="DP180" s="18">
        <f>DO180*VLOOKUP('Données projet'!$B$14,Paramètres!$A$1:$I$89,3,0)*VLOOKUP('Données projet'!$B$14,Paramètres!$A$1:$I$89,5,0)</f>
        <v>-1.250327841262333E-13</v>
      </c>
      <c r="DQ180" s="14" t="e">
        <f t="shared" si="176"/>
        <v>#NUM!</v>
      </c>
      <c r="DR180" s="22" t="e">
        <f t="shared" si="177"/>
        <v>#NUM!</v>
      </c>
      <c r="DS180" s="62" t="e">
        <f t="shared" si="125"/>
        <v>#NUM!</v>
      </c>
      <c r="DT180" s="62">
        <f ca="1">AVERAGE(OFFSET($DS$3,0,0,'Données projet'!$E$14+1,1))-AVERAGE(OFFSET($H$3,0,0,'Données projet'!$E$14+1,1))</f>
        <v>290.85271051443431</v>
      </c>
      <c r="DU180" s="62">
        <f t="shared" si="152"/>
        <v>318.66958823451142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0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3.4106051316484809E-13</v>
      </c>
      <c r="EK180" s="18">
        <f>EJ180*VLOOKUP('Données projet'!$B$15,Paramètres!$A$1:$I$89,3,0)*VLOOKUP('Données projet'!$B$15,Paramètres!$A$1:$I$89,5,0)</f>
        <v>2.9262992029543969E-13</v>
      </c>
      <c r="EL180" s="14">
        <f t="shared" si="179"/>
        <v>3.8796387982050903E-12</v>
      </c>
      <c r="EM180" s="22">
        <f t="shared" si="180"/>
        <v>7.2667013513884219E-12</v>
      </c>
      <c r="EN180" s="62">
        <f t="shared" si="128"/>
        <v>293.33333333334059</v>
      </c>
      <c r="EO180" s="62">
        <f ca="1">AVERAGE(OFFSET($EN$3,0,0,'Données projet'!$E$15+1,1))-AVERAGE(OFFSET($H$3,0,0,'Données projet'!$E$15+1,1))</f>
        <v>438.65317358403996</v>
      </c>
      <c r="EP180" s="62">
        <f t="shared" si="154"/>
        <v>176.81257896138806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0</v>
      </c>
      <c r="EW180" s="23">
        <f>EXP(-LN(2)/25)*EW179+(1-EXP(-LN(2)/25))/(LN(2)/25)*Calculateur!ER180*Calculateur!ET180*VLOOKUP('Données projet'!$B$15,Paramètres!$A$1:$I$89,3,0)*0.475*44/12</f>
        <v>0</v>
      </c>
      <c r="EX180" s="23">
        <f>EXP(-LN(2)/2)*EX179+(1-EXP(-LN(2)/2))/(LN(2)/2)*ER180*EU180*VLOOKUP('Données projet'!$B$15,Paramètres!$A$1:$I$89,3,0)*0.475*44/12</f>
        <v>0</v>
      </c>
      <c r="EY180" s="24">
        <f t="shared" si="181"/>
        <v>0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2.2737367544323206E-13</v>
      </c>
      <c r="O181" s="14">
        <f>N181*VLOOKUP('Données projet'!$B$9,Paramètres!$A$1:$I$89,3,0)*VLOOKUP('Données projet'!$B$9,Paramètres!$A$1:$I$89,5,0)</f>
        <v>1.2710188457276673E-13</v>
      </c>
      <c r="P181" s="14">
        <f t="shared" si="141"/>
        <v>1.856866851063998E-12</v>
      </c>
      <c r="Q181" s="22">
        <f t="shared" si="162"/>
        <v>3.4554122145673649E-12</v>
      </c>
      <c r="R181" s="62">
        <f t="shared" si="109"/>
        <v>293.33333333333678</v>
      </c>
      <c r="S181" s="62">
        <f ca="1">AVERAGE(OFFSET($R$3,0,0,'Données projet'!$E$9+1,1))-AVERAGE(OFFSET($H$3,0,0,'Données projet'!$E$9+1,1))</f>
        <v>323.98185264074681</v>
      </c>
      <c r="T181" s="62">
        <f t="shared" si="142"/>
        <v>301.22207291854005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0.23803124691883501</v>
      </c>
      <c r="AA181" s="23">
        <f>EXP(-LN(2)/25)*AA180+(1-EXP(-LN(2)/25))/(LN(2)/25)*Calculateur!V181*Calculateur!X181*VLOOKUP('Données projet'!$B$9,Paramètres!$A$1:$I$89,3,0)*0.475*44/12</f>
        <v>0.13621163291466892</v>
      </c>
      <c r="AB181" s="23">
        <f>EXP(-LN(2)/2)*AB180+(1-EXP(-LN(2)/2))/(LN(2)/2)*V181*Y181*VLOOKUP('Données projet'!$B$9,Paramètres!$A$1:$I$89,3,0)*0.475*44/12</f>
        <v>3.2228582860423386E-22</v>
      </c>
      <c r="AC181" s="24">
        <f t="shared" si="163"/>
        <v>0.37424287983350391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-2.8421709430404007E-13</v>
      </c>
      <c r="AJ181" s="14">
        <f>AI181*VLOOKUP('Données projet'!$B$10,Paramètres!$A$1:$I$89,3,0)*VLOOKUP('Données projet'!$B$10,Paramètres!$A$1:$I$89,5,0)</f>
        <v>-1.69961822393816E-13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289.12367833861299</v>
      </c>
      <c r="AO181" s="62">
        <f t="shared" si="144"/>
        <v>229.06617320689003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2.1953162111983831E-22</v>
      </c>
      <c r="AX181" s="23">
        <f t="shared" si="166"/>
        <v>2.1953162111983831E-22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>
        <f>BD181*VLOOKUP('Données projet'!$B$11,Paramètres!$A$1:$I$89,3,0)*VLOOKUP('Données projet'!$B$11,Paramètres!$A$1:$I$89,5,0)</f>
        <v>0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240.22884864766218</v>
      </c>
      <c r="BJ181" s="62">
        <f t="shared" si="146"/>
        <v>343.23776884143166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0.17003909158745717</v>
      </c>
      <c r="BR181" s="23">
        <f>EXP(-LN(2)/2)*BR180+(1-EXP(-LN(2)/2))/(LN(2)/2)*BL181*BO181*VLOOKUP('Données projet'!$B$11,Paramètres!$A$1:$I$89,3,0)*0.475*44/12</f>
        <v>8.7449904306075747E-22</v>
      </c>
      <c r="BS181" s="24">
        <f t="shared" si="169"/>
        <v>0.17003909158745717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-9.6633812063373625E-13</v>
      </c>
      <c r="BZ181" s="14">
        <f>BY181*VLOOKUP('Données projet'!$B$12,Paramètres!$A$1:$I$89,3,0)*VLOOKUP('Données projet'!$B$12,Paramètres!$A$1:$I$89,5,0)</f>
        <v>-8.7434273154940449E-13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428.8489304403459</v>
      </c>
      <c r="CE181" s="62">
        <f t="shared" si="148"/>
        <v>247.01165577562966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-1.7053025658242404E-13</v>
      </c>
      <c r="CU181" s="18">
        <f>CT181*VLOOKUP('Données projet'!$B$13,Paramètres!$A$1:$I$89,3,0)*VLOOKUP('Données projet'!$B$13,Paramètres!$A$1:$I$89,5,0)</f>
        <v>-1.3567387213697657E-13</v>
      </c>
      <c r="CV181" s="14" t="e">
        <f t="shared" si="173"/>
        <v>#NUM!</v>
      </c>
      <c r="CW181" s="22" t="e">
        <f t="shared" si="174"/>
        <v>#NUM!</v>
      </c>
      <c r="CX181" s="62" t="e">
        <f t="shared" si="122"/>
        <v>#NUM!</v>
      </c>
      <c r="CY181" s="62">
        <f ca="1">AVERAGE(OFFSET($CX$3,0,0,'Données projet'!$E$13+1,1))-AVERAGE(OFFSET($H$3,0,0,'Données projet'!$E$13+1,1))</f>
        <v>312.53381881960331</v>
      </c>
      <c r="CZ181" s="62">
        <f t="shared" si="150"/>
        <v>342.06887933351783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-1.7053025658242404E-13</v>
      </c>
      <c r="DP181" s="18">
        <f>DO181*VLOOKUP('Données projet'!$B$14,Paramètres!$A$1:$I$89,3,0)*VLOOKUP('Données projet'!$B$14,Paramètres!$A$1:$I$89,5,0)</f>
        <v>-1.250327841262333E-13</v>
      </c>
      <c r="DQ181" s="14" t="e">
        <f t="shared" si="176"/>
        <v>#NUM!</v>
      </c>
      <c r="DR181" s="22" t="e">
        <f t="shared" si="177"/>
        <v>#NUM!</v>
      </c>
      <c r="DS181" s="62" t="e">
        <f t="shared" si="125"/>
        <v>#NUM!</v>
      </c>
      <c r="DT181" s="62">
        <f ca="1">AVERAGE(OFFSET($DS$3,0,0,'Données projet'!$E$14+1,1))-AVERAGE(OFFSET($H$3,0,0,'Données projet'!$E$14+1,1))</f>
        <v>290.85271051443431</v>
      </c>
      <c r="DU181" s="62">
        <f t="shared" si="152"/>
        <v>318.66958823451142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0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3.4106051316484809E-13</v>
      </c>
      <c r="EK181" s="18">
        <f>EJ181*VLOOKUP('Données projet'!$B$15,Paramètres!$A$1:$I$89,3,0)*VLOOKUP('Données projet'!$B$15,Paramètres!$A$1:$I$89,5,0)</f>
        <v>2.9262992029543969E-13</v>
      </c>
      <c r="EL181" s="14">
        <f t="shared" si="179"/>
        <v>3.8796387982050903E-12</v>
      </c>
      <c r="EM181" s="22">
        <f t="shared" si="180"/>
        <v>7.2667013513884219E-12</v>
      </c>
      <c r="EN181" s="62">
        <f t="shared" si="128"/>
        <v>293.33333333334059</v>
      </c>
      <c r="EO181" s="62">
        <f ca="1">AVERAGE(OFFSET($EN$3,0,0,'Données projet'!$E$15+1,1))-AVERAGE(OFFSET($H$3,0,0,'Données projet'!$E$15+1,1))</f>
        <v>438.65317358403996</v>
      </c>
      <c r="EP181" s="62">
        <f t="shared" si="154"/>
        <v>176.81257896138806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0</v>
      </c>
      <c r="EW181" s="23">
        <f>EXP(-LN(2)/25)*EW180+(1-EXP(-LN(2)/25))/(LN(2)/25)*Calculateur!ER181*Calculateur!ET181*VLOOKUP('Données projet'!$B$15,Paramètres!$A$1:$I$89,3,0)*0.475*44/12</f>
        <v>0</v>
      </c>
      <c r="EX181" s="23">
        <f>EXP(-LN(2)/2)*EX180+(1-EXP(-LN(2)/2))/(LN(2)/2)*ER181*EU181*VLOOKUP('Données projet'!$B$15,Paramètres!$A$1:$I$89,3,0)*0.475*44/12</f>
        <v>0</v>
      </c>
      <c r="EY181" s="24">
        <f t="shared" si="181"/>
        <v>0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2.2737367544323206E-13</v>
      </c>
      <c r="O182" s="14">
        <f>N182*VLOOKUP('Données projet'!$B$9,Paramètres!$A$1:$I$89,3,0)*VLOOKUP('Données projet'!$B$9,Paramètres!$A$1:$I$89,5,0)</f>
        <v>1.2710188457276673E-13</v>
      </c>
      <c r="P182" s="14">
        <f t="shared" si="141"/>
        <v>1.856866851063998E-12</v>
      </c>
      <c r="Q182" s="22">
        <f t="shared" si="162"/>
        <v>3.4554122145673649E-12</v>
      </c>
      <c r="R182" s="62">
        <f t="shared" si="109"/>
        <v>293.33333333333678</v>
      </c>
      <c r="S182" s="62">
        <f ca="1">AVERAGE(OFFSET($R$3,0,0,'Données projet'!$E$9+1,1))-AVERAGE(OFFSET($H$3,0,0,'Données projet'!$E$9+1,1))</f>
        <v>323.98185264074681</v>
      </c>
      <c r="T182" s="62">
        <f t="shared" si="142"/>
        <v>301.22207291854005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0.23336359935148149</v>
      </c>
      <c r="AA182" s="23">
        <f>EXP(-LN(2)/25)*AA181+(1-EXP(-LN(2)/25))/(LN(2)/25)*Calculateur!V182*Calculateur!X182*VLOOKUP('Données projet'!$B$9,Paramètres!$A$1:$I$89,3,0)*0.475*44/12</f>
        <v>0.13248691864955883</v>
      </c>
      <c r="AB182" s="23">
        <f>EXP(-LN(2)/2)*AB181+(1-EXP(-LN(2)/2))/(LN(2)/2)*V182*Y182*VLOOKUP('Données projet'!$B$9,Paramètres!$A$1:$I$89,3,0)*0.475*44/12</f>
        <v>2.2789049488637915E-22</v>
      </c>
      <c r="AC182" s="24">
        <f t="shared" si="163"/>
        <v>0.36585051800104029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-2.8421709430404007E-13</v>
      </c>
      <c r="AJ182" s="14">
        <f>AI182*VLOOKUP('Données projet'!$B$10,Paramètres!$A$1:$I$89,3,0)*VLOOKUP('Données projet'!$B$10,Paramètres!$A$1:$I$89,5,0)</f>
        <v>-1.69961822393816E-13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289.12367833861299</v>
      </c>
      <c r="AO182" s="62">
        <f t="shared" si="144"/>
        <v>229.06617320689003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1.5523229797871357E-22</v>
      </c>
      <c r="AX182" s="23">
        <f t="shared" si="166"/>
        <v>1.5523229797871357E-22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>
        <f>BD182*VLOOKUP('Données projet'!$B$11,Paramètres!$A$1:$I$89,3,0)*VLOOKUP('Données projet'!$B$11,Paramètres!$A$1:$I$89,5,0)</f>
        <v>0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240.22884864766218</v>
      </c>
      <c r="BJ182" s="62">
        <f t="shared" si="146"/>
        <v>343.23776884143166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0.16538936368603097</v>
      </c>
      <c r="BR182" s="23">
        <f>EXP(-LN(2)/2)*BR181+(1-EXP(-LN(2)/2))/(LN(2)/2)*BL182*BO182*VLOOKUP('Données projet'!$B$11,Paramètres!$A$1:$I$89,3,0)*0.475*44/12</f>
        <v>6.1836420348940824E-22</v>
      </c>
      <c r="BS182" s="24">
        <f t="shared" si="169"/>
        <v>0.16538936368603097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-9.6633812063373625E-13</v>
      </c>
      <c r="BZ182" s="14">
        <f>BY182*VLOOKUP('Données projet'!$B$12,Paramètres!$A$1:$I$89,3,0)*VLOOKUP('Données projet'!$B$12,Paramètres!$A$1:$I$89,5,0)</f>
        <v>-8.7434273154940449E-13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428.8489304403459</v>
      </c>
      <c r="CE182" s="62">
        <f t="shared" si="148"/>
        <v>247.01165577562966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-1.7053025658242404E-13</v>
      </c>
      <c r="CU182" s="18">
        <f>CT182*VLOOKUP('Données projet'!$B$13,Paramètres!$A$1:$I$89,3,0)*VLOOKUP('Données projet'!$B$13,Paramètres!$A$1:$I$89,5,0)</f>
        <v>-1.3567387213697657E-13</v>
      </c>
      <c r="CV182" s="14" t="e">
        <f t="shared" si="173"/>
        <v>#NUM!</v>
      </c>
      <c r="CW182" s="22" t="e">
        <f t="shared" si="174"/>
        <v>#NUM!</v>
      </c>
      <c r="CX182" s="62" t="e">
        <f t="shared" si="122"/>
        <v>#NUM!</v>
      </c>
      <c r="CY182" s="62">
        <f ca="1">AVERAGE(OFFSET($CX$3,0,0,'Données projet'!$E$13+1,1))-AVERAGE(OFFSET($H$3,0,0,'Données projet'!$E$13+1,1))</f>
        <v>312.53381881960331</v>
      </c>
      <c r="CZ182" s="62">
        <f t="shared" si="150"/>
        <v>342.06887933351783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-1.7053025658242404E-13</v>
      </c>
      <c r="DP182" s="18">
        <f>DO182*VLOOKUP('Données projet'!$B$14,Paramètres!$A$1:$I$89,3,0)*VLOOKUP('Données projet'!$B$14,Paramètres!$A$1:$I$89,5,0)</f>
        <v>-1.250327841262333E-13</v>
      </c>
      <c r="DQ182" s="14" t="e">
        <f t="shared" si="176"/>
        <v>#NUM!</v>
      </c>
      <c r="DR182" s="22" t="e">
        <f t="shared" si="177"/>
        <v>#NUM!</v>
      </c>
      <c r="DS182" s="62" t="e">
        <f t="shared" si="125"/>
        <v>#NUM!</v>
      </c>
      <c r="DT182" s="62">
        <f ca="1">AVERAGE(OFFSET($DS$3,0,0,'Données projet'!$E$14+1,1))-AVERAGE(OFFSET($H$3,0,0,'Données projet'!$E$14+1,1))</f>
        <v>290.85271051443431</v>
      </c>
      <c r="DU182" s="62">
        <f t="shared" si="152"/>
        <v>318.66958823451142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0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3.4106051316484809E-13</v>
      </c>
      <c r="EK182" s="18">
        <f>EJ182*VLOOKUP('Données projet'!$B$15,Paramètres!$A$1:$I$89,3,0)*VLOOKUP('Données projet'!$B$15,Paramètres!$A$1:$I$89,5,0)</f>
        <v>2.9262992029543969E-13</v>
      </c>
      <c r="EL182" s="14">
        <f t="shared" si="179"/>
        <v>3.8796387982050903E-12</v>
      </c>
      <c r="EM182" s="22">
        <f t="shared" si="180"/>
        <v>7.2667013513884219E-12</v>
      </c>
      <c r="EN182" s="62">
        <f t="shared" si="128"/>
        <v>293.33333333334059</v>
      </c>
      <c r="EO182" s="62">
        <f ca="1">AVERAGE(OFFSET($EN$3,0,0,'Données projet'!$E$15+1,1))-AVERAGE(OFFSET($H$3,0,0,'Données projet'!$E$15+1,1))</f>
        <v>438.65317358403996</v>
      </c>
      <c r="EP182" s="62">
        <f t="shared" si="154"/>
        <v>176.81257896138806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0</v>
      </c>
      <c r="EW182" s="23">
        <f>EXP(-LN(2)/25)*EW181+(1-EXP(-LN(2)/25))/(LN(2)/25)*Calculateur!ER182*Calculateur!ET182*VLOOKUP('Données projet'!$B$15,Paramètres!$A$1:$I$89,3,0)*0.475*44/12</f>
        <v>0</v>
      </c>
      <c r="EX182" s="23">
        <f>EXP(-LN(2)/2)*EX181+(1-EXP(-LN(2)/2))/(LN(2)/2)*ER182*EU182*VLOOKUP('Données projet'!$B$15,Paramètres!$A$1:$I$89,3,0)*0.475*44/12</f>
        <v>0</v>
      </c>
      <c r="EY182" s="24">
        <f t="shared" si="181"/>
        <v>0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2.2737367544323206E-13</v>
      </c>
      <c r="O183" s="14">
        <f>N183*VLOOKUP('Données projet'!$B$9,Paramètres!$A$1:$I$89,3,0)*VLOOKUP('Données projet'!$B$9,Paramètres!$A$1:$I$89,5,0)</f>
        <v>1.2710188457276673E-13</v>
      </c>
      <c r="P183" s="14">
        <f t="shared" si="141"/>
        <v>1.856866851063998E-12</v>
      </c>
      <c r="Q183" s="22">
        <f t="shared" si="162"/>
        <v>3.4554122145673649E-12</v>
      </c>
      <c r="R183" s="62">
        <f t="shared" si="109"/>
        <v>293.33333333333678</v>
      </c>
      <c r="S183" s="62">
        <f ca="1">AVERAGE(OFFSET($R$3,0,0,'Données projet'!$E$9+1,1))-AVERAGE(OFFSET($H$3,0,0,'Données projet'!$E$9+1,1))</f>
        <v>323.98185264074681</v>
      </c>
      <c r="T183" s="62">
        <f t="shared" si="142"/>
        <v>301.22207291854005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0.22878748150593986</v>
      </c>
      <c r="AA183" s="23">
        <f>EXP(-LN(2)/25)*AA182+(1-EXP(-LN(2)/25))/(LN(2)/25)*Calculateur!V183*Calculateur!X183*VLOOKUP('Données projet'!$B$9,Paramètres!$A$1:$I$89,3,0)*0.475*44/12</f>
        <v>0.12886405689190239</v>
      </c>
      <c r="AB183" s="23">
        <f>EXP(-LN(2)/2)*AB182+(1-EXP(-LN(2)/2))/(LN(2)/2)*V183*Y183*VLOOKUP('Données projet'!$B$9,Paramètres!$A$1:$I$89,3,0)*0.475*44/12</f>
        <v>1.6114291430211693E-22</v>
      </c>
      <c r="AC183" s="24">
        <f t="shared" si="163"/>
        <v>0.35765153839784225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-2.8421709430404007E-13</v>
      </c>
      <c r="AJ183" s="14">
        <f>AI183*VLOOKUP('Données projet'!$B$10,Paramètres!$A$1:$I$89,3,0)*VLOOKUP('Données projet'!$B$10,Paramètres!$A$1:$I$89,5,0)</f>
        <v>-1.69961822393816E-13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289.12367833861299</v>
      </c>
      <c r="AO183" s="62">
        <f t="shared" si="144"/>
        <v>229.06617320689003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1.0976581055991916E-22</v>
      </c>
      <c r="AX183" s="23">
        <f t="shared" si="166"/>
        <v>1.0976581055991916E-22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>
        <f>BD183*VLOOKUP('Données projet'!$B$11,Paramètres!$A$1:$I$89,3,0)*VLOOKUP('Données projet'!$B$11,Paramètres!$A$1:$I$89,5,0)</f>
        <v>0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240.22884864766218</v>
      </c>
      <c r="BJ183" s="62">
        <f t="shared" si="146"/>
        <v>343.23776884143166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0.16086678283858782</v>
      </c>
      <c r="BR183" s="23">
        <f>EXP(-LN(2)/2)*BR182+(1-EXP(-LN(2)/2))/(LN(2)/2)*BL183*BO183*VLOOKUP('Données projet'!$B$11,Paramètres!$A$1:$I$89,3,0)*0.475*44/12</f>
        <v>4.3724952153037874E-22</v>
      </c>
      <c r="BS183" s="24">
        <f t="shared" si="169"/>
        <v>0.16086678283858782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-9.6633812063373625E-13</v>
      </c>
      <c r="BZ183" s="14">
        <f>BY183*VLOOKUP('Données projet'!$B$12,Paramètres!$A$1:$I$89,3,0)*VLOOKUP('Données projet'!$B$12,Paramètres!$A$1:$I$89,5,0)</f>
        <v>-8.7434273154940449E-13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428.8489304403459</v>
      </c>
      <c r="CE183" s="62">
        <f t="shared" si="148"/>
        <v>247.01165577562966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-1.7053025658242404E-13</v>
      </c>
      <c r="CU183" s="18">
        <f>CT183*VLOOKUP('Données projet'!$B$13,Paramètres!$A$1:$I$89,3,0)*VLOOKUP('Données projet'!$B$13,Paramètres!$A$1:$I$89,5,0)</f>
        <v>-1.3567387213697657E-13</v>
      </c>
      <c r="CV183" s="14" t="e">
        <f t="shared" si="173"/>
        <v>#NUM!</v>
      </c>
      <c r="CW183" s="22" t="e">
        <f t="shared" si="174"/>
        <v>#NUM!</v>
      </c>
      <c r="CX183" s="62" t="e">
        <f t="shared" si="122"/>
        <v>#NUM!</v>
      </c>
      <c r="CY183" s="62">
        <f ca="1">AVERAGE(OFFSET($CX$3,0,0,'Données projet'!$E$13+1,1))-AVERAGE(OFFSET($H$3,0,0,'Données projet'!$E$13+1,1))</f>
        <v>312.53381881960331</v>
      </c>
      <c r="CZ183" s="62">
        <f t="shared" si="150"/>
        <v>342.06887933351783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-1.7053025658242404E-13</v>
      </c>
      <c r="DP183" s="18">
        <f>DO183*VLOOKUP('Données projet'!$B$14,Paramètres!$A$1:$I$89,3,0)*VLOOKUP('Données projet'!$B$14,Paramètres!$A$1:$I$89,5,0)</f>
        <v>-1.250327841262333E-13</v>
      </c>
      <c r="DQ183" s="14" t="e">
        <f t="shared" si="176"/>
        <v>#NUM!</v>
      </c>
      <c r="DR183" s="22" t="e">
        <f t="shared" si="177"/>
        <v>#NUM!</v>
      </c>
      <c r="DS183" s="62" t="e">
        <f t="shared" si="125"/>
        <v>#NUM!</v>
      </c>
      <c r="DT183" s="62">
        <f ca="1">AVERAGE(OFFSET($DS$3,0,0,'Données projet'!$E$14+1,1))-AVERAGE(OFFSET($H$3,0,0,'Données projet'!$E$14+1,1))</f>
        <v>290.85271051443431</v>
      </c>
      <c r="DU183" s="62">
        <f t="shared" si="152"/>
        <v>318.66958823451142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0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3.4106051316484809E-13</v>
      </c>
      <c r="EK183" s="18">
        <f>EJ183*VLOOKUP('Données projet'!$B$15,Paramètres!$A$1:$I$89,3,0)*VLOOKUP('Données projet'!$B$15,Paramètres!$A$1:$I$89,5,0)</f>
        <v>2.9262992029543969E-13</v>
      </c>
      <c r="EL183" s="14">
        <f t="shared" si="179"/>
        <v>3.8796387982050903E-12</v>
      </c>
      <c r="EM183" s="22">
        <f t="shared" si="180"/>
        <v>7.2667013513884219E-12</v>
      </c>
      <c r="EN183" s="62">
        <f t="shared" si="128"/>
        <v>293.33333333334059</v>
      </c>
      <c r="EO183" s="62">
        <f ca="1">AVERAGE(OFFSET($EN$3,0,0,'Données projet'!$E$15+1,1))-AVERAGE(OFFSET($H$3,0,0,'Données projet'!$E$15+1,1))</f>
        <v>438.65317358403996</v>
      </c>
      <c r="EP183" s="62">
        <f t="shared" si="154"/>
        <v>176.81257896138806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0</v>
      </c>
      <c r="EW183" s="23">
        <f>EXP(-LN(2)/25)*EW182+(1-EXP(-LN(2)/25))/(LN(2)/25)*Calculateur!ER183*Calculateur!ET183*VLOOKUP('Données projet'!$B$15,Paramètres!$A$1:$I$89,3,0)*0.475*44/12</f>
        <v>0</v>
      </c>
      <c r="EX183" s="23">
        <f>EXP(-LN(2)/2)*EX182+(1-EXP(-LN(2)/2))/(LN(2)/2)*ER183*EU183*VLOOKUP('Données projet'!$B$15,Paramètres!$A$1:$I$89,3,0)*0.475*44/12</f>
        <v>0</v>
      </c>
      <c r="EY183" s="24">
        <f t="shared" si="181"/>
        <v>0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2.2737367544323206E-13</v>
      </c>
      <c r="O184" s="14">
        <f>N184*VLOOKUP('Données projet'!$B$9,Paramètres!$A$1:$I$89,3,0)*VLOOKUP('Données projet'!$B$9,Paramètres!$A$1:$I$89,5,0)</f>
        <v>1.2710188457276673E-13</v>
      </c>
      <c r="P184" s="14">
        <f t="shared" si="141"/>
        <v>1.856866851063998E-12</v>
      </c>
      <c r="Q184" s="22">
        <f t="shared" si="162"/>
        <v>3.4554122145673649E-12</v>
      </c>
      <c r="R184" s="62">
        <f t="shared" si="109"/>
        <v>293.33333333333678</v>
      </c>
      <c r="S184" s="62">
        <f ca="1">AVERAGE(OFFSET($R$3,0,0,'Données projet'!$E$9+1,1))-AVERAGE(OFFSET($H$3,0,0,'Données projet'!$E$9+1,1))</f>
        <v>323.98185264074681</v>
      </c>
      <c r="T184" s="62">
        <f t="shared" si="142"/>
        <v>301.22207291854005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0.22430109854019301</v>
      </c>
      <c r="AA184" s="23">
        <f>EXP(-LN(2)/25)*AA183+(1-EXP(-LN(2)/25))/(LN(2)/25)*Calculateur!V184*Calculateur!X184*VLOOKUP('Données projet'!$B$9,Paramètres!$A$1:$I$89,3,0)*0.475*44/12</f>
        <v>0.12534026247952709</v>
      </c>
      <c r="AB184" s="23">
        <f>EXP(-LN(2)/2)*AB183+(1-EXP(-LN(2)/2))/(LN(2)/2)*V184*Y184*VLOOKUP('Données projet'!$B$9,Paramètres!$A$1:$I$89,3,0)*0.475*44/12</f>
        <v>1.1394524744318957E-22</v>
      </c>
      <c r="AC184" s="24">
        <f t="shared" si="163"/>
        <v>0.3496413610197201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-2.8421709430404007E-13</v>
      </c>
      <c r="AJ184" s="14">
        <f>AI184*VLOOKUP('Données projet'!$B$10,Paramètres!$A$1:$I$89,3,0)*VLOOKUP('Données projet'!$B$10,Paramètres!$A$1:$I$89,5,0)</f>
        <v>-1.69961822393816E-13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289.12367833861299</v>
      </c>
      <c r="AO184" s="62">
        <f t="shared" si="144"/>
        <v>229.06617320689003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7.7616148989356783E-23</v>
      </c>
      <c r="AX184" s="23">
        <f t="shared" si="166"/>
        <v>7.7616148989356783E-23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>
        <f>BD184*VLOOKUP('Données projet'!$B$11,Paramètres!$A$1:$I$89,3,0)*VLOOKUP('Données projet'!$B$11,Paramètres!$A$1:$I$89,5,0)</f>
        <v>0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240.22884864766218</v>
      </c>
      <c r="BJ184" s="62">
        <f t="shared" si="146"/>
        <v>343.23776884143166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0.1564678722022502</v>
      </c>
      <c r="BR184" s="23">
        <f>EXP(-LN(2)/2)*BR183+(1-EXP(-LN(2)/2))/(LN(2)/2)*BL184*BO184*VLOOKUP('Données projet'!$B$11,Paramètres!$A$1:$I$89,3,0)*0.475*44/12</f>
        <v>3.0918210174470412E-22</v>
      </c>
      <c r="BS184" s="24">
        <f t="shared" si="169"/>
        <v>0.1564678722022502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-9.6633812063373625E-13</v>
      </c>
      <c r="BZ184" s="14">
        <f>BY184*VLOOKUP('Données projet'!$B$12,Paramètres!$A$1:$I$89,3,0)*VLOOKUP('Données projet'!$B$12,Paramètres!$A$1:$I$89,5,0)</f>
        <v>-8.7434273154940449E-13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428.8489304403459</v>
      </c>
      <c r="CE184" s="62">
        <f t="shared" si="148"/>
        <v>247.01165577562966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-1.7053025658242404E-13</v>
      </c>
      <c r="CU184" s="18">
        <f>CT184*VLOOKUP('Données projet'!$B$13,Paramètres!$A$1:$I$89,3,0)*VLOOKUP('Données projet'!$B$13,Paramètres!$A$1:$I$89,5,0)</f>
        <v>-1.3567387213697657E-13</v>
      </c>
      <c r="CV184" s="14" t="e">
        <f t="shared" si="173"/>
        <v>#NUM!</v>
      </c>
      <c r="CW184" s="22" t="e">
        <f t="shared" si="174"/>
        <v>#NUM!</v>
      </c>
      <c r="CX184" s="62" t="e">
        <f t="shared" si="122"/>
        <v>#NUM!</v>
      </c>
      <c r="CY184" s="62">
        <f ca="1">AVERAGE(OFFSET($CX$3,0,0,'Données projet'!$E$13+1,1))-AVERAGE(OFFSET($H$3,0,0,'Données projet'!$E$13+1,1))</f>
        <v>312.53381881960331</v>
      </c>
      <c r="CZ184" s="62">
        <f t="shared" si="150"/>
        <v>342.06887933351783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-1.7053025658242404E-13</v>
      </c>
      <c r="DP184" s="18">
        <f>DO184*VLOOKUP('Données projet'!$B$14,Paramètres!$A$1:$I$89,3,0)*VLOOKUP('Données projet'!$B$14,Paramètres!$A$1:$I$89,5,0)</f>
        <v>-1.250327841262333E-13</v>
      </c>
      <c r="DQ184" s="14" t="e">
        <f t="shared" si="176"/>
        <v>#NUM!</v>
      </c>
      <c r="DR184" s="22" t="e">
        <f t="shared" si="177"/>
        <v>#NUM!</v>
      </c>
      <c r="DS184" s="62" t="e">
        <f t="shared" si="125"/>
        <v>#NUM!</v>
      </c>
      <c r="DT184" s="62">
        <f ca="1">AVERAGE(OFFSET($DS$3,0,0,'Données projet'!$E$14+1,1))-AVERAGE(OFFSET($H$3,0,0,'Données projet'!$E$14+1,1))</f>
        <v>290.85271051443431</v>
      </c>
      <c r="DU184" s="62">
        <f t="shared" si="152"/>
        <v>318.66958823451142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0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3.4106051316484809E-13</v>
      </c>
      <c r="EK184" s="18">
        <f>EJ184*VLOOKUP('Données projet'!$B$15,Paramètres!$A$1:$I$89,3,0)*VLOOKUP('Données projet'!$B$15,Paramètres!$A$1:$I$89,5,0)</f>
        <v>2.9262992029543969E-13</v>
      </c>
      <c r="EL184" s="14">
        <f t="shared" si="179"/>
        <v>3.8796387982050903E-12</v>
      </c>
      <c r="EM184" s="22">
        <f t="shared" si="180"/>
        <v>7.2667013513884219E-12</v>
      </c>
      <c r="EN184" s="62">
        <f t="shared" si="128"/>
        <v>293.33333333334059</v>
      </c>
      <c r="EO184" s="62">
        <f ca="1">AVERAGE(OFFSET($EN$3,0,0,'Données projet'!$E$15+1,1))-AVERAGE(OFFSET($H$3,0,0,'Données projet'!$E$15+1,1))</f>
        <v>438.65317358403996</v>
      </c>
      <c r="EP184" s="62">
        <f t="shared" si="154"/>
        <v>176.81257896138806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0</v>
      </c>
      <c r="EW184" s="23">
        <f>EXP(-LN(2)/25)*EW183+(1-EXP(-LN(2)/25))/(LN(2)/25)*Calculateur!ER184*Calculateur!ET184*VLOOKUP('Données projet'!$B$15,Paramètres!$A$1:$I$89,3,0)*0.475*44/12</f>
        <v>0</v>
      </c>
      <c r="EX184" s="23">
        <f>EXP(-LN(2)/2)*EX183+(1-EXP(-LN(2)/2))/(LN(2)/2)*ER184*EU184*VLOOKUP('Données projet'!$B$15,Paramètres!$A$1:$I$89,3,0)*0.475*44/12</f>
        <v>0</v>
      </c>
      <c r="EY184" s="24">
        <f t="shared" si="181"/>
        <v>0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2.2737367544323206E-13</v>
      </c>
      <c r="O185" s="14">
        <f>N185*VLOOKUP('Données projet'!$B$9,Paramètres!$A$1:$I$89,3,0)*VLOOKUP('Données projet'!$B$9,Paramètres!$A$1:$I$89,5,0)</f>
        <v>1.2710188457276673E-13</v>
      </c>
      <c r="P185" s="14">
        <f t="shared" si="141"/>
        <v>1.856866851063998E-12</v>
      </c>
      <c r="Q185" s="22">
        <f t="shared" si="162"/>
        <v>3.4554122145673649E-12</v>
      </c>
      <c r="R185" s="62">
        <f t="shared" si="109"/>
        <v>293.33333333333678</v>
      </c>
      <c r="S185" s="62">
        <f ca="1">AVERAGE(OFFSET($R$3,0,0,'Données projet'!$E$9+1,1))-AVERAGE(OFFSET($H$3,0,0,'Données projet'!$E$9+1,1))</f>
        <v>323.98185264074681</v>
      </c>
      <c r="T185" s="62">
        <f t="shared" si="142"/>
        <v>301.22207291854005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0.21990269080798105</v>
      </c>
      <c r="AA185" s="23">
        <f>EXP(-LN(2)/25)*AA184+(1-EXP(-LN(2)/25))/(LN(2)/25)*Calculateur!V185*Calculateur!X185*VLOOKUP('Données projet'!$B$9,Paramètres!$A$1:$I$89,3,0)*0.475*44/12</f>
        <v>0.12191282641066649</v>
      </c>
      <c r="AB185" s="23">
        <f>EXP(-LN(2)/2)*AB184+(1-EXP(-LN(2)/2))/(LN(2)/2)*V185*Y185*VLOOKUP('Données projet'!$B$9,Paramètres!$A$1:$I$89,3,0)*0.475*44/12</f>
        <v>8.0571457151058466E-23</v>
      </c>
      <c r="AC185" s="24">
        <f t="shared" si="163"/>
        <v>0.34181551721864756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-2.8421709430404007E-13</v>
      </c>
      <c r="AJ185" s="14">
        <f>AI185*VLOOKUP('Données projet'!$B$10,Paramètres!$A$1:$I$89,3,0)*VLOOKUP('Données projet'!$B$10,Paramètres!$A$1:$I$89,5,0)</f>
        <v>-1.69961822393816E-13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289.12367833861299</v>
      </c>
      <c r="AO185" s="62">
        <f t="shared" si="144"/>
        <v>229.06617320689003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5.4882905279959578E-23</v>
      </c>
      <c r="AX185" s="23">
        <f t="shared" si="166"/>
        <v>5.4882905279959578E-23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>
        <f>BD185*VLOOKUP('Données projet'!$B$11,Paramètres!$A$1:$I$89,3,0)*VLOOKUP('Données projet'!$B$11,Paramètres!$A$1:$I$89,5,0)</f>
        <v>0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240.22884864766218</v>
      </c>
      <c r="BJ185" s="62">
        <f t="shared" si="146"/>
        <v>343.23776884143166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0.15218925000859188</v>
      </c>
      <c r="BR185" s="23">
        <f>EXP(-LN(2)/2)*BR184+(1-EXP(-LN(2)/2))/(LN(2)/2)*BL185*BO185*VLOOKUP('Données projet'!$B$11,Paramètres!$A$1:$I$89,3,0)*0.475*44/12</f>
        <v>2.1862476076518937E-22</v>
      </c>
      <c r="BS185" s="24">
        <f t="shared" si="169"/>
        <v>0.15218925000859188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-9.6633812063373625E-13</v>
      </c>
      <c r="BZ185" s="14">
        <f>BY185*VLOOKUP('Données projet'!$B$12,Paramètres!$A$1:$I$89,3,0)*VLOOKUP('Données projet'!$B$12,Paramètres!$A$1:$I$89,5,0)</f>
        <v>-8.7434273154940449E-13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428.8489304403459</v>
      </c>
      <c r="CE185" s="62">
        <f t="shared" si="148"/>
        <v>247.01165577562966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-1.7053025658242404E-13</v>
      </c>
      <c r="CU185" s="18">
        <f>CT185*VLOOKUP('Données projet'!$B$13,Paramètres!$A$1:$I$89,3,0)*VLOOKUP('Données projet'!$B$13,Paramètres!$A$1:$I$89,5,0)</f>
        <v>-1.3567387213697657E-13</v>
      </c>
      <c r="CV185" s="14" t="e">
        <f t="shared" si="173"/>
        <v>#NUM!</v>
      </c>
      <c r="CW185" s="22" t="e">
        <f t="shared" si="174"/>
        <v>#NUM!</v>
      </c>
      <c r="CX185" s="62" t="e">
        <f t="shared" si="122"/>
        <v>#NUM!</v>
      </c>
      <c r="CY185" s="62">
        <f ca="1">AVERAGE(OFFSET($CX$3,0,0,'Données projet'!$E$13+1,1))-AVERAGE(OFFSET($H$3,0,0,'Données projet'!$E$13+1,1))</f>
        <v>312.53381881960331</v>
      </c>
      <c r="CZ185" s="62">
        <f t="shared" si="150"/>
        <v>342.06887933351783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-1.7053025658242404E-13</v>
      </c>
      <c r="DP185" s="18">
        <f>DO185*VLOOKUP('Données projet'!$B$14,Paramètres!$A$1:$I$89,3,0)*VLOOKUP('Données projet'!$B$14,Paramètres!$A$1:$I$89,5,0)</f>
        <v>-1.250327841262333E-13</v>
      </c>
      <c r="DQ185" s="14" t="e">
        <f t="shared" si="176"/>
        <v>#NUM!</v>
      </c>
      <c r="DR185" s="22" t="e">
        <f t="shared" si="177"/>
        <v>#NUM!</v>
      </c>
      <c r="DS185" s="62" t="e">
        <f t="shared" si="125"/>
        <v>#NUM!</v>
      </c>
      <c r="DT185" s="62">
        <f ca="1">AVERAGE(OFFSET($DS$3,0,0,'Données projet'!$E$14+1,1))-AVERAGE(OFFSET($H$3,0,0,'Données projet'!$E$14+1,1))</f>
        <v>290.85271051443431</v>
      </c>
      <c r="DU185" s="62">
        <f t="shared" si="152"/>
        <v>318.66958823451142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0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3.4106051316484809E-13</v>
      </c>
      <c r="EK185" s="18">
        <f>EJ185*VLOOKUP('Données projet'!$B$15,Paramètres!$A$1:$I$89,3,0)*VLOOKUP('Données projet'!$B$15,Paramètres!$A$1:$I$89,5,0)</f>
        <v>2.9262992029543969E-13</v>
      </c>
      <c r="EL185" s="14">
        <f t="shared" si="179"/>
        <v>3.8796387982050903E-12</v>
      </c>
      <c r="EM185" s="22">
        <f t="shared" si="180"/>
        <v>7.2667013513884219E-12</v>
      </c>
      <c r="EN185" s="62">
        <f t="shared" si="128"/>
        <v>293.33333333334059</v>
      </c>
      <c r="EO185" s="62">
        <f ca="1">AVERAGE(OFFSET($EN$3,0,0,'Données projet'!$E$15+1,1))-AVERAGE(OFFSET($H$3,0,0,'Données projet'!$E$15+1,1))</f>
        <v>438.65317358403996</v>
      </c>
      <c r="EP185" s="62">
        <f t="shared" si="154"/>
        <v>176.81257896138806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0</v>
      </c>
      <c r="EW185" s="23">
        <f>EXP(-LN(2)/25)*EW184+(1-EXP(-LN(2)/25))/(LN(2)/25)*Calculateur!ER185*Calculateur!ET185*VLOOKUP('Données projet'!$B$15,Paramètres!$A$1:$I$89,3,0)*0.475*44/12</f>
        <v>0</v>
      </c>
      <c r="EX185" s="23">
        <f>EXP(-LN(2)/2)*EX184+(1-EXP(-LN(2)/2))/(LN(2)/2)*ER185*EU185*VLOOKUP('Données projet'!$B$15,Paramètres!$A$1:$I$89,3,0)*0.475*44/12</f>
        <v>0</v>
      </c>
      <c r="EY185" s="24">
        <f t="shared" si="181"/>
        <v>0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2.2737367544323206E-13</v>
      </c>
      <c r="O186" s="14">
        <f>N186*VLOOKUP('Données projet'!$B$9,Paramètres!$A$1:$I$89,3,0)*VLOOKUP('Données projet'!$B$9,Paramètres!$A$1:$I$89,5,0)</f>
        <v>1.2710188457276673E-13</v>
      </c>
      <c r="P186" s="14">
        <f t="shared" si="141"/>
        <v>1.856866851063998E-12</v>
      </c>
      <c r="Q186" s="22">
        <f t="shared" si="162"/>
        <v>3.4554122145673649E-12</v>
      </c>
      <c r="R186" s="62">
        <f t="shared" si="109"/>
        <v>293.33333333333678</v>
      </c>
      <c r="S186" s="62">
        <f ca="1">AVERAGE(OFFSET($R$3,0,0,'Données projet'!$E$9+1,1))-AVERAGE(OFFSET($H$3,0,0,'Données projet'!$E$9+1,1))</f>
        <v>323.98185264074681</v>
      </c>
      <c r="T186" s="62">
        <f t="shared" si="142"/>
        <v>301.22207291854005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0.21559053316863397</v>
      </c>
      <c r="AA186" s="23">
        <f>EXP(-LN(2)/25)*AA185+(1-EXP(-LN(2)/25))/(LN(2)/25)*Calculateur!V186*Calculateur!X186*VLOOKUP('Données projet'!$B$9,Paramètres!$A$1:$I$89,3,0)*0.475*44/12</f>
        <v>0.11857911376134991</v>
      </c>
      <c r="AB186" s="23">
        <f>EXP(-LN(2)/2)*AB185+(1-EXP(-LN(2)/2))/(LN(2)/2)*V186*Y186*VLOOKUP('Données projet'!$B$9,Paramètres!$A$1:$I$89,3,0)*0.475*44/12</f>
        <v>5.6972623721594787E-23</v>
      </c>
      <c r="AC186" s="24">
        <f t="shared" si="163"/>
        <v>0.33416964692998385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-2.8421709430404007E-13</v>
      </c>
      <c r="AJ186" s="14">
        <f>AI186*VLOOKUP('Données projet'!$B$10,Paramètres!$A$1:$I$89,3,0)*VLOOKUP('Données projet'!$B$10,Paramètres!$A$1:$I$89,5,0)</f>
        <v>-1.69961822393816E-13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289.12367833861299</v>
      </c>
      <c r="AO186" s="62">
        <f t="shared" si="144"/>
        <v>229.06617320689003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3.8808074494678392E-23</v>
      </c>
      <c r="AX186" s="23">
        <f t="shared" si="166"/>
        <v>3.8808074494678392E-23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>
        <f>BD186*VLOOKUP('Données projet'!$B$11,Paramètres!$A$1:$I$89,3,0)*VLOOKUP('Données projet'!$B$11,Paramètres!$A$1:$I$89,5,0)</f>
        <v>0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240.22884864766218</v>
      </c>
      <c r="BJ186" s="62">
        <f t="shared" si="146"/>
        <v>343.23776884143166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0.1480276269638221</v>
      </c>
      <c r="BR186" s="23">
        <f>EXP(-LN(2)/2)*BR185+(1-EXP(-LN(2)/2))/(LN(2)/2)*BL186*BO186*VLOOKUP('Données projet'!$B$11,Paramètres!$A$1:$I$89,3,0)*0.475*44/12</f>
        <v>1.5459105087235206E-22</v>
      </c>
      <c r="BS186" s="24">
        <f t="shared" si="169"/>
        <v>0.1480276269638221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-9.6633812063373625E-13</v>
      </c>
      <c r="BZ186" s="14">
        <f>BY186*VLOOKUP('Données projet'!$B$12,Paramètres!$A$1:$I$89,3,0)*VLOOKUP('Données projet'!$B$12,Paramètres!$A$1:$I$89,5,0)</f>
        <v>-8.7434273154940449E-13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428.8489304403459</v>
      </c>
      <c r="CE186" s="62">
        <f t="shared" si="148"/>
        <v>247.01165577562966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-1.7053025658242404E-13</v>
      </c>
      <c r="CU186" s="18">
        <f>CT186*VLOOKUP('Données projet'!$B$13,Paramètres!$A$1:$I$89,3,0)*VLOOKUP('Données projet'!$B$13,Paramètres!$A$1:$I$89,5,0)</f>
        <v>-1.3567387213697657E-13</v>
      </c>
      <c r="CV186" s="14" t="e">
        <f t="shared" si="173"/>
        <v>#NUM!</v>
      </c>
      <c r="CW186" s="22" t="e">
        <f t="shared" si="174"/>
        <v>#NUM!</v>
      </c>
      <c r="CX186" s="62" t="e">
        <f t="shared" si="122"/>
        <v>#NUM!</v>
      </c>
      <c r="CY186" s="62">
        <f ca="1">AVERAGE(OFFSET($CX$3,0,0,'Données projet'!$E$13+1,1))-AVERAGE(OFFSET($H$3,0,0,'Données projet'!$E$13+1,1))</f>
        <v>312.53381881960331</v>
      </c>
      <c r="CZ186" s="62">
        <f t="shared" si="150"/>
        <v>342.06887933351783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-1.7053025658242404E-13</v>
      </c>
      <c r="DP186" s="18">
        <f>DO186*VLOOKUP('Données projet'!$B$14,Paramètres!$A$1:$I$89,3,0)*VLOOKUP('Données projet'!$B$14,Paramètres!$A$1:$I$89,5,0)</f>
        <v>-1.250327841262333E-13</v>
      </c>
      <c r="DQ186" s="14" t="e">
        <f t="shared" si="176"/>
        <v>#NUM!</v>
      </c>
      <c r="DR186" s="22" t="e">
        <f t="shared" si="177"/>
        <v>#NUM!</v>
      </c>
      <c r="DS186" s="62" t="e">
        <f t="shared" si="125"/>
        <v>#NUM!</v>
      </c>
      <c r="DT186" s="62">
        <f ca="1">AVERAGE(OFFSET($DS$3,0,0,'Données projet'!$E$14+1,1))-AVERAGE(OFFSET($H$3,0,0,'Données projet'!$E$14+1,1))</f>
        <v>290.85271051443431</v>
      </c>
      <c r="DU186" s="62">
        <f t="shared" si="152"/>
        <v>318.66958823451142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0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3.4106051316484809E-13</v>
      </c>
      <c r="EK186" s="18">
        <f>EJ186*VLOOKUP('Données projet'!$B$15,Paramètres!$A$1:$I$89,3,0)*VLOOKUP('Données projet'!$B$15,Paramètres!$A$1:$I$89,5,0)</f>
        <v>2.9262992029543969E-13</v>
      </c>
      <c r="EL186" s="14">
        <f t="shared" si="179"/>
        <v>3.8796387982050903E-12</v>
      </c>
      <c r="EM186" s="22">
        <f t="shared" si="180"/>
        <v>7.2667013513884219E-12</v>
      </c>
      <c r="EN186" s="62">
        <f t="shared" si="128"/>
        <v>293.33333333334059</v>
      </c>
      <c r="EO186" s="62">
        <f ca="1">AVERAGE(OFFSET($EN$3,0,0,'Données projet'!$E$15+1,1))-AVERAGE(OFFSET($H$3,0,0,'Données projet'!$E$15+1,1))</f>
        <v>438.65317358403996</v>
      </c>
      <c r="EP186" s="62">
        <f t="shared" si="154"/>
        <v>176.81257896138806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0</v>
      </c>
      <c r="EW186" s="23">
        <f>EXP(-LN(2)/25)*EW185+(1-EXP(-LN(2)/25))/(LN(2)/25)*Calculateur!ER186*Calculateur!ET186*VLOOKUP('Données projet'!$B$15,Paramètres!$A$1:$I$89,3,0)*0.475*44/12</f>
        <v>0</v>
      </c>
      <c r="EX186" s="23">
        <f>EXP(-LN(2)/2)*EX185+(1-EXP(-LN(2)/2))/(LN(2)/2)*ER186*EU186*VLOOKUP('Données projet'!$B$15,Paramètres!$A$1:$I$89,3,0)*0.475*44/12</f>
        <v>0</v>
      </c>
      <c r="EY186" s="24">
        <f t="shared" si="181"/>
        <v>0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2.2737367544323206E-13</v>
      </c>
      <c r="O187" s="14">
        <f>N187*VLOOKUP('Données projet'!$B$9,Paramètres!$A$1:$I$89,3,0)*VLOOKUP('Données projet'!$B$9,Paramètres!$A$1:$I$89,5,0)</f>
        <v>1.2710188457276673E-13</v>
      </c>
      <c r="P187" s="14">
        <f t="shared" si="141"/>
        <v>1.856866851063998E-12</v>
      </c>
      <c r="Q187" s="22">
        <f t="shared" si="162"/>
        <v>3.4554122145673649E-12</v>
      </c>
      <c r="R187" s="62">
        <f t="shared" si="109"/>
        <v>293.33333333333678</v>
      </c>
      <c r="S187" s="62">
        <f ca="1">AVERAGE(OFFSET($R$3,0,0,'Données projet'!$E$9+1,1))-AVERAGE(OFFSET($H$3,0,0,'Données projet'!$E$9+1,1))</f>
        <v>323.98185264074681</v>
      </c>
      <c r="T187" s="62">
        <f t="shared" si="142"/>
        <v>301.22207291854005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0.21136293431043801</v>
      </c>
      <c r="AA187" s="23">
        <f>EXP(-LN(2)/25)*AA186+(1-EXP(-LN(2)/25))/(LN(2)/25)*Calculateur!V187*Calculateur!X187*VLOOKUP('Données projet'!$B$9,Paramètres!$A$1:$I$89,3,0)*0.475*44/12</f>
        <v>0.11533656165974122</v>
      </c>
      <c r="AB187" s="23">
        <f>EXP(-LN(2)/2)*AB186+(1-EXP(-LN(2)/2))/(LN(2)/2)*V187*Y187*VLOOKUP('Données projet'!$B$9,Paramètres!$A$1:$I$89,3,0)*0.475*44/12</f>
        <v>4.0285728575529233E-23</v>
      </c>
      <c r="AC187" s="24">
        <f t="shared" si="163"/>
        <v>0.32669949597017922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-2.8421709430404007E-13</v>
      </c>
      <c r="AJ187" s="14">
        <f>AI187*VLOOKUP('Données projet'!$B$10,Paramètres!$A$1:$I$89,3,0)*VLOOKUP('Données projet'!$B$10,Paramètres!$A$1:$I$89,5,0)</f>
        <v>-1.69961822393816E-13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289.12367833861299</v>
      </c>
      <c r="AO187" s="62">
        <f t="shared" si="144"/>
        <v>229.06617320689003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2.7441452639979789E-23</v>
      </c>
      <c r="AX187" s="23">
        <f t="shared" si="166"/>
        <v>2.7441452639979789E-23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>
        <f>BD187*VLOOKUP('Données projet'!$B$11,Paramètres!$A$1:$I$89,3,0)*VLOOKUP('Données projet'!$B$11,Paramètres!$A$1:$I$89,5,0)</f>
        <v>0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240.22884864766218</v>
      </c>
      <c r="BJ187" s="62">
        <f t="shared" si="146"/>
        <v>343.23776884143166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0.14397980372006181</v>
      </c>
      <c r="BR187" s="23">
        <f>EXP(-LN(2)/2)*BR186+(1-EXP(-LN(2)/2))/(LN(2)/2)*BL187*BO187*VLOOKUP('Données projet'!$B$11,Paramètres!$A$1:$I$89,3,0)*0.475*44/12</f>
        <v>1.0931238038259468E-22</v>
      </c>
      <c r="BS187" s="24">
        <f t="shared" si="169"/>
        <v>0.14397980372006181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-9.6633812063373625E-13</v>
      </c>
      <c r="BZ187" s="14">
        <f>BY187*VLOOKUP('Données projet'!$B$12,Paramètres!$A$1:$I$89,3,0)*VLOOKUP('Données projet'!$B$12,Paramètres!$A$1:$I$89,5,0)</f>
        <v>-8.7434273154940449E-13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428.8489304403459</v>
      </c>
      <c r="CE187" s="62">
        <f t="shared" si="148"/>
        <v>247.01165577562966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-1.7053025658242404E-13</v>
      </c>
      <c r="CU187" s="18">
        <f>CT187*VLOOKUP('Données projet'!$B$13,Paramètres!$A$1:$I$89,3,0)*VLOOKUP('Données projet'!$B$13,Paramètres!$A$1:$I$89,5,0)</f>
        <v>-1.3567387213697657E-13</v>
      </c>
      <c r="CV187" s="14" t="e">
        <f t="shared" si="173"/>
        <v>#NUM!</v>
      </c>
      <c r="CW187" s="22" t="e">
        <f t="shared" si="174"/>
        <v>#NUM!</v>
      </c>
      <c r="CX187" s="62" t="e">
        <f t="shared" si="122"/>
        <v>#NUM!</v>
      </c>
      <c r="CY187" s="62">
        <f ca="1">AVERAGE(OFFSET($CX$3,0,0,'Données projet'!$E$13+1,1))-AVERAGE(OFFSET($H$3,0,0,'Données projet'!$E$13+1,1))</f>
        <v>312.53381881960331</v>
      </c>
      <c r="CZ187" s="62">
        <f t="shared" si="150"/>
        <v>342.06887933351783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-1.7053025658242404E-13</v>
      </c>
      <c r="DP187" s="18">
        <f>DO187*VLOOKUP('Données projet'!$B$14,Paramètres!$A$1:$I$89,3,0)*VLOOKUP('Données projet'!$B$14,Paramètres!$A$1:$I$89,5,0)</f>
        <v>-1.250327841262333E-13</v>
      </c>
      <c r="DQ187" s="14" t="e">
        <f t="shared" si="176"/>
        <v>#NUM!</v>
      </c>
      <c r="DR187" s="22" t="e">
        <f t="shared" si="177"/>
        <v>#NUM!</v>
      </c>
      <c r="DS187" s="62" t="e">
        <f t="shared" si="125"/>
        <v>#NUM!</v>
      </c>
      <c r="DT187" s="62">
        <f ca="1">AVERAGE(OFFSET($DS$3,0,0,'Données projet'!$E$14+1,1))-AVERAGE(OFFSET($H$3,0,0,'Données projet'!$E$14+1,1))</f>
        <v>290.85271051443431</v>
      </c>
      <c r="DU187" s="62">
        <f t="shared" si="152"/>
        <v>318.66958823451142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0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3.4106051316484809E-13</v>
      </c>
      <c r="EK187" s="18">
        <f>EJ187*VLOOKUP('Données projet'!$B$15,Paramètres!$A$1:$I$89,3,0)*VLOOKUP('Données projet'!$B$15,Paramètres!$A$1:$I$89,5,0)</f>
        <v>2.9262992029543969E-13</v>
      </c>
      <c r="EL187" s="14">
        <f t="shared" si="179"/>
        <v>3.8796387982050903E-12</v>
      </c>
      <c r="EM187" s="22">
        <f t="shared" si="180"/>
        <v>7.2667013513884219E-12</v>
      </c>
      <c r="EN187" s="62">
        <f t="shared" si="128"/>
        <v>293.33333333334059</v>
      </c>
      <c r="EO187" s="62">
        <f ca="1">AVERAGE(OFFSET($EN$3,0,0,'Données projet'!$E$15+1,1))-AVERAGE(OFFSET($H$3,0,0,'Données projet'!$E$15+1,1))</f>
        <v>438.65317358403996</v>
      </c>
      <c r="EP187" s="62">
        <f t="shared" si="154"/>
        <v>176.81257896138806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0</v>
      </c>
      <c r="EW187" s="23">
        <f>EXP(-LN(2)/25)*EW186+(1-EXP(-LN(2)/25))/(LN(2)/25)*Calculateur!ER187*Calculateur!ET187*VLOOKUP('Données projet'!$B$15,Paramètres!$A$1:$I$89,3,0)*0.475*44/12</f>
        <v>0</v>
      </c>
      <c r="EX187" s="23">
        <f>EXP(-LN(2)/2)*EX186+(1-EXP(-LN(2)/2))/(LN(2)/2)*ER187*EU187*VLOOKUP('Données projet'!$B$15,Paramètres!$A$1:$I$89,3,0)*0.475*44/12</f>
        <v>0</v>
      </c>
      <c r="EY187" s="24">
        <f t="shared" si="181"/>
        <v>0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2.2737367544323206E-13</v>
      </c>
      <c r="O188" s="14">
        <f>N188*VLOOKUP('Données projet'!$B$9,Paramètres!$A$1:$I$89,3,0)*VLOOKUP('Données projet'!$B$9,Paramètres!$A$1:$I$89,5,0)</f>
        <v>1.2710188457276673E-13</v>
      </c>
      <c r="P188" s="14">
        <f t="shared" si="141"/>
        <v>1.856866851063998E-12</v>
      </c>
      <c r="Q188" s="22">
        <f t="shared" si="162"/>
        <v>3.4554122145673649E-12</v>
      </c>
      <c r="R188" s="62">
        <f t="shared" si="109"/>
        <v>293.33333333333678</v>
      </c>
      <c r="S188" s="62">
        <f ca="1">AVERAGE(OFFSET($R$3,0,0,'Données projet'!$E$9+1,1))-AVERAGE(OFFSET($H$3,0,0,'Données projet'!$E$9+1,1))</f>
        <v>323.98185264074681</v>
      </c>
      <c r="T188" s="62">
        <f t="shared" si="142"/>
        <v>301.22207291854005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0.20721823608727058</v>
      </c>
      <c r="AA188" s="23">
        <f>EXP(-LN(2)/25)*AA187+(1-EXP(-LN(2)/25))/(LN(2)/25)*Calculateur!V188*Calculateur!X188*VLOOKUP('Données projet'!$B$9,Paramètres!$A$1:$I$89,3,0)*0.475*44/12</f>
        <v>0.11218267731586942</v>
      </c>
      <c r="AB188" s="23">
        <f>EXP(-LN(2)/2)*AB187+(1-EXP(-LN(2)/2))/(LN(2)/2)*V188*Y188*VLOOKUP('Données projet'!$B$9,Paramètres!$A$1:$I$89,3,0)*0.475*44/12</f>
        <v>2.8486311860797394E-23</v>
      </c>
      <c r="AC188" s="24">
        <f t="shared" si="163"/>
        <v>0.31940091340314003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-2.8421709430404007E-13</v>
      </c>
      <c r="AJ188" s="14">
        <f>AI188*VLOOKUP('Données projet'!$B$10,Paramètres!$A$1:$I$89,3,0)*VLOOKUP('Données projet'!$B$10,Paramètres!$A$1:$I$89,5,0)</f>
        <v>-1.69961822393816E-13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289.12367833861299</v>
      </c>
      <c r="AO188" s="62">
        <f t="shared" si="144"/>
        <v>229.06617320689003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1.9404037247339196E-23</v>
      </c>
      <c r="AX188" s="23">
        <f t="shared" si="166"/>
        <v>1.9404037247339196E-23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>
        <f>BD188*VLOOKUP('Données projet'!$B$11,Paramètres!$A$1:$I$89,3,0)*VLOOKUP('Données projet'!$B$11,Paramètres!$A$1:$I$89,5,0)</f>
        <v>0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240.22884864766218</v>
      </c>
      <c r="BJ188" s="62">
        <f t="shared" si="146"/>
        <v>343.23776884143166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0.1400426684157679</v>
      </c>
      <c r="BR188" s="23">
        <f>EXP(-LN(2)/2)*BR187+(1-EXP(-LN(2)/2))/(LN(2)/2)*BL188*BO188*VLOOKUP('Données projet'!$B$11,Paramètres!$A$1:$I$89,3,0)*0.475*44/12</f>
        <v>7.729552543617603E-23</v>
      </c>
      <c r="BS188" s="24">
        <f t="shared" si="169"/>
        <v>0.1400426684157679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-9.6633812063373625E-13</v>
      </c>
      <c r="BZ188" s="14">
        <f>BY188*VLOOKUP('Données projet'!$B$12,Paramètres!$A$1:$I$89,3,0)*VLOOKUP('Données projet'!$B$12,Paramètres!$A$1:$I$89,5,0)</f>
        <v>-8.7434273154940449E-13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428.8489304403459</v>
      </c>
      <c r="CE188" s="62">
        <f t="shared" si="148"/>
        <v>247.01165577562966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-1.7053025658242404E-13</v>
      </c>
      <c r="CU188" s="18">
        <f>CT188*VLOOKUP('Données projet'!$B$13,Paramètres!$A$1:$I$89,3,0)*VLOOKUP('Données projet'!$B$13,Paramètres!$A$1:$I$89,5,0)</f>
        <v>-1.3567387213697657E-13</v>
      </c>
      <c r="CV188" s="14" t="e">
        <f t="shared" si="173"/>
        <v>#NUM!</v>
      </c>
      <c r="CW188" s="22" t="e">
        <f t="shared" si="174"/>
        <v>#NUM!</v>
      </c>
      <c r="CX188" s="62" t="e">
        <f t="shared" si="122"/>
        <v>#NUM!</v>
      </c>
      <c r="CY188" s="62">
        <f ca="1">AVERAGE(OFFSET($CX$3,0,0,'Données projet'!$E$13+1,1))-AVERAGE(OFFSET($H$3,0,0,'Données projet'!$E$13+1,1))</f>
        <v>312.53381881960331</v>
      </c>
      <c r="CZ188" s="62">
        <f t="shared" si="150"/>
        <v>342.06887933351783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-1.7053025658242404E-13</v>
      </c>
      <c r="DP188" s="18">
        <f>DO188*VLOOKUP('Données projet'!$B$14,Paramètres!$A$1:$I$89,3,0)*VLOOKUP('Données projet'!$B$14,Paramètres!$A$1:$I$89,5,0)</f>
        <v>-1.250327841262333E-13</v>
      </c>
      <c r="DQ188" s="14" t="e">
        <f t="shared" si="176"/>
        <v>#NUM!</v>
      </c>
      <c r="DR188" s="22" t="e">
        <f t="shared" si="177"/>
        <v>#NUM!</v>
      </c>
      <c r="DS188" s="62" t="e">
        <f t="shared" si="125"/>
        <v>#NUM!</v>
      </c>
      <c r="DT188" s="62">
        <f ca="1">AVERAGE(OFFSET($DS$3,0,0,'Données projet'!$E$14+1,1))-AVERAGE(OFFSET($H$3,0,0,'Données projet'!$E$14+1,1))</f>
        <v>290.85271051443431</v>
      </c>
      <c r="DU188" s="62">
        <f t="shared" si="152"/>
        <v>318.66958823451142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0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3.4106051316484809E-13</v>
      </c>
      <c r="EK188" s="18">
        <f>EJ188*VLOOKUP('Données projet'!$B$15,Paramètres!$A$1:$I$89,3,0)*VLOOKUP('Données projet'!$B$15,Paramètres!$A$1:$I$89,5,0)</f>
        <v>2.9262992029543969E-13</v>
      </c>
      <c r="EL188" s="14">
        <f t="shared" si="179"/>
        <v>3.8796387982050903E-12</v>
      </c>
      <c r="EM188" s="22">
        <f t="shared" si="180"/>
        <v>7.2667013513884219E-12</v>
      </c>
      <c r="EN188" s="62">
        <f t="shared" si="128"/>
        <v>293.33333333334059</v>
      </c>
      <c r="EO188" s="62">
        <f ca="1">AVERAGE(OFFSET($EN$3,0,0,'Données projet'!$E$15+1,1))-AVERAGE(OFFSET($H$3,0,0,'Données projet'!$E$15+1,1))</f>
        <v>438.65317358403996</v>
      </c>
      <c r="EP188" s="62">
        <f t="shared" si="154"/>
        <v>176.81257896138806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0</v>
      </c>
      <c r="EW188" s="23">
        <f>EXP(-LN(2)/25)*EW187+(1-EXP(-LN(2)/25))/(LN(2)/25)*Calculateur!ER188*Calculateur!ET188*VLOOKUP('Données projet'!$B$15,Paramètres!$A$1:$I$89,3,0)*0.475*44/12</f>
        <v>0</v>
      </c>
      <c r="EX188" s="23">
        <f>EXP(-LN(2)/2)*EX187+(1-EXP(-LN(2)/2))/(LN(2)/2)*ER188*EU188*VLOOKUP('Données projet'!$B$15,Paramètres!$A$1:$I$89,3,0)*0.475*44/12</f>
        <v>0</v>
      </c>
      <c r="EY188" s="24">
        <f t="shared" si="181"/>
        <v>0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2.2737367544323206E-13</v>
      </c>
      <c r="O189" s="14">
        <f>N189*VLOOKUP('Données projet'!$B$9,Paramètres!$A$1:$I$89,3,0)*VLOOKUP('Données projet'!$B$9,Paramètres!$A$1:$I$89,5,0)</f>
        <v>1.2710188457276673E-13</v>
      </c>
      <c r="P189" s="14">
        <f t="shared" si="141"/>
        <v>1.856866851063998E-12</v>
      </c>
      <c r="Q189" s="22">
        <f t="shared" si="162"/>
        <v>3.4554122145673649E-12</v>
      </c>
      <c r="R189" s="62">
        <f t="shared" si="109"/>
        <v>293.33333333333678</v>
      </c>
      <c r="S189" s="62">
        <f ca="1">AVERAGE(OFFSET($R$3,0,0,'Données projet'!$E$9+1,1))-AVERAGE(OFFSET($H$3,0,0,'Données projet'!$E$9+1,1))</f>
        <v>323.98185264074681</v>
      </c>
      <c r="T189" s="62">
        <f t="shared" si="142"/>
        <v>301.22207291854005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0.20315481286824319</v>
      </c>
      <c r="AA189" s="23">
        <f>EXP(-LN(2)/25)*AA188+(1-EXP(-LN(2)/25))/(LN(2)/25)*Calculateur!V189*Calculateur!X189*VLOOKUP('Données projet'!$B$9,Paramètres!$A$1:$I$89,3,0)*0.475*44/12</f>
        <v>0.10911503610523637</v>
      </c>
      <c r="AB189" s="23">
        <f>EXP(-LN(2)/2)*AB188+(1-EXP(-LN(2)/2))/(LN(2)/2)*V189*Y189*VLOOKUP('Données projet'!$B$9,Paramètres!$A$1:$I$89,3,0)*0.475*44/12</f>
        <v>2.0142864287764616E-23</v>
      </c>
      <c r="AC189" s="24">
        <f t="shared" si="163"/>
        <v>0.31226984897347954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-2.8421709430404007E-13</v>
      </c>
      <c r="AJ189" s="14">
        <f>AI189*VLOOKUP('Données projet'!$B$10,Paramètres!$A$1:$I$89,3,0)*VLOOKUP('Données projet'!$B$10,Paramètres!$A$1:$I$89,5,0)</f>
        <v>-1.69961822393816E-13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289.12367833861299</v>
      </c>
      <c r="AO189" s="62">
        <f t="shared" si="144"/>
        <v>229.06617320689003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1.3720726319989894E-23</v>
      </c>
      <c r="AX189" s="23">
        <f t="shared" si="166"/>
        <v>1.3720726319989894E-23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>
        <f>BD189*VLOOKUP('Données projet'!$B$11,Paramètres!$A$1:$I$89,3,0)*VLOOKUP('Données projet'!$B$11,Paramètres!$A$1:$I$89,5,0)</f>
        <v>0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240.22884864766218</v>
      </c>
      <c r="BJ189" s="62">
        <f t="shared" si="146"/>
        <v>343.23776884143166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0.13621319428341486</v>
      </c>
      <c r="BR189" s="23">
        <f>EXP(-LN(2)/2)*BR188+(1-EXP(-LN(2)/2))/(LN(2)/2)*BL189*BO189*VLOOKUP('Données projet'!$B$11,Paramètres!$A$1:$I$89,3,0)*0.475*44/12</f>
        <v>5.4656190191297342E-23</v>
      </c>
      <c r="BS189" s="24">
        <f t="shared" si="169"/>
        <v>0.13621319428341486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-9.6633812063373625E-13</v>
      </c>
      <c r="BZ189" s="14">
        <f>BY189*VLOOKUP('Données projet'!$B$12,Paramètres!$A$1:$I$89,3,0)*VLOOKUP('Données projet'!$B$12,Paramètres!$A$1:$I$89,5,0)</f>
        <v>-8.7434273154940449E-13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428.8489304403459</v>
      </c>
      <c r="CE189" s="62">
        <f t="shared" si="148"/>
        <v>247.01165577562966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-1.7053025658242404E-13</v>
      </c>
      <c r="CU189" s="18">
        <f>CT189*VLOOKUP('Données projet'!$B$13,Paramètres!$A$1:$I$89,3,0)*VLOOKUP('Données projet'!$B$13,Paramètres!$A$1:$I$89,5,0)</f>
        <v>-1.3567387213697657E-13</v>
      </c>
      <c r="CV189" s="14" t="e">
        <f t="shared" si="173"/>
        <v>#NUM!</v>
      </c>
      <c r="CW189" s="22" t="e">
        <f t="shared" si="174"/>
        <v>#NUM!</v>
      </c>
      <c r="CX189" s="62" t="e">
        <f t="shared" si="122"/>
        <v>#NUM!</v>
      </c>
      <c r="CY189" s="62">
        <f ca="1">AVERAGE(OFFSET($CX$3,0,0,'Données projet'!$E$13+1,1))-AVERAGE(OFFSET($H$3,0,0,'Données projet'!$E$13+1,1))</f>
        <v>312.53381881960331</v>
      </c>
      <c r="CZ189" s="62">
        <f t="shared" si="150"/>
        <v>342.06887933351783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-1.7053025658242404E-13</v>
      </c>
      <c r="DP189" s="18">
        <f>DO189*VLOOKUP('Données projet'!$B$14,Paramètres!$A$1:$I$89,3,0)*VLOOKUP('Données projet'!$B$14,Paramètres!$A$1:$I$89,5,0)</f>
        <v>-1.250327841262333E-13</v>
      </c>
      <c r="DQ189" s="14" t="e">
        <f t="shared" si="176"/>
        <v>#NUM!</v>
      </c>
      <c r="DR189" s="22" t="e">
        <f t="shared" si="177"/>
        <v>#NUM!</v>
      </c>
      <c r="DS189" s="62" t="e">
        <f t="shared" si="125"/>
        <v>#NUM!</v>
      </c>
      <c r="DT189" s="62">
        <f ca="1">AVERAGE(OFFSET($DS$3,0,0,'Données projet'!$E$14+1,1))-AVERAGE(OFFSET($H$3,0,0,'Données projet'!$E$14+1,1))</f>
        <v>290.85271051443431</v>
      </c>
      <c r="DU189" s="62">
        <f t="shared" si="152"/>
        <v>318.66958823451142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0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3.4106051316484809E-13</v>
      </c>
      <c r="EK189" s="18">
        <f>EJ189*VLOOKUP('Données projet'!$B$15,Paramètres!$A$1:$I$89,3,0)*VLOOKUP('Données projet'!$B$15,Paramètres!$A$1:$I$89,5,0)</f>
        <v>2.9262992029543969E-13</v>
      </c>
      <c r="EL189" s="14">
        <f t="shared" si="179"/>
        <v>3.8796387982050903E-12</v>
      </c>
      <c r="EM189" s="22">
        <f t="shared" si="180"/>
        <v>7.2667013513884219E-12</v>
      </c>
      <c r="EN189" s="62">
        <f t="shared" si="128"/>
        <v>293.33333333334059</v>
      </c>
      <c r="EO189" s="62">
        <f ca="1">AVERAGE(OFFSET($EN$3,0,0,'Données projet'!$E$15+1,1))-AVERAGE(OFFSET($H$3,0,0,'Données projet'!$E$15+1,1))</f>
        <v>438.65317358403996</v>
      </c>
      <c r="EP189" s="62">
        <f t="shared" si="154"/>
        <v>176.81257896138806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0</v>
      </c>
      <c r="EW189" s="23">
        <f>EXP(-LN(2)/25)*EW188+(1-EXP(-LN(2)/25))/(LN(2)/25)*Calculateur!ER189*Calculateur!ET189*VLOOKUP('Données projet'!$B$15,Paramètres!$A$1:$I$89,3,0)*0.475*44/12</f>
        <v>0</v>
      </c>
      <c r="EX189" s="23">
        <f>EXP(-LN(2)/2)*EX188+(1-EXP(-LN(2)/2))/(LN(2)/2)*ER189*EU189*VLOOKUP('Données projet'!$B$15,Paramètres!$A$1:$I$89,3,0)*0.475*44/12</f>
        <v>0</v>
      </c>
      <c r="EY189" s="24">
        <f t="shared" si="181"/>
        <v>0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2.2737367544323206E-13</v>
      </c>
      <c r="O190" s="14">
        <f>N190*VLOOKUP('Données projet'!$B$9,Paramètres!$A$1:$I$89,3,0)*VLOOKUP('Données projet'!$B$9,Paramètres!$A$1:$I$89,5,0)</f>
        <v>1.2710188457276673E-13</v>
      </c>
      <c r="P190" s="14">
        <f t="shared" si="141"/>
        <v>1.856866851063998E-12</v>
      </c>
      <c r="Q190" s="22">
        <f t="shared" si="162"/>
        <v>3.4554122145673649E-12</v>
      </c>
      <c r="R190" s="62">
        <f t="shared" si="109"/>
        <v>293.33333333333678</v>
      </c>
      <c r="S190" s="62">
        <f ca="1">AVERAGE(OFFSET($R$3,0,0,'Données projet'!$E$9+1,1))-AVERAGE(OFFSET($H$3,0,0,'Données projet'!$E$9+1,1))</f>
        <v>323.98185264074681</v>
      </c>
      <c r="T190" s="62">
        <f t="shared" si="142"/>
        <v>301.22207291854005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0.19917107090009747</v>
      </c>
      <c r="AA190" s="23">
        <f>EXP(-LN(2)/25)*AA189+(1-EXP(-LN(2)/25))/(LN(2)/25)*Calculateur!V190*Calculateur!X190*VLOOKUP('Données projet'!$B$9,Paramètres!$A$1:$I$89,3,0)*0.475*44/12</f>
        <v>0.10613127970482832</v>
      </c>
      <c r="AB190" s="23">
        <f>EXP(-LN(2)/2)*AB189+(1-EXP(-LN(2)/2))/(LN(2)/2)*V190*Y190*VLOOKUP('Données projet'!$B$9,Paramètres!$A$1:$I$89,3,0)*0.475*44/12</f>
        <v>1.4243155930398697E-23</v>
      </c>
      <c r="AC190" s="24">
        <f t="shared" si="163"/>
        <v>0.30530235060492578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-2.8421709430404007E-13</v>
      </c>
      <c r="AJ190" s="14">
        <f>AI190*VLOOKUP('Données projet'!$B$10,Paramètres!$A$1:$I$89,3,0)*VLOOKUP('Données projet'!$B$10,Paramètres!$A$1:$I$89,5,0)</f>
        <v>-1.69961822393816E-13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289.12367833861299</v>
      </c>
      <c r="AO190" s="62">
        <f t="shared" si="144"/>
        <v>229.06617320689003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9.7020186236695979E-24</v>
      </c>
      <c r="AX190" s="23">
        <f t="shared" si="166"/>
        <v>9.7020186236695979E-24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>
        <f>BD190*VLOOKUP('Données projet'!$B$11,Paramètres!$A$1:$I$89,3,0)*VLOOKUP('Données projet'!$B$11,Paramètres!$A$1:$I$89,5,0)</f>
        <v>0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240.22884864766218</v>
      </c>
      <c r="BJ190" s="62">
        <f t="shared" si="146"/>
        <v>343.23776884143166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0.1324884373225943</v>
      </c>
      <c r="BR190" s="23">
        <f>EXP(-LN(2)/2)*BR189+(1-EXP(-LN(2)/2))/(LN(2)/2)*BL190*BO190*VLOOKUP('Données projet'!$B$11,Paramètres!$A$1:$I$89,3,0)*0.475*44/12</f>
        <v>3.8647762718088015E-23</v>
      </c>
      <c r="BS190" s="24">
        <f t="shared" si="169"/>
        <v>0.1324884373225943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-9.6633812063373625E-13</v>
      </c>
      <c r="BZ190" s="14">
        <f>BY190*VLOOKUP('Données projet'!$B$12,Paramètres!$A$1:$I$89,3,0)*VLOOKUP('Données projet'!$B$12,Paramètres!$A$1:$I$89,5,0)</f>
        <v>-8.7434273154940449E-13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428.8489304403459</v>
      </c>
      <c r="CE190" s="62">
        <f t="shared" si="148"/>
        <v>247.01165577562966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-1.7053025658242404E-13</v>
      </c>
      <c r="CU190" s="18">
        <f>CT190*VLOOKUP('Données projet'!$B$13,Paramètres!$A$1:$I$89,3,0)*VLOOKUP('Données projet'!$B$13,Paramètres!$A$1:$I$89,5,0)</f>
        <v>-1.3567387213697657E-13</v>
      </c>
      <c r="CV190" s="14" t="e">
        <f t="shared" si="173"/>
        <v>#NUM!</v>
      </c>
      <c r="CW190" s="22" t="e">
        <f t="shared" si="174"/>
        <v>#NUM!</v>
      </c>
      <c r="CX190" s="62" t="e">
        <f t="shared" si="122"/>
        <v>#NUM!</v>
      </c>
      <c r="CY190" s="62">
        <f ca="1">AVERAGE(OFFSET($CX$3,0,0,'Données projet'!$E$13+1,1))-AVERAGE(OFFSET($H$3,0,0,'Données projet'!$E$13+1,1))</f>
        <v>312.53381881960331</v>
      </c>
      <c r="CZ190" s="62">
        <f t="shared" si="150"/>
        <v>342.06887933351783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-1.7053025658242404E-13</v>
      </c>
      <c r="DP190" s="18">
        <f>DO190*VLOOKUP('Données projet'!$B$14,Paramètres!$A$1:$I$89,3,0)*VLOOKUP('Données projet'!$B$14,Paramètres!$A$1:$I$89,5,0)</f>
        <v>-1.250327841262333E-13</v>
      </c>
      <c r="DQ190" s="14" t="e">
        <f t="shared" si="176"/>
        <v>#NUM!</v>
      </c>
      <c r="DR190" s="22" t="e">
        <f t="shared" si="177"/>
        <v>#NUM!</v>
      </c>
      <c r="DS190" s="62" t="e">
        <f t="shared" si="125"/>
        <v>#NUM!</v>
      </c>
      <c r="DT190" s="62">
        <f ca="1">AVERAGE(OFFSET($DS$3,0,0,'Données projet'!$E$14+1,1))-AVERAGE(OFFSET($H$3,0,0,'Données projet'!$E$14+1,1))</f>
        <v>290.85271051443431</v>
      </c>
      <c r="DU190" s="62">
        <f t="shared" si="152"/>
        <v>318.66958823451142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0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3.4106051316484809E-13</v>
      </c>
      <c r="EK190" s="18">
        <f>EJ190*VLOOKUP('Données projet'!$B$15,Paramètres!$A$1:$I$89,3,0)*VLOOKUP('Données projet'!$B$15,Paramètres!$A$1:$I$89,5,0)</f>
        <v>2.9262992029543969E-13</v>
      </c>
      <c r="EL190" s="14">
        <f t="shared" si="179"/>
        <v>3.8796387982050903E-12</v>
      </c>
      <c r="EM190" s="22">
        <f t="shared" si="180"/>
        <v>7.2667013513884219E-12</v>
      </c>
      <c r="EN190" s="62">
        <f t="shared" si="128"/>
        <v>293.33333333334059</v>
      </c>
      <c r="EO190" s="62">
        <f ca="1">AVERAGE(OFFSET($EN$3,0,0,'Données projet'!$E$15+1,1))-AVERAGE(OFFSET($H$3,0,0,'Données projet'!$E$15+1,1))</f>
        <v>438.65317358403996</v>
      </c>
      <c r="EP190" s="62">
        <f t="shared" si="154"/>
        <v>176.81257896138806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0</v>
      </c>
      <c r="EW190" s="23">
        <f>EXP(-LN(2)/25)*EW189+(1-EXP(-LN(2)/25))/(LN(2)/25)*Calculateur!ER190*Calculateur!ET190*VLOOKUP('Données projet'!$B$15,Paramètres!$A$1:$I$89,3,0)*0.475*44/12</f>
        <v>0</v>
      </c>
      <c r="EX190" s="23">
        <f>EXP(-LN(2)/2)*EX189+(1-EXP(-LN(2)/2))/(LN(2)/2)*ER190*EU190*VLOOKUP('Données projet'!$B$15,Paramètres!$A$1:$I$89,3,0)*0.475*44/12</f>
        <v>0</v>
      </c>
      <c r="EY190" s="24">
        <f t="shared" si="181"/>
        <v>0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2.2737367544323206E-13</v>
      </c>
      <c r="O191" s="14">
        <f>N191*VLOOKUP('Données projet'!$B$9,Paramètres!$A$1:$I$89,3,0)*VLOOKUP('Données projet'!$B$9,Paramètres!$A$1:$I$89,5,0)</f>
        <v>1.2710188457276673E-13</v>
      </c>
      <c r="P191" s="14">
        <f t="shared" si="141"/>
        <v>1.856866851063998E-12</v>
      </c>
      <c r="Q191" s="22">
        <f t="shared" si="162"/>
        <v>3.4554122145673649E-12</v>
      </c>
      <c r="R191" s="62">
        <f t="shared" si="109"/>
        <v>293.33333333333678</v>
      </c>
      <c r="S191" s="62">
        <f ca="1">AVERAGE(OFFSET($R$3,0,0,'Données projet'!$E$9+1,1))-AVERAGE(OFFSET($H$3,0,0,'Données projet'!$E$9+1,1))</f>
        <v>323.98185264074681</v>
      </c>
      <c r="T191" s="62">
        <f t="shared" si="142"/>
        <v>301.22207291854005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0.19526544768210444</v>
      </c>
      <c r="AA191" s="23">
        <f>EXP(-LN(2)/25)*AA190+(1-EXP(-LN(2)/25))/(LN(2)/25)*Calculateur!V191*Calculateur!X191*VLOOKUP('Données projet'!$B$9,Paramètres!$A$1:$I$89,3,0)*0.475*44/12</f>
        <v>0.10322911428009836</v>
      </c>
      <c r="AB191" s="23">
        <f>EXP(-LN(2)/2)*AB190+(1-EXP(-LN(2)/2))/(LN(2)/2)*V191*Y191*VLOOKUP('Données projet'!$B$9,Paramètres!$A$1:$I$89,3,0)*0.475*44/12</f>
        <v>1.0071432143882308E-23</v>
      </c>
      <c r="AC191" s="24">
        <f t="shared" si="163"/>
        <v>0.29849456196220281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-2.8421709430404007E-13</v>
      </c>
      <c r="AJ191" s="14">
        <f>AI191*VLOOKUP('Données projet'!$B$10,Paramètres!$A$1:$I$89,3,0)*VLOOKUP('Données projet'!$B$10,Paramètres!$A$1:$I$89,5,0)</f>
        <v>-1.69961822393816E-13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289.12367833861299</v>
      </c>
      <c r="AO191" s="62">
        <f t="shared" si="144"/>
        <v>229.06617320689003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6.8603631599949472E-24</v>
      </c>
      <c r="AX191" s="23">
        <f t="shared" si="166"/>
        <v>6.8603631599949472E-24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>
        <f>BD191*VLOOKUP('Données projet'!$B$11,Paramètres!$A$1:$I$89,3,0)*VLOOKUP('Données projet'!$B$11,Paramètres!$A$1:$I$89,5,0)</f>
        <v>0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240.22884864766218</v>
      </c>
      <c r="BJ191" s="62">
        <f t="shared" si="146"/>
        <v>343.23776884143166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0.12886553403674383</v>
      </c>
      <c r="BR191" s="23">
        <f>EXP(-LN(2)/2)*BR190+(1-EXP(-LN(2)/2))/(LN(2)/2)*BL191*BO191*VLOOKUP('Données projet'!$B$11,Paramètres!$A$1:$I$89,3,0)*0.475*44/12</f>
        <v>2.7328095095648671E-23</v>
      </c>
      <c r="BS191" s="24">
        <f t="shared" si="169"/>
        <v>0.12886553403674383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-9.6633812063373625E-13</v>
      </c>
      <c r="BZ191" s="14">
        <f>BY191*VLOOKUP('Données projet'!$B$12,Paramètres!$A$1:$I$89,3,0)*VLOOKUP('Données projet'!$B$12,Paramètres!$A$1:$I$89,5,0)</f>
        <v>-8.7434273154940449E-13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428.8489304403459</v>
      </c>
      <c r="CE191" s="62">
        <f t="shared" si="148"/>
        <v>247.01165577562966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-1.7053025658242404E-13</v>
      </c>
      <c r="CU191" s="18">
        <f>CT191*VLOOKUP('Données projet'!$B$13,Paramètres!$A$1:$I$89,3,0)*VLOOKUP('Données projet'!$B$13,Paramètres!$A$1:$I$89,5,0)</f>
        <v>-1.3567387213697657E-13</v>
      </c>
      <c r="CV191" s="14" t="e">
        <f t="shared" si="173"/>
        <v>#NUM!</v>
      </c>
      <c r="CW191" s="22" t="e">
        <f t="shared" si="174"/>
        <v>#NUM!</v>
      </c>
      <c r="CX191" s="62" t="e">
        <f t="shared" si="122"/>
        <v>#NUM!</v>
      </c>
      <c r="CY191" s="62">
        <f ca="1">AVERAGE(OFFSET($CX$3,0,0,'Données projet'!$E$13+1,1))-AVERAGE(OFFSET($H$3,0,0,'Données projet'!$E$13+1,1))</f>
        <v>312.53381881960331</v>
      </c>
      <c r="CZ191" s="62">
        <f t="shared" si="150"/>
        <v>342.06887933351783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-1.7053025658242404E-13</v>
      </c>
      <c r="DP191" s="18">
        <f>DO191*VLOOKUP('Données projet'!$B$14,Paramètres!$A$1:$I$89,3,0)*VLOOKUP('Données projet'!$B$14,Paramètres!$A$1:$I$89,5,0)</f>
        <v>-1.250327841262333E-13</v>
      </c>
      <c r="DQ191" s="14" t="e">
        <f t="shared" si="176"/>
        <v>#NUM!</v>
      </c>
      <c r="DR191" s="22" t="e">
        <f t="shared" si="177"/>
        <v>#NUM!</v>
      </c>
      <c r="DS191" s="62" t="e">
        <f t="shared" si="125"/>
        <v>#NUM!</v>
      </c>
      <c r="DT191" s="62">
        <f ca="1">AVERAGE(OFFSET($DS$3,0,0,'Données projet'!$E$14+1,1))-AVERAGE(OFFSET($H$3,0,0,'Données projet'!$E$14+1,1))</f>
        <v>290.85271051443431</v>
      </c>
      <c r="DU191" s="62">
        <f t="shared" si="152"/>
        <v>318.66958823451142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0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3.4106051316484809E-13</v>
      </c>
      <c r="EK191" s="18">
        <f>EJ191*VLOOKUP('Données projet'!$B$15,Paramètres!$A$1:$I$89,3,0)*VLOOKUP('Données projet'!$B$15,Paramètres!$A$1:$I$89,5,0)</f>
        <v>2.9262992029543969E-13</v>
      </c>
      <c r="EL191" s="14">
        <f t="shared" si="179"/>
        <v>3.8796387982050903E-12</v>
      </c>
      <c r="EM191" s="22">
        <f t="shared" si="180"/>
        <v>7.2667013513884219E-12</v>
      </c>
      <c r="EN191" s="62">
        <f t="shared" si="128"/>
        <v>293.33333333334059</v>
      </c>
      <c r="EO191" s="62">
        <f ca="1">AVERAGE(OFFSET($EN$3,0,0,'Données projet'!$E$15+1,1))-AVERAGE(OFFSET($H$3,0,0,'Données projet'!$E$15+1,1))</f>
        <v>438.65317358403996</v>
      </c>
      <c r="EP191" s="62">
        <f t="shared" si="154"/>
        <v>176.81257896138806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0</v>
      </c>
      <c r="EW191" s="23">
        <f>EXP(-LN(2)/25)*EW190+(1-EXP(-LN(2)/25))/(LN(2)/25)*Calculateur!ER191*Calculateur!ET191*VLOOKUP('Données projet'!$B$15,Paramètres!$A$1:$I$89,3,0)*0.475*44/12</f>
        <v>0</v>
      </c>
      <c r="EX191" s="23">
        <f>EXP(-LN(2)/2)*EX190+(1-EXP(-LN(2)/2))/(LN(2)/2)*ER191*EU191*VLOOKUP('Données projet'!$B$15,Paramètres!$A$1:$I$89,3,0)*0.475*44/12</f>
        <v>0</v>
      </c>
      <c r="EY191" s="24">
        <f t="shared" si="181"/>
        <v>0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2.2737367544323206E-13</v>
      </c>
      <c r="O192" s="14">
        <f>N192*VLOOKUP('Données projet'!$B$9,Paramètres!$A$1:$I$89,3,0)*VLOOKUP('Données projet'!$B$9,Paramètres!$A$1:$I$89,5,0)</f>
        <v>1.2710188457276673E-13</v>
      </c>
      <c r="P192" s="14">
        <f t="shared" si="141"/>
        <v>1.856866851063998E-12</v>
      </c>
      <c r="Q192" s="22">
        <f t="shared" si="162"/>
        <v>3.4554122145673649E-12</v>
      </c>
      <c r="R192" s="62">
        <f t="shared" si="109"/>
        <v>293.33333333333678</v>
      </c>
      <c r="S192" s="62">
        <f ca="1">AVERAGE(OFFSET($R$3,0,0,'Données projet'!$E$9+1,1))-AVERAGE(OFFSET($H$3,0,0,'Données projet'!$E$9+1,1))</f>
        <v>323.98185264074681</v>
      </c>
      <c r="T192" s="62">
        <f t="shared" si="142"/>
        <v>301.22207291854005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0.19143641135322129</v>
      </c>
      <c r="AA192" s="23">
        <f>EXP(-LN(2)/25)*AA191+(1-EXP(-LN(2)/25))/(LN(2)/25)*Calculateur!V192*Calculateur!X192*VLOOKUP('Données projet'!$B$9,Paramètres!$A$1:$I$89,3,0)*0.475*44/12</f>
        <v>0.10040630872152588</v>
      </c>
      <c r="AB192" s="23">
        <f>EXP(-LN(2)/2)*AB191+(1-EXP(-LN(2)/2))/(LN(2)/2)*V192*Y192*VLOOKUP('Données projet'!$B$9,Paramètres!$A$1:$I$89,3,0)*0.475*44/12</f>
        <v>7.1215779651993484E-24</v>
      </c>
      <c r="AC192" s="24">
        <f t="shared" si="163"/>
        <v>0.29184272007474715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-2.8421709430404007E-13</v>
      </c>
      <c r="AJ192" s="14">
        <f>AI192*VLOOKUP('Données projet'!$B$10,Paramètres!$A$1:$I$89,3,0)*VLOOKUP('Données projet'!$B$10,Paramètres!$A$1:$I$89,5,0)</f>
        <v>-1.69961822393816E-13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289.12367833861299</v>
      </c>
      <c r="AO192" s="62">
        <f t="shared" si="144"/>
        <v>229.06617320689003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4.851009311834799E-24</v>
      </c>
      <c r="AX192" s="23">
        <f t="shared" si="166"/>
        <v>4.851009311834799E-24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>
        <f>BD192*VLOOKUP('Données projet'!$B$11,Paramètres!$A$1:$I$89,3,0)*VLOOKUP('Données projet'!$B$11,Paramètres!$A$1:$I$89,5,0)</f>
        <v>0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240.22884864766218</v>
      </c>
      <c r="BJ192" s="62">
        <f t="shared" si="146"/>
        <v>343.23776884143166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0.12534169923176516</v>
      </c>
      <c r="BR192" s="23">
        <f>EXP(-LN(2)/2)*BR191+(1-EXP(-LN(2)/2))/(LN(2)/2)*BL192*BO192*VLOOKUP('Données projet'!$B$11,Paramètres!$A$1:$I$89,3,0)*0.475*44/12</f>
        <v>1.9323881359044008E-23</v>
      </c>
      <c r="BS192" s="24">
        <f t="shared" si="169"/>
        <v>0.12534169923176516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-9.6633812063373625E-13</v>
      </c>
      <c r="BZ192" s="14">
        <f>BY192*VLOOKUP('Données projet'!$B$12,Paramètres!$A$1:$I$89,3,0)*VLOOKUP('Données projet'!$B$12,Paramètres!$A$1:$I$89,5,0)</f>
        <v>-8.7434273154940449E-13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428.8489304403459</v>
      </c>
      <c r="CE192" s="62">
        <f t="shared" si="148"/>
        <v>247.01165577562966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-1.7053025658242404E-13</v>
      </c>
      <c r="CU192" s="18">
        <f>CT192*VLOOKUP('Données projet'!$B$13,Paramètres!$A$1:$I$89,3,0)*VLOOKUP('Données projet'!$B$13,Paramètres!$A$1:$I$89,5,0)</f>
        <v>-1.3567387213697657E-13</v>
      </c>
      <c r="CV192" s="14" t="e">
        <f t="shared" si="173"/>
        <v>#NUM!</v>
      </c>
      <c r="CW192" s="22" t="e">
        <f t="shared" si="174"/>
        <v>#NUM!</v>
      </c>
      <c r="CX192" s="62" t="e">
        <f t="shared" si="122"/>
        <v>#NUM!</v>
      </c>
      <c r="CY192" s="62">
        <f ca="1">AVERAGE(OFFSET($CX$3,0,0,'Données projet'!$E$13+1,1))-AVERAGE(OFFSET($H$3,0,0,'Données projet'!$E$13+1,1))</f>
        <v>312.53381881960331</v>
      </c>
      <c r="CZ192" s="62">
        <f t="shared" si="150"/>
        <v>342.06887933351783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-1.7053025658242404E-13</v>
      </c>
      <c r="DP192" s="18">
        <f>DO192*VLOOKUP('Données projet'!$B$14,Paramètres!$A$1:$I$89,3,0)*VLOOKUP('Données projet'!$B$14,Paramètres!$A$1:$I$89,5,0)</f>
        <v>-1.250327841262333E-13</v>
      </c>
      <c r="DQ192" s="14" t="e">
        <f t="shared" si="176"/>
        <v>#NUM!</v>
      </c>
      <c r="DR192" s="22" t="e">
        <f t="shared" si="177"/>
        <v>#NUM!</v>
      </c>
      <c r="DS192" s="62" t="e">
        <f t="shared" si="125"/>
        <v>#NUM!</v>
      </c>
      <c r="DT192" s="62">
        <f ca="1">AVERAGE(OFFSET($DS$3,0,0,'Données projet'!$E$14+1,1))-AVERAGE(OFFSET($H$3,0,0,'Données projet'!$E$14+1,1))</f>
        <v>290.85271051443431</v>
      </c>
      <c r="DU192" s="62">
        <f t="shared" si="152"/>
        <v>318.66958823451142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0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3.4106051316484809E-13</v>
      </c>
      <c r="EK192" s="18">
        <f>EJ192*VLOOKUP('Données projet'!$B$15,Paramètres!$A$1:$I$89,3,0)*VLOOKUP('Données projet'!$B$15,Paramètres!$A$1:$I$89,5,0)</f>
        <v>2.9262992029543969E-13</v>
      </c>
      <c r="EL192" s="14">
        <f t="shared" si="179"/>
        <v>3.8796387982050903E-12</v>
      </c>
      <c r="EM192" s="22">
        <f t="shared" si="180"/>
        <v>7.2667013513884219E-12</v>
      </c>
      <c r="EN192" s="62">
        <f t="shared" si="128"/>
        <v>293.33333333334059</v>
      </c>
      <c r="EO192" s="62">
        <f ca="1">AVERAGE(OFFSET($EN$3,0,0,'Données projet'!$E$15+1,1))-AVERAGE(OFFSET($H$3,0,0,'Données projet'!$E$15+1,1))</f>
        <v>438.65317358403996</v>
      </c>
      <c r="EP192" s="62">
        <f t="shared" si="154"/>
        <v>176.81257896138806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0</v>
      </c>
      <c r="EW192" s="23">
        <f>EXP(-LN(2)/25)*EW191+(1-EXP(-LN(2)/25))/(LN(2)/25)*Calculateur!ER192*Calculateur!ET192*VLOOKUP('Données projet'!$B$15,Paramètres!$A$1:$I$89,3,0)*0.475*44/12</f>
        <v>0</v>
      </c>
      <c r="EX192" s="23">
        <f>EXP(-LN(2)/2)*EX191+(1-EXP(-LN(2)/2))/(LN(2)/2)*ER192*EU192*VLOOKUP('Données projet'!$B$15,Paramètres!$A$1:$I$89,3,0)*0.475*44/12</f>
        <v>0</v>
      </c>
      <c r="EY192" s="24">
        <f t="shared" si="181"/>
        <v>0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2.2737367544323206E-13</v>
      </c>
      <c r="O193" s="14">
        <f>N193*VLOOKUP('Données projet'!$B$9,Paramètres!$A$1:$I$89,3,0)*VLOOKUP('Données projet'!$B$9,Paramètres!$A$1:$I$89,5,0)</f>
        <v>1.2710188457276673E-13</v>
      </c>
      <c r="P193" s="14">
        <f t="shared" si="141"/>
        <v>1.856866851063998E-12</v>
      </c>
      <c r="Q193" s="22">
        <f t="shared" si="162"/>
        <v>3.4554122145673649E-12</v>
      </c>
      <c r="R193" s="62">
        <f t="shared" si="109"/>
        <v>293.33333333333678</v>
      </c>
      <c r="S193" s="62">
        <f ca="1">AVERAGE(OFFSET($R$3,0,0,'Données projet'!$E$9+1,1))-AVERAGE(OFFSET($H$3,0,0,'Données projet'!$E$9+1,1))</f>
        <v>323.98185264074681</v>
      </c>
      <c r="T193" s="62">
        <f t="shared" si="142"/>
        <v>301.22207291854005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0.18768246009126599</v>
      </c>
      <c r="AA193" s="23">
        <f>EXP(-LN(2)/25)*AA192+(1-EXP(-LN(2)/25))/(LN(2)/25)*Calculateur!V193*Calculateur!X193*VLOOKUP('Données projet'!$B$9,Paramètres!$A$1:$I$89,3,0)*0.475*44/12</f>
        <v>9.7660692929397455E-2</v>
      </c>
      <c r="AB193" s="23">
        <f>EXP(-LN(2)/2)*AB192+(1-EXP(-LN(2)/2))/(LN(2)/2)*V193*Y193*VLOOKUP('Données projet'!$B$9,Paramètres!$A$1:$I$89,3,0)*0.475*44/12</f>
        <v>5.0357160719411541E-24</v>
      </c>
      <c r="AC193" s="24">
        <f t="shared" si="163"/>
        <v>0.28534315302066343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-2.8421709430404007E-13</v>
      </c>
      <c r="AJ193" s="14">
        <f>AI193*VLOOKUP('Données projet'!$B$10,Paramètres!$A$1:$I$89,3,0)*VLOOKUP('Données projet'!$B$10,Paramètres!$A$1:$I$89,5,0)</f>
        <v>-1.69961822393816E-13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289.12367833861299</v>
      </c>
      <c r="AO193" s="62">
        <f t="shared" si="144"/>
        <v>229.06617320689003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3.4301815799974736E-24</v>
      </c>
      <c r="AX193" s="23">
        <f t="shared" si="166"/>
        <v>3.4301815799974736E-24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>
        <f>BD193*VLOOKUP('Données projet'!$B$11,Paramètres!$A$1:$I$89,3,0)*VLOOKUP('Données projet'!$B$11,Paramètres!$A$1:$I$89,5,0)</f>
        <v>0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240.22884864766218</v>
      </c>
      <c r="BJ193" s="62">
        <f t="shared" si="146"/>
        <v>343.23776884143166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0.12191422387483905</v>
      </c>
      <c r="BR193" s="23">
        <f>EXP(-LN(2)/2)*BR192+(1-EXP(-LN(2)/2))/(LN(2)/2)*BL193*BO193*VLOOKUP('Données projet'!$B$11,Paramètres!$A$1:$I$89,3,0)*0.475*44/12</f>
        <v>1.3664047547824336E-23</v>
      </c>
      <c r="BS193" s="24">
        <f t="shared" si="169"/>
        <v>0.12191422387483905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-9.6633812063373625E-13</v>
      </c>
      <c r="BZ193" s="14">
        <f>BY193*VLOOKUP('Données projet'!$B$12,Paramètres!$A$1:$I$89,3,0)*VLOOKUP('Données projet'!$B$12,Paramètres!$A$1:$I$89,5,0)</f>
        <v>-8.7434273154940449E-13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428.8489304403459</v>
      </c>
      <c r="CE193" s="62">
        <f t="shared" si="148"/>
        <v>247.01165577562966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-1.7053025658242404E-13</v>
      </c>
      <c r="CU193" s="18">
        <f>CT193*VLOOKUP('Données projet'!$B$13,Paramètres!$A$1:$I$89,3,0)*VLOOKUP('Données projet'!$B$13,Paramètres!$A$1:$I$89,5,0)</f>
        <v>-1.3567387213697657E-13</v>
      </c>
      <c r="CV193" s="14" t="e">
        <f t="shared" si="173"/>
        <v>#NUM!</v>
      </c>
      <c r="CW193" s="22" t="e">
        <f t="shared" si="174"/>
        <v>#NUM!</v>
      </c>
      <c r="CX193" s="62" t="e">
        <f t="shared" si="122"/>
        <v>#NUM!</v>
      </c>
      <c r="CY193" s="62">
        <f ca="1">AVERAGE(OFFSET($CX$3,0,0,'Données projet'!$E$13+1,1))-AVERAGE(OFFSET($H$3,0,0,'Données projet'!$E$13+1,1))</f>
        <v>312.53381881960331</v>
      </c>
      <c r="CZ193" s="62">
        <f t="shared" si="150"/>
        <v>342.06887933351783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-1.7053025658242404E-13</v>
      </c>
      <c r="DP193" s="18">
        <f>DO193*VLOOKUP('Données projet'!$B$14,Paramètres!$A$1:$I$89,3,0)*VLOOKUP('Données projet'!$B$14,Paramètres!$A$1:$I$89,5,0)</f>
        <v>-1.250327841262333E-13</v>
      </c>
      <c r="DQ193" s="14" t="e">
        <f t="shared" si="176"/>
        <v>#NUM!</v>
      </c>
      <c r="DR193" s="22" t="e">
        <f t="shared" si="177"/>
        <v>#NUM!</v>
      </c>
      <c r="DS193" s="62" t="e">
        <f t="shared" si="125"/>
        <v>#NUM!</v>
      </c>
      <c r="DT193" s="62">
        <f ca="1">AVERAGE(OFFSET($DS$3,0,0,'Données projet'!$E$14+1,1))-AVERAGE(OFFSET($H$3,0,0,'Données projet'!$E$14+1,1))</f>
        <v>290.85271051443431</v>
      </c>
      <c r="DU193" s="62">
        <f t="shared" si="152"/>
        <v>318.66958823451142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0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3.4106051316484809E-13</v>
      </c>
      <c r="EK193" s="18">
        <f>EJ193*VLOOKUP('Données projet'!$B$15,Paramètres!$A$1:$I$89,3,0)*VLOOKUP('Données projet'!$B$15,Paramètres!$A$1:$I$89,5,0)</f>
        <v>2.9262992029543969E-13</v>
      </c>
      <c r="EL193" s="14">
        <f t="shared" si="179"/>
        <v>3.8796387982050903E-12</v>
      </c>
      <c r="EM193" s="22">
        <f t="shared" si="180"/>
        <v>7.2667013513884219E-12</v>
      </c>
      <c r="EN193" s="62">
        <f t="shared" si="128"/>
        <v>293.33333333334059</v>
      </c>
      <c r="EO193" s="62">
        <f ca="1">AVERAGE(OFFSET($EN$3,0,0,'Données projet'!$E$15+1,1))-AVERAGE(OFFSET($H$3,0,0,'Données projet'!$E$15+1,1))</f>
        <v>438.65317358403996</v>
      </c>
      <c r="EP193" s="62">
        <f t="shared" si="154"/>
        <v>176.81257896138806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0</v>
      </c>
      <c r="EW193" s="23">
        <f>EXP(-LN(2)/25)*EW192+(1-EXP(-LN(2)/25))/(LN(2)/25)*Calculateur!ER193*Calculateur!ET193*VLOOKUP('Données projet'!$B$15,Paramètres!$A$1:$I$89,3,0)*0.475*44/12</f>
        <v>0</v>
      </c>
      <c r="EX193" s="23">
        <f>EXP(-LN(2)/2)*EX192+(1-EXP(-LN(2)/2))/(LN(2)/2)*ER193*EU193*VLOOKUP('Données projet'!$B$15,Paramètres!$A$1:$I$89,3,0)*0.475*44/12</f>
        <v>0</v>
      </c>
      <c r="EY193" s="24">
        <f t="shared" si="181"/>
        <v>0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2.2737367544323206E-13</v>
      </c>
      <c r="O194" s="14">
        <f>N194*VLOOKUP('Données projet'!$B$9,Paramètres!$A$1:$I$89,3,0)*VLOOKUP('Données projet'!$B$9,Paramètres!$A$1:$I$89,5,0)</f>
        <v>1.2710188457276673E-13</v>
      </c>
      <c r="P194" s="14">
        <f t="shared" si="141"/>
        <v>1.856866851063998E-12</v>
      </c>
      <c r="Q194" s="22">
        <f t="shared" si="162"/>
        <v>3.4554122145673649E-12</v>
      </c>
      <c r="R194" s="62">
        <f t="shared" si="109"/>
        <v>293.33333333333678</v>
      </c>
      <c r="S194" s="62">
        <f ca="1">AVERAGE(OFFSET($R$3,0,0,'Données projet'!$E$9+1,1))-AVERAGE(OFFSET($H$3,0,0,'Données projet'!$E$9+1,1))</f>
        <v>323.98185264074681</v>
      </c>
      <c r="T194" s="62">
        <f t="shared" si="142"/>
        <v>301.22207291854005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0.18400212152387346</v>
      </c>
      <c r="AA194" s="23">
        <f>EXP(-LN(2)/25)*AA193+(1-EXP(-LN(2)/25))/(LN(2)/25)*Calculateur!V194*Calculateur!X194*VLOOKUP('Données projet'!$B$9,Paramètres!$A$1:$I$89,3,0)*0.475*44/12</f>
        <v>9.4990156145490445E-2</v>
      </c>
      <c r="AB194" s="23">
        <f>EXP(-LN(2)/2)*AB193+(1-EXP(-LN(2)/2))/(LN(2)/2)*V194*Y194*VLOOKUP('Données projet'!$B$9,Paramètres!$A$1:$I$89,3,0)*0.475*44/12</f>
        <v>3.5607889825996742E-24</v>
      </c>
      <c r="AC194" s="24">
        <f t="shared" si="163"/>
        <v>0.27899227766936391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-2.8421709430404007E-13</v>
      </c>
      <c r="AJ194" s="14">
        <f>AI194*VLOOKUP('Données projet'!$B$10,Paramètres!$A$1:$I$89,3,0)*VLOOKUP('Données projet'!$B$10,Paramètres!$A$1:$I$89,5,0)</f>
        <v>-1.69961822393816E-13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289.12367833861299</v>
      </c>
      <c r="AO194" s="62">
        <f t="shared" si="144"/>
        <v>229.06617320689003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2.4255046559173995E-24</v>
      </c>
      <c r="AX194" s="23">
        <f t="shared" si="166"/>
        <v>2.4255046559173995E-24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>
        <f>BD194*VLOOKUP('Données projet'!$B$11,Paramètres!$A$1:$I$89,3,0)*VLOOKUP('Données projet'!$B$11,Paramètres!$A$1:$I$89,5,0)</f>
        <v>0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240.22884864766218</v>
      </c>
      <c r="BJ194" s="62">
        <f t="shared" si="146"/>
        <v>343.23776884143166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0.11858047301179118</v>
      </c>
      <c r="BR194" s="23">
        <f>EXP(-LN(2)/2)*BR193+(1-EXP(-LN(2)/2))/(LN(2)/2)*BL194*BO194*VLOOKUP('Données projet'!$B$11,Paramètres!$A$1:$I$89,3,0)*0.475*44/12</f>
        <v>9.6619406795220038E-24</v>
      </c>
      <c r="BS194" s="24">
        <f t="shared" si="169"/>
        <v>0.11858047301179118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-9.6633812063373625E-13</v>
      </c>
      <c r="BZ194" s="14">
        <f>BY194*VLOOKUP('Données projet'!$B$12,Paramètres!$A$1:$I$89,3,0)*VLOOKUP('Données projet'!$B$12,Paramètres!$A$1:$I$89,5,0)</f>
        <v>-8.7434273154940449E-13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428.8489304403459</v>
      </c>
      <c r="CE194" s="62">
        <f t="shared" si="148"/>
        <v>247.01165577562966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-1.7053025658242404E-13</v>
      </c>
      <c r="CU194" s="18">
        <f>CT194*VLOOKUP('Données projet'!$B$13,Paramètres!$A$1:$I$89,3,0)*VLOOKUP('Données projet'!$B$13,Paramètres!$A$1:$I$89,5,0)</f>
        <v>-1.3567387213697657E-13</v>
      </c>
      <c r="CV194" s="14" t="e">
        <f t="shared" si="173"/>
        <v>#NUM!</v>
      </c>
      <c r="CW194" s="22" t="e">
        <f t="shared" si="174"/>
        <v>#NUM!</v>
      </c>
      <c r="CX194" s="62" t="e">
        <f t="shared" si="122"/>
        <v>#NUM!</v>
      </c>
      <c r="CY194" s="62">
        <f ca="1">AVERAGE(OFFSET($CX$3,0,0,'Données projet'!$E$13+1,1))-AVERAGE(OFFSET($H$3,0,0,'Données projet'!$E$13+1,1))</f>
        <v>312.53381881960331</v>
      </c>
      <c r="CZ194" s="62">
        <f t="shared" si="150"/>
        <v>342.06887933351783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-1.7053025658242404E-13</v>
      </c>
      <c r="DP194" s="18">
        <f>DO194*VLOOKUP('Données projet'!$B$14,Paramètres!$A$1:$I$89,3,0)*VLOOKUP('Données projet'!$B$14,Paramètres!$A$1:$I$89,5,0)</f>
        <v>-1.250327841262333E-13</v>
      </c>
      <c r="DQ194" s="14" t="e">
        <f t="shared" si="176"/>
        <v>#NUM!</v>
      </c>
      <c r="DR194" s="22" t="e">
        <f t="shared" si="177"/>
        <v>#NUM!</v>
      </c>
      <c r="DS194" s="62" t="e">
        <f t="shared" si="125"/>
        <v>#NUM!</v>
      </c>
      <c r="DT194" s="62">
        <f ca="1">AVERAGE(OFFSET($DS$3,0,0,'Données projet'!$E$14+1,1))-AVERAGE(OFFSET($H$3,0,0,'Données projet'!$E$14+1,1))</f>
        <v>290.85271051443431</v>
      </c>
      <c r="DU194" s="62">
        <f t="shared" si="152"/>
        <v>318.66958823451142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0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3.4106051316484809E-13</v>
      </c>
      <c r="EK194" s="18">
        <f>EJ194*VLOOKUP('Données projet'!$B$15,Paramètres!$A$1:$I$89,3,0)*VLOOKUP('Données projet'!$B$15,Paramètres!$A$1:$I$89,5,0)</f>
        <v>2.9262992029543969E-13</v>
      </c>
      <c r="EL194" s="14">
        <f t="shared" si="179"/>
        <v>3.8796387982050903E-12</v>
      </c>
      <c r="EM194" s="22">
        <f t="shared" si="180"/>
        <v>7.2667013513884219E-12</v>
      </c>
      <c r="EN194" s="62">
        <f t="shared" si="128"/>
        <v>293.33333333334059</v>
      </c>
      <c r="EO194" s="62">
        <f ca="1">AVERAGE(OFFSET($EN$3,0,0,'Données projet'!$E$15+1,1))-AVERAGE(OFFSET($H$3,0,0,'Données projet'!$E$15+1,1))</f>
        <v>438.65317358403996</v>
      </c>
      <c r="EP194" s="62">
        <f t="shared" si="154"/>
        <v>176.81257896138806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0</v>
      </c>
      <c r="EW194" s="23">
        <f>EXP(-LN(2)/25)*EW193+(1-EXP(-LN(2)/25))/(LN(2)/25)*Calculateur!ER194*Calculateur!ET194*VLOOKUP('Données projet'!$B$15,Paramètres!$A$1:$I$89,3,0)*0.475*44/12</f>
        <v>0</v>
      </c>
      <c r="EX194" s="23">
        <f>EXP(-LN(2)/2)*EX193+(1-EXP(-LN(2)/2))/(LN(2)/2)*ER194*EU194*VLOOKUP('Données projet'!$B$15,Paramètres!$A$1:$I$89,3,0)*0.475*44/12</f>
        <v>0</v>
      </c>
      <c r="EY194" s="24">
        <f t="shared" si="181"/>
        <v>0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2.2737367544323206E-13</v>
      </c>
      <c r="O195" s="14">
        <f>N195*VLOOKUP('Données projet'!$B$9,Paramètres!$A$1:$I$89,3,0)*VLOOKUP('Données projet'!$B$9,Paramètres!$A$1:$I$89,5,0)</f>
        <v>1.2710188457276673E-13</v>
      </c>
      <c r="P195" s="14">
        <f t="shared" si="141"/>
        <v>1.856866851063998E-12</v>
      </c>
      <c r="Q195" s="22">
        <f t="shared" si="162"/>
        <v>3.4554122145673649E-12</v>
      </c>
      <c r="R195" s="62">
        <f t="shared" ref="R195:R203" si="191">Q195+(I195+J195)*44/12</f>
        <v>293.33333333333678</v>
      </c>
      <c r="S195" s="62">
        <f ca="1">AVERAGE(OFFSET($R$3,0,0,'Données projet'!$E$9+1,1))-AVERAGE(OFFSET($H$3,0,0,'Données projet'!$E$9+1,1))</f>
        <v>323.98185264074681</v>
      </c>
      <c r="T195" s="62">
        <f t="shared" si="142"/>
        <v>301.22207291854005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0.18039395215100262</v>
      </c>
      <c r="AA195" s="23">
        <f>EXP(-LN(2)/25)*AA194+(1-EXP(-LN(2)/25))/(LN(2)/25)*Calculateur!V195*Calculateur!X195*VLOOKUP('Données projet'!$B$9,Paramètres!$A$1:$I$89,3,0)*0.475*44/12</f>
        <v>9.2392645330376805E-2</v>
      </c>
      <c r="AB195" s="23">
        <f>EXP(-LN(2)/2)*AB194+(1-EXP(-LN(2)/2))/(LN(2)/2)*V195*Y195*VLOOKUP('Données projet'!$B$9,Paramètres!$A$1:$I$89,3,0)*0.475*44/12</f>
        <v>2.517858035970577E-24</v>
      </c>
      <c r="AC195" s="24">
        <f t="shared" si="163"/>
        <v>0.27278659748137946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-2.8421709430404007E-13</v>
      </c>
      <c r="AJ195" s="14">
        <f>AI195*VLOOKUP('Données projet'!$B$10,Paramètres!$A$1:$I$89,3,0)*VLOOKUP('Données projet'!$B$10,Paramètres!$A$1:$I$89,5,0)</f>
        <v>-1.69961822393816E-13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289.12367833861299</v>
      </c>
      <c r="AO195" s="62">
        <f t="shared" si="144"/>
        <v>229.06617320689003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1.7150907899987368E-24</v>
      </c>
      <c r="AX195" s="23">
        <f t="shared" si="166"/>
        <v>1.7150907899987368E-24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>
        <f>BD195*VLOOKUP('Données projet'!$B$11,Paramètres!$A$1:$I$89,3,0)*VLOOKUP('Données projet'!$B$11,Paramètres!$A$1:$I$89,5,0)</f>
        <v>0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240.22884864766218</v>
      </c>
      <c r="BJ195" s="62">
        <f t="shared" si="146"/>
        <v>343.23776884143166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0.1153378837414077</v>
      </c>
      <c r="BR195" s="23">
        <f>EXP(-LN(2)/2)*BR194+(1-EXP(-LN(2)/2))/(LN(2)/2)*BL195*BO195*VLOOKUP('Données projet'!$B$11,Paramètres!$A$1:$I$89,3,0)*0.475*44/12</f>
        <v>6.8320237739121678E-24</v>
      </c>
      <c r="BS195" s="24">
        <f t="shared" si="169"/>
        <v>0.1153378837414077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-9.6633812063373625E-13</v>
      </c>
      <c r="BZ195" s="14">
        <f>BY195*VLOOKUP('Données projet'!$B$12,Paramètres!$A$1:$I$89,3,0)*VLOOKUP('Données projet'!$B$12,Paramètres!$A$1:$I$89,5,0)</f>
        <v>-8.7434273154940449E-13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428.8489304403459</v>
      </c>
      <c r="CE195" s="62">
        <f t="shared" si="148"/>
        <v>247.01165577562966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-1.7053025658242404E-13</v>
      </c>
      <c r="CU195" s="18">
        <f>CT195*VLOOKUP('Données projet'!$B$13,Paramètres!$A$1:$I$89,3,0)*VLOOKUP('Données projet'!$B$13,Paramètres!$A$1:$I$89,5,0)</f>
        <v>-1.3567387213697657E-13</v>
      </c>
      <c r="CV195" s="14" t="e">
        <f t="shared" si="173"/>
        <v>#NUM!</v>
      </c>
      <c r="CW195" s="22" t="e">
        <f t="shared" si="174"/>
        <v>#NUM!</v>
      </c>
      <c r="CX195" s="62" t="e">
        <f t="shared" si="122"/>
        <v>#NUM!</v>
      </c>
      <c r="CY195" s="62">
        <f ca="1">AVERAGE(OFFSET($CX$3,0,0,'Données projet'!$E$13+1,1))-AVERAGE(OFFSET($H$3,0,0,'Données projet'!$E$13+1,1))</f>
        <v>312.53381881960331</v>
      </c>
      <c r="CZ195" s="62">
        <f t="shared" si="150"/>
        <v>342.06887933351783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-1.7053025658242404E-13</v>
      </c>
      <c r="DP195" s="18">
        <f>DO195*VLOOKUP('Données projet'!$B$14,Paramètres!$A$1:$I$89,3,0)*VLOOKUP('Données projet'!$B$14,Paramètres!$A$1:$I$89,5,0)</f>
        <v>-1.250327841262333E-13</v>
      </c>
      <c r="DQ195" s="14" t="e">
        <f t="shared" si="176"/>
        <v>#NUM!</v>
      </c>
      <c r="DR195" s="22" t="e">
        <f t="shared" si="177"/>
        <v>#NUM!</v>
      </c>
      <c r="DS195" s="62" t="e">
        <f t="shared" si="125"/>
        <v>#NUM!</v>
      </c>
      <c r="DT195" s="62">
        <f ca="1">AVERAGE(OFFSET($DS$3,0,0,'Données projet'!$E$14+1,1))-AVERAGE(OFFSET($H$3,0,0,'Données projet'!$E$14+1,1))</f>
        <v>290.85271051443431</v>
      </c>
      <c r="DU195" s="62">
        <f t="shared" si="152"/>
        <v>318.66958823451142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0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3.4106051316484809E-13</v>
      </c>
      <c r="EK195" s="18">
        <f>EJ195*VLOOKUP('Données projet'!$B$15,Paramètres!$A$1:$I$89,3,0)*VLOOKUP('Données projet'!$B$15,Paramètres!$A$1:$I$89,5,0)</f>
        <v>2.9262992029543969E-13</v>
      </c>
      <c r="EL195" s="14">
        <f t="shared" si="179"/>
        <v>3.8796387982050903E-12</v>
      </c>
      <c r="EM195" s="22">
        <f t="shared" si="180"/>
        <v>7.2667013513884219E-12</v>
      </c>
      <c r="EN195" s="62">
        <f t="shared" si="128"/>
        <v>293.33333333334059</v>
      </c>
      <c r="EO195" s="62">
        <f ca="1">AVERAGE(OFFSET($EN$3,0,0,'Données projet'!$E$15+1,1))-AVERAGE(OFFSET($H$3,0,0,'Données projet'!$E$15+1,1))</f>
        <v>438.65317358403996</v>
      </c>
      <c r="EP195" s="62">
        <f t="shared" si="154"/>
        <v>176.81257896138806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0</v>
      </c>
      <c r="EW195" s="23">
        <f>EXP(-LN(2)/25)*EW194+(1-EXP(-LN(2)/25))/(LN(2)/25)*Calculateur!ER195*Calculateur!ET195*VLOOKUP('Données projet'!$B$15,Paramètres!$A$1:$I$89,3,0)*0.475*44/12</f>
        <v>0</v>
      </c>
      <c r="EX195" s="23">
        <f>EXP(-LN(2)/2)*EX194+(1-EXP(-LN(2)/2))/(LN(2)/2)*ER195*EU195*VLOOKUP('Données projet'!$B$15,Paramètres!$A$1:$I$89,3,0)*0.475*44/12</f>
        <v>0</v>
      </c>
      <c r="EY195" s="24">
        <f t="shared" si="181"/>
        <v>0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2.2737367544323206E-13</v>
      </c>
      <c r="O196" s="14">
        <f>N196*VLOOKUP('Données projet'!$B$9,Paramètres!$A$1:$I$89,3,0)*VLOOKUP('Données projet'!$B$9,Paramètres!$A$1:$I$89,5,0)</f>
        <v>1.2710188457276673E-13</v>
      </c>
      <c r="P196" s="14">
        <f t="shared" si="141"/>
        <v>1.856866851063998E-12</v>
      </c>
      <c r="Q196" s="22">
        <f t="shared" si="162"/>
        <v>3.4554122145673649E-12</v>
      </c>
      <c r="R196" s="62">
        <f t="shared" si="191"/>
        <v>293.33333333333678</v>
      </c>
      <c r="S196" s="62">
        <f ca="1">AVERAGE(OFFSET($R$3,0,0,'Données projet'!$E$9+1,1))-AVERAGE(OFFSET($H$3,0,0,'Données projet'!$E$9+1,1))</f>
        <v>323.98185264074681</v>
      </c>
      <c r="T196" s="62">
        <f t="shared" si="142"/>
        <v>301.22207291854005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0.17685653677876778</v>
      </c>
      <c r="AA196" s="23">
        <f>EXP(-LN(2)/25)*AA195+(1-EXP(-LN(2)/25))/(LN(2)/25)*Calculateur!V196*Calculateur!X196*VLOOKUP('Données projet'!$B$9,Paramètres!$A$1:$I$89,3,0)*0.475*44/12</f>
        <v>8.9866163585099593E-2</v>
      </c>
      <c r="AB196" s="23">
        <f>EXP(-LN(2)/2)*AB195+(1-EXP(-LN(2)/2))/(LN(2)/2)*V196*Y196*VLOOKUP('Données projet'!$B$9,Paramètres!$A$1:$I$89,3,0)*0.475*44/12</f>
        <v>1.7803944912998371E-24</v>
      </c>
      <c r="AC196" s="24">
        <f t="shared" si="163"/>
        <v>0.26672270036386736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-2.8421709430404007E-13</v>
      </c>
      <c r="AJ196" s="14">
        <f>AI196*VLOOKUP('Données projet'!$B$10,Paramètres!$A$1:$I$89,3,0)*VLOOKUP('Données projet'!$B$10,Paramètres!$A$1:$I$89,5,0)</f>
        <v>-1.69961822393816E-13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289.12367833861299</v>
      </c>
      <c r="AO196" s="62">
        <f t="shared" si="144"/>
        <v>229.06617320689003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1.2127523279586997E-24</v>
      </c>
      <c r="AX196" s="23">
        <f t="shared" si="166"/>
        <v>1.2127523279586997E-24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>
        <f>BD196*VLOOKUP('Données projet'!$B$11,Paramètres!$A$1:$I$89,3,0)*VLOOKUP('Données projet'!$B$11,Paramètres!$A$1:$I$89,5,0)</f>
        <v>0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240.22884864766218</v>
      </c>
      <c r="BJ196" s="62">
        <f t="shared" si="146"/>
        <v>343.23776884143166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0.11218396324514321</v>
      </c>
      <c r="BR196" s="23">
        <f>EXP(-LN(2)/2)*BR195+(1-EXP(-LN(2)/2))/(LN(2)/2)*BL196*BO196*VLOOKUP('Données projet'!$B$11,Paramètres!$A$1:$I$89,3,0)*0.475*44/12</f>
        <v>4.8309703397610019E-24</v>
      </c>
      <c r="BS196" s="24">
        <f t="shared" si="169"/>
        <v>0.11218396324514321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-9.6633812063373625E-13</v>
      </c>
      <c r="BZ196" s="14">
        <f>BY196*VLOOKUP('Données projet'!$B$12,Paramètres!$A$1:$I$89,3,0)*VLOOKUP('Données projet'!$B$12,Paramètres!$A$1:$I$89,5,0)</f>
        <v>-8.7434273154940449E-13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428.8489304403459</v>
      </c>
      <c r="CE196" s="62">
        <f t="shared" si="148"/>
        <v>247.01165577562966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-1.7053025658242404E-13</v>
      </c>
      <c r="CU196" s="18">
        <f>CT196*VLOOKUP('Données projet'!$B$13,Paramètres!$A$1:$I$89,3,0)*VLOOKUP('Données projet'!$B$13,Paramètres!$A$1:$I$89,5,0)</f>
        <v>-1.3567387213697657E-13</v>
      </c>
      <c r="CV196" s="14" t="e">
        <f t="shared" si="173"/>
        <v>#NUM!</v>
      </c>
      <c r="CW196" s="22" t="e">
        <f t="shared" si="174"/>
        <v>#NUM!</v>
      </c>
      <c r="CX196" s="62" t="e">
        <f t="shared" ref="CX196:CX203" si="196">CW196+(CO196+CP196)*44/12</f>
        <v>#NUM!</v>
      </c>
      <c r="CY196" s="62">
        <f ca="1">AVERAGE(OFFSET($CX$3,0,0,'Données projet'!$E$13+1,1))-AVERAGE(OFFSET($H$3,0,0,'Données projet'!$E$13+1,1))</f>
        <v>312.53381881960331</v>
      </c>
      <c r="CZ196" s="62">
        <f t="shared" si="150"/>
        <v>342.06887933351783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-1.7053025658242404E-13</v>
      </c>
      <c r="DP196" s="18">
        <f>DO196*VLOOKUP('Données projet'!$B$14,Paramètres!$A$1:$I$89,3,0)*VLOOKUP('Données projet'!$B$14,Paramètres!$A$1:$I$89,5,0)</f>
        <v>-1.250327841262333E-13</v>
      </c>
      <c r="DQ196" s="14" t="e">
        <f t="shared" si="176"/>
        <v>#NUM!</v>
      </c>
      <c r="DR196" s="22" t="e">
        <f t="shared" si="177"/>
        <v>#NUM!</v>
      </c>
      <c r="DS196" s="62" t="e">
        <f t="shared" ref="DS196:DS203" si="197">DR196+(DJ196+DK196)*44/12</f>
        <v>#NUM!</v>
      </c>
      <c r="DT196" s="62">
        <f ca="1">AVERAGE(OFFSET($DS$3,0,0,'Données projet'!$E$14+1,1))-AVERAGE(OFFSET($H$3,0,0,'Données projet'!$E$14+1,1))</f>
        <v>290.85271051443431</v>
      </c>
      <c r="DU196" s="62">
        <f t="shared" si="152"/>
        <v>318.66958823451142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0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3.4106051316484809E-13</v>
      </c>
      <c r="EK196" s="18">
        <f>EJ196*VLOOKUP('Données projet'!$B$15,Paramètres!$A$1:$I$89,3,0)*VLOOKUP('Données projet'!$B$15,Paramètres!$A$1:$I$89,5,0)</f>
        <v>2.9262992029543969E-13</v>
      </c>
      <c r="EL196" s="14">
        <f t="shared" si="179"/>
        <v>3.8796387982050903E-12</v>
      </c>
      <c r="EM196" s="22">
        <f t="shared" si="180"/>
        <v>7.2667013513884219E-12</v>
      </c>
      <c r="EN196" s="62">
        <f t="shared" ref="EN196:EN203" si="198">EM196+(EE196+EF196)*44/12</f>
        <v>293.33333333334059</v>
      </c>
      <c r="EO196" s="62">
        <f ca="1">AVERAGE(OFFSET($EN$3,0,0,'Données projet'!$E$15+1,1))-AVERAGE(OFFSET($H$3,0,0,'Données projet'!$E$15+1,1))</f>
        <v>438.65317358403996</v>
      </c>
      <c r="EP196" s="62">
        <f t="shared" si="154"/>
        <v>176.81257896138806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0</v>
      </c>
      <c r="EW196" s="23">
        <f>EXP(-LN(2)/25)*EW195+(1-EXP(-LN(2)/25))/(LN(2)/25)*Calculateur!ER196*Calculateur!ET196*VLOOKUP('Données projet'!$B$15,Paramètres!$A$1:$I$89,3,0)*0.475*44/12</f>
        <v>0</v>
      </c>
      <c r="EX196" s="23">
        <f>EXP(-LN(2)/2)*EX195+(1-EXP(-LN(2)/2))/(LN(2)/2)*ER196*EU196*VLOOKUP('Données projet'!$B$15,Paramètres!$A$1:$I$89,3,0)*0.475*44/12</f>
        <v>0</v>
      </c>
      <c r="EY196" s="24">
        <f t="shared" si="181"/>
        <v>0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2.2737367544323206E-13</v>
      </c>
      <c r="O197" s="14">
        <f>N197*VLOOKUP('Données projet'!$B$9,Paramètres!$A$1:$I$89,3,0)*VLOOKUP('Données projet'!$B$9,Paramètres!$A$1:$I$89,5,0)</f>
        <v>1.2710188457276673E-13</v>
      </c>
      <c r="P197" s="14">
        <f t="shared" ref="P197:P203" si="203">EXP(-1.0587+0.8836*LN(O197)+0.284)</f>
        <v>1.856866851063998E-12</v>
      </c>
      <c r="Q197" s="22">
        <f t="shared" si="162"/>
        <v>3.4554122145673649E-12</v>
      </c>
      <c r="R197" s="62">
        <f t="shared" si="191"/>
        <v>293.33333333333678</v>
      </c>
      <c r="S197" s="62">
        <f ca="1">AVERAGE(OFFSET($R$3,0,0,'Données projet'!$E$9+1,1))-AVERAGE(OFFSET($H$3,0,0,'Données projet'!$E$9+1,1))</f>
        <v>323.98185264074681</v>
      </c>
      <c r="T197" s="62">
        <f t="shared" ref="T197:T203" si="204">$T$3</f>
        <v>301.22207291854005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0.17338848796437212</v>
      </c>
      <c r="AA197" s="23">
        <f>EXP(-LN(2)/25)*AA196+(1-EXP(-LN(2)/25))/(LN(2)/25)*Calculateur!V197*Calculateur!X197*VLOOKUP('Données projet'!$B$9,Paramètres!$A$1:$I$89,3,0)*0.475*44/12</f>
        <v>8.7408768616008894E-2</v>
      </c>
      <c r="AB197" s="23">
        <f>EXP(-LN(2)/2)*AB196+(1-EXP(-LN(2)/2))/(LN(2)/2)*V197*Y197*VLOOKUP('Données projet'!$B$9,Paramètres!$A$1:$I$89,3,0)*0.475*44/12</f>
        <v>1.2589290179852885E-24</v>
      </c>
      <c r="AC197" s="24">
        <f t="shared" si="163"/>
        <v>0.260797256580381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-2.8421709430404007E-13</v>
      </c>
      <c r="AJ197" s="14">
        <f>AI197*VLOOKUP('Données projet'!$B$10,Paramètres!$A$1:$I$89,3,0)*VLOOKUP('Données projet'!$B$10,Paramètres!$A$1:$I$89,5,0)</f>
        <v>-1.69961822393816E-13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289.12367833861299</v>
      </c>
      <c r="AO197" s="62">
        <f t="shared" ref="AO197:AO203" si="205">$AO$3</f>
        <v>229.06617320689003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8.575453949993684E-25</v>
      </c>
      <c r="AX197" s="23">
        <f t="shared" si="166"/>
        <v>8.575453949993684E-25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>
        <f>BD197*VLOOKUP('Données projet'!$B$11,Paramètres!$A$1:$I$89,3,0)*VLOOKUP('Données projet'!$B$11,Paramètres!$A$1:$I$89,5,0)</f>
        <v>0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240.22884864766218</v>
      </c>
      <c r="BJ197" s="62">
        <f t="shared" ref="BJ197:BJ203" si="206">$BJ$3</f>
        <v>343.23776884143166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0.10911628687070654</v>
      </c>
      <c r="BR197" s="23">
        <f>EXP(-LN(2)/2)*BR196+(1-EXP(-LN(2)/2))/(LN(2)/2)*BL197*BO197*VLOOKUP('Données projet'!$B$11,Paramètres!$A$1:$I$89,3,0)*0.475*44/12</f>
        <v>3.4160118869560839E-24</v>
      </c>
      <c r="BS197" s="24">
        <f t="shared" si="169"/>
        <v>0.10911628687070654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-9.6633812063373625E-13</v>
      </c>
      <c r="BZ197" s="14">
        <f>BY197*VLOOKUP('Données projet'!$B$12,Paramètres!$A$1:$I$89,3,0)*VLOOKUP('Données projet'!$B$12,Paramètres!$A$1:$I$89,5,0)</f>
        <v>-8.7434273154940449E-13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428.8489304403459</v>
      </c>
      <c r="CE197" s="62">
        <f t="shared" ref="CE197:CE203" si="207">$CE$3</f>
        <v>247.01165577562966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-1.7053025658242404E-13</v>
      </c>
      <c r="CU197" s="18">
        <f>CT197*VLOOKUP('Données projet'!$B$13,Paramètres!$A$1:$I$89,3,0)*VLOOKUP('Données projet'!$B$13,Paramètres!$A$1:$I$89,5,0)</f>
        <v>-1.3567387213697657E-13</v>
      </c>
      <c r="CV197" s="14" t="e">
        <f t="shared" si="173"/>
        <v>#NUM!</v>
      </c>
      <c r="CW197" s="22" t="e">
        <f t="shared" si="174"/>
        <v>#NUM!</v>
      </c>
      <c r="CX197" s="62" t="e">
        <f t="shared" si="196"/>
        <v>#NUM!</v>
      </c>
      <c r="CY197" s="62">
        <f ca="1">AVERAGE(OFFSET($CX$3,0,0,'Données projet'!$E$13+1,1))-AVERAGE(OFFSET($H$3,0,0,'Données projet'!$E$13+1,1))</f>
        <v>312.53381881960331</v>
      </c>
      <c r="CZ197" s="62">
        <f t="shared" ref="CZ197:CZ203" si="208">$CZ$3</f>
        <v>342.06887933351783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-1.7053025658242404E-13</v>
      </c>
      <c r="DP197" s="18">
        <f>DO197*VLOOKUP('Données projet'!$B$14,Paramètres!$A$1:$I$89,3,0)*VLOOKUP('Données projet'!$B$14,Paramètres!$A$1:$I$89,5,0)</f>
        <v>-1.250327841262333E-13</v>
      </c>
      <c r="DQ197" s="14" t="e">
        <f t="shared" si="176"/>
        <v>#NUM!</v>
      </c>
      <c r="DR197" s="22" t="e">
        <f t="shared" si="177"/>
        <v>#NUM!</v>
      </c>
      <c r="DS197" s="62" t="e">
        <f t="shared" si="197"/>
        <v>#NUM!</v>
      </c>
      <c r="DT197" s="62">
        <f ca="1">AVERAGE(OFFSET($DS$3,0,0,'Données projet'!$E$14+1,1))-AVERAGE(OFFSET($H$3,0,0,'Données projet'!$E$14+1,1))</f>
        <v>290.85271051443431</v>
      </c>
      <c r="DU197" s="62">
        <f t="shared" ref="DU197:DU203" si="209">$DU$3</f>
        <v>318.66958823451142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0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3.4106051316484809E-13</v>
      </c>
      <c r="EK197" s="18">
        <f>EJ197*VLOOKUP('Données projet'!$B$15,Paramètres!$A$1:$I$89,3,0)*VLOOKUP('Données projet'!$B$15,Paramètres!$A$1:$I$89,5,0)</f>
        <v>2.9262992029543969E-13</v>
      </c>
      <c r="EL197" s="14">
        <f t="shared" si="179"/>
        <v>3.8796387982050903E-12</v>
      </c>
      <c r="EM197" s="22">
        <f t="shared" si="180"/>
        <v>7.2667013513884219E-12</v>
      </c>
      <c r="EN197" s="62">
        <f t="shared" si="198"/>
        <v>293.33333333334059</v>
      </c>
      <c r="EO197" s="62">
        <f ca="1">AVERAGE(OFFSET($EN$3,0,0,'Données projet'!$E$15+1,1))-AVERAGE(OFFSET($H$3,0,0,'Données projet'!$E$15+1,1))</f>
        <v>438.65317358403996</v>
      </c>
      <c r="EP197" s="62">
        <f t="shared" ref="EP197:EP203" si="210">$EP$3</f>
        <v>176.81257896138806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0</v>
      </c>
      <c r="EW197" s="23">
        <f>EXP(-LN(2)/25)*EW196+(1-EXP(-LN(2)/25))/(LN(2)/25)*Calculateur!ER197*Calculateur!ET197*VLOOKUP('Données projet'!$B$15,Paramètres!$A$1:$I$89,3,0)*0.475*44/12</f>
        <v>0</v>
      </c>
      <c r="EX197" s="23">
        <f>EXP(-LN(2)/2)*EX196+(1-EXP(-LN(2)/2))/(LN(2)/2)*ER197*EU197*VLOOKUP('Données projet'!$B$15,Paramètres!$A$1:$I$89,3,0)*0.475*44/12</f>
        <v>0</v>
      </c>
      <c r="EY197" s="24">
        <f t="shared" si="181"/>
        <v>0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2.2737367544323206E-13</v>
      </c>
      <c r="O198" s="14">
        <f>N198*VLOOKUP('Données projet'!$B$9,Paramètres!$A$1:$I$89,3,0)*VLOOKUP('Données projet'!$B$9,Paramètres!$A$1:$I$89,5,0)</f>
        <v>1.2710188457276673E-13</v>
      </c>
      <c r="P198" s="14">
        <f t="shared" si="203"/>
        <v>1.856866851063998E-12</v>
      </c>
      <c r="Q198" s="22">
        <f t="shared" si="162"/>
        <v>3.4554122145673649E-12</v>
      </c>
      <c r="R198" s="62">
        <f t="shared" si="191"/>
        <v>293.33333333333678</v>
      </c>
      <c r="S198" s="62">
        <f ca="1">AVERAGE(OFFSET($R$3,0,0,'Données projet'!$E$9+1,1))-AVERAGE(OFFSET($H$3,0,0,'Données projet'!$E$9+1,1))</f>
        <v>323.98185264074681</v>
      </c>
      <c r="T198" s="62">
        <f t="shared" si="204"/>
        <v>301.22207291854005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0.16998844547192585</v>
      </c>
      <c r="AA198" s="23">
        <f>EXP(-LN(2)/25)*AA197+(1-EXP(-LN(2)/25))/(LN(2)/25)*Calculateur!V198*Calculateur!X198*VLOOKUP('Données projet'!$B$9,Paramètres!$A$1:$I$89,3,0)*0.475*44/12</f>
        <v>8.501857124157676E-2</v>
      </c>
      <c r="AB198" s="23">
        <f>EXP(-LN(2)/2)*AB197+(1-EXP(-LN(2)/2))/(LN(2)/2)*V198*Y198*VLOOKUP('Données projet'!$B$9,Paramètres!$A$1:$I$89,3,0)*0.475*44/12</f>
        <v>8.9019724564991855E-25</v>
      </c>
      <c r="AC198" s="24">
        <f t="shared" si="163"/>
        <v>0.25500701671350262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-2.8421709430404007E-13</v>
      </c>
      <c r="AJ198" s="14">
        <f>AI198*VLOOKUP('Données projet'!$B$10,Paramètres!$A$1:$I$89,3,0)*VLOOKUP('Données projet'!$B$10,Paramètres!$A$1:$I$89,5,0)</f>
        <v>-1.69961822393816E-13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289.12367833861299</v>
      </c>
      <c r="AO198" s="62">
        <f t="shared" si="205"/>
        <v>229.06617320689003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6.0637616397934987E-25</v>
      </c>
      <c r="AX198" s="23">
        <f t="shared" si="166"/>
        <v>6.0637616397934987E-25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>
        <f>BD198*VLOOKUP('Données projet'!$B$11,Paramètres!$A$1:$I$89,3,0)*VLOOKUP('Données projet'!$B$11,Paramètres!$A$1:$I$89,5,0)</f>
        <v>0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240.22884864766218</v>
      </c>
      <c r="BJ198" s="62">
        <f t="shared" si="206"/>
        <v>343.23776884143166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0.10613249626805094</v>
      </c>
      <c r="BR198" s="23">
        <f>EXP(-LN(2)/2)*BR197+(1-EXP(-LN(2)/2))/(LN(2)/2)*BL198*BO198*VLOOKUP('Données projet'!$B$11,Paramètres!$A$1:$I$89,3,0)*0.475*44/12</f>
        <v>2.4154851698805009E-24</v>
      </c>
      <c r="BS198" s="24">
        <f t="shared" si="169"/>
        <v>0.10613249626805094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-9.6633812063373625E-13</v>
      </c>
      <c r="BZ198" s="14">
        <f>BY198*VLOOKUP('Données projet'!$B$12,Paramètres!$A$1:$I$89,3,0)*VLOOKUP('Données projet'!$B$12,Paramètres!$A$1:$I$89,5,0)</f>
        <v>-8.7434273154940449E-13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428.8489304403459</v>
      </c>
      <c r="CE198" s="62">
        <f t="shared" si="207"/>
        <v>247.01165577562966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-1.7053025658242404E-13</v>
      </c>
      <c r="CU198" s="18">
        <f>CT198*VLOOKUP('Données projet'!$B$13,Paramètres!$A$1:$I$89,3,0)*VLOOKUP('Données projet'!$B$13,Paramètres!$A$1:$I$89,5,0)</f>
        <v>-1.3567387213697657E-13</v>
      </c>
      <c r="CV198" s="14" t="e">
        <f t="shared" si="173"/>
        <v>#NUM!</v>
      </c>
      <c r="CW198" s="22" t="e">
        <f t="shared" si="174"/>
        <v>#NUM!</v>
      </c>
      <c r="CX198" s="62" t="e">
        <f t="shared" si="196"/>
        <v>#NUM!</v>
      </c>
      <c r="CY198" s="62">
        <f ca="1">AVERAGE(OFFSET($CX$3,0,0,'Données projet'!$E$13+1,1))-AVERAGE(OFFSET($H$3,0,0,'Données projet'!$E$13+1,1))</f>
        <v>312.53381881960331</v>
      </c>
      <c r="CZ198" s="62">
        <f t="shared" si="208"/>
        <v>342.06887933351783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-1.7053025658242404E-13</v>
      </c>
      <c r="DP198" s="18">
        <f>DO198*VLOOKUP('Données projet'!$B$14,Paramètres!$A$1:$I$89,3,0)*VLOOKUP('Données projet'!$B$14,Paramètres!$A$1:$I$89,5,0)</f>
        <v>-1.250327841262333E-13</v>
      </c>
      <c r="DQ198" s="14" t="e">
        <f t="shared" si="176"/>
        <v>#NUM!</v>
      </c>
      <c r="DR198" s="22" t="e">
        <f t="shared" si="177"/>
        <v>#NUM!</v>
      </c>
      <c r="DS198" s="62" t="e">
        <f t="shared" si="197"/>
        <v>#NUM!</v>
      </c>
      <c r="DT198" s="62">
        <f ca="1">AVERAGE(OFFSET($DS$3,0,0,'Données projet'!$E$14+1,1))-AVERAGE(OFFSET($H$3,0,0,'Données projet'!$E$14+1,1))</f>
        <v>290.85271051443431</v>
      </c>
      <c r="DU198" s="62">
        <f t="shared" si="209"/>
        <v>318.66958823451142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0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3.4106051316484809E-13</v>
      </c>
      <c r="EK198" s="18">
        <f>EJ198*VLOOKUP('Données projet'!$B$15,Paramètres!$A$1:$I$89,3,0)*VLOOKUP('Données projet'!$B$15,Paramètres!$A$1:$I$89,5,0)</f>
        <v>2.9262992029543969E-13</v>
      </c>
      <c r="EL198" s="14">
        <f t="shared" si="179"/>
        <v>3.8796387982050903E-12</v>
      </c>
      <c r="EM198" s="22">
        <f t="shared" si="180"/>
        <v>7.2667013513884219E-12</v>
      </c>
      <c r="EN198" s="62">
        <f t="shared" si="198"/>
        <v>293.33333333334059</v>
      </c>
      <c r="EO198" s="62">
        <f ca="1">AVERAGE(OFFSET($EN$3,0,0,'Données projet'!$E$15+1,1))-AVERAGE(OFFSET($H$3,0,0,'Données projet'!$E$15+1,1))</f>
        <v>438.65317358403996</v>
      </c>
      <c r="EP198" s="62">
        <f t="shared" si="210"/>
        <v>176.81257896138806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0</v>
      </c>
      <c r="EW198" s="23">
        <f>EXP(-LN(2)/25)*EW197+(1-EXP(-LN(2)/25))/(LN(2)/25)*Calculateur!ER198*Calculateur!ET198*VLOOKUP('Données projet'!$B$15,Paramètres!$A$1:$I$89,3,0)*0.475*44/12</f>
        <v>0</v>
      </c>
      <c r="EX198" s="23">
        <f>EXP(-LN(2)/2)*EX197+(1-EXP(-LN(2)/2))/(LN(2)/2)*ER198*EU198*VLOOKUP('Données projet'!$B$15,Paramètres!$A$1:$I$89,3,0)*0.475*44/12</f>
        <v>0</v>
      </c>
      <c r="EY198" s="24">
        <f t="shared" si="181"/>
        <v>0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2.2737367544323206E-13</v>
      </c>
      <c r="O199" s="14">
        <f>N199*VLOOKUP('Données projet'!$B$9,Paramètres!$A$1:$I$89,3,0)*VLOOKUP('Données projet'!$B$9,Paramètres!$A$1:$I$89,5,0)</f>
        <v>1.2710188457276673E-13</v>
      </c>
      <c r="P199" s="14">
        <f t="shared" si="203"/>
        <v>1.856866851063998E-12</v>
      </c>
      <c r="Q199" s="22">
        <f t="shared" si="162"/>
        <v>3.4554122145673649E-12</v>
      </c>
      <c r="R199" s="62">
        <f t="shared" si="191"/>
        <v>293.33333333333678</v>
      </c>
      <c r="S199" s="62">
        <f ca="1">AVERAGE(OFFSET($R$3,0,0,'Données projet'!$E$9+1,1))-AVERAGE(OFFSET($H$3,0,0,'Données projet'!$E$9+1,1))</f>
        <v>323.98185264074681</v>
      </c>
      <c r="T199" s="62">
        <f t="shared" si="204"/>
        <v>301.22207291854005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0.16665507573893532</v>
      </c>
      <c r="AA199" s="23">
        <f>EXP(-LN(2)/25)*AA198+(1-EXP(-LN(2)/25))/(LN(2)/25)*Calculateur!V199*Calculateur!X199*VLOOKUP('Données projet'!$B$9,Paramètres!$A$1:$I$89,3,0)*0.475*44/12</f>
        <v>8.2693733940043493E-2</v>
      </c>
      <c r="AB199" s="23">
        <f>EXP(-LN(2)/2)*AB198+(1-EXP(-LN(2)/2))/(LN(2)/2)*V199*Y199*VLOOKUP('Données projet'!$B$9,Paramètres!$A$1:$I$89,3,0)*0.475*44/12</f>
        <v>6.2946450899264426E-25</v>
      </c>
      <c r="AC199" s="24">
        <f t="shared" si="163"/>
        <v>0.24934880967897882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-2.8421709430404007E-13</v>
      </c>
      <c r="AJ199" s="14">
        <f>AI199*VLOOKUP('Données projet'!$B$10,Paramètres!$A$1:$I$89,3,0)*VLOOKUP('Données projet'!$B$10,Paramètres!$A$1:$I$89,5,0)</f>
        <v>-1.69961822393816E-13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289.12367833861299</v>
      </c>
      <c r="AO199" s="62">
        <f t="shared" si="205"/>
        <v>229.06617320689003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4.287726974996842E-25</v>
      </c>
      <c r="AX199" s="23">
        <f t="shared" si="166"/>
        <v>4.287726974996842E-25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>
        <f>BD199*VLOOKUP('Données projet'!$B$11,Paramètres!$A$1:$I$89,3,0)*VLOOKUP('Données projet'!$B$11,Paramètres!$A$1:$I$89,5,0)</f>
        <v>0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240.22884864766218</v>
      </c>
      <c r="BJ199" s="62">
        <f t="shared" si="206"/>
        <v>343.23776884143166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0.10323029757633567</v>
      </c>
      <c r="BR199" s="23">
        <f>EXP(-LN(2)/2)*BR198+(1-EXP(-LN(2)/2))/(LN(2)/2)*BL199*BO199*VLOOKUP('Données projet'!$B$11,Paramètres!$A$1:$I$89,3,0)*0.475*44/12</f>
        <v>1.7080059434780419E-24</v>
      </c>
      <c r="BS199" s="24">
        <f t="shared" si="169"/>
        <v>0.10323029757633567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-9.6633812063373625E-13</v>
      </c>
      <c r="BZ199" s="14">
        <f>BY199*VLOOKUP('Données projet'!$B$12,Paramètres!$A$1:$I$89,3,0)*VLOOKUP('Données projet'!$B$12,Paramètres!$A$1:$I$89,5,0)</f>
        <v>-8.7434273154940449E-13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428.8489304403459</v>
      </c>
      <c r="CE199" s="62">
        <f t="shared" si="207"/>
        <v>247.01165577562966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-1.7053025658242404E-13</v>
      </c>
      <c r="CU199" s="18">
        <f>CT199*VLOOKUP('Données projet'!$B$13,Paramètres!$A$1:$I$89,3,0)*VLOOKUP('Données projet'!$B$13,Paramètres!$A$1:$I$89,5,0)</f>
        <v>-1.3567387213697657E-13</v>
      </c>
      <c r="CV199" s="14" t="e">
        <f t="shared" si="173"/>
        <v>#NUM!</v>
      </c>
      <c r="CW199" s="22" t="e">
        <f t="shared" si="174"/>
        <v>#NUM!</v>
      </c>
      <c r="CX199" s="62" t="e">
        <f t="shared" si="196"/>
        <v>#NUM!</v>
      </c>
      <c r="CY199" s="62">
        <f ca="1">AVERAGE(OFFSET($CX$3,0,0,'Données projet'!$E$13+1,1))-AVERAGE(OFFSET($H$3,0,0,'Données projet'!$E$13+1,1))</f>
        <v>312.53381881960331</v>
      </c>
      <c r="CZ199" s="62">
        <f t="shared" si="208"/>
        <v>342.06887933351783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-1.7053025658242404E-13</v>
      </c>
      <c r="DP199" s="18">
        <f>DO199*VLOOKUP('Données projet'!$B$14,Paramètres!$A$1:$I$89,3,0)*VLOOKUP('Données projet'!$B$14,Paramètres!$A$1:$I$89,5,0)</f>
        <v>-1.250327841262333E-13</v>
      </c>
      <c r="DQ199" s="14" t="e">
        <f t="shared" si="176"/>
        <v>#NUM!</v>
      </c>
      <c r="DR199" s="22" t="e">
        <f t="shared" si="177"/>
        <v>#NUM!</v>
      </c>
      <c r="DS199" s="62" t="e">
        <f t="shared" si="197"/>
        <v>#NUM!</v>
      </c>
      <c r="DT199" s="62">
        <f ca="1">AVERAGE(OFFSET($DS$3,0,0,'Données projet'!$E$14+1,1))-AVERAGE(OFFSET($H$3,0,0,'Données projet'!$E$14+1,1))</f>
        <v>290.85271051443431</v>
      </c>
      <c r="DU199" s="62">
        <f t="shared" si="209"/>
        <v>318.66958823451142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0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3.4106051316484809E-13</v>
      </c>
      <c r="EK199" s="18">
        <f>EJ199*VLOOKUP('Données projet'!$B$15,Paramètres!$A$1:$I$89,3,0)*VLOOKUP('Données projet'!$B$15,Paramètres!$A$1:$I$89,5,0)</f>
        <v>2.9262992029543969E-13</v>
      </c>
      <c r="EL199" s="14">
        <f t="shared" si="179"/>
        <v>3.8796387982050903E-12</v>
      </c>
      <c r="EM199" s="22">
        <f t="shared" si="180"/>
        <v>7.2667013513884219E-12</v>
      </c>
      <c r="EN199" s="62">
        <f t="shared" si="198"/>
        <v>293.33333333334059</v>
      </c>
      <c r="EO199" s="62">
        <f ca="1">AVERAGE(OFFSET($EN$3,0,0,'Données projet'!$E$15+1,1))-AVERAGE(OFFSET($H$3,0,0,'Données projet'!$E$15+1,1))</f>
        <v>438.65317358403996</v>
      </c>
      <c r="EP199" s="62">
        <f t="shared" si="210"/>
        <v>176.81257896138806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0</v>
      </c>
      <c r="EW199" s="23">
        <f>EXP(-LN(2)/25)*EW198+(1-EXP(-LN(2)/25))/(LN(2)/25)*Calculateur!ER199*Calculateur!ET199*VLOOKUP('Données projet'!$B$15,Paramètres!$A$1:$I$89,3,0)*0.475*44/12</f>
        <v>0</v>
      </c>
      <c r="EX199" s="23">
        <f>EXP(-LN(2)/2)*EX198+(1-EXP(-LN(2)/2))/(LN(2)/2)*ER199*EU199*VLOOKUP('Données projet'!$B$15,Paramètres!$A$1:$I$89,3,0)*0.475*44/12</f>
        <v>0</v>
      </c>
      <c r="EY199" s="24">
        <f t="shared" si="181"/>
        <v>0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2.2737367544323206E-13</v>
      </c>
      <c r="O200" s="14">
        <f>N200*VLOOKUP('Données projet'!$B$9,Paramètres!$A$1:$I$89,3,0)*VLOOKUP('Données projet'!$B$9,Paramètres!$A$1:$I$89,5,0)</f>
        <v>1.2710188457276673E-13</v>
      </c>
      <c r="P200" s="14">
        <f t="shared" si="203"/>
        <v>1.856866851063998E-12</v>
      </c>
      <c r="Q200" s="22">
        <f t="shared" si="162"/>
        <v>3.4554122145673649E-12</v>
      </c>
      <c r="R200" s="62">
        <f t="shared" si="191"/>
        <v>293.33333333333678</v>
      </c>
      <c r="S200" s="62">
        <f ca="1">AVERAGE(OFFSET($R$3,0,0,'Données projet'!$E$9+1,1))-AVERAGE(OFFSET($H$3,0,0,'Données projet'!$E$9+1,1))</f>
        <v>323.98185264074681</v>
      </c>
      <c r="T200" s="62">
        <f t="shared" si="204"/>
        <v>301.22207291854005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0.16338707135325392</v>
      </c>
      <c r="AA200" s="23">
        <f>EXP(-LN(2)/25)*AA199+(1-EXP(-LN(2)/25))/(LN(2)/25)*Calculateur!V200*Calculateur!X200*VLOOKUP('Données projet'!$B$9,Paramètres!$A$1:$I$89,3,0)*0.475*44/12</f>
        <v>8.0432469436778536E-2</v>
      </c>
      <c r="AB200" s="23">
        <f>EXP(-LN(2)/2)*AB199+(1-EXP(-LN(2)/2))/(LN(2)/2)*V200*Y200*VLOOKUP('Données projet'!$B$9,Paramètres!$A$1:$I$89,3,0)*0.475*44/12</f>
        <v>4.4509862282495927E-25</v>
      </c>
      <c r="AC200" s="24">
        <f t="shared" si="163"/>
        <v>0.24381954079003246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-2.8421709430404007E-13</v>
      </c>
      <c r="AJ200" s="14">
        <f>AI200*VLOOKUP('Données projet'!$B$10,Paramètres!$A$1:$I$89,3,0)*VLOOKUP('Données projet'!$B$10,Paramètres!$A$1:$I$89,5,0)</f>
        <v>-1.69961822393816E-13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289.12367833861299</v>
      </c>
      <c r="AO200" s="62">
        <f t="shared" si="205"/>
        <v>229.06617320689003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3.0318808198967493E-25</v>
      </c>
      <c r="AX200" s="23">
        <f t="shared" si="166"/>
        <v>3.0318808198967493E-25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>
        <f>BD200*VLOOKUP('Données projet'!$B$11,Paramètres!$A$1:$I$89,3,0)*VLOOKUP('Données projet'!$B$11,Paramètres!$A$1:$I$89,5,0)</f>
        <v>0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240.22884864766218</v>
      </c>
      <c r="BJ200" s="62">
        <f t="shared" si="206"/>
        <v>343.23776884143166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0.10040745966046535</v>
      </c>
      <c r="BR200" s="23">
        <f>EXP(-LN(2)/2)*BR199+(1-EXP(-LN(2)/2))/(LN(2)/2)*BL200*BO200*VLOOKUP('Données projet'!$B$11,Paramètres!$A$1:$I$89,3,0)*0.475*44/12</f>
        <v>1.2077425849402505E-24</v>
      </c>
      <c r="BS200" s="24">
        <f t="shared" si="169"/>
        <v>0.10040745966046535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-9.6633812063373625E-13</v>
      </c>
      <c r="BZ200" s="14">
        <f>BY200*VLOOKUP('Données projet'!$B$12,Paramètres!$A$1:$I$89,3,0)*VLOOKUP('Données projet'!$B$12,Paramètres!$A$1:$I$89,5,0)</f>
        <v>-8.7434273154940449E-13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428.8489304403459</v>
      </c>
      <c r="CE200" s="62">
        <f t="shared" si="207"/>
        <v>247.01165577562966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-1.7053025658242404E-13</v>
      </c>
      <c r="CU200" s="18">
        <f>CT200*VLOOKUP('Données projet'!$B$13,Paramètres!$A$1:$I$89,3,0)*VLOOKUP('Données projet'!$B$13,Paramètres!$A$1:$I$89,5,0)</f>
        <v>-1.3567387213697657E-13</v>
      </c>
      <c r="CV200" s="14" t="e">
        <f t="shared" si="173"/>
        <v>#NUM!</v>
      </c>
      <c r="CW200" s="22" t="e">
        <f t="shared" si="174"/>
        <v>#NUM!</v>
      </c>
      <c r="CX200" s="62" t="e">
        <f t="shared" si="196"/>
        <v>#NUM!</v>
      </c>
      <c r="CY200" s="62">
        <f ca="1">AVERAGE(OFFSET($CX$3,0,0,'Données projet'!$E$13+1,1))-AVERAGE(OFFSET($H$3,0,0,'Données projet'!$E$13+1,1))</f>
        <v>312.53381881960331</v>
      </c>
      <c r="CZ200" s="62">
        <f t="shared" si="208"/>
        <v>342.06887933351783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-1.7053025658242404E-13</v>
      </c>
      <c r="DP200" s="18">
        <f>DO200*VLOOKUP('Données projet'!$B$14,Paramètres!$A$1:$I$89,3,0)*VLOOKUP('Données projet'!$B$14,Paramètres!$A$1:$I$89,5,0)</f>
        <v>-1.250327841262333E-13</v>
      </c>
      <c r="DQ200" s="14" t="e">
        <f t="shared" si="176"/>
        <v>#NUM!</v>
      </c>
      <c r="DR200" s="22" t="e">
        <f t="shared" si="177"/>
        <v>#NUM!</v>
      </c>
      <c r="DS200" s="62" t="e">
        <f t="shared" si="197"/>
        <v>#NUM!</v>
      </c>
      <c r="DT200" s="62">
        <f ca="1">AVERAGE(OFFSET($DS$3,0,0,'Données projet'!$E$14+1,1))-AVERAGE(OFFSET($H$3,0,0,'Données projet'!$E$14+1,1))</f>
        <v>290.85271051443431</v>
      </c>
      <c r="DU200" s="62">
        <f t="shared" si="209"/>
        <v>318.66958823451142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0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3.4106051316484809E-13</v>
      </c>
      <c r="EK200" s="18">
        <f>EJ200*VLOOKUP('Données projet'!$B$15,Paramètres!$A$1:$I$89,3,0)*VLOOKUP('Données projet'!$B$15,Paramètres!$A$1:$I$89,5,0)</f>
        <v>2.9262992029543969E-13</v>
      </c>
      <c r="EL200" s="14">
        <f t="shared" si="179"/>
        <v>3.8796387982050903E-12</v>
      </c>
      <c r="EM200" s="22">
        <f t="shared" si="180"/>
        <v>7.2667013513884219E-12</v>
      </c>
      <c r="EN200" s="62">
        <f t="shared" si="198"/>
        <v>293.33333333334059</v>
      </c>
      <c r="EO200" s="62">
        <f ca="1">AVERAGE(OFFSET($EN$3,0,0,'Données projet'!$E$15+1,1))-AVERAGE(OFFSET($H$3,0,0,'Données projet'!$E$15+1,1))</f>
        <v>438.65317358403996</v>
      </c>
      <c r="EP200" s="62">
        <f t="shared" si="210"/>
        <v>176.81257896138806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0</v>
      </c>
      <c r="EW200" s="23">
        <f>EXP(-LN(2)/25)*EW199+(1-EXP(-LN(2)/25))/(LN(2)/25)*Calculateur!ER200*Calculateur!ET200*VLOOKUP('Données projet'!$B$15,Paramètres!$A$1:$I$89,3,0)*0.475*44/12</f>
        <v>0</v>
      </c>
      <c r="EX200" s="23">
        <f>EXP(-LN(2)/2)*EX199+(1-EXP(-LN(2)/2))/(LN(2)/2)*ER200*EU200*VLOOKUP('Données projet'!$B$15,Paramètres!$A$1:$I$89,3,0)*0.475*44/12</f>
        <v>0</v>
      </c>
      <c r="EY200" s="24">
        <f t="shared" si="181"/>
        <v>0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2.2737367544323206E-13</v>
      </c>
      <c r="O201" s="14">
        <f>N201*VLOOKUP('Données projet'!$B$9,Paramètres!$A$1:$I$89,3,0)*VLOOKUP('Données projet'!$B$9,Paramètres!$A$1:$I$89,5,0)</f>
        <v>1.2710188457276673E-13</v>
      </c>
      <c r="P201" s="14">
        <f t="shared" si="203"/>
        <v>1.856866851063998E-12</v>
      </c>
      <c r="Q201" s="22">
        <f t="shared" si="162"/>
        <v>3.4554122145673649E-12</v>
      </c>
      <c r="R201" s="62">
        <f t="shared" si="191"/>
        <v>293.33333333333678</v>
      </c>
      <c r="S201" s="62">
        <f ca="1">AVERAGE(OFFSET($R$3,0,0,'Données projet'!$E$9+1,1))-AVERAGE(OFFSET($H$3,0,0,'Données projet'!$E$9+1,1))</f>
        <v>323.98185264074681</v>
      </c>
      <c r="T201" s="62">
        <f t="shared" si="204"/>
        <v>301.22207291854005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0.16018315054028989</v>
      </c>
      <c r="AA201" s="23">
        <f>EXP(-LN(2)/25)*AA200+(1-EXP(-LN(2)/25))/(LN(2)/25)*Calculateur!V201*Calculateur!X201*VLOOKUP('Données projet'!$B$9,Paramètres!$A$1:$I$89,3,0)*0.475*44/12</f>
        <v>7.8233039330270093E-2</v>
      </c>
      <c r="AB201" s="23">
        <f>EXP(-LN(2)/2)*AB200+(1-EXP(-LN(2)/2))/(LN(2)/2)*V201*Y201*VLOOKUP('Données projet'!$B$9,Paramètres!$A$1:$I$89,3,0)*0.475*44/12</f>
        <v>3.1473225449632213E-25</v>
      </c>
      <c r="AC201" s="24">
        <f t="shared" si="163"/>
        <v>0.23841618987055999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-2.8421709430404007E-13</v>
      </c>
      <c r="AJ201" s="14">
        <f>AI201*VLOOKUP('Données projet'!$B$10,Paramètres!$A$1:$I$89,3,0)*VLOOKUP('Données projet'!$B$10,Paramètres!$A$1:$I$89,5,0)</f>
        <v>-1.69961822393816E-13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289.12367833861299</v>
      </c>
      <c r="AO201" s="62">
        <f t="shared" si="205"/>
        <v>229.06617320689003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2.143863487498421E-25</v>
      </c>
      <c r="AX201" s="23">
        <f t="shared" si="166"/>
        <v>2.143863487498421E-25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>
        <f>BD201*VLOOKUP('Données projet'!$B$11,Paramètres!$A$1:$I$89,3,0)*VLOOKUP('Données projet'!$B$11,Paramètres!$A$1:$I$89,5,0)</f>
        <v>0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240.22884864766218</v>
      </c>
      <c r="BJ201" s="62">
        <f t="shared" si="206"/>
        <v>343.23776884143166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9.7661812395851103E-2</v>
      </c>
      <c r="BR201" s="23">
        <f>EXP(-LN(2)/2)*BR200+(1-EXP(-LN(2)/2))/(LN(2)/2)*BL201*BO201*VLOOKUP('Données projet'!$B$11,Paramètres!$A$1:$I$89,3,0)*0.475*44/12</f>
        <v>8.5400297173902097E-25</v>
      </c>
      <c r="BS201" s="24">
        <f t="shared" si="169"/>
        <v>9.7661812395851103E-2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-9.6633812063373625E-13</v>
      </c>
      <c r="BZ201" s="14">
        <f>BY201*VLOOKUP('Données projet'!$B$12,Paramètres!$A$1:$I$89,3,0)*VLOOKUP('Données projet'!$B$12,Paramètres!$A$1:$I$89,5,0)</f>
        <v>-8.7434273154940449E-13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428.8489304403459</v>
      </c>
      <c r="CE201" s="62">
        <f t="shared" si="207"/>
        <v>247.01165577562966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-1.7053025658242404E-13</v>
      </c>
      <c r="CU201" s="18">
        <f>CT201*VLOOKUP('Données projet'!$B$13,Paramètres!$A$1:$I$89,3,0)*VLOOKUP('Données projet'!$B$13,Paramètres!$A$1:$I$89,5,0)</f>
        <v>-1.3567387213697657E-13</v>
      </c>
      <c r="CV201" s="14" t="e">
        <f t="shared" si="173"/>
        <v>#NUM!</v>
      </c>
      <c r="CW201" s="22" t="e">
        <f t="shared" si="174"/>
        <v>#NUM!</v>
      </c>
      <c r="CX201" s="62" t="e">
        <f t="shared" si="196"/>
        <v>#NUM!</v>
      </c>
      <c r="CY201" s="62">
        <f ca="1">AVERAGE(OFFSET($CX$3,0,0,'Données projet'!$E$13+1,1))-AVERAGE(OFFSET($H$3,0,0,'Données projet'!$E$13+1,1))</f>
        <v>312.53381881960331</v>
      </c>
      <c r="CZ201" s="62">
        <f t="shared" si="208"/>
        <v>342.06887933351783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-1.7053025658242404E-13</v>
      </c>
      <c r="DP201" s="18">
        <f>DO201*VLOOKUP('Données projet'!$B$14,Paramètres!$A$1:$I$89,3,0)*VLOOKUP('Données projet'!$B$14,Paramètres!$A$1:$I$89,5,0)</f>
        <v>-1.250327841262333E-13</v>
      </c>
      <c r="DQ201" s="14" t="e">
        <f t="shared" si="176"/>
        <v>#NUM!</v>
      </c>
      <c r="DR201" s="22" t="e">
        <f t="shared" si="177"/>
        <v>#NUM!</v>
      </c>
      <c r="DS201" s="62" t="e">
        <f t="shared" si="197"/>
        <v>#NUM!</v>
      </c>
      <c r="DT201" s="62">
        <f ca="1">AVERAGE(OFFSET($DS$3,0,0,'Données projet'!$E$14+1,1))-AVERAGE(OFFSET($H$3,0,0,'Données projet'!$E$14+1,1))</f>
        <v>290.85271051443431</v>
      </c>
      <c r="DU201" s="62">
        <f t="shared" si="209"/>
        <v>318.66958823451142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0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3.4106051316484809E-13</v>
      </c>
      <c r="EK201" s="18">
        <f>EJ201*VLOOKUP('Données projet'!$B$15,Paramètres!$A$1:$I$89,3,0)*VLOOKUP('Données projet'!$B$15,Paramètres!$A$1:$I$89,5,0)</f>
        <v>2.9262992029543969E-13</v>
      </c>
      <c r="EL201" s="14">
        <f t="shared" si="179"/>
        <v>3.8796387982050903E-12</v>
      </c>
      <c r="EM201" s="22">
        <f t="shared" si="180"/>
        <v>7.2667013513884219E-12</v>
      </c>
      <c r="EN201" s="62">
        <f t="shared" si="198"/>
        <v>293.33333333334059</v>
      </c>
      <c r="EO201" s="62">
        <f ca="1">AVERAGE(OFFSET($EN$3,0,0,'Données projet'!$E$15+1,1))-AVERAGE(OFFSET($H$3,0,0,'Données projet'!$E$15+1,1))</f>
        <v>438.65317358403996</v>
      </c>
      <c r="EP201" s="62">
        <f t="shared" si="210"/>
        <v>176.81257896138806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0</v>
      </c>
      <c r="EW201" s="23">
        <f>EXP(-LN(2)/25)*EW200+(1-EXP(-LN(2)/25))/(LN(2)/25)*Calculateur!ER201*Calculateur!ET201*VLOOKUP('Données projet'!$B$15,Paramètres!$A$1:$I$89,3,0)*0.475*44/12</f>
        <v>0</v>
      </c>
      <c r="EX201" s="23">
        <f>EXP(-LN(2)/2)*EX200+(1-EXP(-LN(2)/2))/(LN(2)/2)*ER201*EU201*VLOOKUP('Données projet'!$B$15,Paramètres!$A$1:$I$89,3,0)*0.475*44/12</f>
        <v>0</v>
      </c>
      <c r="EY201" s="24">
        <f t="shared" si="181"/>
        <v>0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2.2737367544323206E-13</v>
      </c>
      <c r="O202" s="14">
        <f>N202*VLOOKUP('Données projet'!$B$9,Paramètres!$A$1:$I$89,3,0)*VLOOKUP('Données projet'!$B$9,Paramètres!$A$1:$I$89,5,0)</f>
        <v>1.2710188457276673E-13</v>
      </c>
      <c r="P202" s="14">
        <f t="shared" si="203"/>
        <v>1.856866851063998E-12</v>
      </c>
      <c r="Q202" s="22">
        <f t="shared" si="162"/>
        <v>3.4554122145673649E-12</v>
      </c>
      <c r="R202" s="62">
        <f t="shared" si="191"/>
        <v>293.33333333333678</v>
      </c>
      <c r="S202" s="62">
        <f ca="1">AVERAGE(OFFSET($R$3,0,0,'Données projet'!$E$9+1,1))-AVERAGE(OFFSET($H$3,0,0,'Données projet'!$E$9+1,1))</f>
        <v>323.98185264074681</v>
      </c>
      <c r="T202" s="62">
        <f t="shared" si="204"/>
        <v>301.22207291854005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0.15704205666026935</v>
      </c>
      <c r="AA202" s="23">
        <f>EXP(-LN(2)/25)*AA201+(1-EXP(-LN(2)/25))/(LN(2)/25)*Calculateur!V202*Calculateur!X202*VLOOKUP('Données projet'!$B$9,Paramètres!$A$1:$I$89,3,0)*0.475*44/12</f>
        <v>7.6093752755687125E-2</v>
      </c>
      <c r="AB202" s="23">
        <f>EXP(-LN(2)/2)*AB201+(1-EXP(-LN(2)/2))/(LN(2)/2)*V202*Y202*VLOOKUP('Données projet'!$B$9,Paramètres!$A$1:$I$89,3,0)*0.475*44/12</f>
        <v>2.2254931141247964E-25</v>
      </c>
      <c r="AC202" s="24">
        <f t="shared" si="163"/>
        <v>0.23313580941595646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-2.8421709430404007E-13</v>
      </c>
      <c r="AJ202" s="14">
        <f>AI202*VLOOKUP('Données projet'!$B$10,Paramètres!$A$1:$I$89,3,0)*VLOOKUP('Données projet'!$B$10,Paramètres!$A$1:$I$89,5,0)</f>
        <v>-1.69961822393816E-13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289.12367833861299</v>
      </c>
      <c r="AO202" s="62">
        <f t="shared" si="205"/>
        <v>229.06617320689003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1.5159404099483747E-25</v>
      </c>
      <c r="AX202" s="23">
        <f t="shared" si="166"/>
        <v>1.5159404099483747E-25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>
        <f>BD202*VLOOKUP('Données projet'!$B$11,Paramètres!$A$1:$I$89,3,0)*VLOOKUP('Données projet'!$B$11,Paramètres!$A$1:$I$89,5,0)</f>
        <v>0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240.22884864766218</v>
      </c>
      <c r="BJ202" s="62">
        <f t="shared" si="206"/>
        <v>343.23776884143166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9.4991245000075053E-2</v>
      </c>
      <c r="BR202" s="23">
        <f>EXP(-LN(2)/2)*BR201+(1-EXP(-LN(2)/2))/(LN(2)/2)*BL202*BO202*VLOOKUP('Données projet'!$B$11,Paramètres!$A$1:$I$89,3,0)*0.475*44/12</f>
        <v>6.0387129247012524E-25</v>
      </c>
      <c r="BS202" s="24">
        <f t="shared" si="169"/>
        <v>9.4991245000075053E-2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-9.6633812063373625E-13</v>
      </c>
      <c r="BZ202" s="14">
        <f>BY202*VLOOKUP('Données projet'!$B$12,Paramètres!$A$1:$I$89,3,0)*VLOOKUP('Données projet'!$B$12,Paramètres!$A$1:$I$89,5,0)</f>
        <v>-8.7434273154940449E-13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428.8489304403459</v>
      </c>
      <c r="CE202" s="62">
        <f t="shared" si="207"/>
        <v>247.01165577562966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-1.7053025658242404E-13</v>
      </c>
      <c r="CU202" s="18">
        <f>CT202*VLOOKUP('Données projet'!$B$13,Paramètres!$A$1:$I$89,3,0)*VLOOKUP('Données projet'!$B$13,Paramètres!$A$1:$I$89,5,0)</f>
        <v>-1.3567387213697657E-13</v>
      </c>
      <c r="CV202" s="14" t="e">
        <f t="shared" si="173"/>
        <v>#NUM!</v>
      </c>
      <c r="CW202" s="22" t="e">
        <f t="shared" si="174"/>
        <v>#NUM!</v>
      </c>
      <c r="CX202" s="62" t="e">
        <f t="shared" si="196"/>
        <v>#NUM!</v>
      </c>
      <c r="CY202" s="62">
        <f ca="1">AVERAGE(OFFSET($CX$3,0,0,'Données projet'!$E$13+1,1))-AVERAGE(OFFSET($H$3,0,0,'Données projet'!$E$13+1,1))</f>
        <v>312.53381881960331</v>
      </c>
      <c r="CZ202" s="62">
        <f t="shared" si="208"/>
        <v>342.06887933351783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-1.7053025658242404E-13</v>
      </c>
      <c r="DP202" s="18">
        <f>DO202*VLOOKUP('Données projet'!$B$14,Paramètres!$A$1:$I$89,3,0)*VLOOKUP('Données projet'!$B$14,Paramètres!$A$1:$I$89,5,0)</f>
        <v>-1.250327841262333E-13</v>
      </c>
      <c r="DQ202" s="14" t="e">
        <f t="shared" si="176"/>
        <v>#NUM!</v>
      </c>
      <c r="DR202" s="22" t="e">
        <f t="shared" si="177"/>
        <v>#NUM!</v>
      </c>
      <c r="DS202" s="62" t="e">
        <f t="shared" si="197"/>
        <v>#NUM!</v>
      </c>
      <c r="DT202" s="62">
        <f ca="1">AVERAGE(OFFSET($DS$3,0,0,'Données projet'!$E$14+1,1))-AVERAGE(OFFSET($H$3,0,0,'Données projet'!$E$14+1,1))</f>
        <v>290.85271051443431</v>
      </c>
      <c r="DU202" s="62">
        <f t="shared" si="209"/>
        <v>318.66958823451142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0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3.4106051316484809E-13</v>
      </c>
      <c r="EK202" s="18">
        <f>EJ202*VLOOKUP('Données projet'!$B$15,Paramètres!$A$1:$I$89,3,0)*VLOOKUP('Données projet'!$B$15,Paramètres!$A$1:$I$89,5,0)</f>
        <v>2.9262992029543969E-13</v>
      </c>
      <c r="EL202" s="14">
        <f t="shared" si="179"/>
        <v>3.8796387982050903E-12</v>
      </c>
      <c r="EM202" s="22">
        <f t="shared" si="180"/>
        <v>7.2667013513884219E-12</v>
      </c>
      <c r="EN202" s="62">
        <f t="shared" si="198"/>
        <v>293.33333333334059</v>
      </c>
      <c r="EO202" s="62">
        <f ca="1">AVERAGE(OFFSET($EN$3,0,0,'Données projet'!$E$15+1,1))-AVERAGE(OFFSET($H$3,0,0,'Données projet'!$E$15+1,1))</f>
        <v>438.65317358403996</v>
      </c>
      <c r="EP202" s="62">
        <f t="shared" si="210"/>
        <v>176.81257896138806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0</v>
      </c>
      <c r="EW202" s="23">
        <f>EXP(-LN(2)/25)*EW201+(1-EXP(-LN(2)/25))/(LN(2)/25)*Calculateur!ER202*Calculateur!ET202*VLOOKUP('Données projet'!$B$15,Paramètres!$A$1:$I$89,3,0)*0.475*44/12</f>
        <v>0</v>
      </c>
      <c r="EX202" s="23">
        <f>EXP(-LN(2)/2)*EX201+(1-EXP(-LN(2)/2))/(LN(2)/2)*ER202*EU202*VLOOKUP('Données projet'!$B$15,Paramètres!$A$1:$I$89,3,0)*0.475*44/12</f>
        <v>0</v>
      </c>
      <c r="EY202" s="24">
        <f t="shared" si="181"/>
        <v>0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2.2737367544323206E-13</v>
      </c>
      <c r="O203" s="14">
        <f>N203*VLOOKUP('Données projet'!$B$9,Paramètres!$A$1:$I$89,3,0)*VLOOKUP('Données projet'!$B$9,Paramètres!$A$1:$I$89,5,0)</f>
        <v>1.2710188457276673E-13</v>
      </c>
      <c r="P203" s="14">
        <f t="shared" si="203"/>
        <v>1.856866851063998E-12</v>
      </c>
      <c r="Q203" s="22">
        <f t="shared" si="162"/>
        <v>3.4554122145673649E-12</v>
      </c>
      <c r="R203" s="62">
        <f t="shared" si="191"/>
        <v>293.33333333333678</v>
      </c>
      <c r="S203" s="62">
        <f ca="1">AVERAGE(OFFSET($R$3,0,0,'Données projet'!$E$9+1,1))-AVERAGE(OFFSET($H$3,0,0,'Données projet'!$E$9+1,1))</f>
        <v>323.98185264074681</v>
      </c>
      <c r="T203" s="62">
        <f t="shared" si="204"/>
        <v>301.22207291854005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0.15396255771535794</v>
      </c>
      <c r="AA203" s="23">
        <f>EXP(-LN(2)/25)*AA202+(1-EXP(-LN(2)/25))/(LN(2)/25)*Calculateur!V203*Calculateur!X203*VLOOKUP('Données projet'!$B$9,Paramètres!$A$1:$I$89,3,0)*0.475*44/12</f>
        <v>7.4012965084986324E-2</v>
      </c>
      <c r="AB203" s="23">
        <f>EXP(-LN(2)/2)*AB202+(1-EXP(-LN(2)/2))/(LN(2)/2)*V203*Y203*VLOOKUP('Données projet'!$B$9,Paramètres!$A$1:$I$89,3,0)*0.475*44/12</f>
        <v>1.5736612724816107E-25</v>
      </c>
      <c r="AC203" s="24">
        <f t="shared" si="163"/>
        <v>0.22797552280034428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-2.8421709430404007E-13</v>
      </c>
      <c r="AJ203" s="14">
        <f>AI203*VLOOKUP('Données projet'!$B$10,Paramètres!$A$1:$I$89,3,0)*VLOOKUP('Données projet'!$B$10,Paramètres!$A$1:$I$89,5,0)</f>
        <v>-1.69961822393816E-13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289.12367833861299</v>
      </c>
      <c r="AO203" s="62">
        <f t="shared" si="205"/>
        <v>229.06617320689003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1.0719317437492105E-25</v>
      </c>
      <c r="AX203" s="23">
        <f t="shared" si="166"/>
        <v>1.0719317437492105E-25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>
        <f>BD203*VLOOKUP('Données projet'!$B$11,Paramètres!$A$1:$I$89,3,0)*VLOOKUP('Données projet'!$B$11,Paramètres!$A$1:$I$89,5,0)</f>
        <v>0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240.22884864766218</v>
      </c>
      <c r="BJ203" s="62">
        <f t="shared" si="206"/>
        <v>343.23776884143166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9.2393704410175526E-2</v>
      </c>
      <c r="BR203" s="23">
        <f>EXP(-LN(2)/2)*BR202+(1-EXP(-LN(2)/2))/(LN(2)/2)*BL203*BO203*VLOOKUP('Données projet'!$B$11,Paramètres!$A$1:$I$89,3,0)*0.475*44/12</f>
        <v>4.2700148586951049E-25</v>
      </c>
      <c r="BS203" s="24">
        <f t="shared" si="169"/>
        <v>9.2393704410175526E-2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-9.6633812063373625E-13</v>
      </c>
      <c r="BZ203" s="14">
        <f>BY203*VLOOKUP('Données projet'!$B$12,Paramètres!$A$1:$I$89,3,0)*VLOOKUP('Données projet'!$B$12,Paramètres!$A$1:$I$89,5,0)</f>
        <v>-8.7434273154940449E-13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428.8489304403459</v>
      </c>
      <c r="CE203" s="62">
        <f t="shared" si="207"/>
        <v>247.01165577562966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-1.7053025658242404E-13</v>
      </c>
      <c r="CU203" s="18">
        <f>CT203*VLOOKUP('Données projet'!$B$13,Paramètres!$A$1:$I$89,3,0)*VLOOKUP('Données projet'!$B$13,Paramètres!$A$1:$I$89,5,0)</f>
        <v>-1.3567387213697657E-13</v>
      </c>
      <c r="CV203" s="14" t="e">
        <f t="shared" si="173"/>
        <v>#NUM!</v>
      </c>
      <c r="CW203" s="22" t="e">
        <f t="shared" si="174"/>
        <v>#NUM!</v>
      </c>
      <c r="CX203" s="62" t="e">
        <f t="shared" si="196"/>
        <v>#NUM!</v>
      </c>
      <c r="CY203" s="62">
        <f ca="1">AVERAGE(OFFSET($CX$3,0,0,'Données projet'!$E$13+1,1))-AVERAGE(OFFSET($H$3,0,0,'Données projet'!$E$13+1,1))</f>
        <v>312.53381881960331</v>
      </c>
      <c r="CZ203" s="62">
        <f t="shared" si="208"/>
        <v>342.06887933351783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-1.7053025658242404E-13</v>
      </c>
      <c r="DP203" s="18">
        <f>DO203*VLOOKUP('Données projet'!$B$14,Paramètres!$A$1:$I$89,3,0)*VLOOKUP('Données projet'!$B$14,Paramètres!$A$1:$I$89,5,0)</f>
        <v>-1.250327841262333E-13</v>
      </c>
      <c r="DQ203" s="14" t="e">
        <f t="shared" si="176"/>
        <v>#NUM!</v>
      </c>
      <c r="DR203" s="22" t="e">
        <f t="shared" si="177"/>
        <v>#NUM!</v>
      </c>
      <c r="DS203" s="62" t="e">
        <f t="shared" si="197"/>
        <v>#NUM!</v>
      </c>
      <c r="DT203" s="62">
        <f ca="1">AVERAGE(OFFSET($DS$3,0,0,'Données projet'!$E$14+1,1))-AVERAGE(OFFSET($H$3,0,0,'Données projet'!$E$14+1,1))</f>
        <v>290.85271051443431</v>
      </c>
      <c r="DU203" s="62">
        <f t="shared" si="209"/>
        <v>318.66958823451142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0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3.4106051316484809E-13</v>
      </c>
      <c r="EK203" s="18">
        <f>EJ203*VLOOKUP('Données projet'!$B$15,Paramètres!$A$1:$I$89,3,0)*VLOOKUP('Données projet'!$B$15,Paramètres!$A$1:$I$89,5,0)</f>
        <v>2.9262992029543969E-13</v>
      </c>
      <c r="EL203" s="14">
        <f t="shared" si="179"/>
        <v>3.8796387982050903E-12</v>
      </c>
      <c r="EM203" s="22">
        <f t="shared" si="180"/>
        <v>7.2667013513884219E-12</v>
      </c>
      <c r="EN203" s="62">
        <f t="shared" si="198"/>
        <v>293.33333333334059</v>
      </c>
      <c r="EO203" s="62">
        <f ca="1">AVERAGE(OFFSET($EN$3,0,0,'Données projet'!$E$15+1,1))-AVERAGE(OFFSET($H$3,0,0,'Données projet'!$E$15+1,1))</f>
        <v>438.65317358403996</v>
      </c>
      <c r="EP203" s="62">
        <f t="shared" si="210"/>
        <v>176.81257896138806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0</v>
      </c>
      <c r="EW203" s="23">
        <f>EXP(-LN(2)/25)*EW202+(1-EXP(-LN(2)/25))/(LN(2)/25)*Calculateur!ER203*Calculateur!ET203*VLOOKUP('Données projet'!$B$15,Paramètres!$A$1:$I$89,3,0)*0.475*44/12</f>
        <v>0</v>
      </c>
      <c r="EX203" s="23">
        <f>EXP(-LN(2)/2)*EX202+(1-EXP(-LN(2)/2))/(LN(2)/2)*ER203*EU203*VLOOKUP('Données projet'!$B$15,Paramètres!$A$1:$I$89,3,0)*0.475*44/12</f>
        <v>0</v>
      </c>
      <c r="EY203" s="24">
        <f t="shared" si="181"/>
        <v>0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1.3009230512021859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1.2691631451226497</v>
      </c>
      <c r="BA205" s="88">
        <f>EXP(LN('Données projet'!B88)/'Données projet'!A88)</f>
        <v>1.2997069632623315</v>
      </c>
      <c r="BV205" s="88">
        <f>EXP(LN('Données projet'!B114)/'Données projet'!A114)</f>
        <v>1.2054868146447177</v>
      </c>
      <c r="CQ205" s="88">
        <f>EXP(LN('Données projet'!B140)/'Données projet'!A140)</f>
        <v>1.2721747796233518</v>
      </c>
      <c r="DL205" s="88">
        <f>EXP(LN('Données projet'!B166)/'Données projet'!A166)</f>
        <v>1.2721747796233518</v>
      </c>
      <c r="EG205" s="88">
        <f>EXP(LN('Données projet'!B192)/'Données projet'!A192)</f>
        <v>1.1589972344055464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C10" workbookViewId="0">
      <selection activeCell="I15" sqref="I15"/>
    </sheetView>
  </sheetViews>
  <sheetFormatPr baseColWidth="10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topLeftCell="A10" zoomScale="115" zoomScaleNormal="115" workbookViewId="0">
      <selection activeCell="G10" sqref="G10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Douglas</v>
      </c>
      <c r="B6" s="155">
        <f>'Données projet'!D9</f>
        <v>1.0499999999999998</v>
      </c>
      <c r="C6" s="156">
        <f ca="1">IF(OR('Données projet'!B9="",'Données projet'!C9="",'Données projet'!C9=0%),0,Calculateur!S3)</f>
        <v>323.98185264074681</v>
      </c>
      <c r="D6" s="156">
        <f>IF(OR('Données projet'!B9="",'Données projet'!C9="",'Données projet'!C9=0%),0,Calculateur!T3)</f>
        <v>301.22207291854005</v>
      </c>
      <c r="E6" s="156">
        <f ca="1">MIN(C6,D6)</f>
        <v>301.22207291854005</v>
      </c>
      <c r="F6" s="156">
        <f ca="1">E6*B6</f>
        <v>316.283176564467</v>
      </c>
      <c r="G6" s="156">
        <f ca="1">F6*(100%-'Données projet'!$C$24)*(100%-'Données projet'!$C$25)*(100%-'Données projet'!$C$26)*(100%-'Données projet'!$C$27)</f>
        <v>270.42211596261927</v>
      </c>
      <c r="H6" s="157">
        <f>IF(OR('Données projet'!B9="",'Données projet'!C9="",'Données projet'!C9=0%),0,AVERAGE(Calculateur!$AC$3:$AC$33)*B6)</f>
        <v>4.9531209587947487</v>
      </c>
      <c r="I6" s="158">
        <f>H6*(100%-'Données projet'!$C$24)*(100%-'Données projet'!$C$25)*(100%-'Données projet'!$C$26)*(100%-'Données projet'!$C$27)</f>
        <v>4.2349184197695102</v>
      </c>
      <c r="J6" s="159">
        <f>IF(OR('Données projet'!B9="",'Données projet'!C9="",'Données projet'!C9=0%),0,SUM(Calculateur!$V$3:$V$33)*VLOOKUP('Données projet'!$B$9,Paramètres!$A$1:$I$89,9,0)*B6)</f>
        <v>53.315203846153828</v>
      </c>
      <c r="K6" s="160">
        <f>J6*(100%-'Données projet'!$C$24)*(100%-'Données projet'!$C$25)*(100%-'Données projet'!$C$26)*(100%-'Données projet'!$C$27)</f>
        <v>45.584499288461522</v>
      </c>
      <c r="L6" s="161">
        <f ca="1">G6+I6+K6</f>
        <v>320.24153367085029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Pin laricio</v>
      </c>
      <c r="B7" s="163">
        <f>'Données projet'!D10</f>
        <v>0.60000000000000009</v>
      </c>
      <c r="C7" s="156">
        <f ca="1">IF(OR('Données projet'!B10="",'Données projet'!C10="",'Données projet'!C10=0%),0,Calculateur!AN3)</f>
        <v>289.12367833861299</v>
      </c>
      <c r="D7" s="156">
        <f>IF(OR('Données projet'!B10="",'Données projet'!C10="",'Données projet'!C10=0%),0,Calculateur!AO3)</f>
        <v>229.06617320689003</v>
      </c>
      <c r="E7" s="156">
        <f t="shared" ref="E7:E15" ca="1" si="0">MIN(C7,D7)</f>
        <v>229.06617320689003</v>
      </c>
      <c r="F7" s="156">
        <f t="shared" ref="F7:F15" ca="1" si="1">E7*B7</f>
        <v>137.43970392413405</v>
      </c>
      <c r="G7" s="156">
        <f ca="1">F7*(100%-'Données projet'!$C$24)*(100%-'Données projet'!$C$25)*(100%-'Données projet'!$C$26)*(100%-'Données projet'!$C$27)</f>
        <v>117.51094685513461</v>
      </c>
      <c r="H7" s="164">
        <f>IF(OR('Données projet'!B10="",'Données projet'!C10="",'Données projet'!C10=0%),0,AVERAGE(Calculateur!$AX$3:$AX$33)*B7)</f>
        <v>0.58130393146220516</v>
      </c>
      <c r="I7" s="158">
        <f>H7*(100%-'Données projet'!$C$24)*(100%-'Données projet'!$C$25)*(100%-'Données projet'!$C$26)*(100%-'Données projet'!$C$27)</f>
        <v>0.49701486140018541</v>
      </c>
      <c r="J7" s="159">
        <f>IF(OR('Données projet'!B10="",'Données projet'!C10="",'Données projet'!C10=0%),0,SUM(Calculateur!$AQ$3:$AQ$33)*VLOOKUP('Données projet'!$B$10,Paramètres!$A$1:$I$89,9,0)*B7)</f>
        <v>22.547215384615384</v>
      </c>
      <c r="K7" s="160">
        <f>J7*(100%-'Données projet'!$C$24)*(100%-'Données projet'!$C$25)*(100%-'Données projet'!$C$26)*(100%-'Données projet'!$C$27)</f>
        <v>19.277869153846154</v>
      </c>
      <c r="L7" s="161">
        <f t="shared" ref="L7:L15" ca="1" si="2">G7+I7+K7</f>
        <v>137.28583087038095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Mélèze d'Europe</v>
      </c>
      <c r="B8" s="163">
        <f>'Données projet'!D11</f>
        <v>0.30000000000000004</v>
      </c>
      <c r="C8" s="156">
        <f ca="1">IF(OR('Données projet'!B11="",'Données projet'!C11="",'Données projet'!C11=0%),0,Calculateur!BI3)</f>
        <v>240.22884864766218</v>
      </c>
      <c r="D8" s="156">
        <f>IF(OR('Données projet'!B11="",'Données projet'!C11="",'Données projet'!C11=0%),0,Calculateur!BJ3)</f>
        <v>343.23776884143166</v>
      </c>
      <c r="E8" s="156">
        <f t="shared" ca="1" si="0"/>
        <v>240.22884864766218</v>
      </c>
      <c r="F8" s="156">
        <f t="shared" ca="1" si="1"/>
        <v>72.068654594298664</v>
      </c>
      <c r="G8" s="156">
        <f ca="1">F8*(100%-'Données projet'!$C$24)*(100%-'Données projet'!$C$25)*(100%-'Données projet'!$C$26)*(100%-'Données projet'!$C$27)</f>
        <v>61.61869967812536</v>
      </c>
      <c r="H8" s="164">
        <f>IF(OR('Données projet'!B11="",'Données projet'!C11="",'Données projet'!C11=0%),0,AVERAGE(Calculateur!$BS$3:$BS$33)*B8)</f>
        <v>1.1719018935464154</v>
      </c>
      <c r="I8" s="158">
        <f>H8*(100%-'Données projet'!$C$24)*(100%-'Données projet'!$C$25)*(100%-'Données projet'!$C$26)*(100%-'Données projet'!$C$27)</f>
        <v>1.0019761189821852</v>
      </c>
      <c r="J8" s="159">
        <f>IF(OR('Données projet'!B11="",'Données projet'!C11="",'Données projet'!C11=0%),0,SUM(Calculateur!$BL$3:$BL$33)*VLOOKUP('Données projet'!$B$11,Paramètres!$A$1:$I$89,9,0)*B8)</f>
        <v>16.512</v>
      </c>
      <c r="K8" s="160">
        <f>J8*(100%-'Données projet'!$C$24)*(100%-'Données projet'!$C$25)*(100%-'Données projet'!$C$26)*(100%-'Données projet'!$C$27)</f>
        <v>14.117760000000001</v>
      </c>
      <c r="L8" s="161">
        <f t="shared" ca="1" si="2"/>
        <v>76.738435797107542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>Chêne sessile</v>
      </c>
      <c r="B9" s="163">
        <f>'Données projet'!D12</f>
        <v>0.30000000000000004</v>
      </c>
      <c r="C9" s="156">
        <f ca="1">IF(OR('Données projet'!B12="",'Données projet'!C12="",'Données projet'!C12=0%),0,Calculateur!CD3)</f>
        <v>428.8489304403459</v>
      </c>
      <c r="D9" s="156">
        <f>IF(OR('Données projet'!B12="",'Données projet'!C12="",'Données projet'!C12=0%),0,Calculateur!CE3)</f>
        <v>247.01165577562966</v>
      </c>
      <c r="E9" s="156">
        <f t="shared" ca="1" si="0"/>
        <v>247.01165577562966</v>
      </c>
      <c r="F9" s="156">
        <f t="shared" ca="1" si="1"/>
        <v>74.10349673268891</v>
      </c>
      <c r="G9" s="156">
        <f ca="1">F9*(100%-'Données projet'!$C$24)*(100%-'Données projet'!$C$25)*(100%-'Données projet'!$C$26)*(100%-'Données projet'!$C$27)</f>
        <v>63.358489706449021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2.1750000000000003</v>
      </c>
      <c r="K9" s="160">
        <f>J9*(100%-'Données projet'!$C$24)*(100%-'Données projet'!$C$25)*(100%-'Données projet'!$C$26)*(100%-'Données projet'!$C$27)</f>
        <v>1.8596250000000001</v>
      </c>
      <c r="L9" s="161">
        <f t="shared" ca="1" si="2"/>
        <v>65.218114706449015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>Erable plane</v>
      </c>
      <c r="B10" s="163">
        <f>'Données projet'!D13</f>
        <v>0.30000000000000004</v>
      </c>
      <c r="C10" s="156">
        <f ca="1">IF(OR('Données projet'!B13="",'Données projet'!C13="",'Données projet'!C13=0%),0,Calculateur!CY3)</f>
        <v>312.53381881960331</v>
      </c>
      <c r="D10" s="156">
        <f>IF(OR('Données projet'!B13="",'Données projet'!C13="",'Données projet'!C13=0%),0,Calculateur!CZ3)</f>
        <v>342.06887933351783</v>
      </c>
      <c r="E10" s="156">
        <f t="shared" ca="1" si="0"/>
        <v>312.53381881960331</v>
      </c>
      <c r="F10" s="156">
        <f t="shared" ca="1" si="1"/>
        <v>93.760145645881011</v>
      </c>
      <c r="G10" s="156">
        <f ca="1">F10*(100%-'Données projet'!$C$24)*(100%-'Données projet'!$C$25)*(100%-'Données projet'!$C$26)*(100%-'Données projet'!$C$27)</f>
        <v>80.164924527228251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7.4250000000000007</v>
      </c>
      <c r="K10" s="160">
        <f>J10*(100%-'Données projet'!$C$24)*(100%-'Données projet'!$C$25)*(100%-'Données projet'!$C$26)*(100%-'Données projet'!$C$27)</f>
        <v>6.3483750000000008</v>
      </c>
      <c r="L10" s="161">
        <f t="shared" ca="1" si="2"/>
        <v>86.513299527228256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>Châtaignier</v>
      </c>
      <c r="B11" s="163">
        <f>'Données projet'!D14</f>
        <v>0.24</v>
      </c>
      <c r="C11" s="156">
        <f ca="1">IF(OR('Données projet'!B14="",'Données projet'!C14="",'Données projet'!C14=0%),0,Calculateur!DT3)</f>
        <v>290.85271051443431</v>
      </c>
      <c r="D11" s="156">
        <f>IF(OR('Données projet'!B14="",'Données projet'!C14="",'Données projet'!C14=0%),0,Calculateur!DU3)</f>
        <v>318.66958823451142</v>
      </c>
      <c r="E11" s="156">
        <f t="shared" ca="1" si="0"/>
        <v>290.85271051443431</v>
      </c>
      <c r="F11" s="156">
        <f t="shared" ca="1" si="1"/>
        <v>69.804650523464232</v>
      </c>
      <c r="G11" s="156">
        <f ca="1">F11*(100%-'Données projet'!$C$24)*(100%-'Données projet'!$C$25)*(100%-'Données projet'!$C$26)*(100%-'Données projet'!$C$27)</f>
        <v>59.682976197561914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5.9399999999999995</v>
      </c>
      <c r="K11" s="160">
        <f>J11*(100%-'Données projet'!$C$24)*(100%-'Données projet'!$C$25)*(100%-'Données projet'!$C$26)*(100%-'Données projet'!$C$27)</f>
        <v>5.0786999999999995</v>
      </c>
      <c r="L11" s="161">
        <f t="shared" ca="1" si="2"/>
        <v>64.761676197561911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>Hêtre</v>
      </c>
      <c r="B12" s="163">
        <f>'Données projet'!D15</f>
        <v>0.15000000000000002</v>
      </c>
      <c r="C12" s="156">
        <f ca="1">IF(OR('Données projet'!B15="",'Données projet'!C15="",'Données projet'!C15=0%),0,Calculateur!EO3)</f>
        <v>438.65317358403996</v>
      </c>
      <c r="D12" s="156">
        <f>IF(OR('Données projet'!B15="",'Données projet'!C15="",'Données projet'!C15=0%),0,Calculateur!EP3)</f>
        <v>176.81257896138806</v>
      </c>
      <c r="E12" s="156">
        <f t="shared" ca="1" si="0"/>
        <v>176.81257896138806</v>
      </c>
      <c r="F12" s="156">
        <f t="shared" ca="1" si="1"/>
        <v>26.521886844208211</v>
      </c>
      <c r="G12" s="156">
        <f ca="1">F12*(100%-'Données projet'!$C$24)*(100%-'Données projet'!$C$25)*(100%-'Données projet'!$C$26)*(100%-'Données projet'!$C$27)</f>
        <v>22.676213251798021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0.45000000000000007</v>
      </c>
      <c r="K12" s="160">
        <f>J12*(100%-'Données projet'!$C$24)*(100%-'Données projet'!$C$25)*(100%-'Données projet'!$C$26)*(100%-'Données projet'!$C$27)</f>
        <v>0.38475000000000004</v>
      </c>
      <c r="L12" s="161">
        <f t="shared" ca="1" si="2"/>
        <v>23.060963251798022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789.98171482914211</v>
      </c>
      <c r="G16" s="175">
        <f t="shared" ca="1" si="3"/>
        <v>675.43436617891632</v>
      </c>
      <c r="H16" s="176">
        <f t="shared" si="3"/>
        <v>6.7063267838033696</v>
      </c>
      <c r="I16" s="176">
        <f t="shared" si="3"/>
        <v>5.7339094001518802</v>
      </c>
      <c r="J16" s="177">
        <f t="shared" si="3"/>
        <v>108.3644192307692</v>
      </c>
      <c r="K16" s="177">
        <f t="shared" si="3"/>
        <v>92.651578442307681</v>
      </c>
      <c r="L16" s="178">
        <f t="shared" ca="1" si="3"/>
        <v>773.81985402137593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Douglas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Pin laricio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Mélèze d'Europe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>Chêne sessile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>Erable plane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>Châtaignier</v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>Hêtre</v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I16" zoomScale="89" zoomScaleNormal="89" workbookViewId="0">
      <selection activeCell="C229" sqref="C229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Douglas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5171.4847042268839</v>
      </c>
      <c r="U10" s="190">
        <f>'Données projet'!D9</f>
        <v>1.0499999999999998</v>
      </c>
      <c r="V10" s="189">
        <f>U10*T10</f>
        <v>5430.0589394382268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Pin laricio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1599.0933561186498</v>
      </c>
      <c r="U11" s="190">
        <f>'Données projet'!D10</f>
        <v>0.60000000000000009</v>
      </c>
      <c r="V11" s="189">
        <f>U11*T11</f>
        <v>959.45601367119002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Mélèze d'Europe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2837.5982173728798</v>
      </c>
      <c r="U12" s="190">
        <f>'Données projet'!D11</f>
        <v>0.30000000000000004</v>
      </c>
      <c r="V12" s="189">
        <f t="shared" ref="V12:V19" si="0">U12*T12</f>
        <v>851.27946521186414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Chêne sessile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566.64391648456444</v>
      </c>
      <c r="U13" s="190">
        <f>'Données projet'!D12</f>
        <v>0.30000000000000004</v>
      </c>
      <c r="V13" s="189">
        <f t="shared" si="0"/>
        <v>169.99317494536936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Douglas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Erable plane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1686.6012311396794</v>
      </c>
      <c r="U14" s="190">
        <f>'Données projet'!D13</f>
        <v>0.30000000000000004</v>
      </c>
      <c r="V14" s="189">
        <f t="shared" si="0"/>
        <v>505.9803693419039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>
        <v>0</v>
      </c>
      <c r="I15" s="204">
        <v>0</v>
      </c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>Châtaignier</v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421.22256517085702</v>
      </c>
      <c r="U15" s="190">
        <f>'Données projet'!D14</f>
        <v>0.24</v>
      </c>
      <c r="V15" s="189">
        <f t="shared" si="0"/>
        <v>101.09341564100568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>Hêtre</v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438.07440781127508</v>
      </c>
      <c r="U16" s="190">
        <f>'Données projet'!D15</f>
        <v>0.15000000000000002</v>
      </c>
      <c r="V16" s="189">
        <f t="shared" si="0"/>
        <v>65.711161171691273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0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0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0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0</v>
      </c>
      <c r="I20" s="204">
        <v>9000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19</v>
      </c>
      <c r="B23" s="193">
        <f>'Données projet'!D36</f>
        <v>0</v>
      </c>
      <c r="C23" s="206"/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-18916.42746057875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21</v>
      </c>
      <c r="B24" s="193">
        <f>'Données projet'!D37</f>
        <v>61.169230769230765</v>
      </c>
      <c r="C24" s="206">
        <v>25</v>
      </c>
      <c r="D24" s="194">
        <f t="shared" ref="D24:D42" si="1">B24*C24</f>
        <v>1529.2307692307691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28</v>
      </c>
      <c r="B25" s="193">
        <f>'Données projet'!D38</f>
        <v>56.91538461538461</v>
      </c>
      <c r="C25" s="206">
        <v>30</v>
      </c>
      <c r="D25" s="194">
        <f t="shared" si="1"/>
        <v>1707.4615384615383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36">
        <f ca="1">T23-T24</f>
        <v>-18916.42746057875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0</v>
      </c>
      <c r="C26" s="206"/>
      <c r="D26" s="194">
        <f t="shared" si="1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35</v>
      </c>
      <c r="B27" s="193">
        <f>'Données projet'!D40</f>
        <v>70.5</v>
      </c>
      <c r="C27" s="206">
        <v>35</v>
      </c>
      <c r="D27" s="194">
        <f t="shared" si="1"/>
        <v>2467.5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42</v>
      </c>
      <c r="B28" s="193">
        <f>'Données projet'!D41</f>
        <v>80.669230769230765</v>
      </c>
      <c r="C28" s="206">
        <v>40</v>
      </c>
      <c r="D28" s="194">
        <f t="shared" si="1"/>
        <v>3226.7692307692305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49</v>
      </c>
      <c r="B29" s="193">
        <f>'Données projet'!D42</f>
        <v>90.453846153846158</v>
      </c>
      <c r="C29" s="206">
        <v>45</v>
      </c>
      <c r="D29" s="194">
        <f t="shared" si="1"/>
        <v>4070.4230769230771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56</v>
      </c>
      <c r="B30" s="193">
        <f>'Données projet'!D43</f>
        <v>75.869230769230768</v>
      </c>
      <c r="C30" s="206">
        <v>50</v>
      </c>
      <c r="D30" s="194">
        <f t="shared" si="1"/>
        <v>3793.4615384615386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63</v>
      </c>
      <c r="B31" s="193">
        <f>'Données projet'!D44</f>
        <v>79.723076923076917</v>
      </c>
      <c r="C31" s="206">
        <v>60</v>
      </c>
      <c r="D31" s="194">
        <f t="shared" si="1"/>
        <v>4783.3846153846152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69</v>
      </c>
      <c r="B32" s="193">
        <f>'Données projet'!D45</f>
        <v>0</v>
      </c>
      <c r="C32" s="206"/>
      <c r="D32" s="194">
        <f t="shared" si="1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70</v>
      </c>
      <c r="B33" s="193">
        <f>'Données projet'!D46</f>
        <v>469.06923076923073</v>
      </c>
      <c r="C33" s="206">
        <v>90</v>
      </c>
      <c r="D33" s="194">
        <f t="shared" si="1"/>
        <v>42216.230769230766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2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1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2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1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2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1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2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1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2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1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2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1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2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1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2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1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2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1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2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2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2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Pin laricio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2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2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2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2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2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2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2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2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2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15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2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21</v>
      </c>
      <c r="B55" s="193">
        <f>'Données projet'!D63</f>
        <v>0</v>
      </c>
      <c r="C55" s="204"/>
      <c r="D55" s="191">
        <f t="shared" ref="D55:D73" si="3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2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22</v>
      </c>
      <c r="B56" s="193">
        <f>'Données projet'!D64</f>
        <v>52.746153846153838</v>
      </c>
      <c r="C56" s="204">
        <v>10</v>
      </c>
      <c r="D56" s="191">
        <f t="shared" si="3"/>
        <v>527.46153846153834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2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24</v>
      </c>
      <c r="B57" s="193">
        <f>'Données projet'!D65</f>
        <v>0</v>
      </c>
      <c r="C57" s="204"/>
      <c r="D57" s="191">
        <f t="shared" si="3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2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27</v>
      </c>
      <c r="B58" s="193">
        <f>'Données projet'!D66</f>
        <v>34.646153846153844</v>
      </c>
      <c r="C58" s="204">
        <v>15</v>
      </c>
      <c r="D58" s="191">
        <f t="shared" si="3"/>
        <v>519.69230769230762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2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30</v>
      </c>
      <c r="B59" s="193">
        <f>'Données projet'!D67</f>
        <v>0</v>
      </c>
      <c r="C59" s="204"/>
      <c r="D59" s="191">
        <f t="shared" si="3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2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33</v>
      </c>
      <c r="B60" s="193">
        <f>'Données projet'!D68</f>
        <v>43.007692307692302</v>
      </c>
      <c r="C60" s="204">
        <v>20</v>
      </c>
      <c r="D60" s="191">
        <f t="shared" si="3"/>
        <v>860.15384615384608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2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41</v>
      </c>
      <c r="B61" s="193">
        <f>'Données projet'!D69</f>
        <v>58.484615384615381</v>
      </c>
      <c r="C61" s="204">
        <v>25</v>
      </c>
      <c r="D61" s="191">
        <f t="shared" si="3"/>
        <v>1462.1153846153845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2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50</v>
      </c>
      <c r="B62" s="193">
        <f>'Données projet'!D70</f>
        <v>55.292307692307688</v>
      </c>
      <c r="C62" s="204">
        <v>25</v>
      </c>
      <c r="D62" s="191">
        <f t="shared" si="3"/>
        <v>1382.3076923076922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2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60</v>
      </c>
      <c r="B63" s="193">
        <f>'Données projet'!D71</f>
        <v>54.261538461538464</v>
      </c>
      <c r="C63" s="204">
        <v>25</v>
      </c>
      <c r="D63" s="191">
        <f t="shared" si="3"/>
        <v>1356.5384615384617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2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70</v>
      </c>
      <c r="B64" s="193">
        <f>'Données projet'!D72</f>
        <v>52.669230769230765</v>
      </c>
      <c r="C64" s="204">
        <v>30</v>
      </c>
      <c r="D64" s="191">
        <f t="shared" si="3"/>
        <v>1580.0769230769229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2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80</v>
      </c>
      <c r="B65" s="193">
        <f>'Données projet'!D73</f>
        <v>402.90769230769229</v>
      </c>
      <c r="C65" s="204">
        <v>40</v>
      </c>
      <c r="D65" s="191">
        <f t="shared" si="3"/>
        <v>16116.307692307691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4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3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4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3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4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3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4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3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4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3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4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3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4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3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4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3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4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4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4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Mélèze d'Europe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4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4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4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4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4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4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4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4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4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18</v>
      </c>
      <c r="B85" s="193">
        <f>'Données projet'!D88</f>
        <v>20</v>
      </c>
      <c r="C85" s="204">
        <v>10</v>
      </c>
      <c r="D85" s="191">
        <f>B85*C85</f>
        <v>200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4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21</v>
      </c>
      <c r="B86" s="193">
        <f>'Données projet'!D89</f>
        <v>26</v>
      </c>
      <c r="C86" s="204">
        <v>10</v>
      </c>
      <c r="D86" s="191">
        <f t="shared" ref="D86:D104" si="5">B86*C86</f>
        <v>260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4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24</v>
      </c>
      <c r="B87" s="193">
        <f>'Données projet'!D90</f>
        <v>29</v>
      </c>
      <c r="C87" s="206">
        <v>15</v>
      </c>
      <c r="D87" s="191">
        <f t="shared" si="5"/>
        <v>435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4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30</v>
      </c>
      <c r="B88" s="193">
        <f>'Données projet'!D91</f>
        <v>53</v>
      </c>
      <c r="C88" s="206">
        <v>20</v>
      </c>
      <c r="D88" s="191">
        <f t="shared" si="5"/>
        <v>1060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4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36</v>
      </c>
      <c r="B89" s="193">
        <f>'Données projet'!D92</f>
        <v>62</v>
      </c>
      <c r="C89" s="206">
        <v>25</v>
      </c>
      <c r="D89" s="191">
        <f t="shared" si="5"/>
        <v>1550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4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42</v>
      </c>
      <c r="B90" s="193">
        <f>'Données projet'!D93</f>
        <v>67</v>
      </c>
      <c r="C90" s="206">
        <v>30</v>
      </c>
      <c r="D90" s="191">
        <f t="shared" si="5"/>
        <v>2010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4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48</v>
      </c>
      <c r="B91" s="193">
        <f>'Données projet'!D94</f>
        <v>65</v>
      </c>
      <c r="C91" s="206">
        <v>35</v>
      </c>
      <c r="D91" s="191">
        <f t="shared" si="5"/>
        <v>2275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4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60</v>
      </c>
      <c r="B92" s="193">
        <f>'Données projet'!D95</f>
        <v>304</v>
      </c>
      <c r="C92" s="206">
        <v>60</v>
      </c>
      <c r="D92" s="191">
        <f t="shared" si="5"/>
        <v>18240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4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6"/>
      <c r="D93" s="191">
        <f t="shared" si="5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4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6"/>
      <c r="D94" s="191">
        <f t="shared" si="5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str">
        <f>IF(O93+1&lt;=MIN('Données projet'!$E$9:$E$18),O93+1,"STOP")</f>
        <v>STOP</v>
      </c>
      <c r="P94" s="197" t="e">
        <f t="shared" si="4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6"/>
      <c r="D95" s="191">
        <f t="shared" si="5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4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6"/>
      <c r="D96" s="191">
        <f t="shared" si="5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4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6"/>
      <c r="D97" s="191">
        <f t="shared" si="5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6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6"/>
      <c r="D98" s="191">
        <f t="shared" si="5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6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6"/>
      <c r="D99" s="191">
        <f t="shared" si="5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6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6"/>
      <c r="D100" s="191">
        <f t="shared" si="5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6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6"/>
      <c r="D101" s="191">
        <f t="shared" si="5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6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6"/>
      <c r="D102" s="191">
        <f t="shared" si="5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6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6"/>
      <c r="D103" s="191">
        <f t="shared" si="5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6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6"/>
      <c r="D104" s="191">
        <f t="shared" si="5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6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6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6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>Chêne sessile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6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6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6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6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6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6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6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6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6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20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6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25</v>
      </c>
      <c r="B117" s="193">
        <f>'Données projet'!D115</f>
        <v>0</v>
      </c>
      <c r="C117" s="204"/>
      <c r="D117" s="191">
        <f t="shared" ref="D117:D135" si="7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6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30</v>
      </c>
      <c r="B118" s="193">
        <f>'Données projet'!D116</f>
        <v>29</v>
      </c>
      <c r="C118" s="206">
        <v>10</v>
      </c>
      <c r="D118" s="191">
        <f t="shared" si="7"/>
        <v>290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6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35</v>
      </c>
      <c r="B119" s="193">
        <f>'Données projet'!D117</f>
        <v>0</v>
      </c>
      <c r="C119" s="206"/>
      <c r="D119" s="191">
        <f t="shared" si="7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6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40</v>
      </c>
      <c r="B120" s="193">
        <f>'Données projet'!D118</f>
        <v>42</v>
      </c>
      <c r="C120" s="206">
        <v>10</v>
      </c>
      <c r="D120" s="191">
        <f t="shared" si="7"/>
        <v>420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6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45</v>
      </c>
      <c r="B121" s="193">
        <f>'Données projet'!D119</f>
        <v>0</v>
      </c>
      <c r="C121" s="206"/>
      <c r="D121" s="191">
        <f t="shared" si="7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6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50</v>
      </c>
      <c r="B122" s="193">
        <f>'Données projet'!D120</f>
        <v>42</v>
      </c>
      <c r="C122" s="206">
        <v>10</v>
      </c>
      <c r="D122" s="191">
        <f t="shared" si="7"/>
        <v>420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6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55</v>
      </c>
      <c r="B123" s="193">
        <f>'Données projet'!D121</f>
        <v>0</v>
      </c>
      <c r="C123" s="206"/>
      <c r="D123" s="191">
        <f t="shared" si="7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6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60</v>
      </c>
      <c r="B124" s="193">
        <f>'Données projet'!D122</f>
        <v>42</v>
      </c>
      <c r="C124" s="206">
        <v>20</v>
      </c>
      <c r="D124" s="191">
        <f t="shared" si="7"/>
        <v>840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6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65</v>
      </c>
      <c r="B125" s="193">
        <f>'Données projet'!D123</f>
        <v>0</v>
      </c>
      <c r="C125" s="206"/>
      <c r="D125" s="191">
        <f t="shared" si="7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6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70</v>
      </c>
      <c r="B126" s="193">
        <f>'Données projet'!D124</f>
        <v>42</v>
      </c>
      <c r="C126" s="206">
        <v>30</v>
      </c>
      <c r="D126" s="191">
        <f t="shared" si="7"/>
        <v>1260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6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75</v>
      </c>
      <c r="B127" s="193">
        <f>'Données projet'!D125</f>
        <v>0</v>
      </c>
      <c r="C127" s="206"/>
      <c r="D127" s="191">
        <f t="shared" si="7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6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80</v>
      </c>
      <c r="B128" s="193">
        <f>'Données projet'!D126</f>
        <v>42</v>
      </c>
      <c r="C128" s="206">
        <v>40</v>
      </c>
      <c r="D128" s="191">
        <f t="shared" si="7"/>
        <v>1680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6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90</v>
      </c>
      <c r="B129" s="193">
        <f>'Données projet'!D127</f>
        <v>42</v>
      </c>
      <c r="C129" s="206">
        <v>50</v>
      </c>
      <c r="D129" s="191">
        <f t="shared" si="7"/>
        <v>2100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100</v>
      </c>
      <c r="B130" s="193">
        <f>'Données projet'!D128</f>
        <v>42</v>
      </c>
      <c r="C130" s="206">
        <v>60</v>
      </c>
      <c r="D130" s="191">
        <f t="shared" si="7"/>
        <v>2520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>$P$25/(1+$M$4)^O130</f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110</v>
      </c>
      <c r="B131" s="193">
        <f>'Données projet'!D129</f>
        <v>39</v>
      </c>
      <c r="C131" s="206">
        <v>70</v>
      </c>
      <c r="D131" s="191">
        <f t="shared" si="7"/>
        <v>2730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>$P$25/(1+$M$4)^O131</f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120</v>
      </c>
      <c r="B132" s="193">
        <f>'Données projet'!D130</f>
        <v>35</v>
      </c>
      <c r="C132" s="206">
        <v>80</v>
      </c>
      <c r="D132" s="191">
        <f t="shared" si="7"/>
        <v>2800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>$P$25/(1+$M$4)^O132</f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130</v>
      </c>
      <c r="B133" s="193">
        <f>'Données projet'!D131</f>
        <v>31</v>
      </c>
      <c r="C133" s="206">
        <v>100</v>
      </c>
      <c r="D133" s="191">
        <f t="shared" si="7"/>
        <v>3100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140</v>
      </c>
      <c r="B134" s="193">
        <f>'Données projet'!D132</f>
        <v>27</v>
      </c>
      <c r="C134" s="206">
        <v>120</v>
      </c>
      <c r="D134" s="191">
        <f t="shared" si="7"/>
        <v>3240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150</v>
      </c>
      <c r="B135" s="193">
        <f>'Données projet'!D133</f>
        <v>293</v>
      </c>
      <c r="C135" s="206">
        <v>200</v>
      </c>
      <c r="D135" s="191">
        <f t="shared" si="7"/>
        <v>58600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>Erable plane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15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20</v>
      </c>
      <c r="B148" s="187">
        <f>'Données projet'!D141</f>
        <v>43</v>
      </c>
      <c r="C148" s="204">
        <v>10</v>
      </c>
      <c r="D148" s="194">
        <f t="shared" ref="D148:D166" si="8">B148*C148</f>
        <v>430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25</v>
      </c>
      <c r="B149" s="187">
        <f>'Données projet'!D142</f>
        <v>0</v>
      </c>
      <c r="C149" s="204"/>
      <c r="D149" s="194">
        <f t="shared" si="8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30</v>
      </c>
      <c r="B150" s="187">
        <f>'Données projet'!D143</f>
        <v>56</v>
      </c>
      <c r="C150" s="204">
        <v>15</v>
      </c>
      <c r="D150" s="194">
        <f t="shared" si="8"/>
        <v>840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35</v>
      </c>
      <c r="B151" s="187">
        <f>'Données projet'!D144</f>
        <v>0</v>
      </c>
      <c r="C151" s="204"/>
      <c r="D151" s="194">
        <f t="shared" si="8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40</v>
      </c>
      <c r="B152" s="187">
        <f>'Données projet'!D145</f>
        <v>56</v>
      </c>
      <c r="C152" s="204">
        <v>20</v>
      </c>
      <c r="D152" s="194">
        <f t="shared" si="8"/>
        <v>1120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45</v>
      </c>
      <c r="B153" s="187">
        <f>'Données projet'!D146</f>
        <v>0</v>
      </c>
      <c r="C153" s="204"/>
      <c r="D153" s="194">
        <f t="shared" si="8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50</v>
      </c>
      <c r="B154" s="187">
        <f>'Données projet'!D147</f>
        <v>39</v>
      </c>
      <c r="C154" s="204">
        <v>30</v>
      </c>
      <c r="D154" s="194">
        <f t="shared" si="8"/>
        <v>1170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55</v>
      </c>
      <c r="B155" s="187">
        <f>'Données projet'!D148</f>
        <v>0</v>
      </c>
      <c r="C155" s="204"/>
      <c r="D155" s="194">
        <f t="shared" si="8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60</v>
      </c>
      <c r="B156" s="187">
        <f>'Données projet'!D149</f>
        <v>25</v>
      </c>
      <c r="C156" s="204">
        <v>40</v>
      </c>
      <c r="D156" s="194">
        <f t="shared" si="8"/>
        <v>1000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65</v>
      </c>
      <c r="B157" s="187">
        <f>'Données projet'!D150</f>
        <v>0</v>
      </c>
      <c r="C157" s="204"/>
      <c r="D157" s="194">
        <f t="shared" si="8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70</v>
      </c>
      <c r="B158" s="187">
        <f>'Données projet'!D151</f>
        <v>21</v>
      </c>
      <c r="C158" s="204">
        <v>50</v>
      </c>
      <c r="D158" s="194">
        <f t="shared" si="8"/>
        <v>1050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75</v>
      </c>
      <c r="B159" s="187">
        <f>'Données projet'!D152</f>
        <v>0</v>
      </c>
      <c r="C159" s="204"/>
      <c r="D159" s="194">
        <f t="shared" si="8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80</v>
      </c>
      <c r="B160" s="187">
        <f>'Données projet'!D153</f>
        <v>285</v>
      </c>
      <c r="C160" s="206">
        <v>100</v>
      </c>
      <c r="D160" s="194">
        <f t="shared" si="8"/>
        <v>28500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6"/>
      <c r="D161" s="194">
        <f t="shared" si="8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8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8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8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8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8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>Châtaignier</v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15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20</v>
      </c>
      <c r="B179" s="193">
        <f>'Données projet'!D167</f>
        <v>43</v>
      </c>
      <c r="C179" s="206"/>
      <c r="D179" s="191">
        <f t="shared" ref="D179:D197" si="9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25</v>
      </c>
      <c r="B180" s="193">
        <f>'Données projet'!D168</f>
        <v>0</v>
      </c>
      <c r="C180" s="206">
        <v>10</v>
      </c>
      <c r="D180" s="191">
        <f t="shared" si="9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30</v>
      </c>
      <c r="B181" s="193">
        <f>'Données projet'!D169</f>
        <v>56</v>
      </c>
      <c r="C181" s="206"/>
      <c r="D181" s="191">
        <f t="shared" si="9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35</v>
      </c>
      <c r="B182" s="193">
        <f>'Données projet'!D170</f>
        <v>0</v>
      </c>
      <c r="C182" s="206">
        <v>10</v>
      </c>
      <c r="D182" s="191">
        <f t="shared" si="9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40</v>
      </c>
      <c r="B183" s="193">
        <f>'Données projet'!D171</f>
        <v>56</v>
      </c>
      <c r="C183" s="206"/>
      <c r="D183" s="191">
        <f t="shared" si="9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45</v>
      </c>
      <c r="B184" s="193">
        <f>'Données projet'!D172</f>
        <v>0</v>
      </c>
      <c r="C184" s="206">
        <v>10</v>
      </c>
      <c r="D184" s="191">
        <f t="shared" si="9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50</v>
      </c>
      <c r="B185" s="193">
        <f>'Données projet'!D173</f>
        <v>39</v>
      </c>
      <c r="C185" s="206"/>
      <c r="D185" s="191">
        <f t="shared" si="9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55</v>
      </c>
      <c r="B186" s="193">
        <f>'Données projet'!D174</f>
        <v>0</v>
      </c>
      <c r="C186" s="206">
        <v>20</v>
      </c>
      <c r="D186" s="191">
        <f t="shared" si="9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60</v>
      </c>
      <c r="B187" s="193">
        <f>'Données projet'!D175</f>
        <v>25</v>
      </c>
      <c r="C187" s="206"/>
      <c r="D187" s="191">
        <f t="shared" si="9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65</v>
      </c>
      <c r="B188" s="193">
        <f>'Données projet'!D176</f>
        <v>0</v>
      </c>
      <c r="C188" s="206">
        <v>30</v>
      </c>
      <c r="D188" s="191">
        <f t="shared" si="9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70</v>
      </c>
      <c r="B189" s="193">
        <f>'Données projet'!D177</f>
        <v>21</v>
      </c>
      <c r="C189" s="206"/>
      <c r="D189" s="191">
        <f t="shared" si="9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75</v>
      </c>
      <c r="B190" s="193">
        <f>'Données projet'!D178</f>
        <v>0</v>
      </c>
      <c r="C190" s="206">
        <v>40</v>
      </c>
      <c r="D190" s="191">
        <f t="shared" si="9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80</v>
      </c>
      <c r="B191" s="193">
        <f>'Données projet'!D179</f>
        <v>285</v>
      </c>
      <c r="C191" s="206">
        <v>50</v>
      </c>
      <c r="D191" s="191">
        <f t="shared" si="9"/>
        <v>14250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>
        <v>60</v>
      </c>
      <c r="D192" s="191">
        <f t="shared" si="9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>
        <v>70</v>
      </c>
      <c r="D193" s="191">
        <f t="shared" si="9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>
        <v>80</v>
      </c>
      <c r="D194" s="191">
        <f t="shared" si="9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>
        <v>100</v>
      </c>
      <c r="D195" s="191">
        <f t="shared" si="9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>
        <v>120</v>
      </c>
      <c r="D196" s="191">
        <f t="shared" si="9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>
        <v>200</v>
      </c>
      <c r="D197" s="191">
        <f t="shared" si="9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>Hêtre</v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25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30</v>
      </c>
      <c r="B210" s="193">
        <f>'Données projet'!D193</f>
        <v>12</v>
      </c>
      <c r="C210" s="206">
        <v>10</v>
      </c>
      <c r="D210" s="191">
        <f t="shared" ref="D210:D228" si="10">B210*C210</f>
        <v>120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35</v>
      </c>
      <c r="B211" s="193">
        <f>'Données projet'!D194</f>
        <v>0</v>
      </c>
      <c r="C211" s="206"/>
      <c r="D211" s="191">
        <f t="shared" si="10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40</v>
      </c>
      <c r="B212" s="193">
        <f>'Données projet'!D195</f>
        <v>42</v>
      </c>
      <c r="C212" s="206">
        <v>10</v>
      </c>
      <c r="D212" s="191">
        <f t="shared" si="10"/>
        <v>420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45</v>
      </c>
      <c r="B213" s="193">
        <f>'Données projet'!D196</f>
        <v>0</v>
      </c>
      <c r="C213" s="206"/>
      <c r="D213" s="191">
        <f t="shared" si="10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50</v>
      </c>
      <c r="B214" s="193">
        <f>'Données projet'!D197</f>
        <v>42</v>
      </c>
      <c r="C214" s="206">
        <v>15</v>
      </c>
      <c r="D214" s="191">
        <f t="shared" si="10"/>
        <v>630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55</v>
      </c>
      <c r="B215" s="193">
        <f>'Données projet'!D198</f>
        <v>0</v>
      </c>
      <c r="C215" s="206"/>
      <c r="D215" s="191">
        <f t="shared" si="10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60</v>
      </c>
      <c r="B216" s="193">
        <f>'Données projet'!D199</f>
        <v>42</v>
      </c>
      <c r="C216" s="206">
        <v>20</v>
      </c>
      <c r="D216" s="191">
        <f t="shared" si="10"/>
        <v>840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65</v>
      </c>
      <c r="B217" s="193">
        <f>'Données projet'!D200</f>
        <v>0</v>
      </c>
      <c r="C217" s="206"/>
      <c r="D217" s="191">
        <f t="shared" si="10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70</v>
      </c>
      <c r="B218" s="193">
        <f>'Données projet'!D201</f>
        <v>42</v>
      </c>
      <c r="C218" s="206">
        <v>25</v>
      </c>
      <c r="D218" s="191">
        <f t="shared" si="10"/>
        <v>1050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75</v>
      </c>
      <c r="B219" s="193">
        <f>'Données projet'!D202</f>
        <v>0</v>
      </c>
      <c r="C219" s="206"/>
      <c r="D219" s="191">
        <f t="shared" si="10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80</v>
      </c>
      <c r="B220" s="193">
        <f>'Données projet'!D203</f>
        <v>42</v>
      </c>
      <c r="C220" s="206">
        <v>30</v>
      </c>
      <c r="D220" s="191">
        <f t="shared" si="10"/>
        <v>1260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85</v>
      </c>
      <c r="B221" s="193">
        <f>'Données projet'!D204</f>
        <v>0</v>
      </c>
      <c r="C221" s="206"/>
      <c r="D221" s="191">
        <f t="shared" si="10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90</v>
      </c>
      <c r="B222" s="193">
        <f>'Données projet'!D205</f>
        <v>42</v>
      </c>
      <c r="C222" s="206">
        <v>35</v>
      </c>
      <c r="D222" s="191">
        <f t="shared" si="10"/>
        <v>1470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100</v>
      </c>
      <c r="B223" s="193">
        <f>'Données projet'!D206</f>
        <v>39</v>
      </c>
      <c r="C223" s="206">
        <v>40</v>
      </c>
      <c r="D223" s="191">
        <f t="shared" si="10"/>
        <v>1560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110</v>
      </c>
      <c r="B224" s="193">
        <f>'Données projet'!D207</f>
        <v>36</v>
      </c>
      <c r="C224" s="206">
        <v>45</v>
      </c>
      <c r="D224" s="191">
        <f t="shared" si="10"/>
        <v>1620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120</v>
      </c>
      <c r="B225" s="193">
        <f>'Données projet'!D208</f>
        <v>33</v>
      </c>
      <c r="C225" s="206">
        <v>50</v>
      </c>
      <c r="D225" s="191">
        <f t="shared" si="10"/>
        <v>1650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130</v>
      </c>
      <c r="B226" s="193">
        <f>'Données projet'!D209</f>
        <v>32</v>
      </c>
      <c r="C226" s="206">
        <v>55</v>
      </c>
      <c r="D226" s="191">
        <f t="shared" si="10"/>
        <v>1760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140</v>
      </c>
      <c r="B227" s="193">
        <f>'Données projet'!D210</f>
        <v>30</v>
      </c>
      <c r="C227" s="206">
        <v>60</v>
      </c>
      <c r="D227" s="191">
        <f t="shared" si="10"/>
        <v>1800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150</v>
      </c>
      <c r="B228" s="193">
        <f>'Données projet'!D211</f>
        <v>377</v>
      </c>
      <c r="C228" s="206">
        <v>80</v>
      </c>
      <c r="D228" s="191">
        <f t="shared" si="10"/>
        <v>30160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1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1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1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1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1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1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1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1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1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1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1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1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1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1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1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1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1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1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1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2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2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2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2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2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2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2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2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2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2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2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2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2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2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2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2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2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2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2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3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3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3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3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3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3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3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3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3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3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3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3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3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3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3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3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3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3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3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Olivier GLEIZES (CNPF - C+FOR)</cp:lastModifiedBy>
  <dcterms:created xsi:type="dcterms:W3CDTF">2021-02-01T08:22:39Z</dcterms:created>
  <dcterms:modified xsi:type="dcterms:W3CDTF">2024-09-18T08:14:42Z</dcterms:modified>
</cp:coreProperties>
</file>