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LBC/Dossiers LBC/DE RUSSON/DESILLE - 14879293 CD/"/>
    </mc:Choice>
  </mc:AlternateContent>
  <xr:revisionPtr revIDLastSave="1" documentId="14_{C90C5974-0407-42C6-B6CB-6FD9F3478A8B}" xr6:coauthVersionLast="47" xr6:coauthVersionMax="47" xr10:uidLastSave="{9E23CA19-3436-43DD-B1F3-58CBAAAB739E}"/>
  <bookViews>
    <workbookView xWindow="-110" yWindow="-110" windowWidth="22780" windowHeight="145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W162" i="2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I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W178" i="2"/>
  <c r="EA178" i="2"/>
  <c r="ED178" i="2" s="1"/>
  <c r="FQ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EY179" i="2" s="1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G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D192" i="2" s="1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H197" i="2"/>
  <c r="A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78" i="2" a="1"/>
  <c r="FY78" i="2" s="1"/>
  <c r="FY104" i="2" a="1"/>
  <c r="FY104" i="2" s="1"/>
  <c r="BC34" i="2" a="1"/>
  <c r="BC34" i="2" s="1"/>
  <c r="BC58" i="2" a="1"/>
  <c r="BC5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DN137" i="2" a="1"/>
  <c r="DN137" i="2" s="1"/>
  <c r="DN186" i="2" a="1"/>
  <c r="DN186" i="2" s="1"/>
  <c r="DN43" i="2" a="1"/>
  <c r="DN43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15" i="2" a="1"/>
  <c r="DN115" i="2" s="1"/>
  <c r="DN86" i="2" a="1"/>
  <c r="DN86" i="2" s="1"/>
  <c r="DN188" i="2" a="1"/>
  <c r="DN188" i="2" s="1"/>
  <c r="DN66" i="2" a="1"/>
  <c r="DN66" i="2" s="1"/>
  <c r="DN192" i="2" a="1"/>
  <c r="DN192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07" i="2" a="1"/>
  <c r="GT107" i="2" s="1"/>
  <c r="GT138" i="2" a="1"/>
  <c r="GT1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129" i="2" l="1" a="1"/>
  <c r="CS129" i="2" s="1"/>
  <c r="CS161" i="2" a="1"/>
  <c r="CS161" i="2" s="1"/>
  <c r="CS185" i="2" a="1"/>
  <c r="CS185" i="2" s="1"/>
  <c r="CS134" i="2" a="1"/>
  <c r="CS134" i="2" s="1"/>
  <c r="CS52" i="2" a="1"/>
  <c r="CS52" i="2" s="1"/>
  <c r="CS66" i="2" a="1"/>
  <c r="CS66" i="2" s="1"/>
  <c r="CS137" i="2" a="1"/>
  <c r="CS137" i="2" s="1"/>
  <c r="CS116" i="2" a="1"/>
  <c r="CS116" i="2" s="1"/>
  <c r="GT15" i="2" a="1"/>
  <c r="GT15" i="2" s="1"/>
  <c r="GT152" i="2" a="1"/>
  <c r="GT152" i="2" s="1"/>
  <c r="GT38" i="2" a="1"/>
  <c r="GT38" i="2" s="1"/>
  <c r="DN150" i="2" a="1"/>
  <c r="DN150" i="2" s="1"/>
  <c r="DN41" i="2" a="1"/>
  <c r="DN41" i="2" s="1"/>
  <c r="GT33" i="2" a="1"/>
  <c r="GT33" i="2" s="1"/>
  <c r="BC68" i="2" a="1"/>
  <c r="BC68" i="2" s="1"/>
  <c r="GT133" i="2" a="1"/>
  <c r="GT133" i="2" s="1"/>
  <c r="BX107" i="2" a="1"/>
  <c r="BX107" i="2" s="1"/>
  <c r="GT126" i="2" a="1"/>
  <c r="GT126" i="2" s="1"/>
  <c r="GT74" i="2" a="1"/>
  <c r="GT74" i="2" s="1"/>
  <c r="GT121" i="2" a="1"/>
  <c r="GT121" i="2" s="1"/>
  <c r="FS203" i="2"/>
  <c r="GT147" i="2" a="1"/>
  <c r="GT147" i="2" s="1"/>
  <c r="GT178" i="2" a="1"/>
  <c r="GT178" i="2" s="1"/>
  <c r="AH163" i="2" a="1"/>
  <c r="AH163" i="2" s="1"/>
  <c r="GT122" i="2" a="1"/>
  <c r="GT122" i="2" s="1"/>
  <c r="GT174" i="2" a="1"/>
  <c r="GT174" i="2" s="1"/>
  <c r="GT190" i="2" a="1"/>
  <c r="GT190" i="2" s="1"/>
  <c r="AH62" i="2" a="1"/>
  <c r="AH62" i="2" s="1"/>
  <c r="GT51" i="2" a="1"/>
  <c r="GT51" i="2" s="1"/>
  <c r="FY190" i="2" a="1"/>
  <c r="FY190" i="2" s="1"/>
  <c r="GT189" i="2" a="1"/>
  <c r="GT189" i="2" s="1"/>
  <c r="GT198" i="2" a="1"/>
  <c r="GT198" i="2" s="1"/>
  <c r="AH199" i="2" a="1"/>
  <c r="AH199" i="2" s="1"/>
  <c r="DN177" i="2" a="1"/>
  <c r="DN177" i="2" s="1"/>
  <c r="GT68" i="2" a="1"/>
  <c r="GT68" i="2" s="1"/>
  <c r="AH92" i="2" a="1"/>
  <c r="AH92" i="2" s="1"/>
  <c r="GT21" i="2" a="1"/>
  <c r="GT21" i="2" s="1"/>
  <c r="AH166" i="2" a="1"/>
  <c r="AH166" i="2" s="1"/>
  <c r="DN124" i="2" a="1"/>
  <c r="DN124" i="2" s="1"/>
  <c r="GT181" i="2" a="1"/>
  <c r="GT181" i="2" s="1"/>
  <c r="GT102" i="2" a="1"/>
  <c r="GT102" i="2" s="1"/>
  <c r="GT191" i="2" a="1"/>
  <c r="GT191" i="2" s="1"/>
  <c r="GT12" i="2" a="1"/>
  <c r="GT12" i="2" s="1"/>
  <c r="AH19" i="2" a="1"/>
  <c r="AH19" i="2" s="1"/>
  <c r="DN153" i="2" a="1"/>
  <c r="DN153" i="2" s="1"/>
  <c r="GT184" i="2" a="1"/>
  <c r="GT184" i="2" s="1"/>
  <c r="FY186" i="2" a="1"/>
  <c r="FY186" i="2" s="1"/>
  <c r="CS77" i="2" a="1"/>
  <c r="CS77" i="2" s="1"/>
  <c r="CS120" i="2" a="1"/>
  <c r="CS120" i="2" s="1"/>
  <c r="BC181" i="2" a="1"/>
  <c r="BC18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<sst xmlns="http://schemas.openxmlformats.org/spreadsheetml/2006/main" count="1174" uniqueCount="324">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</sst>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1.4678096381152426</c:v>
                </c:pt>
                <c:pt idx="2">
                  <c:v>1.8577125064402493</c:v>
                </c:pt>
                <c:pt idx="3">
                  <c:v>2.3516058449587698</c:v>
                </c:pt>
                <c:pt idx="4">
                  <c:v>2.9773303702260798</c:v>
                </c:pt>
                <c:pt idx="5">
                  <c:v>3.7702069504069935</c:v>
                </c:pt>
                <c:pt idx="6">
                  <c:v>4.775052990760897</c:v>
                </c:pt>
                <c:pt idx="7">
                  <c:v>6.0487440231116798</c:v>
                </c:pt>
                <c:pt idx="8">
                  <c:v>7.6634683274288991</c:v>
                </c:pt>
                <c:pt idx="9">
                  <c:v>9.7108625983638834</c:v>
                </c:pt>
                <c:pt idx="10">
                  <c:v>12.30726780313973</c:v>
                </c:pt>
                <c:pt idx="11">
                  <c:v>15.600409448968461</c:v>
                </c:pt>
                <c:pt idx="12">
                  <c:v>19.77788929527058</c:v>
                </c:pt>
                <c:pt idx="13">
                  <c:v>25.077980957302103</c:v>
                </c:pt>
                <c:pt idx="14">
                  <c:v>31.803356029588638</c:v>
                </c:pt>
                <c:pt idx="15">
                  <c:v>40.33853817733057</c:v>
                </c:pt>
                <c:pt idx="16">
                  <c:v>51.172100124303235</c:v>
                </c:pt>
                <c:pt idx="17">
                  <c:v>64.924895375729704</c:v>
                </c:pt>
                <c:pt idx="18">
                  <c:v>82.385969123201647</c:v>
                </c:pt>
                <c:pt idx="19">
                  <c:v>104.55824181585456</c:v>
                </c:pt>
                <c:pt idx="20">
                  <c:v>132.71663076326527</c:v>
                </c:pt>
                <c:pt idx="21">
                  <c:v>149.86349088994214</c:v>
                </c:pt>
                <c:pt idx="22">
                  <c:v>171.75929390005538</c:v>
                </c:pt>
                <c:pt idx="23">
                  <c:v>193.58937066536194</c:v>
                </c:pt>
                <c:pt idx="24">
                  <c:v>215.36217958372643</c:v>
                </c:pt>
                <c:pt idx="25">
                  <c:v>237.08432568129535</c:v>
                </c:pt>
                <c:pt idx="26">
                  <c:v>201.4261589469568</c:v>
                </c:pt>
                <c:pt idx="27">
                  <c:v>225.84813487839025</c:v>
                </c:pt>
                <c:pt idx="28">
                  <c:v>250.20960494403877</c:v>
                </c:pt>
                <c:pt idx="29">
                  <c:v>274.51728748697752</c:v>
                </c:pt>
                <c:pt idx="30">
                  <c:v>298.776612945463</c:v>
                </c:pt>
                <c:pt idx="31">
                  <c:v>263.88892164359248</c:v>
                </c:pt>
                <c:pt idx="32">
                  <c:v>288.73729643997962</c:v>
                </c:pt>
                <c:pt idx="33">
                  <c:v>313.53786869396725</c:v>
                </c:pt>
                <c:pt idx="34">
                  <c:v>338.29494871140395</c:v>
                </c:pt>
                <c:pt idx="35">
                  <c:v>363.01216447261658</c:v>
                </c:pt>
                <c:pt idx="36">
                  <c:v>327.52788280677879</c:v>
                </c:pt>
                <c:pt idx="37">
                  <c:v>351.50737289573021</c:v>
                </c:pt>
                <c:pt idx="38">
                  <c:v>375.45100724100371</c:v>
                </c:pt>
                <c:pt idx="39">
                  <c:v>399.36139216370793</c:v>
                </c:pt>
                <c:pt idx="40">
                  <c:v>423.24079659257137</c:v>
                </c:pt>
                <c:pt idx="41">
                  <c:v>386.75124975440627</c:v>
                </c:pt>
                <c:pt idx="42">
                  <c:v>409.51850419898801</c:v>
                </c:pt>
                <c:pt idx="43">
                  <c:v>432.25843496585861</c:v>
                </c:pt>
                <c:pt idx="44">
                  <c:v>454.97268045088828</c:v>
                </c:pt>
                <c:pt idx="45">
                  <c:v>477.66270222958752</c:v>
                </c:pt>
                <c:pt idx="46">
                  <c:v>439.95779815210875</c:v>
                </c:pt>
                <c:pt idx="47">
                  <c:v>461.35077692036253</c:v>
                </c:pt>
                <c:pt idx="48">
                  <c:v>482.72259451250079</c:v>
                </c:pt>
                <c:pt idx="49">
                  <c:v>504.07431885281977</c:v>
                </c:pt>
                <c:pt idx="50">
                  <c:v>525.40692008667054</c:v>
                </c:pt>
                <c:pt idx="51">
                  <c:v>486.65728665769012</c:v>
                </c:pt>
                <c:pt idx="52">
                  <c:v>506.8823127476889</c:v>
                </c:pt>
                <c:pt idx="53">
                  <c:v>527.09028501417185</c:v>
                </c:pt>
                <c:pt idx="54">
                  <c:v>547.2819487678953</c:v>
                </c:pt>
                <c:pt idx="55">
                  <c:v>567.45798988344666</c:v>
                </c:pt>
                <c:pt idx="56">
                  <c:v>530.08265448348277</c:v>
                </c:pt>
                <c:pt idx="57">
                  <c:v>548.77699801739243</c:v>
                </c:pt>
                <c:pt idx="58">
                  <c:v>567.45798988344666</c:v>
                </c:pt>
                <c:pt idx="59">
                  <c:v>586.12613117064211</c:v>
                </c:pt>
                <c:pt idx="60">
                  <c:v>604.78188847071704</c:v>
                </c:pt>
                <c:pt idx="61">
                  <c:v>572.68634410740208</c:v>
                </c:pt>
                <c:pt idx="62">
                  <c:v>590.04485244072748</c:v>
                </c:pt>
                <c:pt idx="63">
                  <c:v>607.39273139699276</c:v>
                </c:pt>
                <c:pt idx="64">
                  <c:v>624.73032709457823</c:v>
                </c:pt>
                <c:pt idx="65">
                  <c:v>642.05796488895498</c:v>
                </c:pt>
                <c:pt idx="66">
                  <c:v>613.3594992761856</c:v>
                </c:pt>
                <c:pt idx="67">
                  <c:v>629.38925981661589</c:v>
                </c:pt>
                <c:pt idx="68">
                  <c:v>645.41057723213919</c:v>
                </c:pt>
                <c:pt idx="69">
                  <c:v>661.42369048595856</c:v>
                </c:pt>
                <c:pt idx="70">
                  <c:v>677.42882603564658</c:v>
                </c:pt>
                <c:pt idx="71">
                  <c:v>650.25260563533459</c:v>
                </c:pt>
                <c:pt idx="72">
                  <c:v>664.96038766605932</c:v>
                </c:pt>
                <c:pt idx="73">
                  <c:v>679.6614788352457</c:v>
                </c:pt>
                <c:pt idx="74">
                  <c:v>694.35604416044907</c:v>
                </c:pt>
                <c:pt idx="75">
                  <c:v>709.04424111007302</c:v>
                </c:pt>
                <c:pt idx="76">
                  <c:v>682.63811513058772</c:v>
                </c:pt>
                <c:pt idx="77">
                  <c:v>696.21565844927864</c:v>
                </c:pt>
                <c:pt idx="78">
                  <c:v>709.78778066070856</c:v>
                </c:pt>
                <c:pt idx="79">
                  <c:v>723.35459996506006</c:v>
                </c:pt>
                <c:pt idx="80">
                  <c:v>736.91622977013833</c:v>
                </c:pt>
                <c:pt idx="81">
                  <c:v>1.5119369728679821E-12</c:v>
                </c:pt>
                <c:pt idx="82">
                  <c:v>1.5119369728679821E-12</c:v>
                </c:pt>
                <c:pt idx="83">
                  <c:v>1.5119369728679821E-12</c:v>
                </c:pt>
                <c:pt idx="84">
                  <c:v>1.5119369728679821E-12</c:v>
                </c:pt>
                <c:pt idx="85">
                  <c:v>1.5119369728679821E-12</c:v>
                </c:pt>
                <c:pt idx="86">
                  <c:v>1.5119369728679821E-12</c:v>
                </c:pt>
                <c:pt idx="87">
                  <c:v>1.5119369728679821E-12</c:v>
                </c:pt>
                <c:pt idx="88">
                  <c:v>1.5119369728679821E-12</c:v>
                </c:pt>
                <c:pt idx="89">
                  <c:v>1.5119369728679821E-12</c:v>
                </c:pt>
                <c:pt idx="90">
                  <c:v>1.5119369728679821E-12</c:v>
                </c:pt>
                <c:pt idx="91">
                  <c:v>1.5119369728679821E-12</c:v>
                </c:pt>
                <c:pt idx="92">
                  <c:v>1.5119369728679821E-12</c:v>
                </c:pt>
                <c:pt idx="93">
                  <c:v>1.5119369728679821E-12</c:v>
                </c:pt>
                <c:pt idx="94">
                  <c:v>1.5119369728679821E-12</c:v>
                </c:pt>
                <c:pt idx="95">
                  <c:v>1.5119369728679821E-12</c:v>
                </c:pt>
                <c:pt idx="96">
                  <c:v>1.5119369728679821E-12</c:v>
                </c:pt>
                <c:pt idx="97">
                  <c:v>1.5119369728679821E-12</c:v>
                </c:pt>
                <c:pt idx="98">
                  <c:v>1.5119369728679821E-12</c:v>
                </c:pt>
                <c:pt idx="99">
                  <c:v>1.5119369728679821E-12</c:v>
                </c:pt>
                <c:pt idx="100">
                  <c:v>1.5119369728679821E-12</c:v>
                </c:pt>
                <c:pt idx="101">
                  <c:v>1.5119369728679821E-12</c:v>
                </c:pt>
                <c:pt idx="102">
                  <c:v>1.5119369728679821E-12</c:v>
                </c:pt>
                <c:pt idx="103">
                  <c:v>1.5119369728679821E-12</c:v>
                </c:pt>
                <c:pt idx="104">
                  <c:v>1.5119369728679821E-12</c:v>
                </c:pt>
                <c:pt idx="105">
                  <c:v>1.5119369728679821E-12</c:v>
                </c:pt>
                <c:pt idx="106">
                  <c:v>1.5119369728679821E-12</c:v>
                </c:pt>
                <c:pt idx="107">
                  <c:v>1.5119369728679821E-12</c:v>
                </c:pt>
                <c:pt idx="108">
                  <c:v>1.5119369728679821E-12</c:v>
                </c:pt>
                <c:pt idx="109">
                  <c:v>1.5119369728679821E-12</c:v>
                </c:pt>
                <c:pt idx="110">
                  <c:v>1.5119369728679821E-12</c:v>
                </c:pt>
                <c:pt idx="111">
                  <c:v>1.5119369728679821E-12</c:v>
                </c:pt>
                <c:pt idx="112">
                  <c:v>1.5119369728679821E-12</c:v>
                </c:pt>
                <c:pt idx="113">
                  <c:v>1.5119369728679821E-12</c:v>
                </c:pt>
                <c:pt idx="114">
                  <c:v>1.5119369728679821E-12</c:v>
                </c:pt>
                <c:pt idx="115">
                  <c:v>1.5119369728679821E-12</c:v>
                </c:pt>
                <c:pt idx="116">
                  <c:v>1.5119369728679821E-12</c:v>
                </c:pt>
                <c:pt idx="117">
                  <c:v>1.5119369728679821E-12</c:v>
                </c:pt>
                <c:pt idx="118">
                  <c:v>1.5119369728679821E-12</c:v>
                </c:pt>
                <c:pt idx="119">
                  <c:v>1.5119369728679821E-12</c:v>
                </c:pt>
                <c:pt idx="120">
                  <c:v>1.5119369728679821E-12</c:v>
                </c:pt>
                <c:pt idx="121">
                  <c:v>1.5119369728679821E-12</c:v>
                </c:pt>
                <c:pt idx="122">
                  <c:v>1.5119369728679821E-12</c:v>
                </c:pt>
                <c:pt idx="123">
                  <c:v>1.5119369728679821E-12</c:v>
                </c:pt>
                <c:pt idx="124">
                  <c:v>1.5119369728679821E-12</c:v>
                </c:pt>
                <c:pt idx="125">
                  <c:v>1.5119369728679821E-12</c:v>
                </c:pt>
                <c:pt idx="126">
                  <c:v>1.5119369728679821E-12</c:v>
                </c:pt>
                <c:pt idx="127">
                  <c:v>1.5119369728679821E-12</c:v>
                </c:pt>
                <c:pt idx="128">
                  <c:v>1.5119369728679821E-12</c:v>
                </c:pt>
                <c:pt idx="129">
                  <c:v>1.5119369728679821E-12</c:v>
                </c:pt>
                <c:pt idx="130">
                  <c:v>1.5119369728679821E-12</c:v>
                </c:pt>
                <c:pt idx="131">
                  <c:v>1.5119369728679821E-12</c:v>
                </c:pt>
                <c:pt idx="132">
                  <c:v>1.5119369728679821E-12</c:v>
                </c:pt>
                <c:pt idx="133">
                  <c:v>1.5119369728679821E-12</c:v>
                </c:pt>
                <c:pt idx="134">
                  <c:v>1.5119369728679821E-12</c:v>
                </c:pt>
                <c:pt idx="135">
                  <c:v>1.5119369728679821E-12</c:v>
                </c:pt>
                <c:pt idx="136">
                  <c:v>1.5119369728679821E-12</c:v>
                </c:pt>
                <c:pt idx="137">
                  <c:v>1.5119369728679821E-12</c:v>
                </c:pt>
                <c:pt idx="138">
                  <c:v>1.5119369728679821E-12</c:v>
                </c:pt>
                <c:pt idx="139">
                  <c:v>1.5119369728679821E-12</c:v>
                </c:pt>
                <c:pt idx="140">
                  <c:v>1.5119369728679821E-12</c:v>
                </c:pt>
                <c:pt idx="141">
                  <c:v>1.5119369728679821E-12</c:v>
                </c:pt>
                <c:pt idx="142">
                  <c:v>1.5119369728679821E-12</c:v>
                </c:pt>
                <c:pt idx="143">
                  <c:v>1.5119369728679821E-12</c:v>
                </c:pt>
                <c:pt idx="144">
                  <c:v>1.5119369728679821E-12</c:v>
                </c:pt>
                <c:pt idx="145">
                  <c:v>1.5119369728679821E-12</c:v>
                </c:pt>
                <c:pt idx="146">
                  <c:v>1.5119369728679821E-12</c:v>
                </c:pt>
                <c:pt idx="147">
                  <c:v>1.5119369728679821E-12</c:v>
                </c:pt>
                <c:pt idx="148">
                  <c:v>1.5119369728679821E-12</c:v>
                </c:pt>
                <c:pt idx="149">
                  <c:v>1.5119369728679821E-12</c:v>
                </c:pt>
                <c:pt idx="150">
                  <c:v>1.5119369728679821E-12</c:v>
                </c:pt>
                <c:pt idx="151">
                  <c:v>1.5119369728679821E-12</c:v>
                </c:pt>
                <c:pt idx="152">
                  <c:v>1.5119369728679821E-12</c:v>
                </c:pt>
                <c:pt idx="153">
                  <c:v>1.5119369728679821E-12</c:v>
                </c:pt>
                <c:pt idx="154">
                  <c:v>1.5119369728679821E-12</c:v>
                </c:pt>
                <c:pt idx="155">
                  <c:v>1.5119369728679821E-12</c:v>
                </c:pt>
                <c:pt idx="156">
                  <c:v>1.5119369728679821E-12</c:v>
                </c:pt>
                <c:pt idx="157">
                  <c:v>1.5119369728679821E-12</c:v>
                </c:pt>
                <c:pt idx="158">
                  <c:v>1.5119369728679821E-12</c:v>
                </c:pt>
                <c:pt idx="159">
                  <c:v>1.5119369728679821E-12</c:v>
                </c:pt>
                <c:pt idx="160">
                  <c:v>1.5119369728679821E-12</c:v>
                </c:pt>
                <c:pt idx="161">
                  <c:v>1.5119369728679821E-12</c:v>
                </c:pt>
                <c:pt idx="162">
                  <c:v>1.5119369728679821E-12</c:v>
                </c:pt>
                <c:pt idx="163">
                  <c:v>1.5119369728679821E-12</c:v>
                </c:pt>
                <c:pt idx="164">
                  <c:v>1.5119369728679821E-12</c:v>
                </c:pt>
                <c:pt idx="165">
                  <c:v>1.5119369728679821E-12</c:v>
                </c:pt>
                <c:pt idx="166">
                  <c:v>1.5119369728679821E-12</c:v>
                </c:pt>
                <c:pt idx="167">
                  <c:v>1.5119369728679821E-12</c:v>
                </c:pt>
                <c:pt idx="168">
                  <c:v>1.5119369728679821E-12</c:v>
                </c:pt>
                <c:pt idx="169">
                  <c:v>1.5119369728679821E-12</c:v>
                </c:pt>
                <c:pt idx="170">
                  <c:v>1.5119369728679821E-12</c:v>
                </c:pt>
                <c:pt idx="171">
                  <c:v>1.5119369728679821E-12</c:v>
                </c:pt>
                <c:pt idx="172">
                  <c:v>1.5119369728679821E-12</c:v>
                </c:pt>
                <c:pt idx="173">
                  <c:v>1.5119369728679821E-12</c:v>
                </c:pt>
                <c:pt idx="174">
                  <c:v>1.5119369728679821E-12</c:v>
                </c:pt>
                <c:pt idx="175">
                  <c:v>1.5119369728679821E-12</c:v>
                </c:pt>
                <c:pt idx="176">
                  <c:v>1.5119369728679821E-12</c:v>
                </c:pt>
                <c:pt idx="177">
                  <c:v>1.5119369728679821E-12</c:v>
                </c:pt>
                <c:pt idx="178">
                  <c:v>1.5119369728679821E-12</c:v>
                </c:pt>
                <c:pt idx="179">
                  <c:v>1.5119369728679821E-12</c:v>
                </c:pt>
                <c:pt idx="180">
                  <c:v>1.5119369728679821E-12</c:v>
                </c:pt>
                <c:pt idx="181">
                  <c:v>1.5119369728679821E-12</c:v>
                </c:pt>
                <c:pt idx="182">
                  <c:v>1.5119369728679821E-12</c:v>
                </c:pt>
                <c:pt idx="183">
                  <c:v>1.5119369728679821E-12</c:v>
                </c:pt>
                <c:pt idx="184">
                  <c:v>1.5119369728679821E-12</c:v>
                </c:pt>
                <c:pt idx="185">
                  <c:v>1.5119369728679821E-12</c:v>
                </c:pt>
                <c:pt idx="186">
                  <c:v>1.5119369728679821E-12</c:v>
                </c:pt>
                <c:pt idx="187">
                  <c:v>1.5119369728679821E-12</c:v>
                </c:pt>
                <c:pt idx="188">
                  <c:v>1.5119369728679821E-12</c:v>
                </c:pt>
                <c:pt idx="189">
                  <c:v>1.5119369728679821E-12</c:v>
                </c:pt>
                <c:pt idx="190">
                  <c:v>1.5119369728679821E-12</c:v>
                </c:pt>
                <c:pt idx="191">
                  <c:v>1.5119369728679821E-12</c:v>
                </c:pt>
                <c:pt idx="192">
                  <c:v>1.5119369728679821E-12</c:v>
                </c:pt>
                <c:pt idx="193">
                  <c:v>1.5119369728679821E-12</c:v>
                </c:pt>
                <c:pt idx="194">
                  <c:v>1.5119369728679821E-12</c:v>
                </c:pt>
                <c:pt idx="195">
                  <c:v>1.5119369728679821E-12</c:v>
                </c:pt>
                <c:pt idx="196">
                  <c:v>1.5119369728679821E-12</c:v>
                </c:pt>
                <c:pt idx="197">
                  <c:v>1.5119369728679821E-12</c:v>
                </c:pt>
                <c:pt idx="198">
                  <c:v>1.5119369728679821E-12</c:v>
                </c:pt>
                <c:pt idx="199">
                  <c:v>1.5119369728679821E-12</c:v>
                </c:pt>
                <c:pt idx="200">
                  <c:v>1.5119369728679821E-12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6.7432111156735068</c:v>
                </c:pt>
                <c:pt idx="2">
                  <c:v>13.182598552585789</c:v>
                </c:pt>
                <c:pt idx="3">
                  <c:v>19.523866192252829</c:v>
                </c:pt>
                <c:pt idx="4">
                  <c:v>25.80465050590206</c:v>
                </c:pt>
                <c:pt idx="5">
                  <c:v>32.042009576098863</c:v>
                </c:pt>
                <c:pt idx="6">
                  <c:v>38.245674045333381</c:v>
                </c:pt>
                <c:pt idx="7">
                  <c:v>44.421916882578216</c:v>
                </c:pt>
                <c:pt idx="8">
                  <c:v>50.57510745837947</c:v>
                </c:pt>
                <c:pt idx="9">
                  <c:v>56.708457315671353</c:v>
                </c:pt>
                <c:pt idx="10">
                  <c:v>62.824422453272774</c:v>
                </c:pt>
                <c:pt idx="11">
                  <c:v>68.924939245821307</c:v>
                </c:pt>
                <c:pt idx="12">
                  <c:v>75.011571806369588</c:v>
                </c:pt>
                <c:pt idx="13">
                  <c:v>81.085608697074022</c:v>
                </c:pt>
                <c:pt idx="14">
                  <c:v>87.148128978432666</c:v>
                </c:pt>
                <c:pt idx="15">
                  <c:v>93.200048824492924</c:v>
                </c:pt>
                <c:pt idx="16">
                  <c:v>99.242155341803141</c:v>
                </c:pt>
                <c:pt idx="17">
                  <c:v>105.27513168766744</c:v>
                </c:pt>
                <c:pt idx="18">
                  <c:v>111.29957610770066</c:v>
                </c:pt>
                <c:pt idx="19">
                  <c:v>117.31601662152924</c:v>
                </c:pt>
                <c:pt idx="20">
                  <c:v>123.32492252856525</c:v>
                </c:pt>
                <c:pt idx="21">
                  <c:v>129.32671354723092</c:v>
                </c:pt>
                <c:pt idx="22">
                  <c:v>135.32176716405539</c:v>
                </c:pt>
                <c:pt idx="23">
                  <c:v>141.31042460880101</c:v>
                </c:pt>
                <c:pt idx="24">
                  <c:v>147.29299576111521</c:v>
                </c:pt>
                <c:pt idx="25">
                  <c:v>153.26976321636414</c:v>
                </c:pt>
                <c:pt idx="26">
                  <c:v>159.24098568262056</c:v>
                </c:pt>
                <c:pt idx="27">
                  <c:v>165.20690084033879</c:v>
                </c:pt>
                <c:pt idx="28">
                  <c:v>171.16772776646476</c:v>
                </c:pt>
                <c:pt idx="29">
                  <c:v>177.12366900251277</c:v>
                </c:pt>
                <c:pt idx="30">
                  <c:v>183.07491232937616</c:v>
                </c:pt>
                <c:pt idx="31">
                  <c:v>189.02163229884937</c:v>
                </c:pt>
                <c:pt idx="32">
                  <c:v>194.96399156198288</c:v>
                </c:pt>
                <c:pt idx="33">
                  <c:v>200.90214202672894</c:v>
                </c:pt>
                <c:pt idx="34">
                  <c:v>206.8362258713247</c:v>
                </c:pt>
                <c:pt idx="35">
                  <c:v>212.76637643510313</c:v>
                </c:pt>
                <c:pt idx="36">
                  <c:v>218.69271900463548</c:v>
                </c:pt>
                <c:pt idx="37">
                  <c:v>224.61537151006931</c:v>
                </c:pt>
                <c:pt idx="38">
                  <c:v>230.53444514406942</c:v>
                </c:pt>
                <c:pt idx="39">
                  <c:v>236.45004491377424</c:v>
                </c:pt>
                <c:pt idx="40">
                  <c:v>242.36227013454877</c:v>
                </c:pt>
                <c:pt idx="41">
                  <c:v>248.27121487297197</c:v>
                </c:pt>
                <c:pt idx="42">
                  <c:v>254.17696834538913</c:v>
                </c:pt>
                <c:pt idx="43">
                  <c:v>204.45147752870034</c:v>
                </c:pt>
                <c:pt idx="44">
                  <c:v>219.09167238360394</c:v>
                </c:pt>
                <c:pt idx="45">
                  <c:v>233.70939691835724</c:v>
                </c:pt>
                <c:pt idx="46">
                  <c:v>248.30625483378697</c:v>
                </c:pt>
                <c:pt idx="47">
                  <c:v>262.88364577483549</c:v>
                </c:pt>
                <c:pt idx="48">
                  <c:v>277.44280141283173</c:v>
                </c:pt>
                <c:pt idx="49">
                  <c:v>291.98481354908614</c:v>
                </c:pt>
                <c:pt idx="50">
                  <c:v>306.51065632174317</c:v>
                </c:pt>
                <c:pt idx="51">
                  <c:v>267.42718467079789</c:v>
                </c:pt>
                <c:pt idx="52">
                  <c:v>282.34594256745601</c:v>
                </c:pt>
                <c:pt idx="53">
                  <c:v>297.24704291651614</c:v>
                </c:pt>
                <c:pt idx="54">
                  <c:v>312.13149558778292</c:v>
                </c:pt>
                <c:pt idx="55">
                  <c:v>327.00020625700802</c:v>
                </c:pt>
                <c:pt idx="56">
                  <c:v>341.85399150498546</c:v>
                </c:pt>
                <c:pt idx="57">
                  <c:v>356.69359115404433</c:v>
                </c:pt>
                <c:pt idx="58">
                  <c:v>371.51967844362497</c:v>
                </c:pt>
                <c:pt idx="59">
                  <c:v>317.54561999664776</c:v>
                </c:pt>
                <c:pt idx="60">
                  <c:v>332.0414858135502</c:v>
                </c:pt>
                <c:pt idx="61">
                  <c:v>346.52340185807208</c:v>
                </c:pt>
                <c:pt idx="62">
                  <c:v>360.99203322038721</c:v>
                </c:pt>
                <c:pt idx="63">
                  <c:v>375.44798732409254</c:v>
                </c:pt>
                <c:pt idx="64">
                  <c:v>389.89182100063732</c:v>
                </c:pt>
                <c:pt idx="65">
                  <c:v>404.3240464605563</c:v>
                </c:pt>
                <c:pt idx="66">
                  <c:v>418.74513636757212</c:v>
                </c:pt>
                <c:pt idx="67">
                  <c:v>355.96007783250315</c:v>
                </c:pt>
                <c:pt idx="68">
                  <c:v>369.88589352480886</c:v>
                </c:pt>
                <c:pt idx="69">
                  <c:v>383.80027527830481</c:v>
                </c:pt>
                <c:pt idx="70">
                  <c:v>397.70369600169761</c:v>
                </c:pt>
                <c:pt idx="71">
                  <c:v>411.59659284143487</c:v>
                </c:pt>
                <c:pt idx="72">
                  <c:v>425.47937102728673</c:v>
                </c:pt>
                <c:pt idx="73">
                  <c:v>439.35240718983852</c:v>
                </c:pt>
                <c:pt idx="74">
                  <c:v>453.21605223713573</c:v>
                </c:pt>
                <c:pt idx="75">
                  <c:v>393.62251769327281</c:v>
                </c:pt>
                <c:pt idx="76">
                  <c:v>407.25195361251866</c:v>
                </c:pt>
                <c:pt idx="77">
                  <c:v>420.87153667059289</c:v>
                </c:pt>
                <c:pt idx="78">
                  <c:v>434.4816306046377</c:v>
                </c:pt>
                <c:pt idx="79">
                  <c:v>448.08257450662171</c:v>
                </c:pt>
                <c:pt idx="80">
                  <c:v>461.67468520627</c:v>
                </c:pt>
                <c:pt idx="81">
                  <c:v>475.25825935877418</c:v>
                </c:pt>
                <c:pt idx="82">
                  <c:v>488.83357528141732</c:v>
                </c:pt>
                <c:pt idx="83">
                  <c:v>502.4008945755906</c:v>
                </c:pt>
                <c:pt idx="84">
                  <c:v>515.96046356450768</c:v>
                </c:pt>
                <c:pt idx="85">
                  <c:v>434.14672847990687</c:v>
                </c:pt>
                <c:pt idx="86">
                  <c:v>447.21524176322163</c:v>
                </c:pt>
                <c:pt idx="87">
                  <c:v>460.275582399923</c:v>
                </c:pt>
                <c:pt idx="88">
                  <c:v>473.32801494027632</c:v>
                </c:pt>
                <c:pt idx="89">
                  <c:v>486.37278815580493</c:v>
                </c:pt>
                <c:pt idx="90">
                  <c:v>499.41013638723661</c:v>
                </c:pt>
                <c:pt idx="91">
                  <c:v>512.44028074439348</c:v>
                </c:pt>
                <c:pt idx="92">
                  <c:v>525.46343017770653</c:v>
                </c:pt>
                <c:pt idx="93">
                  <c:v>538.47978243800196</c:v>
                </c:pt>
                <c:pt idx="94">
                  <c:v>551.48952493867966</c:v>
                </c:pt>
                <c:pt idx="95">
                  <c:v>468.53368208975917</c:v>
                </c:pt>
                <c:pt idx="96">
                  <c:v>481.25276290934448</c:v>
                </c:pt>
                <c:pt idx="97">
                  <c:v>493.96470219106681</c:v>
                </c:pt>
                <c:pt idx="98">
                  <c:v>506.66970959084148</c:v>
                </c:pt>
                <c:pt idx="99">
                  <c:v>519.36798339427139</c:v>
                </c:pt>
                <c:pt idx="100">
                  <c:v>532.05971140206191</c:v>
                </c:pt>
                <c:pt idx="101">
                  <c:v>544.74507172657684</c:v>
                </c:pt>
                <c:pt idx="102">
                  <c:v>557.42423351035325</c:v>
                </c:pt>
                <c:pt idx="103">
                  <c:v>570.09735757586316</c:v>
                </c:pt>
                <c:pt idx="104">
                  <c:v>582.76459701450892</c:v>
                </c:pt>
                <c:pt idx="105">
                  <c:v>501.56550941466026</c:v>
                </c:pt>
                <c:pt idx="106">
                  <c:v>514.1287255959686</c:v>
                </c:pt>
                <c:pt idx="107">
                  <c:v>526.68546260832591</c:v>
                </c:pt>
                <c:pt idx="108">
                  <c:v>539.23589665989698</c:v>
                </c:pt>
                <c:pt idx="109">
                  <c:v>551.7801950894027</c:v>
                </c:pt>
                <c:pt idx="110">
                  <c:v>564.31851700829145</c:v>
                </c:pt>
                <c:pt idx="111">
                  <c:v>576.8510138828857</c:v>
                </c:pt>
                <c:pt idx="112">
                  <c:v>589.37783006332347</c:v>
                </c:pt>
                <c:pt idx="113">
                  <c:v>601.89910326520578</c:v>
                </c:pt>
                <c:pt idx="114">
                  <c:v>614.41496500909921</c:v>
                </c:pt>
                <c:pt idx="115">
                  <c:v>539.41463710263349</c:v>
                </c:pt>
                <c:pt idx="116">
                  <c:v>552.05951899010711</c:v>
                </c:pt>
                <c:pt idx="117">
                  <c:v>564.69833153335549</c:v>
                </c:pt>
                <c:pt idx="118">
                  <c:v>577.33122967836152</c:v>
                </c:pt>
                <c:pt idx="119">
                  <c:v>589.95836103929344</c:v>
                </c:pt>
                <c:pt idx="120">
                  <c:v>602.57986639822525</c:v>
                </c:pt>
                <c:pt idx="121">
                  <c:v>615.19588016082901</c:v>
                </c:pt>
                <c:pt idx="122">
                  <c:v>627.80653077275804</c:v>
                </c:pt>
                <c:pt idx="123">
                  <c:v>640.41194110084928</c:v>
                </c:pt>
                <c:pt idx="124">
                  <c:v>653.01222878276758</c:v>
                </c:pt>
                <c:pt idx="125">
                  <c:v>584.00097925693615</c:v>
                </c:pt>
                <c:pt idx="126">
                  <c:v>596.77658915370728</c:v>
                </c:pt>
                <c:pt idx="127">
                  <c:v>609.54651232690765</c:v>
                </c:pt>
                <c:pt idx="128">
                  <c:v>622.31088465597031</c:v>
                </c:pt>
                <c:pt idx="129">
                  <c:v>635.06983599395392</c:v>
                </c:pt>
                <c:pt idx="130">
                  <c:v>647.82349055305247</c:v>
                </c:pt>
                <c:pt idx="131">
                  <c:v>660.57196725818403</c:v>
                </c:pt>
                <c:pt idx="132">
                  <c:v>673.31538007187885</c:v>
                </c:pt>
                <c:pt idx="133">
                  <c:v>686.0538382933056</c:v>
                </c:pt>
                <c:pt idx="134">
                  <c:v>698.78744683394837</c:v>
                </c:pt>
                <c:pt idx="135">
                  <c:v>625.84936949366295</c:v>
                </c:pt>
                <c:pt idx="136">
                  <c:v>638.77788373150395</c:v>
                </c:pt>
                <c:pt idx="137">
                  <c:v>651.70099421407235</c:v>
                </c:pt>
                <c:pt idx="138">
                  <c:v>664.61882314617878</c:v>
                </c:pt>
                <c:pt idx="139">
                  <c:v>677.53148759720932</c:v>
                </c:pt>
                <c:pt idx="140">
                  <c:v>690.43909981273555</c:v>
                </c:pt>
                <c:pt idx="141">
                  <c:v>703.34176750161987</c:v>
                </c:pt>
                <c:pt idx="142">
                  <c:v>716.23959410097314</c:v>
                </c:pt>
                <c:pt idx="143">
                  <c:v>729.13267902104781</c:v>
                </c:pt>
                <c:pt idx="144">
                  <c:v>742.02111787192052</c:v>
                </c:pt>
                <c:pt idx="145">
                  <c:v>668.00705685257617</c:v>
                </c:pt>
                <c:pt idx="146">
                  <c:v>681.18802320419911</c:v>
                </c:pt>
                <c:pt idx="147">
                  <c:v>694.36375630076782</c:v>
                </c:pt>
                <c:pt idx="148">
                  <c:v>707.53436938094944</c:v>
                </c:pt>
                <c:pt idx="149">
                  <c:v>720.69997112636872</c:v>
                </c:pt>
                <c:pt idx="150">
                  <c:v>733.86066592662235</c:v>
                </c:pt>
                <c:pt idx="151">
                  <c:v>747.01655412430728</c:v>
                </c:pt>
                <c:pt idx="152">
                  <c:v>760.16773224190672</c:v>
                </c:pt>
                <c:pt idx="153">
                  <c:v>773.31429319216602</c:v>
                </c:pt>
                <c:pt idx="154">
                  <c:v>786.45632647343439</c:v>
                </c:pt>
                <c:pt idx="155">
                  <c:v>713.80821731942024</c:v>
                </c:pt>
                <c:pt idx="156">
                  <c:v>727.18717222886983</c:v>
                </c:pt>
                <c:pt idx="157">
                  <c:v>740.56110961327749</c:v>
                </c:pt>
                <c:pt idx="158">
                  <c:v>753.93013279284457</c:v>
                </c:pt>
                <c:pt idx="159">
                  <c:v>767.2943411273294</c:v>
                </c:pt>
                <c:pt idx="160">
                  <c:v>780.65383023562288</c:v>
                </c:pt>
                <c:pt idx="161">
                  <c:v>794.00869219952654</c:v>
                </c:pt>
                <c:pt idx="162">
                  <c:v>807.35901575311357</c:v>
                </c:pt>
                <c:pt idx="163">
                  <c:v>820.70488645893067</c:v>
                </c:pt>
                <c:pt idx="164">
                  <c:v>834.04638687214958</c:v>
                </c:pt>
                <c:pt idx="165">
                  <c:v>754.6767839839431</c:v>
                </c:pt>
                <c:pt idx="166">
                  <c:v>768.2294325668845</c:v>
                </c:pt>
                <c:pt idx="167">
                  <c:v>781.77723441703108</c:v>
                </c:pt>
                <c:pt idx="168">
                  <c:v>795.32028529783645</c:v>
                </c:pt>
                <c:pt idx="169">
                  <c:v>808.85867744799032</c:v>
                </c:pt>
                <c:pt idx="170">
                  <c:v>822.3924997691978</c:v>
                </c:pt>
                <c:pt idx="171">
                  <c:v>835.92183800096609</c:v>
                </c:pt>
                <c:pt idx="172">
                  <c:v>849.44677488349805</c:v>
                </c:pt>
                <c:pt idx="173">
                  <c:v>862.96739030968263</c:v>
                </c:pt>
                <c:pt idx="174">
                  <c:v>876.48376146707153</c:v>
                </c:pt>
                <c:pt idx="175">
                  <c:v>546.5689120278023</c:v>
                </c:pt>
                <c:pt idx="176">
                  <c:v>555.2750756033621</c:v>
                </c:pt>
                <c:pt idx="177">
                  <c:v>563.97838005949154</c:v>
                </c:pt>
                <c:pt idx="178">
                  <c:v>386.29893628029026</c:v>
                </c:pt>
                <c:pt idx="179">
                  <c:v>391.67013972809582</c:v>
                </c:pt>
                <c:pt idx="180">
                  <c:v>397.03974550163798</c:v>
                </c:pt>
                <c:pt idx="181">
                  <c:v>275.67724414252132</c:v>
                </c:pt>
                <c:pt idx="182">
                  <c:v>278.97786350870115</c:v>
                </c:pt>
                <c:pt idx="183">
                  <c:v>282.27760677142129</c:v>
                </c:pt>
                <c:pt idx="184">
                  <c:v>1.242315967412181E-11</c:v>
                </c:pt>
                <c:pt idx="185">
                  <c:v>1.242315967412181E-11</c:v>
                </c:pt>
                <c:pt idx="186">
                  <c:v>1.242315967412181E-11</c:v>
                </c:pt>
                <c:pt idx="187">
                  <c:v>1.242315967412181E-11</c:v>
                </c:pt>
                <c:pt idx="188">
                  <c:v>1.242315967412181E-11</c:v>
                </c:pt>
                <c:pt idx="189">
                  <c:v>1.242315967412181E-11</c:v>
                </c:pt>
                <c:pt idx="190">
                  <c:v>1.242315967412181E-11</c:v>
                </c:pt>
                <c:pt idx="191">
                  <c:v>1.242315967412181E-11</c:v>
                </c:pt>
                <c:pt idx="192">
                  <c:v>1.242315967412181E-11</c:v>
                </c:pt>
                <c:pt idx="193">
                  <c:v>1.242315967412181E-11</c:v>
                </c:pt>
                <c:pt idx="194">
                  <c:v>1.242315967412181E-11</c:v>
                </c:pt>
                <c:pt idx="195">
                  <c:v>1.242315967412181E-11</c:v>
                </c:pt>
                <c:pt idx="196">
                  <c:v>1.242315967412181E-11</c:v>
                </c:pt>
                <c:pt idx="197">
                  <c:v>1.242315967412181E-11</c:v>
                </c:pt>
                <c:pt idx="198">
                  <c:v>1.242315967412181E-11</c:v>
                </c:pt>
                <c:pt idx="199">
                  <c:v>1.242315967412181E-11</c:v>
                </c:pt>
                <c:pt idx="200">
                  <c:v>1.242315967412181E-11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4" sqref="E14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9" t="s">
        <v>231</v>
      </c>
      <c r="B5" s="269"/>
      <c r="C5" s="24">
        <v>4.01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v>0.8</v>
      </c>
      <c r="D9" s="33">
        <f t="shared" ref="D9:D18" si="0">C9*$C$5</f>
        <v>3.2080000000000002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18</v>
      </c>
      <c r="C10" s="32">
        <v>0.05</v>
      </c>
      <c r="D10" s="33">
        <f t="shared" si="0"/>
        <v>0.20050000000000001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156</v>
      </c>
      <c r="C11" s="32">
        <v>0.05</v>
      </c>
      <c r="D11" s="33">
        <f t="shared" si="0"/>
        <v>0.20050000000000001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50</v>
      </c>
      <c r="C12" s="32">
        <v>0.05</v>
      </c>
      <c r="D12" s="33">
        <f t="shared" si="0"/>
        <v>0.20050000000000001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6</v>
      </c>
      <c r="C13" s="32">
        <v>0.05</v>
      </c>
      <c r="D13" s="33">
        <f t="shared" si="0"/>
        <v>0.20050000000000001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1.0000000000000002</v>
      </c>
      <c r="D19" s="38">
        <f>SUM(D9:D18)</f>
        <v>4.01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21</v>
      </c>
      <c r="B62" s="60">
        <v>195.31</v>
      </c>
      <c r="C62" s="60">
        <v>1</v>
      </c>
      <c r="D62" s="60">
        <v>64.599999999999994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9.300476190476191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28</v>
      </c>
      <c r="B63" s="60">
        <v>282.01</v>
      </c>
      <c r="C63" s="60">
        <v>2</v>
      </c>
      <c r="D63" s="60">
        <v>67.639999999999986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21.61428571428571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35</v>
      </c>
      <c r="B64" s="60">
        <v>377.23</v>
      </c>
      <c r="C64" s="60">
        <v>3</v>
      </c>
      <c r="D64" s="60">
        <v>86.700000000000045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23.265714285714289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42</v>
      </c>
      <c r="B65" s="60">
        <v>450.49</v>
      </c>
      <c r="C65" s="60">
        <v>4</v>
      </c>
      <c r="D65" s="60">
        <v>100.04000000000002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22.851428571428578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49</v>
      </c>
      <c r="B66" s="60">
        <v>504.24</v>
      </c>
      <c r="C66" s="60">
        <v>5</v>
      </c>
      <c r="D66" s="60">
        <v>112.69999999999999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21.970000000000002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56</v>
      </c>
      <c r="B67" s="60">
        <v>534.03</v>
      </c>
      <c r="C67" s="60">
        <v>6</v>
      </c>
      <c r="D67" s="60">
        <v>94.669999999999959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20.355714285714278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63</v>
      </c>
      <c r="B68" s="60">
        <v>569.67999999999995</v>
      </c>
      <c r="C68" s="60">
        <v>7</v>
      </c>
      <c r="D68" s="60">
        <v>99.599999999999966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18.617142857142849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70</v>
      </c>
      <c r="B69" s="50">
        <v>586.86</v>
      </c>
      <c r="C69" s="50">
        <v>8</v>
      </c>
      <c r="D69" s="50">
        <v>586.86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16.682857142857149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Séquoia toujours vert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20</v>
      </c>
      <c r="B88" s="60">
        <v>134</v>
      </c>
      <c r="C88" s="60">
        <v>1</v>
      </c>
      <c r="D88" s="60">
        <v>5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6.7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25</v>
      </c>
      <c r="B89" s="60">
        <v>243</v>
      </c>
      <c r="C89" s="60">
        <v>2</v>
      </c>
      <c r="D89" s="60">
        <v>63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22.8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308</v>
      </c>
      <c r="C90" s="60">
        <v>3</v>
      </c>
      <c r="D90" s="60">
        <v>63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25.6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35</v>
      </c>
      <c r="B91" s="60">
        <v>376</v>
      </c>
      <c r="C91" s="60">
        <v>4</v>
      </c>
      <c r="D91" s="60">
        <v>63</v>
      </c>
      <c r="E91" s="87">
        <v>0.25</v>
      </c>
      <c r="F91" s="87">
        <v>0.37</v>
      </c>
      <c r="G91" s="87">
        <v>0.38</v>
      </c>
      <c r="H91" s="87">
        <v>0</v>
      </c>
      <c r="I91" s="53">
        <f t="shared" si="3"/>
        <v>26.2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40</v>
      </c>
      <c r="B92" s="60">
        <v>440</v>
      </c>
      <c r="C92" s="60">
        <v>5</v>
      </c>
      <c r="D92" s="60">
        <v>63</v>
      </c>
      <c r="E92" s="87">
        <v>0.25</v>
      </c>
      <c r="F92" s="87">
        <v>0.37</v>
      </c>
      <c r="G92" s="87">
        <v>0.38</v>
      </c>
      <c r="H92" s="87">
        <v>0</v>
      </c>
      <c r="I92" s="53">
        <f t="shared" si="3"/>
        <v>25.4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45</v>
      </c>
      <c r="B93" s="60">
        <v>498</v>
      </c>
      <c r="C93" s="60">
        <v>6</v>
      </c>
      <c r="D93" s="60">
        <v>63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24.2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50</v>
      </c>
      <c r="B94" s="60">
        <v>549</v>
      </c>
      <c r="C94" s="60">
        <v>7</v>
      </c>
      <c r="D94" s="60">
        <v>63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22.8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55</v>
      </c>
      <c r="B95" s="60">
        <v>594</v>
      </c>
      <c r="C95" s="60">
        <v>8</v>
      </c>
      <c r="D95" s="60">
        <v>60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21.6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60</v>
      </c>
      <c r="B96" s="60">
        <v>634</v>
      </c>
      <c r="C96" s="60">
        <v>9</v>
      </c>
      <c r="D96" s="60">
        <v>53</v>
      </c>
      <c r="E96" s="87">
        <v>0.6</v>
      </c>
      <c r="F96" s="87">
        <v>0.2</v>
      </c>
      <c r="G96" s="87">
        <v>0.2</v>
      </c>
      <c r="H96" s="87">
        <v>0</v>
      </c>
      <c r="I96" s="53">
        <f t="shared" si="3"/>
        <v>20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65</v>
      </c>
      <c r="B97" s="60">
        <v>674</v>
      </c>
      <c r="C97" s="60">
        <v>10</v>
      </c>
      <c r="D97" s="60">
        <v>48</v>
      </c>
      <c r="E97" s="87">
        <v>0.6</v>
      </c>
      <c r="F97" s="87">
        <v>0.2</v>
      </c>
      <c r="G97" s="87">
        <v>0.2</v>
      </c>
      <c r="H97" s="87">
        <v>0</v>
      </c>
      <c r="I97" s="53">
        <f t="shared" si="3"/>
        <v>18.600000000000001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70</v>
      </c>
      <c r="B98" s="60">
        <v>712</v>
      </c>
      <c r="C98" s="60">
        <v>11</v>
      </c>
      <c r="D98" s="60">
        <v>45</v>
      </c>
      <c r="E98" s="87">
        <v>0.6</v>
      </c>
      <c r="F98" s="87">
        <v>0.2</v>
      </c>
      <c r="G98" s="87">
        <v>0.2</v>
      </c>
      <c r="H98" s="87">
        <v>0</v>
      </c>
      <c r="I98" s="53">
        <f t="shared" si="3"/>
        <v>17.2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75</v>
      </c>
      <c r="B99" s="60">
        <v>746</v>
      </c>
      <c r="C99" s="60">
        <v>12</v>
      </c>
      <c r="D99" s="60">
        <v>43</v>
      </c>
      <c r="E99" s="87">
        <v>0.6</v>
      </c>
      <c r="F99" s="87">
        <v>0.2</v>
      </c>
      <c r="G99" s="87">
        <v>0.2</v>
      </c>
      <c r="H99" s="87">
        <v>0</v>
      </c>
      <c r="I99" s="53">
        <f t="shared" si="3"/>
        <v>15.8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80</v>
      </c>
      <c r="B100" s="60">
        <v>776</v>
      </c>
      <c r="C100" s="60">
        <v>13</v>
      </c>
      <c r="D100" s="60">
        <v>776</v>
      </c>
      <c r="E100" s="65">
        <v>0.6</v>
      </c>
      <c r="F100" s="65">
        <v>0.2</v>
      </c>
      <c r="G100" s="65">
        <v>0.2</v>
      </c>
      <c r="H100" s="65">
        <v>0</v>
      </c>
      <c r="I100" s="53">
        <f t="shared" si="3"/>
        <v>14.6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Tilleul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42</v>
      </c>
      <c r="B114" s="60">
        <v>171.96</v>
      </c>
      <c r="C114" s="50">
        <v>1</v>
      </c>
      <c r="D114" s="60">
        <v>44.510000000000005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4.0942857142857143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50</v>
      </c>
      <c r="B115" s="60">
        <v>208.33</v>
      </c>
      <c r="C115" s="50">
        <v>2</v>
      </c>
      <c r="D115" s="60">
        <v>37.54000000000002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10.110000000000001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58</v>
      </c>
      <c r="B116" s="60">
        <v>253.7</v>
      </c>
      <c r="C116" s="50">
        <v>3</v>
      </c>
      <c r="D116" s="60">
        <v>47.789999999999992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10.36375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66</v>
      </c>
      <c r="B117" s="60">
        <v>286.77</v>
      </c>
      <c r="C117" s="50">
        <v>4</v>
      </c>
      <c r="D117" s="60">
        <v>53.679999999999978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10.107499999999998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74</v>
      </c>
      <c r="B118" s="60">
        <v>310.95999999999998</v>
      </c>
      <c r="C118" s="50">
        <v>5</v>
      </c>
      <c r="D118" s="60">
        <v>51.339999999999975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9.733749999999997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84</v>
      </c>
      <c r="B119" s="60">
        <v>355.09</v>
      </c>
      <c r="C119" s="50">
        <v>6</v>
      </c>
      <c r="D119" s="60">
        <v>66.69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9.546999999999997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94</v>
      </c>
      <c r="B120" s="60">
        <v>380.13</v>
      </c>
      <c r="C120" s="60">
        <v>7</v>
      </c>
      <c r="D120" s="60">
        <v>67.350000000000023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9.1730000000000018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104</v>
      </c>
      <c r="B121" s="60">
        <v>402.2</v>
      </c>
      <c r="C121" s="60">
        <v>8</v>
      </c>
      <c r="D121" s="60">
        <v>66.089999999999975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8.9420000000000019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114</v>
      </c>
      <c r="B122" s="60">
        <v>424.56</v>
      </c>
      <c r="C122" s="60">
        <v>9</v>
      </c>
      <c r="D122" s="60">
        <v>61.860000000000014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8.8449999999999989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124</v>
      </c>
      <c r="B123" s="60">
        <v>451.86</v>
      </c>
      <c r="C123" s="60">
        <v>10</v>
      </c>
      <c r="D123" s="60">
        <v>57.81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8.9160000000000021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134</v>
      </c>
      <c r="B124" s="60">
        <v>484.28</v>
      </c>
      <c r="C124" s="60">
        <v>11</v>
      </c>
      <c r="D124" s="60">
        <v>60.779999999999973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9.0229999999999961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144</v>
      </c>
      <c r="B125" s="60">
        <v>514.94000000000005</v>
      </c>
      <c r="C125" s="60">
        <v>12</v>
      </c>
      <c r="D125" s="60">
        <v>61.800000000000068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9.1440000000000055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154</v>
      </c>
      <c r="B126" s="60">
        <v>546.49</v>
      </c>
      <c r="C126" s="60">
        <v>13</v>
      </c>
      <c r="D126" s="60">
        <v>61.050000000000011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9.3350000000000026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164</v>
      </c>
      <c r="B127" s="60">
        <v>580.32000000000005</v>
      </c>
      <c r="C127" s="60">
        <v>14</v>
      </c>
      <c r="D127" s="60">
        <v>66.020000000000095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9.4880000000000049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174</v>
      </c>
      <c r="B128" s="50">
        <v>610.52</v>
      </c>
      <c r="C128" s="50">
        <v>15</v>
      </c>
      <c r="D128" s="50">
        <v>240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9.6220000000000034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177</v>
      </c>
      <c r="B129" s="50">
        <v>388.94</v>
      </c>
      <c r="C129" s="50">
        <v>16</v>
      </c>
      <c r="D129" s="50">
        <v>128.66000000000003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6.140000000000005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180</v>
      </c>
      <c r="B130" s="50">
        <v>271.56</v>
      </c>
      <c r="C130" s="50">
        <v>17</v>
      </c>
      <c r="D130" s="50">
        <v>86.97</v>
      </c>
      <c r="E130" s="54">
        <v>0.45</v>
      </c>
      <c r="F130" s="54">
        <v>0.05</v>
      </c>
      <c r="G130" s="54">
        <v>0.05</v>
      </c>
      <c r="H130" s="54">
        <v>0.45</v>
      </c>
      <c r="I130" s="53">
        <f t="shared" si="4"/>
        <v>3.76000000000001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183</v>
      </c>
      <c r="B131" s="50">
        <v>191.47</v>
      </c>
      <c r="C131" s="50">
        <v>18</v>
      </c>
      <c r="D131" s="50">
        <v>191.47</v>
      </c>
      <c r="E131" s="54">
        <v>0.45</v>
      </c>
      <c r="F131" s="54">
        <v>0.05</v>
      </c>
      <c r="G131" s="54">
        <v>0.05</v>
      </c>
      <c r="H131" s="54">
        <v>0.45</v>
      </c>
      <c r="I131" s="53">
        <f t="shared" si="4"/>
        <v>2.2933333333333317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42</v>
      </c>
      <c r="B140" s="60">
        <v>171.96</v>
      </c>
      <c r="C140" s="50">
        <v>1</v>
      </c>
      <c r="D140" s="60">
        <v>44.510000000000005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4.0942857142857143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50</v>
      </c>
      <c r="B141" s="60">
        <v>208.33</v>
      </c>
      <c r="C141" s="50">
        <v>2</v>
      </c>
      <c r="D141" s="60">
        <v>37.54000000000002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10.110000000000001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58</v>
      </c>
      <c r="B142" s="60">
        <v>253.7</v>
      </c>
      <c r="C142" s="50">
        <v>3</v>
      </c>
      <c r="D142" s="60">
        <v>47.789999999999992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10.36375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66</v>
      </c>
      <c r="B143" s="60">
        <v>286.77</v>
      </c>
      <c r="C143" s="50">
        <v>4</v>
      </c>
      <c r="D143" s="60">
        <v>53.679999999999978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10.107499999999998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74</v>
      </c>
      <c r="B144" s="60">
        <v>310.95999999999998</v>
      </c>
      <c r="C144" s="50">
        <v>5</v>
      </c>
      <c r="D144" s="60">
        <v>51.339999999999975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9.733749999999997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84</v>
      </c>
      <c r="B145" s="60">
        <v>355.09</v>
      </c>
      <c r="C145" s="50">
        <v>6</v>
      </c>
      <c r="D145" s="60">
        <v>66.69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9.546999999999997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94</v>
      </c>
      <c r="B146" s="60">
        <v>380.13</v>
      </c>
      <c r="C146" s="50">
        <v>7</v>
      </c>
      <c r="D146" s="60">
        <v>67.350000000000023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9.1730000000000018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104</v>
      </c>
      <c r="B147" s="60">
        <v>402.2</v>
      </c>
      <c r="C147" s="50">
        <v>8</v>
      </c>
      <c r="D147" s="60">
        <v>66.089999999999975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8.9420000000000019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114</v>
      </c>
      <c r="B148" s="60">
        <v>424.56</v>
      </c>
      <c r="C148" s="50">
        <v>9</v>
      </c>
      <c r="D148" s="60">
        <v>61.860000000000014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8.8449999999999989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124</v>
      </c>
      <c r="B149" s="60">
        <v>451.86</v>
      </c>
      <c r="C149" s="50">
        <v>10</v>
      </c>
      <c r="D149" s="60">
        <v>57.81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8.9160000000000021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134</v>
      </c>
      <c r="B150" s="60">
        <v>484.28</v>
      </c>
      <c r="C150" s="50">
        <v>11</v>
      </c>
      <c r="D150" s="60">
        <v>60.779999999999973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9.0229999999999961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144</v>
      </c>
      <c r="B151" s="60">
        <v>514.94000000000005</v>
      </c>
      <c r="C151" s="50">
        <v>12</v>
      </c>
      <c r="D151" s="60">
        <v>61.800000000000068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9.1440000000000055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154</v>
      </c>
      <c r="B152" s="60">
        <v>546.49</v>
      </c>
      <c r="C152" s="50">
        <v>13</v>
      </c>
      <c r="D152" s="60">
        <v>61.050000000000011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9.3350000000000026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164</v>
      </c>
      <c r="B153" s="60">
        <v>580.32000000000005</v>
      </c>
      <c r="C153" s="50">
        <v>14</v>
      </c>
      <c r="D153" s="60">
        <v>66.020000000000095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9.4880000000000049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174</v>
      </c>
      <c r="B154" s="56">
        <v>610.52</v>
      </c>
      <c r="C154" s="50">
        <v>15</v>
      </c>
      <c r="D154" s="50">
        <v>240</v>
      </c>
      <c r="E154" s="54">
        <v>0.45</v>
      </c>
      <c r="F154" s="54">
        <v>0.05</v>
      </c>
      <c r="G154" s="54">
        <v>0.05</v>
      </c>
      <c r="H154" s="54">
        <v>0.45</v>
      </c>
      <c r="I154" s="57">
        <f t="shared" si="5"/>
        <v>9.6220000000000034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177</v>
      </c>
      <c r="B155" s="56">
        <v>388.94</v>
      </c>
      <c r="C155" s="50">
        <v>16</v>
      </c>
      <c r="D155" s="50">
        <v>128.66000000000003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6.140000000000005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180</v>
      </c>
      <c r="B156" s="56">
        <v>271.56</v>
      </c>
      <c r="C156" s="50">
        <v>17</v>
      </c>
      <c r="D156" s="50">
        <v>86.97</v>
      </c>
      <c r="E156" s="54">
        <v>0.45</v>
      </c>
      <c r="F156" s="54">
        <v>0.05</v>
      </c>
      <c r="G156" s="54">
        <v>0.05</v>
      </c>
      <c r="H156" s="54">
        <v>0.45</v>
      </c>
      <c r="I156" s="57">
        <f t="shared" si="5"/>
        <v>3.76000000000001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183</v>
      </c>
      <c r="B157" s="56">
        <v>191.47</v>
      </c>
      <c r="C157" s="50">
        <v>18</v>
      </c>
      <c r="D157" s="50">
        <v>191.47</v>
      </c>
      <c r="E157" s="54">
        <v>0.45</v>
      </c>
      <c r="F157" s="54">
        <v>0.05</v>
      </c>
      <c r="G157" s="54">
        <v>0.05</v>
      </c>
      <c r="H157" s="54">
        <v>0.45</v>
      </c>
      <c r="I157" s="57">
        <f t="shared" si="5"/>
        <v>2.2933333333333317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22" sqref="C22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0.24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0.76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Douglas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Séquoia toujours vert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Tilleul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Charme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1.2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4.3999999999999995</v>
      </c>
      <c r="H3" s="67">
        <f>(B3+E3+F3)*44/12+(C3+D3)*0.475*44/12</f>
        <v>239.06666666666669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234.66666666666666</v>
      </c>
      <c r="S3" s="59">
        <f ca="1">AVERAGE(OFFSET($R$3,0,0,'Données projet'!$E$9+1,1))-AVERAGE(OFFSET($H$3,0,0,'Données projet'!$E$9+1,1))</f>
        <v>646.69588445509589</v>
      </c>
      <c r="T3" s="59">
        <f>IF('Données projet'!E9&gt;30,$R$33-$H$33,LOOKUP('Données projet'!$E$9,$A$3:$A$203,R3:R203)-LOOKUP('Données projet'!$E$9,$A$3:$A$203,$H$3:$H$203))</f>
        <v>286.36346771084698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234.66666666666666</v>
      </c>
      <c r="AN3" s="59">
        <f ca="1">AVERAGE(OFFSET($AM$3,0,0,'Données projet'!$E$10+1,1))-AVERAGE(OFFSET($H$3,0,0,'Données projet'!$E$10+1,1))</f>
        <v>391.55758836264408</v>
      </c>
      <c r="AO3" s="59">
        <f>IF('Données projet'!E10&gt;30,$AM$33-$H$33,LOOKUP('Données projet'!$E$10,$A$3:$A$203,AM3:AM203)-LOOKUP('Données projet'!$E$10,$A$3:$A$203,$H$3:$H$203))</f>
        <v>360.80727659978777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234.66666666666666</v>
      </c>
      <c r="BI3" s="59">
        <f ca="1">AVERAGE(OFFSET($BH$3,0,0,'Données projet'!$E$11+1,1))-AVERAGE(OFFSET($H$3,0,0,'Données projet'!$E$11+1,1))</f>
        <v>400.11184625063709</v>
      </c>
      <c r="BJ3" s="59">
        <f>IF('Données projet'!E11&gt;30,$BH$33-$H$33,LOOKUP('Données projet'!$E$11,$A$3:$A$203,BH3:BH203)-LOOKUP('Données projet'!$E$11,$A$3:$A$203,$H$3:$H$203))</f>
        <v>340.02906159605971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234.66666666666666</v>
      </c>
      <c r="CD3" s="59">
        <f ca="1">AVERAGE(OFFSET($CC$3,0,0,'Données projet'!$E$12+1,1))-AVERAGE(OFFSET($H$3,0,0,'Données projet'!$E$12+1,1))</f>
        <v>493.98227954109774</v>
      </c>
      <c r="CE3" s="59">
        <f>IF('Données projet'!E12&gt;30,$CC$33-$H$33,LOOKUP('Données projet'!$E$12,$A$3:$A$203,CC3:CC203)-LOOKUP('Données projet'!$E$12,$A$3:$A$203,$H$3:$H$203))</f>
        <v>224.32736097997289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234.66666666666666</v>
      </c>
      <c r="CY3" s="59">
        <f ca="1">AVERAGE(OFFSET($CX$3,0,0,'Données projet'!$E$13+1,1))-AVERAGE(OFFSET($H$3,0,0,'Données projet'!$E$13+1,1))</f>
        <v>677.13548994240728</v>
      </c>
      <c r="CZ3" s="59">
        <f>IF('Données projet'!E13&gt;30,$CX$33-$H$33,LOOKUP('Données projet'!$E$13,$A$3:$A$203,CX3:CX203)-LOOKUP('Données projet'!$E$13,$A$3:$A$203,$H$3:$H$203))</f>
        <v>298.72429542440534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1.2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4.3999999999999995</v>
      </c>
      <c r="H4" s="67">
        <f t="shared" ref="H4:H67" si="1">(B4+E4+F4)*44/12+(C4+D4)*0.475*44/12</f>
        <v>239.06666666666669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245.27554180362915</v>
      </c>
      <c r="S4" s="59">
        <f ca="1">AVERAGE(OFFSET($R$3,0,0,'Données projet'!$E$9+1,1))-AVERAGE(OFFSET($H$3,0,0,'Données projet'!$E$9+1,1))</f>
        <v>646.69588445509589</v>
      </c>
      <c r="T4" s="59">
        <f>$T$3</f>
        <v>286.36346771084698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9.300476190476191</v>
      </c>
      <c r="AI4" s="13">
        <f>IF('Données projet'!$A$62&gt;35,AI3+AH4-AQ3,IF(A4&lt;'Données projet'!$A$62,$AF$205^A4,IF(A4='Données projet'!$A$62,'Données projet'!$B$62,AI3+AH4-AQ3)))</f>
        <v>1.2855297099408214</v>
      </c>
      <c r="AJ4" s="13">
        <f>AI4*VLOOKUP('Données projet'!$B$10,Paramètres!$A$1:$I$89,3,0)*VLOOKUP('Données projet'!$B$10,Paramètres!$A$1:$I$89,5,0)</f>
        <v>0.71861110785691917</v>
      </c>
      <c r="AK4" s="13">
        <f>EXP(-1.0587+0.8836*LN(AJ4)+0.284)</f>
        <v>0.34415184160564588</v>
      </c>
      <c r="AL4" s="20">
        <f t="shared" ref="AL4:AL67" si="4">(AJ4+AK4)*0.475*44/12</f>
        <v>1.8509788036473005</v>
      </c>
      <c r="AM4" s="59">
        <f t="shared" ref="AM4:AM67" si="5">AL4+(AD4+AE4)*44/12</f>
        <v>238.12151850790454</v>
      </c>
      <c r="AN4" s="59">
        <f ca="1">AVERAGE(OFFSET($AM$3,0,0,'Données projet'!$E$10+1,1))-AVERAGE(OFFSET($H$3,0,0,'Données projet'!$E$10+1,1))</f>
        <v>391.55758836264408</v>
      </c>
      <c r="AO4" s="59">
        <f>$AO$3</f>
        <v>360.80727659978777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6.7</v>
      </c>
      <c r="BD4" s="12">
        <f>IF('Données projet'!$A$88&gt;35,BD3+BC4-BL3,IF(A4&lt;'Données projet'!$A$88,$BA$205^A4,IF(A4='Données projet'!$A$88,'Données projet'!$B$88,BD3+BC4-BL3)))</f>
        <v>1.277483324775911</v>
      </c>
      <c r="BE4" s="13">
        <f>BD4*VLOOKUP('Données projet'!$B$11,Paramètres!$A$1:$I$89,3,0)*VLOOKUP('Données projet'!$B$11,Paramètres!$A$1:$I$89,5,0)</f>
        <v>0.56464762955095271</v>
      </c>
      <c r="BF4" s="13">
        <f>EXP(-1.0587+0.8836*LN(BE4)+0.284)</f>
        <v>0.2781138851563637</v>
      </c>
      <c r="BG4" s="20">
        <f t="shared" ref="BG4:BG67" si="7">(BE4+BF4)*0.475*44/12</f>
        <v>1.4678096381152426</v>
      </c>
      <c r="BH4" s="59">
        <f t="shared" ref="BH4:BH67" si="8">BG4+(AY4+AZ4)*44/12</f>
        <v>237.73834934237249</v>
      </c>
      <c r="BI4" s="59">
        <f ca="1">AVERAGE(OFFSET($BH$3,0,0,'Données projet'!$E$11+1,1))-AVERAGE(OFFSET($H$3,0,0,'Données projet'!$E$11+1,1))</f>
        <v>400.11184625063709</v>
      </c>
      <c r="BJ4" s="59">
        <f>$BJ$3</f>
        <v>340.02906159605971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4.0942857142857143</v>
      </c>
      <c r="BY4" s="12">
        <f>IF('Données projet'!$A$114&gt;35,BY3+BX4-CG3,IF(A4&lt;'Données projet'!$A$114,$BV$205^A4,IF(A4='Données projet'!$A$114,'Données projet'!$B$114,BY3+BX4-CG3)))</f>
        <v>4.0942857142857143</v>
      </c>
      <c r="BZ4" s="13">
        <f>BY4*VLOOKUP('Données projet'!$B$12,Paramètres!$A$1:$I$89,3,0)*VLOOKUP('Données projet'!$B$12,Paramètres!$A$1:$I$89,5,0)</f>
        <v>2.7464468571428573</v>
      </c>
      <c r="CA4" s="13">
        <f>EXP(-1.0587+0.8836*LN(BZ4)+0.284)</f>
        <v>1.1252533049663334</v>
      </c>
      <c r="CB4" s="20">
        <f t="shared" ref="CB4:CB67" si="10">(BZ4+CA4)*0.475*44/12</f>
        <v>6.7432111156735068</v>
      </c>
      <c r="CC4" s="59">
        <f t="shared" ref="CC4:CC67" si="11">CB4+(BT4+BU4)*44/12</f>
        <v>243.01375081993075</v>
      </c>
      <c r="CD4" s="59">
        <f ca="1">AVERAGE(OFFSET($CC$3,0,0,'Données projet'!$E$12+1,1))-AVERAGE(OFFSET($H$3,0,0,'Données projet'!$E$12+1,1))</f>
        <v>493.98227954109774</v>
      </c>
      <c r="CE4" s="59">
        <f>$CE$3</f>
        <v>224.32736097997289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4.0942857142857143</v>
      </c>
      <c r="CT4" s="12">
        <f>IF('Données projet'!$A$140&gt;35,CT3+CS4-DB3,IF(A4&lt;'Données projet'!$A$140,$CQ$205^A4,IF(A4='Données projet'!$A$140,'Données projet'!$B$140,CT3+CS4-DB3)))</f>
        <v>4.0942857142857143</v>
      </c>
      <c r="CU4" s="17">
        <f>CT4*VLOOKUP('Données projet'!$B$13,Paramètres!$A$1:$I$89,3,0)*VLOOKUP('Données projet'!$B$13,Paramètres!$A$1:$I$89,5,0)</f>
        <v>3.8961222857142861</v>
      </c>
      <c r="CV4" s="13">
        <f>EXP(-1.0587+0.8836*LN(CU4)+0.284)</f>
        <v>1.5326218471913844</v>
      </c>
      <c r="CW4" s="20">
        <f t="shared" ref="CW4:CW67" si="13">(CU4+CV4)*0.475*44/12</f>
        <v>9.455062698144042</v>
      </c>
      <c r="CX4" s="59">
        <f t="shared" ref="CX4:CX67" si="14">CW4+(CO4+CP4)*44/12</f>
        <v>245.72560240240128</v>
      </c>
      <c r="CY4" s="59">
        <f ca="1">AVERAGE(OFFSET($CX$3,0,0,'Données projet'!$E$13+1,1))-AVERAGE(OFFSET($H$3,0,0,'Données projet'!$E$13+1,1))</f>
        <v>677.13548994240728</v>
      </c>
      <c r="CZ4" s="59">
        <f>$CZ$3</f>
        <v>298.72429542440534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64.104086586009558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1.2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4.3999999999999995</v>
      </c>
      <c r="H5" s="67">
        <f t="shared" si="1"/>
        <v>239.06666666666669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255.48201613254395</v>
      </c>
      <c r="S5" s="59">
        <f ca="1">AVERAGE(OFFSET($R$3,0,0,'Données projet'!$E$9+1,1))-AVERAGE(OFFSET($H$3,0,0,'Données projet'!$E$9+1,1))</f>
        <v>646.69588445509589</v>
      </c>
      <c r="T5" s="59">
        <f t="shared" ref="T5:T68" si="34">$T$3</f>
        <v>286.36346771084698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9.300476190476191</v>
      </c>
      <c r="AI5" s="13">
        <f>IF('Données projet'!$A$62&gt;35,AI4+AH5-AQ4,IF(A5&lt;'Données projet'!$A$62,$AF$205^A5,IF(A5='Données projet'!$A$62,'Données projet'!$B$62,AI4+AH5-AQ4)))</f>
        <v>1.6525866351405323</v>
      </c>
      <c r="AJ5" s="13">
        <f>AI5*VLOOKUP('Données projet'!$B$10,Paramètres!$A$1:$I$89,3,0)*VLOOKUP('Données projet'!$B$10,Paramètres!$A$1:$I$89,5,0)</f>
        <v>0.92379592904355756</v>
      </c>
      <c r="AK5" s="13">
        <f t="shared" ref="AK5:AK68" si="35">EXP(-1.0587+0.8836*LN(AJ5)+0.284)</f>
        <v>0.42967002528896309</v>
      </c>
      <c r="AL5" s="20">
        <f t="shared" si="4"/>
        <v>2.35728653712914</v>
      </c>
      <c r="AM5" s="59">
        <f t="shared" si="5"/>
        <v>240.22507849057379</v>
      </c>
      <c r="AN5" s="59">
        <f ca="1">AVERAGE(OFFSET($AM$3,0,0,'Données projet'!$E$10+1,1))-AVERAGE(OFFSET($H$3,0,0,'Données projet'!$E$10+1,1))</f>
        <v>391.55758836264408</v>
      </c>
      <c r="AO5" s="59">
        <f t="shared" ref="AO5:AO68" si="36">$AO$3</f>
        <v>360.80727659978777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6.7</v>
      </c>
      <c r="BD5" s="12">
        <f>IF('Données projet'!$A$88&gt;35,BD4+BC5-BL4,IF(A5&lt;'Données projet'!$A$88,$BA$205^A5,IF(A5='Données projet'!$A$88,'Données projet'!$B$88,BD4+BC5-BL4)))</f>
        <v>1.6319636450805157</v>
      </c>
      <c r="BE5" s="13">
        <f>BD5*VLOOKUP('Données projet'!$B$11,Paramètres!$A$1:$I$89,3,0)*VLOOKUP('Données projet'!$B$11,Paramètres!$A$1:$I$89,5,0)</f>
        <v>0.72132793112558802</v>
      </c>
      <c r="BF5" s="13">
        <f t="shared" ref="BF5:BF68" si="37">EXP(-1.0587+0.8836*LN(BE5)+0.284)</f>
        <v>0.34530125917503374</v>
      </c>
      <c r="BG5" s="20">
        <f t="shared" si="7"/>
        <v>1.8577125064402493</v>
      </c>
      <c r="BH5" s="59">
        <f t="shared" si="8"/>
        <v>239.72550445988489</v>
      </c>
      <c r="BI5" s="59">
        <f ca="1">AVERAGE(OFFSET($BH$3,0,0,'Données projet'!$E$11+1,1))-AVERAGE(OFFSET($H$3,0,0,'Données projet'!$E$11+1,1))</f>
        <v>400.11184625063709</v>
      </c>
      <c r="BJ5" s="59">
        <f t="shared" ref="BJ5:BJ68" si="38">$BJ$3</f>
        <v>340.02906159605971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4.0942857142857143</v>
      </c>
      <c r="BY5" s="12">
        <f>IF('Données projet'!$A$114&gt;35,BY4+BX5-CG4,IF(A5&lt;'Données projet'!$A$114,$BV$205^A5,IF(A5='Données projet'!$A$114,'Données projet'!$B$114,BY4+BX5-CG4)))</f>
        <v>8.1885714285714286</v>
      </c>
      <c r="BZ5" s="13">
        <f>BY5*VLOOKUP('Données projet'!$B$12,Paramètres!$A$1:$I$89,3,0)*VLOOKUP('Données projet'!$B$12,Paramètres!$A$1:$I$89,5,0)</f>
        <v>5.4928937142857146</v>
      </c>
      <c r="CA5" s="13">
        <f t="shared" ref="CA5:CA68" si="39">EXP(-1.0587+0.8836*LN(BZ5)+0.284)</f>
        <v>2.0760623924621076</v>
      </c>
      <c r="CB5" s="20">
        <f t="shared" si="10"/>
        <v>13.182598552585789</v>
      </c>
      <c r="CC5" s="59">
        <f t="shared" si="11"/>
        <v>251.05039050603045</v>
      </c>
      <c r="CD5" s="59">
        <f ca="1">AVERAGE(OFFSET($CC$3,0,0,'Données projet'!$E$12+1,1))-AVERAGE(OFFSET($H$3,0,0,'Données projet'!$E$12+1,1))</f>
        <v>493.98227954109774</v>
      </c>
      <c r="CE5" s="59">
        <f t="shared" ref="CE5:CE68" si="40">$CE$3</f>
        <v>224.32736097997289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4.0942857142857143</v>
      </c>
      <c r="CT5" s="12">
        <f>IF('Données projet'!$A$140&gt;35,CT4+CS5-DB4,IF(A5&lt;'Données projet'!$A$140,$CQ$205^A5,IF(A5='Données projet'!$A$140,'Données projet'!$B$140,CT4+CS5-DB4)))</f>
        <v>8.1885714285714286</v>
      </c>
      <c r="CU5" s="17">
        <f>CT5*VLOOKUP('Données projet'!$B$13,Paramètres!$A$1:$I$89,3,0)*VLOOKUP('Données projet'!$B$13,Paramètres!$A$1:$I$89,5,0)</f>
        <v>7.7922445714285722</v>
      </c>
      <c r="CV5" s="13">
        <f t="shared" ref="CV5:CV68" si="41">EXP(-1.0587+0.8836*LN(CU5)+0.284)</f>
        <v>2.8276465083699871</v>
      </c>
      <c r="CW5" s="20">
        <f t="shared" si="13"/>
        <v>18.496310297315823</v>
      </c>
      <c r="CX5" s="59">
        <f t="shared" si="14"/>
        <v>256.36410225076048</v>
      </c>
      <c r="CY5" s="59">
        <f ca="1">AVERAGE(OFFSET($CX$3,0,0,'Données projet'!$E$13+1,1))-AVERAGE(OFFSET($H$3,0,0,'Données projet'!$E$13+1,1))</f>
        <v>677.13548994240728</v>
      </c>
      <c r="CZ5" s="59">
        <f t="shared" ref="CZ5:CZ68" si="42">$CZ$3</f>
        <v>298.72429542440534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64.206367502454597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1.2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4.3999999999999995</v>
      </c>
      <c r="H6" s="67">
        <f t="shared" si="1"/>
        <v>239.06666666666669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265.55416744950134</v>
      </c>
      <c r="S6" s="59">
        <f ca="1">AVERAGE(OFFSET($R$3,0,0,'Données projet'!$E$9+1,1))-AVERAGE(OFFSET($H$3,0,0,'Données projet'!$E$9+1,1))</f>
        <v>646.69588445509589</v>
      </c>
      <c r="T6" s="59">
        <f t="shared" si="34"/>
        <v>286.36346771084698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9.300476190476191</v>
      </c>
      <c r="AI6" s="13">
        <f>IF('Données projet'!$A$62&gt;35,AI5+AH6-AQ5,IF(A6&lt;'Données projet'!$A$62,$AF$205^A6,IF(A6='Données projet'!$A$62,'Données projet'!$B$62,AI5+AH6-AQ5)))</f>
        <v>2.1244492177242864</v>
      </c>
      <c r="AJ6" s="13">
        <f>AI6*VLOOKUP('Données projet'!$B$10,Paramètres!$A$1:$I$89,3,0)*VLOOKUP('Données projet'!$B$10,Paramètres!$A$1:$I$89,5,0)</f>
        <v>1.1875671127078762</v>
      </c>
      <c r="AK6" s="13">
        <f t="shared" si="35"/>
        <v>0.53643859573869412</v>
      </c>
      <c r="AL6" s="20">
        <f t="shared" si="4"/>
        <v>3.0026432755444432</v>
      </c>
      <c r="AM6" s="59">
        <f t="shared" si="5"/>
        <v>242.46118154565016</v>
      </c>
      <c r="AN6" s="59">
        <f ca="1">AVERAGE(OFFSET($AM$3,0,0,'Données projet'!$E$10+1,1))-AVERAGE(OFFSET($H$3,0,0,'Données projet'!$E$10+1,1))</f>
        <v>391.55758836264408</v>
      </c>
      <c r="AO6" s="59">
        <f t="shared" si="36"/>
        <v>360.80727659978777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6.7</v>
      </c>
      <c r="BD6" s="12">
        <f>IF('Données projet'!$A$88&gt;35,BD5+BC6-BL5,IF(A6&lt;'Données projet'!$A$88,$BA$205^A6,IF(A6='Données projet'!$A$88,'Données projet'!$B$88,BD5+BC6-BL5)))</f>
        <v>2.0848063432308721</v>
      </c>
      <c r="BE6" s="13">
        <f>BD6*VLOOKUP('Données projet'!$B$11,Paramètres!$A$1:$I$89,3,0)*VLOOKUP('Données projet'!$B$11,Paramètres!$A$1:$I$89,5,0)</f>
        <v>0.92148440370804563</v>
      </c>
      <c r="BF6" s="13">
        <f t="shared" si="37"/>
        <v>0.42871990918694192</v>
      </c>
      <c r="BG6" s="20">
        <f t="shared" si="7"/>
        <v>2.3516058449587698</v>
      </c>
      <c r="BH6" s="59">
        <f t="shared" si="8"/>
        <v>241.8101441150645</v>
      </c>
      <c r="BI6" s="59">
        <f ca="1">AVERAGE(OFFSET($BH$3,0,0,'Données projet'!$E$11+1,1))-AVERAGE(OFFSET($H$3,0,0,'Données projet'!$E$11+1,1))</f>
        <v>400.11184625063709</v>
      </c>
      <c r="BJ6" s="59">
        <f t="shared" si="38"/>
        <v>340.02906159605971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4.0942857142857143</v>
      </c>
      <c r="BY6" s="12">
        <f>IF('Données projet'!$A$114&gt;35,BY5+BX6-CG5,IF(A6&lt;'Données projet'!$A$114,$BV$205^A6,IF(A6='Données projet'!$A$114,'Données projet'!$B$114,BY5+BX6-CG5)))</f>
        <v>12.282857142857143</v>
      </c>
      <c r="BZ6" s="13">
        <f>BY6*VLOOKUP('Données projet'!$B$12,Paramètres!$A$1:$I$89,3,0)*VLOOKUP('Données projet'!$B$12,Paramètres!$A$1:$I$89,5,0)</f>
        <v>8.2393405714285723</v>
      </c>
      <c r="CA6" s="13">
        <f t="shared" si="39"/>
        <v>2.9705347542668328</v>
      </c>
      <c r="CB6" s="20">
        <f t="shared" si="10"/>
        <v>19.523866192252829</v>
      </c>
      <c r="CC6" s="59">
        <f t="shared" si="11"/>
        <v>258.98240446235855</v>
      </c>
      <c r="CD6" s="59">
        <f ca="1">AVERAGE(OFFSET($CC$3,0,0,'Données projet'!$E$12+1,1))-AVERAGE(OFFSET($H$3,0,0,'Données projet'!$E$12+1,1))</f>
        <v>493.98227954109774</v>
      </c>
      <c r="CE6" s="59">
        <f t="shared" si="40"/>
        <v>224.32736097997289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4.0942857142857143</v>
      </c>
      <c r="CT6" s="12">
        <f>IF('Données projet'!$A$140&gt;35,CT5+CS6-DB5,IF(A6&lt;'Données projet'!$A$140,$CQ$205^A6,IF(A6='Données projet'!$A$140,'Données projet'!$B$140,CT5+CS6-DB5)))</f>
        <v>12.282857142857143</v>
      </c>
      <c r="CU6" s="17">
        <f>CT6*VLOOKUP('Données projet'!$B$13,Paramètres!$A$1:$I$89,3,0)*VLOOKUP('Données projet'!$B$13,Paramètres!$A$1:$I$89,5,0)</f>
        <v>11.688366857142858</v>
      </c>
      <c r="CV6" s="13">
        <f t="shared" si="41"/>
        <v>4.0459392050991161</v>
      </c>
      <c r="CW6" s="20">
        <f t="shared" si="13"/>
        <v>27.403916391738104</v>
      </c>
      <c r="CX6" s="59">
        <f t="shared" si="14"/>
        <v>266.8624546618438</v>
      </c>
      <c r="CY6" s="59">
        <f ca="1">AVERAGE(OFFSET($CX$3,0,0,'Données projet'!$E$13+1,1))-AVERAGE(OFFSET($H$3,0,0,'Données projet'!$E$13+1,1))</f>
        <v>677.13548994240728</v>
      </c>
      <c r="CZ6" s="59">
        <f t="shared" si="42"/>
        <v>298.72429542440534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64.306874073665199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1.2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4.3999999999999995</v>
      </c>
      <c r="H7" s="67">
        <f t="shared" si="1"/>
        <v>239.06666666666669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275.54113627558002</v>
      </c>
      <c r="S7" s="59">
        <f ca="1">AVERAGE(OFFSET($R$3,0,0,'Données projet'!$E$9+1,1))-AVERAGE(OFFSET($H$3,0,0,'Données projet'!$E$9+1,1))</f>
        <v>646.69588445509589</v>
      </c>
      <c r="T7" s="59">
        <f t="shared" si="34"/>
        <v>286.36346771084698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9.300476190476191</v>
      </c>
      <c r="AI7" s="13">
        <f>IF('Données projet'!$A$62&gt;35,AI6+AH7-AQ6,IF(A7&lt;'Données projet'!$A$62,$AF$205^A7,IF(A7='Données projet'!$A$62,'Données projet'!$B$62,AI6+AH7-AQ6)))</f>
        <v>2.7310425866451067</v>
      </c>
      <c r="AJ7" s="13">
        <f>AI7*VLOOKUP('Données projet'!$B$10,Paramètres!$A$1:$I$89,3,0)*VLOOKUP('Données projet'!$B$10,Paramètres!$A$1:$I$89,5,0)</f>
        <v>1.5266528059346147</v>
      </c>
      <c r="AK7" s="13">
        <f t="shared" si="35"/>
        <v>0.66973805492848271</v>
      </c>
      <c r="AL7" s="20">
        <f t="shared" si="4"/>
        <v>3.8253807493365612</v>
      </c>
      <c r="AM7" s="59">
        <f t="shared" si="5"/>
        <v>244.8682722669613</v>
      </c>
      <c r="AN7" s="59">
        <f ca="1">AVERAGE(OFFSET($AM$3,0,0,'Données projet'!$E$10+1,1))-AVERAGE(OFFSET($H$3,0,0,'Données projet'!$E$10+1,1))</f>
        <v>391.55758836264408</v>
      </c>
      <c r="AO7" s="59">
        <f t="shared" si="36"/>
        <v>360.80727659978777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6.7</v>
      </c>
      <c r="BD7" s="12">
        <f>IF('Données projet'!$A$88&gt;35,BD6+BC7-BL6,IF(A7&lt;'Données projet'!$A$88,$BA$205^A7,IF(A7='Données projet'!$A$88,'Données projet'!$B$88,BD6+BC7-BL6)))</f>
        <v>2.6633053388644834</v>
      </c>
      <c r="BE7" s="13">
        <f>BD7*VLOOKUP('Données projet'!$B$11,Paramètres!$A$1:$I$89,3,0)*VLOOKUP('Données projet'!$B$11,Paramètres!$A$1:$I$89,5,0)</f>
        <v>1.1771809597781018</v>
      </c>
      <c r="BF7" s="13">
        <f t="shared" si="37"/>
        <v>0.53229102312682486</v>
      </c>
      <c r="BG7" s="20">
        <f t="shared" si="7"/>
        <v>2.9773303702260798</v>
      </c>
      <c r="BH7" s="59">
        <f t="shared" si="8"/>
        <v>244.02022188785079</v>
      </c>
      <c r="BI7" s="59">
        <f ca="1">AVERAGE(OFFSET($BH$3,0,0,'Données projet'!$E$11+1,1))-AVERAGE(OFFSET($H$3,0,0,'Données projet'!$E$11+1,1))</f>
        <v>400.11184625063709</v>
      </c>
      <c r="BJ7" s="59">
        <f t="shared" si="38"/>
        <v>340.02906159605971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4.0942857142857143</v>
      </c>
      <c r="BY7" s="12">
        <f>IF('Données projet'!$A$114&gt;35,BY6+BX7-CG6,IF(A7&lt;'Données projet'!$A$114,$BV$205^A7,IF(A7='Données projet'!$A$114,'Données projet'!$B$114,BY6+BX7-CG6)))</f>
        <v>16.377142857142857</v>
      </c>
      <c r="BZ7" s="13">
        <f>BY7*VLOOKUP('Données projet'!$B$12,Paramètres!$A$1:$I$89,3,0)*VLOOKUP('Données projet'!$B$12,Paramètres!$A$1:$I$89,5,0)</f>
        <v>10.985787428571429</v>
      </c>
      <c r="CA7" s="13">
        <f t="shared" si="39"/>
        <v>3.8302798475445874</v>
      </c>
      <c r="CB7" s="20">
        <f t="shared" si="10"/>
        <v>25.80465050590206</v>
      </c>
      <c r="CC7" s="59">
        <f t="shared" si="11"/>
        <v>266.84754202352678</v>
      </c>
      <c r="CD7" s="59">
        <f ca="1">AVERAGE(OFFSET($CC$3,0,0,'Données projet'!$E$12+1,1))-AVERAGE(OFFSET($H$3,0,0,'Données projet'!$E$12+1,1))</f>
        <v>493.98227954109774</v>
      </c>
      <c r="CE7" s="59">
        <f t="shared" si="40"/>
        <v>224.32736097997289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4.0942857142857143</v>
      </c>
      <c r="CT7" s="12">
        <f>IF('Données projet'!$A$140&gt;35,CT6+CS7-DB6,IF(A7&lt;'Données projet'!$A$140,$CQ$205^A7,IF(A7='Données projet'!$A$140,'Données projet'!$B$140,CT6+CS7-DB6)))</f>
        <v>16.377142857142857</v>
      </c>
      <c r="CU7" s="17">
        <f>CT7*VLOOKUP('Données projet'!$B$13,Paramètres!$A$1:$I$89,3,0)*VLOOKUP('Données projet'!$B$13,Paramètres!$A$1:$I$89,5,0)</f>
        <v>15.584489142857144</v>
      </c>
      <c r="CV7" s="13">
        <f t="shared" si="41"/>
        <v>5.2169325335857213</v>
      </c>
      <c r="CW7" s="20">
        <f t="shared" si="13"/>
        <v>36.229142753137985</v>
      </c>
      <c r="CX7" s="59">
        <f t="shared" si="14"/>
        <v>277.27203427076273</v>
      </c>
      <c r="CY7" s="59">
        <f ca="1">AVERAGE(OFFSET($CX$3,0,0,'Données projet'!$E$13+1,1))-AVERAGE(OFFSET($H$3,0,0,'Données projet'!$E$13+1,1))</f>
        <v>677.13548994240728</v>
      </c>
      <c r="CZ7" s="59">
        <f t="shared" si="42"/>
        <v>298.72429542440534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64.405637080564318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1.2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4.3999999999999995</v>
      </c>
      <c r="H8" s="67">
        <f t="shared" si="1"/>
        <v>239.06666666666669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285.46525445793685</v>
      </c>
      <c r="S8" s="59">
        <f ca="1">AVERAGE(OFFSET($R$3,0,0,'Données projet'!$E$9+1,1))-AVERAGE(OFFSET($H$3,0,0,'Données projet'!$E$9+1,1))</f>
        <v>646.69588445509589</v>
      </c>
      <c r="T8" s="59">
        <f t="shared" si="34"/>
        <v>286.36346771084698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9.300476190476191</v>
      </c>
      <c r="AI8" s="13">
        <f>IF('Données projet'!$A$62&gt;35,AI7+AH8-AQ7,IF(A8&lt;'Données projet'!$A$62,$AF$205^A8,IF(A8='Données projet'!$A$62,'Données projet'!$B$62,AI7+AH8-AQ7)))</f>
        <v>3.5108363842459145</v>
      </c>
      <c r="AJ8" s="13">
        <f>AI8*VLOOKUP('Données projet'!$B$10,Paramètres!$A$1:$I$89,3,0)*VLOOKUP('Données projet'!$B$10,Paramètres!$A$1:$I$89,5,0)</f>
        <v>1.9625575387934662</v>
      </c>
      <c r="AK8" s="13">
        <f t="shared" si="35"/>
        <v>0.83616105511893679</v>
      </c>
      <c r="AL8" s="20">
        <f t="shared" si="4"/>
        <v>4.8744348843974343</v>
      </c>
      <c r="AM8" s="59">
        <f t="shared" si="5"/>
        <v>247.49539748585593</v>
      </c>
      <c r="AN8" s="59">
        <f ca="1">AVERAGE(OFFSET($AM$3,0,0,'Données projet'!$E$10+1,1))-AVERAGE(OFFSET($H$3,0,0,'Données projet'!$E$10+1,1))</f>
        <v>391.55758836264408</v>
      </c>
      <c r="AO8" s="59">
        <f t="shared" si="36"/>
        <v>360.80727659978777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6.7</v>
      </c>
      <c r="BD8" s="12">
        <f>IF('Données projet'!$A$88&gt;35,BD7+BC8-BL7,IF(A8&lt;'Données projet'!$A$88,$BA$205^A8,IF(A8='Données projet'!$A$88,'Données projet'!$B$88,BD7+BC8-BL7)))</f>
        <v>3.4023281591860344</v>
      </c>
      <c r="BE8" s="13">
        <f>BD8*VLOOKUP('Données projet'!$B$11,Paramètres!$A$1:$I$89,3,0)*VLOOKUP('Données projet'!$B$11,Paramètres!$A$1:$I$89,5,0)</f>
        <v>1.5038290463602273</v>
      </c>
      <c r="BF8" s="13">
        <f t="shared" si="37"/>
        <v>0.66088307827536719</v>
      </c>
      <c r="BG8" s="20">
        <f t="shared" si="7"/>
        <v>3.7702069504069935</v>
      </c>
      <c r="BH8" s="59">
        <f t="shared" si="8"/>
        <v>246.39116955186549</v>
      </c>
      <c r="BI8" s="59">
        <f ca="1">AVERAGE(OFFSET($BH$3,0,0,'Données projet'!$E$11+1,1))-AVERAGE(OFFSET($H$3,0,0,'Données projet'!$E$11+1,1))</f>
        <v>400.11184625063709</v>
      </c>
      <c r="BJ8" s="59">
        <f t="shared" si="38"/>
        <v>340.02906159605971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4.0942857142857143</v>
      </c>
      <c r="BY8" s="12">
        <f>IF('Données projet'!$A$114&gt;35,BY7+BX8-CG7,IF(A8&lt;'Données projet'!$A$114,$BV$205^A8,IF(A8='Données projet'!$A$114,'Données projet'!$B$114,BY7+BX8-CG7)))</f>
        <v>20.471428571428572</v>
      </c>
      <c r="BZ8" s="13">
        <f>BY8*VLOOKUP('Données projet'!$B$12,Paramètres!$A$1:$I$89,3,0)*VLOOKUP('Données projet'!$B$12,Paramètres!$A$1:$I$89,5,0)</f>
        <v>13.732234285714286</v>
      </c>
      <c r="CA8" s="13">
        <f t="shared" si="39"/>
        <v>4.6650917866869763</v>
      </c>
      <c r="CB8" s="20">
        <f t="shared" si="10"/>
        <v>32.042009576098863</v>
      </c>
      <c r="CC8" s="59">
        <f t="shared" si="11"/>
        <v>274.66297217755738</v>
      </c>
      <c r="CD8" s="59">
        <f ca="1">AVERAGE(OFFSET($CC$3,0,0,'Données projet'!$E$12+1,1))-AVERAGE(OFFSET($H$3,0,0,'Données projet'!$E$12+1,1))</f>
        <v>493.98227954109774</v>
      </c>
      <c r="CE8" s="59">
        <f t="shared" si="40"/>
        <v>224.32736097997289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4.0942857142857143</v>
      </c>
      <c r="CT8" s="12">
        <f>IF('Données projet'!$A$140&gt;35,CT7+CS8-DB7,IF(A8&lt;'Données projet'!$A$140,$CQ$205^A8,IF(A8='Données projet'!$A$140,'Données projet'!$B$140,CT7+CS8-DB7)))</f>
        <v>20.471428571428572</v>
      </c>
      <c r="CU8" s="17">
        <f>CT8*VLOOKUP('Données projet'!$B$13,Paramètres!$A$1:$I$89,3,0)*VLOOKUP('Données projet'!$B$13,Paramètres!$A$1:$I$89,5,0)</f>
        <v>19.480611428571429</v>
      </c>
      <c r="CV8" s="13">
        <f t="shared" si="41"/>
        <v>6.3539663112950988</v>
      </c>
      <c r="CW8" s="20">
        <f t="shared" si="13"/>
        <v>44.995222896934202</v>
      </c>
      <c r="CX8" s="59">
        <f t="shared" si="14"/>
        <v>287.61618549839272</v>
      </c>
      <c r="CY8" s="59">
        <f ca="1">AVERAGE(OFFSET($CX$3,0,0,'Données projet'!$E$13+1,1))-AVERAGE(OFFSET($H$3,0,0,'Données projet'!$E$13+1,1))</f>
        <v>677.13548994240728</v>
      </c>
      <c r="CZ8" s="59">
        <f t="shared" si="42"/>
        <v>298.72429542440534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64.502686770094741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1.2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4.3999999999999995</v>
      </c>
      <c r="H9" s="67">
        <f t="shared" si="1"/>
        <v>239.06666666666669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295.33930673096279</v>
      </c>
      <c r="S9" s="59">
        <f ca="1">AVERAGE(OFFSET($R$3,0,0,'Données projet'!$E$9+1,1))-AVERAGE(OFFSET($H$3,0,0,'Données projet'!$E$9+1,1))</f>
        <v>646.69588445509589</v>
      </c>
      <c r="T9" s="59">
        <f t="shared" si="34"/>
        <v>286.36346771084698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9.300476190476191</v>
      </c>
      <c r="AI9" s="13">
        <f>IF('Données projet'!$A$62&gt;35,AI8+AH9-AQ8,IF(A9&lt;'Données projet'!$A$62,$AF$205^A9,IF(A9='Données projet'!$A$62,'Données projet'!$B$62,AI8+AH9-AQ8)))</f>
        <v>4.5132844786893322</v>
      </c>
      <c r="AJ9" s="13">
        <f>AI9*VLOOKUP('Données projet'!$B$10,Paramètres!$A$1:$I$89,3,0)*VLOOKUP('Données projet'!$B$10,Paramètres!$A$1:$I$89,5,0)</f>
        <v>2.5229260235873365</v>
      </c>
      <c r="AK9" s="13">
        <f t="shared" si="35"/>
        <v>1.0439384546728099</v>
      </c>
      <c r="AL9" s="20">
        <f t="shared" si="4"/>
        <v>6.2122889663030882</v>
      </c>
      <c r="AM9" s="59">
        <f t="shared" si="5"/>
        <v>250.40514946940527</v>
      </c>
      <c r="AN9" s="59">
        <f ca="1">AVERAGE(OFFSET($AM$3,0,0,'Données projet'!$E$10+1,1))-AVERAGE(OFFSET($H$3,0,0,'Données projet'!$E$10+1,1))</f>
        <v>391.55758836264408</v>
      </c>
      <c r="AO9" s="59">
        <f t="shared" si="36"/>
        <v>360.80727659978777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6.7</v>
      </c>
      <c r="BD9" s="12">
        <f>IF('Données projet'!$A$88&gt;35,BD8+BC9-BL8,IF(A9&lt;'Données projet'!$A$88,$BA$205^A9,IF(A9='Données projet'!$A$88,'Données projet'!$B$88,BD8+BC9-BL8)))</f>
        <v>4.3464174887756801</v>
      </c>
      <c r="BE9" s="13">
        <f>BD9*VLOOKUP('Données projet'!$B$11,Paramètres!$A$1:$I$89,3,0)*VLOOKUP('Données projet'!$B$11,Paramètres!$A$1:$I$89,5,0)</f>
        <v>1.9211165300388509</v>
      </c>
      <c r="BF9" s="13">
        <f t="shared" si="37"/>
        <v>0.82054068953678427</v>
      </c>
      <c r="BG9" s="20">
        <f t="shared" si="7"/>
        <v>4.775052990760897</v>
      </c>
      <c r="BH9" s="59">
        <f t="shared" si="8"/>
        <v>248.96791349386308</v>
      </c>
      <c r="BI9" s="59">
        <f ca="1">AVERAGE(OFFSET($BH$3,0,0,'Données projet'!$E$11+1,1))-AVERAGE(OFFSET($H$3,0,0,'Données projet'!$E$11+1,1))</f>
        <v>400.11184625063709</v>
      </c>
      <c r="BJ9" s="59">
        <f t="shared" si="38"/>
        <v>340.02906159605971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4.0942857142857143</v>
      </c>
      <c r="BY9" s="12">
        <f>IF('Données projet'!$A$114&gt;35,BY8+BX9-CG8,IF(A9&lt;'Données projet'!$A$114,$BV$205^A9,IF(A9='Données projet'!$A$114,'Données projet'!$B$114,BY8+BX9-CG8)))</f>
        <v>24.565714285714286</v>
      </c>
      <c r="BZ9" s="13">
        <f>BY9*VLOOKUP('Données projet'!$B$12,Paramètres!$A$1:$I$89,3,0)*VLOOKUP('Données projet'!$B$12,Paramètres!$A$1:$I$89,5,0)</f>
        <v>16.478681142857145</v>
      </c>
      <c r="CA9" s="13">
        <f t="shared" si="39"/>
        <v>5.4805575434586729</v>
      </c>
      <c r="CB9" s="20">
        <f t="shared" si="10"/>
        <v>38.245674045333381</v>
      </c>
      <c r="CC9" s="59">
        <f t="shared" si="11"/>
        <v>282.4385345484356</v>
      </c>
      <c r="CD9" s="59">
        <f ca="1">AVERAGE(OFFSET($CC$3,0,0,'Données projet'!$E$12+1,1))-AVERAGE(OFFSET($H$3,0,0,'Données projet'!$E$12+1,1))</f>
        <v>493.98227954109774</v>
      </c>
      <c r="CE9" s="59">
        <f t="shared" si="40"/>
        <v>224.32736097997289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4.0942857142857143</v>
      </c>
      <c r="CT9" s="12">
        <f>IF('Données projet'!$A$140&gt;35,CT8+CS9-DB8,IF(A9&lt;'Données projet'!$A$140,$CQ$205^A9,IF(A9='Données projet'!$A$140,'Données projet'!$B$140,CT8+CS9-DB8)))</f>
        <v>24.565714285714286</v>
      </c>
      <c r="CU9" s="17">
        <f>CT9*VLOOKUP('Données projet'!$B$13,Paramètres!$A$1:$I$89,3,0)*VLOOKUP('Données projet'!$B$13,Paramètres!$A$1:$I$89,5,0)</f>
        <v>23.376733714285717</v>
      </c>
      <c r="CV9" s="13">
        <f t="shared" si="41"/>
        <v>7.4646501270623844</v>
      </c>
      <c r="CW9" s="20">
        <f t="shared" si="13"/>
        <v>53.715410190347939</v>
      </c>
      <c r="CX9" s="59">
        <f t="shared" si="14"/>
        <v>297.90827069345016</v>
      </c>
      <c r="CY9" s="59">
        <f ca="1">AVERAGE(OFFSET($CX$3,0,0,'Données projet'!$E$13+1,1))-AVERAGE(OFFSET($H$3,0,0,'Données projet'!$E$13+1,1))</f>
        <v>677.13548994240728</v>
      </c>
      <c r="CZ9" s="59">
        <f t="shared" si="42"/>
        <v>298.72429542440534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64.598052864482412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1.2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4.3999999999999995</v>
      </c>
      <c r="H10" s="67">
        <f t="shared" si="1"/>
        <v>239.06666666666669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305.17157175334449</v>
      </c>
      <c r="S10" s="59">
        <f ca="1">AVERAGE(OFFSET($R$3,0,0,'Données projet'!$E$9+1,1))-AVERAGE(OFFSET($H$3,0,0,'Données projet'!$E$9+1,1))</f>
        <v>646.69588445509589</v>
      </c>
      <c r="T10" s="59">
        <f t="shared" si="34"/>
        <v>286.36346771084698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9.300476190476191</v>
      </c>
      <c r="AI10" s="13">
        <f>IF('Données projet'!$A$62&gt;35,AI9+AH10-AQ9,IF(A10&lt;'Données projet'!$A$62,$AF$205^A10,IF(A10='Données projet'!$A$62,'Données projet'!$B$62,AI9+AH10-AQ9)))</f>
        <v>5.8019612867699086</v>
      </c>
      <c r="AJ10" s="13">
        <f>AI10*VLOOKUP('Données projet'!$B$10,Paramètres!$A$1:$I$89,3,0)*VLOOKUP('Données projet'!$B$10,Paramètres!$A$1:$I$89,5,0)</f>
        <v>3.2432963593043791</v>
      </c>
      <c r="AK10" s="13">
        <f t="shared" si="35"/>
        <v>1.3033463953779079</v>
      </c>
      <c r="AL10" s="20">
        <f t="shared" si="4"/>
        <v>7.9187361310716495</v>
      </c>
      <c r="AM10" s="59">
        <f t="shared" si="5"/>
        <v>253.67742844453721</v>
      </c>
      <c r="AN10" s="59">
        <f ca="1">AVERAGE(OFFSET($AM$3,0,0,'Données projet'!$E$10+1,1))-AVERAGE(OFFSET($H$3,0,0,'Données projet'!$E$10+1,1))</f>
        <v>391.55758836264408</v>
      </c>
      <c r="AO10" s="59">
        <f t="shared" si="36"/>
        <v>360.80727659978777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6.7</v>
      </c>
      <c r="BD10" s="12">
        <f>IF('Données projet'!$A$88&gt;35,BD9+BC10-BL9,IF(A10&lt;'Données projet'!$A$88,$BA$205^A10,IF(A10='Données projet'!$A$88,'Données projet'!$B$88,BD9+BC10-BL9)))</f>
        <v>5.5524758644253227</v>
      </c>
      <c r="BE10" s="13">
        <f>BD10*VLOOKUP('Données projet'!$B$11,Paramètres!$A$1:$I$89,3,0)*VLOOKUP('Données projet'!$B$11,Paramètres!$A$1:$I$89,5,0)</f>
        <v>2.4541943320759931</v>
      </c>
      <c r="BF10" s="13">
        <f t="shared" si="37"/>
        <v>1.0187687433948276</v>
      </c>
      <c r="BG10" s="20">
        <f t="shared" si="7"/>
        <v>6.0487440231116798</v>
      </c>
      <c r="BH10" s="59">
        <f t="shared" si="8"/>
        <v>251.80743633657724</v>
      </c>
      <c r="BI10" s="59">
        <f ca="1">AVERAGE(OFFSET($BH$3,0,0,'Données projet'!$E$11+1,1))-AVERAGE(OFFSET($H$3,0,0,'Données projet'!$E$11+1,1))</f>
        <v>400.11184625063709</v>
      </c>
      <c r="BJ10" s="59">
        <f t="shared" si="38"/>
        <v>340.02906159605971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4.0942857142857143</v>
      </c>
      <c r="BY10" s="12">
        <f>IF('Données projet'!$A$114&gt;35,BY9+BX10-CG9,IF(A10&lt;'Données projet'!$A$114,$BV$205^A10,IF(A10='Données projet'!$A$114,'Données projet'!$B$114,BY9+BX10-CG9)))</f>
        <v>28.66</v>
      </c>
      <c r="BZ10" s="13">
        <f>BY10*VLOOKUP('Données projet'!$B$12,Paramètres!$A$1:$I$89,3,0)*VLOOKUP('Données projet'!$B$12,Paramètres!$A$1:$I$89,5,0)</f>
        <v>19.225128000000002</v>
      </c>
      <c r="CA10" s="13">
        <f t="shared" si="39"/>
        <v>6.2802788225329458</v>
      </c>
      <c r="CB10" s="20">
        <f t="shared" si="10"/>
        <v>44.421916882578216</v>
      </c>
      <c r="CC10" s="59">
        <f t="shared" si="11"/>
        <v>290.18060919604375</v>
      </c>
      <c r="CD10" s="59">
        <f ca="1">AVERAGE(OFFSET($CC$3,0,0,'Données projet'!$E$12+1,1))-AVERAGE(OFFSET($H$3,0,0,'Données projet'!$E$12+1,1))</f>
        <v>493.98227954109774</v>
      </c>
      <c r="CE10" s="59">
        <f t="shared" si="40"/>
        <v>224.32736097997289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4.0942857142857143</v>
      </c>
      <c r="CT10" s="12">
        <f>IF('Données projet'!$A$140&gt;35,CT9+CS10-DB9,IF(A10&lt;'Données projet'!$A$140,$CQ$205^A10,IF(A10='Données projet'!$A$140,'Données projet'!$B$140,CT9+CS10-DB9)))</f>
        <v>28.66</v>
      </c>
      <c r="CU10" s="17">
        <f>CT10*VLOOKUP('Données projet'!$B$13,Paramètres!$A$1:$I$89,3,0)*VLOOKUP('Données projet'!$B$13,Paramètres!$A$1:$I$89,5,0)</f>
        <v>27.272856000000004</v>
      </c>
      <c r="CV10" s="13">
        <f t="shared" si="41"/>
        <v>8.5538895885805495</v>
      </c>
      <c r="CW10" s="20">
        <f t="shared" si="13"/>
        <v>62.398248566777788</v>
      </c>
      <c r="CX10" s="59">
        <f t="shared" si="14"/>
        <v>308.15694088024333</v>
      </c>
      <c r="CY10" s="59">
        <f ca="1">AVERAGE(OFFSET($CX$3,0,0,'Données projet'!$E$13+1,1))-AVERAGE(OFFSET($H$3,0,0,'Données projet'!$E$13+1,1))</f>
        <v>677.13548994240728</v>
      </c>
      <c r="CZ10" s="59">
        <f t="shared" si="42"/>
        <v>298.72429542440534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64.691764570339103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1.2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4.3999999999999995</v>
      </c>
      <c r="H11" s="67">
        <f t="shared" si="1"/>
        <v>239.06666666666669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314.96784657777391</v>
      </c>
      <c r="S11" s="59">
        <f ca="1">AVERAGE(OFFSET($R$3,0,0,'Données projet'!$E$9+1,1))-AVERAGE(OFFSET($H$3,0,0,'Données projet'!$E$9+1,1))</f>
        <v>646.69588445509589</v>
      </c>
      <c r="T11" s="59">
        <f t="shared" si="34"/>
        <v>286.36346771084698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9.300476190476191</v>
      </c>
      <c r="AI11" s="13">
        <f>IF('Données projet'!$A$62&gt;35,AI10+AH11-AQ10,IF(A11&lt;'Données projet'!$A$62,$AF$205^A11,IF(A11='Données projet'!$A$62,'Données projet'!$B$62,AI10+AH11-AQ10)))</f>
        <v>7.4585936100691947</v>
      </c>
      <c r="AJ11" s="13">
        <f>AI11*VLOOKUP('Données projet'!$B$10,Paramètres!$A$1:$I$89,3,0)*VLOOKUP('Données projet'!$B$10,Paramètres!$A$1:$I$89,5,0)</f>
        <v>4.1693538280286795</v>
      </c>
      <c r="AK11" s="13">
        <f t="shared" si="35"/>
        <v>1.6272145342868833</v>
      </c>
      <c r="AL11" s="20">
        <f t="shared" si="4"/>
        <v>10.095689897699605</v>
      </c>
      <c r="AM11" s="59">
        <f t="shared" si="5"/>
        <v>257.41425316337035</v>
      </c>
      <c r="AN11" s="59">
        <f ca="1">AVERAGE(OFFSET($AM$3,0,0,'Données projet'!$E$10+1,1))-AVERAGE(OFFSET($H$3,0,0,'Données projet'!$E$10+1,1))</f>
        <v>391.55758836264408</v>
      </c>
      <c r="AO11" s="59">
        <f t="shared" si="36"/>
        <v>360.80727659978777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6.7</v>
      </c>
      <c r="BD11" s="12">
        <f>IF('Données projet'!$A$88&gt;35,BD10+BC11-BL10,IF(A11&lt;'Données projet'!$A$88,$BA$205^A11,IF(A11='Données projet'!$A$88,'Données projet'!$B$88,BD10+BC11-BL10)))</f>
        <v>7.0931953280240609</v>
      </c>
      <c r="BE11" s="13">
        <f>BD11*VLOOKUP('Données projet'!$B$11,Paramètres!$A$1:$I$89,3,0)*VLOOKUP('Données projet'!$B$11,Paramètres!$A$1:$I$89,5,0)</f>
        <v>3.1351923349866353</v>
      </c>
      <c r="BF11" s="13">
        <f t="shared" si="37"/>
        <v>1.2648851735849818</v>
      </c>
      <c r="BG11" s="20">
        <f t="shared" si="7"/>
        <v>7.6634683274288991</v>
      </c>
      <c r="BH11" s="59">
        <f t="shared" si="8"/>
        <v>254.98203159309961</v>
      </c>
      <c r="BI11" s="59">
        <f ca="1">AVERAGE(OFFSET($BH$3,0,0,'Données projet'!$E$11+1,1))-AVERAGE(OFFSET($H$3,0,0,'Données projet'!$E$11+1,1))</f>
        <v>400.11184625063709</v>
      </c>
      <c r="BJ11" s="59">
        <f t="shared" si="38"/>
        <v>340.02906159605971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4.0942857142857143</v>
      </c>
      <c r="BY11" s="12">
        <f>IF('Données projet'!$A$114&gt;35,BY10+BX11-CG10,IF(A11&lt;'Données projet'!$A$114,$BV$205^A11,IF(A11='Données projet'!$A$114,'Données projet'!$B$114,BY10+BX11-CG10)))</f>
        <v>32.754285714285714</v>
      </c>
      <c r="BZ11" s="13">
        <f>BY11*VLOOKUP('Données projet'!$B$12,Paramètres!$A$1:$I$89,3,0)*VLOOKUP('Données projet'!$B$12,Paramètres!$A$1:$I$89,5,0)</f>
        <v>21.971574857142858</v>
      </c>
      <c r="CA11" s="13">
        <f t="shared" si="39"/>
        <v>7.0667643534099449</v>
      </c>
      <c r="CB11" s="20">
        <f t="shared" si="10"/>
        <v>50.57510745837947</v>
      </c>
      <c r="CC11" s="59">
        <f t="shared" si="11"/>
        <v>297.8936707240502</v>
      </c>
      <c r="CD11" s="59">
        <f ca="1">AVERAGE(OFFSET($CC$3,0,0,'Données projet'!$E$12+1,1))-AVERAGE(OFFSET($H$3,0,0,'Données projet'!$E$12+1,1))</f>
        <v>493.98227954109774</v>
      </c>
      <c r="CE11" s="59">
        <f t="shared" si="40"/>
        <v>224.32736097997289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4.0942857142857143</v>
      </c>
      <c r="CT11" s="12">
        <f>IF('Données projet'!$A$140&gt;35,CT10+CS11-DB10,IF(A11&lt;'Données projet'!$A$140,$CQ$205^A11,IF(A11='Données projet'!$A$140,'Données projet'!$B$140,CT10+CS11-DB10)))</f>
        <v>32.754285714285714</v>
      </c>
      <c r="CU11" s="17">
        <f>CT11*VLOOKUP('Données projet'!$B$13,Paramètres!$A$1:$I$89,3,0)*VLOOKUP('Données projet'!$B$13,Paramètres!$A$1:$I$89,5,0)</f>
        <v>31.168978285714289</v>
      </c>
      <c r="CV11" s="13">
        <f t="shared" si="41"/>
        <v>9.6251016452810383</v>
      </c>
      <c r="CW11" s="20">
        <f t="shared" si="13"/>
        <v>71.049689213150188</v>
      </c>
      <c r="CX11" s="59">
        <f t="shared" si="14"/>
        <v>318.36825247882092</v>
      </c>
      <c r="CY11" s="59">
        <f ca="1">AVERAGE(OFFSET($CX$3,0,0,'Données projet'!$E$13+1,1))-AVERAGE(OFFSET($H$3,0,0,'Données projet'!$E$13+1,1))</f>
        <v>677.13548994240728</v>
      </c>
      <c r="CZ11" s="59">
        <f t="shared" si="42"/>
        <v>298.72429542440534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64.783850587607162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1.2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4.3999999999999995</v>
      </c>
      <c r="H12" s="67">
        <f t="shared" si="1"/>
        <v>239.06666666666669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324.73241817160329</v>
      </c>
      <c r="S12" s="59">
        <f ca="1">AVERAGE(OFFSET($R$3,0,0,'Données projet'!$E$9+1,1))-AVERAGE(OFFSET($H$3,0,0,'Données projet'!$E$9+1,1))</f>
        <v>646.69588445509589</v>
      </c>
      <c r="T12" s="59">
        <f t="shared" si="34"/>
        <v>286.36346771084698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9.300476190476191</v>
      </c>
      <c r="AI12" s="13">
        <f>IF('Données projet'!$A$62&gt;35,AI11+AH12-AQ11,IF(A12&lt;'Données projet'!$A$62,$AF$205^A12,IF(A12='Données projet'!$A$62,'Données projet'!$B$62,AI11+AH12-AQ11)))</f>
        <v>9.5882436801187154</v>
      </c>
      <c r="AJ12" s="13">
        <f>AI12*VLOOKUP('Données projet'!$B$10,Paramètres!$A$1:$I$89,3,0)*VLOOKUP('Données projet'!$B$10,Paramètres!$A$1:$I$89,5,0)</f>
        <v>5.3598282171863616</v>
      </c>
      <c r="AK12" s="13">
        <f t="shared" si="35"/>
        <v>2.0315605659282445</v>
      </c>
      <c r="AL12" s="20">
        <f t="shared" si="4"/>
        <v>12.873335463924604</v>
      </c>
      <c r="AM12" s="59">
        <f t="shared" si="5"/>
        <v>261.74591223120478</v>
      </c>
      <c r="AN12" s="59">
        <f ca="1">AVERAGE(OFFSET($AM$3,0,0,'Données projet'!$E$10+1,1))-AVERAGE(OFFSET($H$3,0,0,'Données projet'!$E$10+1,1))</f>
        <v>391.55758836264408</v>
      </c>
      <c r="AO12" s="59">
        <f t="shared" si="36"/>
        <v>360.80727659978777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6.7</v>
      </c>
      <c r="BD12" s="12">
        <f>IF('Données projet'!$A$88&gt;35,BD11+BC12-BL11,IF(A12&lt;'Données projet'!$A$88,$BA$205^A12,IF(A12='Données projet'!$A$88,'Données projet'!$B$88,BD11+BC12-BL11)))</f>
        <v>9.0614387509291365</v>
      </c>
      <c r="BE12" s="13">
        <f>BD12*VLOOKUP('Données projet'!$B$11,Paramètres!$A$1:$I$89,3,0)*VLOOKUP('Données projet'!$B$11,Paramètres!$A$1:$I$89,5,0)</f>
        <v>4.0051559279106792</v>
      </c>
      <c r="BF12" s="13">
        <f t="shared" si="37"/>
        <v>1.5704589611020769</v>
      </c>
      <c r="BG12" s="20">
        <f t="shared" si="7"/>
        <v>9.7108625983638834</v>
      </c>
      <c r="BH12" s="59">
        <f t="shared" si="8"/>
        <v>258.58343936564404</v>
      </c>
      <c r="BI12" s="59">
        <f ca="1">AVERAGE(OFFSET($BH$3,0,0,'Données projet'!$E$11+1,1))-AVERAGE(OFFSET($H$3,0,0,'Données projet'!$E$11+1,1))</f>
        <v>400.11184625063709</v>
      </c>
      <c r="BJ12" s="59">
        <f t="shared" si="38"/>
        <v>340.02906159605971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4.0942857142857143</v>
      </c>
      <c r="BY12" s="12">
        <f>IF('Données projet'!$A$114&gt;35,BY11+BX12-CG11,IF(A12&lt;'Données projet'!$A$114,$BV$205^A12,IF(A12='Données projet'!$A$114,'Données projet'!$B$114,BY11+BX12-CG11)))</f>
        <v>36.848571428571432</v>
      </c>
      <c r="BZ12" s="13">
        <f>BY12*VLOOKUP('Données projet'!$B$12,Paramètres!$A$1:$I$89,3,0)*VLOOKUP('Données projet'!$B$12,Paramètres!$A$1:$I$89,5,0)</f>
        <v>24.718021714285719</v>
      </c>
      <c r="CA12" s="13">
        <f t="shared" si="39"/>
        <v>7.8418580841858754</v>
      </c>
      <c r="CB12" s="20">
        <f t="shared" si="10"/>
        <v>56.708457315671353</v>
      </c>
      <c r="CC12" s="59">
        <f t="shared" si="11"/>
        <v>305.58103408295153</v>
      </c>
      <c r="CD12" s="59">
        <f ca="1">AVERAGE(OFFSET($CC$3,0,0,'Données projet'!$E$12+1,1))-AVERAGE(OFFSET($H$3,0,0,'Données projet'!$E$12+1,1))</f>
        <v>493.98227954109774</v>
      </c>
      <c r="CE12" s="59">
        <f t="shared" si="40"/>
        <v>224.32736097997289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4.0942857142857143</v>
      </c>
      <c r="CT12" s="12">
        <f>IF('Données projet'!$A$140&gt;35,CT11+CS12-DB11,IF(A12&lt;'Données projet'!$A$140,$CQ$205^A12,IF(A12='Données projet'!$A$140,'Données projet'!$B$140,CT11+CS12-DB11)))</f>
        <v>36.848571428571432</v>
      </c>
      <c r="CU12" s="17">
        <f>CT12*VLOOKUP('Données projet'!$B$13,Paramètres!$A$1:$I$89,3,0)*VLOOKUP('Données projet'!$B$13,Paramètres!$A$1:$I$89,5,0)</f>
        <v>35.06510057142858</v>
      </c>
      <c r="CV12" s="13">
        <f t="shared" si="41"/>
        <v>10.680797798463022</v>
      </c>
      <c r="CW12" s="20">
        <f t="shared" si="13"/>
        <v>79.674106327561205</v>
      </c>
      <c r="CX12" s="59">
        <f t="shared" si="14"/>
        <v>328.54668309484134</v>
      </c>
      <c r="CY12" s="59">
        <f ca="1">AVERAGE(OFFSET($CX$3,0,0,'Données projet'!$E$13+1,1))-AVERAGE(OFFSET($H$3,0,0,'Données projet'!$E$13+1,1))</f>
        <v>677.13548994240728</v>
      </c>
      <c r="CZ12" s="59">
        <f t="shared" si="42"/>
        <v>298.72429542440534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64.874339118349127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1.2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4.3999999999999995</v>
      </c>
      <c r="H13" s="67">
        <f t="shared" si="1"/>
        <v>239.06666666666669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334.46858748854561</v>
      </c>
      <c r="S13" s="59">
        <f ca="1">AVERAGE(OFFSET($R$3,0,0,'Données projet'!$E$9+1,1))-AVERAGE(OFFSET($H$3,0,0,'Données projet'!$E$9+1,1))</f>
        <v>646.69588445509589</v>
      </c>
      <c r="T13" s="59">
        <f t="shared" si="34"/>
        <v>286.36346771084698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9.300476190476191</v>
      </c>
      <c r="AI13" s="13">
        <f>IF('Données projet'!$A$62&gt;35,AI12+AH13-AQ12,IF(A13&lt;'Données projet'!$A$62,$AF$205^A13,IF(A13='Données projet'!$A$62,'Données projet'!$B$62,AI12+AH13-AQ12)))</f>
        <v>12.325972116944925</v>
      </c>
      <c r="AJ13" s="13">
        <f>AI13*VLOOKUP('Données projet'!$B$10,Paramètres!$A$1:$I$89,3,0)*VLOOKUP('Données projet'!$B$10,Paramètres!$A$1:$I$89,5,0)</f>
        <v>6.8902184133722137</v>
      </c>
      <c r="AK13" s="13">
        <f t="shared" si="35"/>
        <v>2.5363824167434852</v>
      </c>
      <c r="AL13" s="20">
        <f t="shared" si="4"/>
        <v>16.417996445784841</v>
      </c>
      <c r="AM13" s="59">
        <f t="shared" si="5"/>
        <v>266.83883087775115</v>
      </c>
      <c r="AN13" s="59">
        <f ca="1">AVERAGE(OFFSET($AM$3,0,0,'Données projet'!$E$10+1,1))-AVERAGE(OFFSET($H$3,0,0,'Données projet'!$E$10+1,1))</f>
        <v>391.55758836264408</v>
      </c>
      <c r="AO13" s="59">
        <f t="shared" si="36"/>
        <v>360.80727659978777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6.7</v>
      </c>
      <c r="BD13" s="12">
        <f>IF('Données projet'!$A$88&gt;35,BD12+BC13-BL12,IF(A13&lt;'Données projet'!$A$88,$BA$205^A13,IF(A13='Données projet'!$A$88,'Données projet'!$B$88,BD12+BC13-BL12)))</f>
        <v>11.575836902790231</v>
      </c>
      <c r="BE13" s="13">
        <f>BD13*VLOOKUP('Données projet'!$B$11,Paramètres!$A$1:$I$89,3,0)*VLOOKUP('Données projet'!$B$11,Paramètres!$A$1:$I$89,5,0)</f>
        <v>5.1165199110332829</v>
      </c>
      <c r="BF13" s="13">
        <f t="shared" si="37"/>
        <v>1.9498539472287628</v>
      </c>
      <c r="BG13" s="20">
        <f t="shared" si="7"/>
        <v>12.30726780313973</v>
      </c>
      <c r="BH13" s="59">
        <f t="shared" si="8"/>
        <v>262.72810223510606</v>
      </c>
      <c r="BI13" s="59">
        <f ca="1">AVERAGE(OFFSET($BH$3,0,0,'Données projet'!$E$11+1,1))-AVERAGE(OFFSET($H$3,0,0,'Données projet'!$E$11+1,1))</f>
        <v>400.11184625063709</v>
      </c>
      <c r="BJ13" s="59">
        <f t="shared" si="38"/>
        <v>340.02906159605971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4.0942857142857143</v>
      </c>
      <c r="BY13" s="12">
        <f>IF('Données projet'!$A$114&gt;35,BY12+BX13-CG12,IF(A13&lt;'Données projet'!$A$114,$BV$205^A13,IF(A13='Données projet'!$A$114,'Données projet'!$B$114,BY12+BX13-CG12)))</f>
        <v>40.94285714285715</v>
      </c>
      <c r="BZ13" s="13">
        <f>BY13*VLOOKUP('Données projet'!$B$12,Paramètres!$A$1:$I$89,3,0)*VLOOKUP('Données projet'!$B$12,Paramètres!$A$1:$I$89,5,0)</f>
        <v>27.464468571428579</v>
      </c>
      <c r="CA13" s="13">
        <f t="shared" si="39"/>
        <v>8.6069701577232536</v>
      </c>
      <c r="CB13" s="20">
        <f t="shared" si="10"/>
        <v>62.824422453272774</v>
      </c>
      <c r="CC13" s="59">
        <f t="shared" si="11"/>
        <v>313.24525688523909</v>
      </c>
      <c r="CD13" s="59">
        <f ca="1">AVERAGE(OFFSET($CC$3,0,0,'Données projet'!$E$12+1,1))-AVERAGE(OFFSET($H$3,0,0,'Données projet'!$E$12+1,1))</f>
        <v>493.98227954109774</v>
      </c>
      <c r="CE13" s="59">
        <f t="shared" si="40"/>
        <v>224.32736097997289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4.0942857142857143</v>
      </c>
      <c r="CT13" s="12">
        <f>IF('Données projet'!$A$140&gt;35,CT12+CS13-DB12,IF(A13&lt;'Données projet'!$A$140,$CQ$205^A13,IF(A13='Données projet'!$A$140,'Données projet'!$B$140,CT12+CS13-DB12)))</f>
        <v>40.94285714285715</v>
      </c>
      <c r="CU13" s="17">
        <f>CT13*VLOOKUP('Données projet'!$B$13,Paramètres!$A$1:$I$89,3,0)*VLOOKUP('Données projet'!$B$13,Paramètres!$A$1:$I$89,5,0)</f>
        <v>38.961222857142864</v>
      </c>
      <c r="CV13" s="13">
        <f t="shared" si="41"/>
        <v>11.722898696347846</v>
      </c>
      <c r="CW13" s="20">
        <f t="shared" si="13"/>
        <v>88.274845038996318</v>
      </c>
      <c r="CX13" s="59">
        <f t="shared" si="14"/>
        <v>338.69567947096266</v>
      </c>
      <c r="CY13" s="59">
        <f ca="1">AVERAGE(OFFSET($CX$3,0,0,'Données projet'!$E$13+1,1))-AVERAGE(OFFSET($H$3,0,0,'Données projet'!$E$13+1,1))</f>
        <v>677.13548994240728</v>
      </c>
      <c r="CZ13" s="59">
        <f t="shared" si="42"/>
        <v>298.72429542440534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64.963257875384755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1.2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4.3999999999999995</v>
      </c>
      <c r="H14" s="67">
        <f t="shared" si="1"/>
        <v>239.06666666666669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344.17897682408477</v>
      </c>
      <c r="S14" s="59">
        <f ca="1">AVERAGE(OFFSET($R$3,0,0,'Données projet'!$E$9+1,1))-AVERAGE(OFFSET($H$3,0,0,'Données projet'!$E$9+1,1))</f>
        <v>646.69588445509589</v>
      </c>
      <c r="T14" s="59">
        <f t="shared" si="34"/>
        <v>286.36346771084698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9.300476190476191</v>
      </c>
      <c r="AI14" s="13">
        <f>IF('Données projet'!$A$62&gt;35,AI13+AH14-AQ13,IF(A14&lt;'Données projet'!$A$62,$AF$205^A14,IF(A14='Données projet'!$A$62,'Données projet'!$B$62,AI13+AH14-AQ13)))</f>
        <v>15.845403360234862</v>
      </c>
      <c r="AJ14" s="13">
        <f>AI14*VLOOKUP('Données projet'!$B$10,Paramètres!$A$1:$I$89,3,0)*VLOOKUP('Données projet'!$B$10,Paramètres!$A$1:$I$89,5,0)</f>
        <v>8.8575804783712879</v>
      </c>
      <c r="AK14" s="13">
        <f t="shared" si="35"/>
        <v>3.1666472916725947</v>
      </c>
      <c r="AL14" s="20">
        <f t="shared" si="4"/>
        <v>20.942196699493092</v>
      </c>
      <c r="AM14" s="59">
        <f t="shared" si="5"/>
        <v>272.90563281012498</v>
      </c>
      <c r="AN14" s="59">
        <f ca="1">AVERAGE(OFFSET($AM$3,0,0,'Données projet'!$E$10+1,1))-AVERAGE(OFFSET($H$3,0,0,'Données projet'!$E$10+1,1))</f>
        <v>391.55758836264408</v>
      </c>
      <c r="AO14" s="59">
        <f t="shared" si="36"/>
        <v>360.80727659978777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6.7</v>
      </c>
      <c r="BD14" s="12">
        <f>IF('Données projet'!$A$88&gt;35,BD13+BC14-BL13,IF(A14&lt;'Données projet'!$A$88,$BA$205^A14,IF(A14='Données projet'!$A$88,'Données projet'!$B$88,BD13+BC14-BL13)))</f>
        <v>14.787938613640149</v>
      </c>
      <c r="BE14" s="13">
        <f>BD14*VLOOKUP('Données projet'!$B$11,Paramètres!$A$1:$I$89,3,0)*VLOOKUP('Données projet'!$B$11,Paramètres!$A$1:$I$89,5,0)</f>
        <v>6.5362688672289471</v>
      </c>
      <c r="BF14" s="13">
        <f t="shared" si="37"/>
        <v>2.4209040221309337</v>
      </c>
      <c r="BG14" s="20">
        <f t="shared" si="7"/>
        <v>15.600409448968461</v>
      </c>
      <c r="BH14" s="59">
        <f t="shared" si="8"/>
        <v>267.56384555960034</v>
      </c>
      <c r="BI14" s="59">
        <f ca="1">AVERAGE(OFFSET($BH$3,0,0,'Données projet'!$E$11+1,1))-AVERAGE(OFFSET($H$3,0,0,'Données projet'!$E$11+1,1))</f>
        <v>400.11184625063709</v>
      </c>
      <c r="BJ14" s="59">
        <f t="shared" si="38"/>
        <v>340.02906159605971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4.0942857142857143</v>
      </c>
      <c r="BY14" s="12">
        <f>IF('Données projet'!$A$114&gt;35,BY13+BX14-CG13,IF(A14&lt;'Données projet'!$A$114,$BV$205^A14,IF(A14='Données projet'!$A$114,'Données projet'!$B$114,BY13+BX14-CG13)))</f>
        <v>45.037142857142868</v>
      </c>
      <c r="BZ14" s="13">
        <f>BY14*VLOOKUP('Données projet'!$B$12,Paramètres!$A$1:$I$89,3,0)*VLOOKUP('Données projet'!$B$12,Paramètres!$A$1:$I$89,5,0)</f>
        <v>30.21091542857144</v>
      </c>
      <c r="CA14" s="13">
        <f t="shared" si="39"/>
        <v>9.3632123680723645</v>
      </c>
      <c r="CB14" s="20">
        <f t="shared" si="10"/>
        <v>68.924939245821307</v>
      </c>
      <c r="CC14" s="59">
        <f t="shared" si="11"/>
        <v>320.8883753564532</v>
      </c>
      <c r="CD14" s="59">
        <f ca="1">AVERAGE(OFFSET($CC$3,0,0,'Données projet'!$E$12+1,1))-AVERAGE(OFFSET($H$3,0,0,'Données projet'!$E$12+1,1))</f>
        <v>493.98227954109774</v>
      </c>
      <c r="CE14" s="59">
        <f t="shared" si="40"/>
        <v>224.32736097997289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4.0942857142857143</v>
      </c>
      <c r="CT14" s="12">
        <f>IF('Données projet'!$A$140&gt;35,CT13+CS14-DB13,IF(A14&lt;'Données projet'!$A$140,$CQ$205^A14,IF(A14='Données projet'!$A$140,'Données projet'!$B$140,CT13+CS14-DB13)))</f>
        <v>45.037142857142868</v>
      </c>
      <c r="CU14" s="17">
        <f>CT14*VLOOKUP('Données projet'!$B$13,Paramètres!$A$1:$I$89,3,0)*VLOOKUP('Données projet'!$B$13,Paramètres!$A$1:$I$89,5,0)</f>
        <v>42.857345142857156</v>
      </c>
      <c r="CV14" s="13">
        <f t="shared" si="41"/>
        <v>12.752918628956738</v>
      </c>
      <c r="CW14" s="20">
        <f t="shared" si="13"/>
        <v>96.854542735909192</v>
      </c>
      <c r="CX14" s="59">
        <f t="shared" si="14"/>
        <v>348.81797884654105</v>
      </c>
      <c r="CY14" s="59">
        <f ca="1">AVERAGE(OFFSET($CX$3,0,0,'Données projet'!$E$13+1,1))-AVERAGE(OFFSET($H$3,0,0,'Données projet'!$E$13+1,1))</f>
        <v>677.13548994240728</v>
      </c>
      <c r="CZ14" s="59">
        <f t="shared" si="42"/>
        <v>298.72429542440534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65.050634090778388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1.2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4.3999999999999995</v>
      </c>
      <c r="H15" s="67">
        <f t="shared" si="1"/>
        <v>239.06666666666669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353.86572180993164</v>
      </c>
      <c r="S15" s="59">
        <f ca="1">AVERAGE(OFFSET($R$3,0,0,'Données projet'!$E$9+1,1))-AVERAGE(OFFSET($H$3,0,0,'Données projet'!$E$9+1,1))</f>
        <v>646.69588445509589</v>
      </c>
      <c r="T15" s="59">
        <f t="shared" si="34"/>
        <v>286.36346771084698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9.300476190476191</v>
      </c>
      <c r="AI15" s="13">
        <f>IF('Données projet'!$A$62&gt;35,AI14+AH15-AQ14,IF(A15&lt;'Données projet'!$A$62,$AF$205^A15,IF(A15='Données projet'!$A$62,'Données projet'!$B$62,AI14+AH15-AQ14)))</f>
        <v>20.369736785578038</v>
      </c>
      <c r="AJ15" s="13">
        <f>AI15*VLOOKUP('Données projet'!$B$10,Paramètres!$A$1:$I$89,3,0)*VLOOKUP('Données projet'!$B$10,Paramètres!$A$1:$I$89,5,0)</f>
        <v>11.386682863138123</v>
      </c>
      <c r="AK15" s="13">
        <f t="shared" si="35"/>
        <v>3.9535264886168462</v>
      </c>
      <c r="AL15" s="20">
        <f t="shared" si="4"/>
        <v>26.717531287639904</v>
      </c>
      <c r="AM15" s="59">
        <f t="shared" si="5"/>
        <v>280.21801120962914</v>
      </c>
      <c r="AN15" s="59">
        <f ca="1">AVERAGE(OFFSET($AM$3,0,0,'Données projet'!$E$10+1,1))-AVERAGE(OFFSET($H$3,0,0,'Données projet'!$E$10+1,1))</f>
        <v>391.55758836264408</v>
      </c>
      <c r="AO15" s="59">
        <f t="shared" si="36"/>
        <v>360.80727659978777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6.7</v>
      </c>
      <c r="BD15" s="12">
        <f>IF('Données projet'!$A$88&gt;35,BD14+BC15-BL14,IF(A15&lt;'Données projet'!$A$88,$BA$205^A15,IF(A15='Données projet'!$A$88,'Données projet'!$B$88,BD14+BC15-BL14)))</f>
        <v>18.891344986735092</v>
      </c>
      <c r="BE15" s="13">
        <f>BD15*VLOOKUP('Données projet'!$B$11,Paramètres!$A$1:$I$89,3,0)*VLOOKUP('Données projet'!$B$11,Paramètres!$A$1:$I$89,5,0)</f>
        <v>8.3499744841369115</v>
      </c>
      <c r="BF15" s="13">
        <f t="shared" si="37"/>
        <v>3.0057514270232302</v>
      </c>
      <c r="BG15" s="20">
        <f t="shared" si="7"/>
        <v>19.77788929527058</v>
      </c>
      <c r="BH15" s="59">
        <f t="shared" si="8"/>
        <v>273.27836921725981</v>
      </c>
      <c r="BI15" s="59">
        <f ca="1">AVERAGE(OFFSET($BH$3,0,0,'Données projet'!$E$11+1,1))-AVERAGE(OFFSET($H$3,0,0,'Données projet'!$E$11+1,1))</f>
        <v>400.11184625063709</v>
      </c>
      <c r="BJ15" s="59">
        <f t="shared" si="38"/>
        <v>340.02906159605971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4.0942857142857143</v>
      </c>
      <c r="BY15" s="12">
        <f>IF('Données projet'!$A$114&gt;35,BY14+BX15-CG14,IF(A15&lt;'Données projet'!$A$114,$BV$205^A15,IF(A15='Données projet'!$A$114,'Données projet'!$B$114,BY14+BX15-CG14)))</f>
        <v>49.131428571428586</v>
      </c>
      <c r="BZ15" s="13">
        <f>BY15*VLOOKUP('Données projet'!$B$12,Paramètres!$A$1:$I$89,3,0)*VLOOKUP('Données projet'!$B$12,Paramètres!$A$1:$I$89,5,0)</f>
        <v>32.957362285714296</v>
      </c>
      <c r="CA15" s="13">
        <f t="shared" si="39"/>
        <v>10.111482770574472</v>
      </c>
      <c r="CB15" s="20">
        <f t="shared" si="10"/>
        <v>75.011571806369588</v>
      </c>
      <c r="CC15" s="59">
        <f t="shared" si="11"/>
        <v>328.51205172835881</v>
      </c>
      <c r="CD15" s="59">
        <f ca="1">AVERAGE(OFFSET($CC$3,0,0,'Données projet'!$E$12+1,1))-AVERAGE(OFFSET($H$3,0,0,'Données projet'!$E$12+1,1))</f>
        <v>493.98227954109774</v>
      </c>
      <c r="CE15" s="59">
        <f t="shared" si="40"/>
        <v>224.32736097997289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4.0942857142857143</v>
      </c>
      <c r="CT15" s="12">
        <f>IF('Données projet'!$A$140&gt;35,CT14+CS15-DB14,IF(A15&lt;'Données projet'!$A$140,$CQ$205^A15,IF(A15='Données projet'!$A$140,'Données projet'!$B$140,CT14+CS15-DB14)))</f>
        <v>49.131428571428586</v>
      </c>
      <c r="CU15" s="17">
        <f>CT15*VLOOKUP('Données projet'!$B$13,Paramètres!$A$1:$I$89,3,0)*VLOOKUP('Données projet'!$B$13,Paramètres!$A$1:$I$89,5,0)</f>
        <v>46.75346742857144</v>
      </c>
      <c r="CV15" s="13">
        <f t="shared" si="41"/>
        <v>13.772080769089918</v>
      </c>
      <c r="CW15" s="20">
        <f t="shared" si="13"/>
        <v>105.41532977759353</v>
      </c>
      <c r="CX15" s="59">
        <f t="shared" si="14"/>
        <v>358.91580969958278</v>
      </c>
      <c r="CY15" s="59">
        <f ca="1">AVERAGE(OFFSET($CX$3,0,0,'Données projet'!$E$13+1,1))-AVERAGE(OFFSET($H$3,0,0,'Données projet'!$E$13+1,1))</f>
        <v>677.13548994240728</v>
      </c>
      <c r="CZ15" s="59">
        <f t="shared" si="42"/>
        <v>298.72429542440534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65.136494524178886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1.2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4.3999999999999995</v>
      </c>
      <c r="H16" s="67">
        <f t="shared" si="1"/>
        <v>239.06666666666669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363.53059742555928</v>
      </c>
      <c r="S16" s="59">
        <f ca="1">AVERAGE(OFFSET($R$3,0,0,'Données projet'!$E$9+1,1))-AVERAGE(OFFSET($H$3,0,0,'Données projet'!$E$9+1,1))</f>
        <v>646.69588445509589</v>
      </c>
      <c r="T16" s="59">
        <f t="shared" si="34"/>
        <v>286.36346771084698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9.300476190476191</v>
      </c>
      <c r="AI16" s="13">
        <f>IF('Données projet'!$A$62&gt;35,AI15+AH16-AQ15,IF(A16&lt;'Données projet'!$A$62,$AF$205^A16,IF(A16='Données projet'!$A$62,'Données projet'!$B$62,AI15+AH16-AQ15)))</f>
        <v>26.185901821535015</v>
      </c>
      <c r="AJ16" s="13">
        <f>AI16*VLOOKUP('Données projet'!$B$10,Paramètres!$A$1:$I$89,3,0)*VLOOKUP('Données projet'!$B$10,Paramètres!$A$1:$I$89,5,0)</f>
        <v>14.637919118238074</v>
      </c>
      <c r="AK16" s="13">
        <f t="shared" si="35"/>
        <v>4.935937051561945</v>
      </c>
      <c r="AL16" s="20">
        <f t="shared" si="4"/>
        <v>34.091132829068357</v>
      </c>
      <c r="AM16" s="59">
        <f t="shared" si="5"/>
        <v>289.12319511167902</v>
      </c>
      <c r="AN16" s="59">
        <f ca="1">AVERAGE(OFFSET($AM$3,0,0,'Données projet'!$E$10+1,1))-AVERAGE(OFFSET($H$3,0,0,'Données projet'!$E$10+1,1))</f>
        <v>391.55758836264408</v>
      </c>
      <c r="AO16" s="59">
        <f t="shared" si="36"/>
        <v>360.80727659978777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6.7</v>
      </c>
      <c r="BD16" s="12">
        <f>IF('Données projet'!$A$88&gt;35,BD15+BC16-BL15,IF(A16&lt;'Données projet'!$A$88,$BA$205^A16,IF(A16='Données projet'!$A$88,'Données projet'!$B$88,BD15+BC16-BL15)))</f>
        <v>24.133378203143081</v>
      </c>
      <c r="BE16" s="13">
        <f>BD16*VLOOKUP('Données projet'!$B$11,Paramètres!$A$1:$I$89,3,0)*VLOOKUP('Données projet'!$B$11,Paramètres!$A$1:$I$89,5,0)</f>
        <v>10.666953165789243</v>
      </c>
      <c r="BF16" s="13">
        <f t="shared" si="37"/>
        <v>3.7318875752454574</v>
      </c>
      <c r="BG16" s="20">
        <f t="shared" si="7"/>
        <v>25.077980957302103</v>
      </c>
      <c r="BH16" s="59">
        <f t="shared" si="8"/>
        <v>280.11004323991278</v>
      </c>
      <c r="BI16" s="59">
        <f ca="1">AVERAGE(OFFSET($BH$3,0,0,'Données projet'!$E$11+1,1))-AVERAGE(OFFSET($H$3,0,0,'Données projet'!$E$11+1,1))</f>
        <v>400.11184625063709</v>
      </c>
      <c r="BJ16" s="59">
        <f t="shared" si="38"/>
        <v>340.02906159605971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4.0942857142857143</v>
      </c>
      <c r="BY16" s="12">
        <f>IF('Données projet'!$A$114&gt;35,BY15+BX16-CG15,IF(A16&lt;'Données projet'!$A$114,$BV$205^A16,IF(A16='Données projet'!$A$114,'Données projet'!$B$114,BY15+BX16-CG15)))</f>
        <v>53.225714285714304</v>
      </c>
      <c r="BZ16" s="13">
        <f>BY16*VLOOKUP('Données projet'!$B$12,Paramètres!$A$1:$I$89,3,0)*VLOOKUP('Données projet'!$B$12,Paramètres!$A$1:$I$89,5,0)</f>
        <v>35.703809142857153</v>
      </c>
      <c r="CA16" s="13">
        <f t="shared" si="39"/>
        <v>10.852521209529849</v>
      </c>
      <c r="CB16" s="20">
        <f t="shared" si="10"/>
        <v>81.085608697074022</v>
      </c>
      <c r="CC16" s="59">
        <f t="shared" si="11"/>
        <v>336.1176709796847</v>
      </c>
      <c r="CD16" s="59">
        <f ca="1">AVERAGE(OFFSET($CC$3,0,0,'Données projet'!$E$12+1,1))-AVERAGE(OFFSET($H$3,0,0,'Données projet'!$E$12+1,1))</f>
        <v>493.98227954109774</v>
      </c>
      <c r="CE16" s="59">
        <f t="shared" si="40"/>
        <v>224.32736097997289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4.0942857142857143</v>
      </c>
      <c r="CT16" s="12">
        <f>IF('Données projet'!$A$140&gt;35,CT15+CS16-DB15,IF(A16&lt;'Données projet'!$A$140,$CQ$205^A16,IF(A16='Données projet'!$A$140,'Données projet'!$B$140,CT15+CS16-DB15)))</f>
        <v>53.225714285714304</v>
      </c>
      <c r="CU16" s="17">
        <f>CT16*VLOOKUP('Données projet'!$B$13,Paramètres!$A$1:$I$89,3,0)*VLOOKUP('Données projet'!$B$13,Paramètres!$A$1:$I$89,5,0)</f>
        <v>50.649589714285725</v>
      </c>
      <c r="CV16" s="13">
        <f t="shared" si="41"/>
        <v>14.781392802335258</v>
      </c>
      <c r="CW16" s="20">
        <f t="shared" si="13"/>
        <v>113.9589612164482</v>
      </c>
      <c r="CX16" s="59">
        <f t="shared" si="14"/>
        <v>368.99102349905888</v>
      </c>
      <c r="CY16" s="59">
        <f ca="1">AVERAGE(OFFSET($CX$3,0,0,'Données projet'!$E$13+1,1))-AVERAGE(OFFSET($H$3,0,0,'Données projet'!$E$13+1,1))</f>
        <v>677.13548994240728</v>
      </c>
      <c r="CZ16" s="59">
        <f t="shared" si="42"/>
        <v>298.72429542440534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65.220865471015046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1.2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4.3999999999999995</v>
      </c>
      <c r="H17" s="67">
        <f t="shared" si="1"/>
        <v>239.06666666666669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373.17510406766348</v>
      </c>
      <c r="S17" s="59">
        <f ca="1">AVERAGE(OFFSET($R$3,0,0,'Données projet'!$E$9+1,1))-AVERAGE(OFFSET($H$3,0,0,'Données projet'!$E$9+1,1))</f>
        <v>646.69588445509589</v>
      </c>
      <c r="T17" s="59">
        <f t="shared" si="34"/>
        <v>286.36346771084698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9.300476190476191</v>
      </c>
      <c r="AI17" s="13">
        <f>IF('Données projet'!$A$62&gt;35,AI16+AH17-AQ16,IF(A17&lt;'Données projet'!$A$62,$AF$205^A17,IF(A17='Données projet'!$A$62,'Données projet'!$B$62,AI16+AH17-AQ16)))</f>
        <v>33.662754773176729</v>
      </c>
      <c r="AJ17" s="13">
        <f>AI17*VLOOKUP('Données projet'!$B$10,Paramètres!$A$1:$I$89,3,0)*VLOOKUP('Données projet'!$B$10,Paramètres!$A$1:$I$89,5,0)</f>
        <v>18.817479918205791</v>
      </c>
      <c r="AK17" s="13">
        <f t="shared" si="35"/>
        <v>6.1624665086044912</v>
      </c>
      <c r="AL17" s="20">
        <f t="shared" si="4"/>
        <v>43.50674002669458</v>
      </c>
      <c r="AM17" s="59">
        <f t="shared" si="5"/>
        <v>300.06501796315126</v>
      </c>
      <c r="AN17" s="59">
        <f ca="1">AVERAGE(OFFSET($AM$3,0,0,'Données projet'!$E$10+1,1))-AVERAGE(OFFSET($H$3,0,0,'Données projet'!$E$10+1,1))</f>
        <v>391.55758836264408</v>
      </c>
      <c r="AO17" s="59">
        <f t="shared" si="36"/>
        <v>360.80727659978777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6.7</v>
      </c>
      <c r="BD17" s="12">
        <f>IF('Données projet'!$A$88&gt;35,BD16+BC17-BL16,IF(A17&lt;'Données projet'!$A$88,$BA$205^A17,IF(A17='Données projet'!$A$88,'Données projet'!$B$88,BD16+BC17-BL16)))</f>
        <v>30.829988225025726</v>
      </c>
      <c r="BE17" s="13">
        <f>BD17*VLOOKUP('Données projet'!$B$11,Paramètres!$A$1:$I$89,3,0)*VLOOKUP('Données projet'!$B$11,Paramètres!$A$1:$I$89,5,0)</f>
        <v>13.626854795461373</v>
      </c>
      <c r="BF17" s="13">
        <f t="shared" si="37"/>
        <v>4.6334453172210992</v>
      </c>
      <c r="BG17" s="20">
        <f t="shared" si="7"/>
        <v>31.803356029588638</v>
      </c>
      <c r="BH17" s="59">
        <f t="shared" si="8"/>
        <v>288.36163396604536</v>
      </c>
      <c r="BI17" s="59">
        <f ca="1">AVERAGE(OFFSET($BH$3,0,0,'Données projet'!$E$11+1,1))-AVERAGE(OFFSET($H$3,0,0,'Données projet'!$E$11+1,1))</f>
        <v>400.11184625063709</v>
      </c>
      <c r="BJ17" s="59">
        <f t="shared" si="38"/>
        <v>340.02906159605971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4.0942857142857143</v>
      </c>
      <c r="BY17" s="12">
        <f>IF('Données projet'!$A$114&gt;35,BY16+BX17-CG16,IF(A17&lt;'Données projet'!$A$114,$BV$205^A17,IF(A17='Données projet'!$A$114,'Données projet'!$B$114,BY16+BX17-CG16)))</f>
        <v>57.320000000000022</v>
      </c>
      <c r="BZ17" s="13">
        <f>BY17*VLOOKUP('Données projet'!$B$12,Paramètres!$A$1:$I$89,3,0)*VLOOKUP('Données projet'!$B$12,Paramètres!$A$1:$I$89,5,0)</f>
        <v>38.45025600000001</v>
      </c>
      <c r="CA17" s="13">
        <f t="shared" si="39"/>
        <v>11.586947241205351</v>
      </c>
      <c r="CB17" s="20">
        <f t="shared" si="10"/>
        <v>87.148128978432666</v>
      </c>
      <c r="CC17" s="59">
        <f t="shared" si="11"/>
        <v>343.70640691488939</v>
      </c>
      <c r="CD17" s="59">
        <f ca="1">AVERAGE(OFFSET($CC$3,0,0,'Données projet'!$E$12+1,1))-AVERAGE(OFFSET($H$3,0,0,'Données projet'!$E$12+1,1))</f>
        <v>493.98227954109774</v>
      </c>
      <c r="CE17" s="59">
        <f t="shared" si="40"/>
        <v>224.32736097997289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4.0942857142857143</v>
      </c>
      <c r="CT17" s="12">
        <f>IF('Données projet'!$A$140&gt;35,CT16+CS17-DB16,IF(A17&lt;'Données projet'!$A$140,$CQ$205^A17,IF(A17='Données projet'!$A$140,'Données projet'!$B$140,CT16+CS17-DB16)))</f>
        <v>57.320000000000022</v>
      </c>
      <c r="CU17" s="17">
        <f>CT17*VLOOKUP('Données projet'!$B$13,Paramètres!$A$1:$I$89,3,0)*VLOOKUP('Données projet'!$B$13,Paramètres!$A$1:$I$89,5,0)</f>
        <v>54.545712000000016</v>
      </c>
      <c r="CV17" s="13">
        <f t="shared" si="41"/>
        <v>15.781698579109328</v>
      </c>
      <c r="CW17" s="20">
        <f t="shared" si="13"/>
        <v>122.48690675861542</v>
      </c>
      <c r="CX17" s="59">
        <f t="shared" si="14"/>
        <v>379.04518469507212</v>
      </c>
      <c r="CY17" s="59">
        <f ca="1">AVERAGE(OFFSET($CX$3,0,0,'Données projet'!$E$13+1,1))-AVERAGE(OFFSET($H$3,0,0,'Données projet'!$E$13+1,1))</f>
        <v>677.13548994240728</v>
      </c>
      <c r="CZ17" s="59">
        <f t="shared" si="42"/>
        <v>298.72429542440534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65.30377277054879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1.2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4.3999999999999995</v>
      </c>
      <c r="H18" s="67">
        <f t="shared" si="1"/>
        <v>239.06666666666669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382.80052830310848</v>
      </c>
      <c r="S18" s="59">
        <f ca="1">AVERAGE(OFFSET($R$3,0,0,'Données projet'!$E$9+1,1))-AVERAGE(OFFSET($H$3,0,0,'Données projet'!$E$9+1,1))</f>
        <v>646.69588445509589</v>
      </c>
      <c r="T18" s="59">
        <f t="shared" si="34"/>
        <v>286.36346771084698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9.300476190476191</v>
      </c>
      <c r="AI18" s="13">
        <f>IF('Données projet'!$A$62&gt;35,AI17+AH18-AQ17,IF(A18&lt;'Données projet'!$A$62,$AF$205^A18,IF(A18='Données projet'!$A$62,'Données projet'!$B$62,AI17+AH18-AQ17)))</f>
        <v>43.274471379370887</v>
      </c>
      <c r="AJ18" s="13">
        <f>AI18*VLOOKUP('Données projet'!$B$10,Paramètres!$A$1:$I$89,3,0)*VLOOKUP('Données projet'!$B$10,Paramètres!$A$1:$I$89,5,0)</f>
        <v>24.190429501068326</v>
      </c>
      <c r="AK18" s="13">
        <f t="shared" si="35"/>
        <v>7.6937758875297604</v>
      </c>
      <c r="AL18" s="20">
        <f t="shared" si="4"/>
        <v>55.531657718475003</v>
      </c>
      <c r="AM18" s="59">
        <f t="shared" si="5"/>
        <v>313.61087770236651</v>
      </c>
      <c r="AN18" s="59">
        <f ca="1">AVERAGE(OFFSET($AM$3,0,0,'Données projet'!$E$10+1,1))-AVERAGE(OFFSET($H$3,0,0,'Données projet'!$E$10+1,1))</f>
        <v>391.55758836264408</v>
      </c>
      <c r="AO18" s="59">
        <f t="shared" si="36"/>
        <v>360.80727659978777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6.7</v>
      </c>
      <c r="BD18" s="12">
        <f>IF('Données projet'!$A$88&gt;35,BD17+BC18-BL17,IF(A18&lt;'Données projet'!$A$88,$BA$205^A18,IF(A18='Données projet'!$A$88,'Données projet'!$B$88,BD17+BC18-BL17)))</f>
        <v>39.384795860508056</v>
      </c>
      <c r="BE18" s="13">
        <f>BD18*VLOOKUP('Données projet'!$B$11,Paramètres!$A$1:$I$89,3,0)*VLOOKUP('Données projet'!$B$11,Paramètres!$A$1:$I$89,5,0)</f>
        <v>17.408079770344564</v>
      </c>
      <c r="BF18" s="13">
        <f t="shared" si="37"/>
        <v>5.7528033936729912</v>
      </c>
      <c r="BG18" s="20">
        <f t="shared" si="7"/>
        <v>40.33853817733057</v>
      </c>
      <c r="BH18" s="59">
        <f t="shared" si="8"/>
        <v>298.41775816122208</v>
      </c>
      <c r="BI18" s="59">
        <f ca="1">AVERAGE(OFFSET($BH$3,0,0,'Données projet'!$E$11+1,1))-AVERAGE(OFFSET($H$3,0,0,'Données projet'!$E$11+1,1))</f>
        <v>400.11184625063709</v>
      </c>
      <c r="BJ18" s="59">
        <f t="shared" si="38"/>
        <v>340.02906159605971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4.0942857142857143</v>
      </c>
      <c r="BY18" s="12">
        <f>IF('Données projet'!$A$114&gt;35,BY17+BX18-CG17,IF(A18&lt;'Données projet'!$A$114,$BV$205^A18,IF(A18='Données projet'!$A$114,'Données projet'!$B$114,BY17+BX18-CG17)))</f>
        <v>61.414285714285739</v>
      </c>
      <c r="BZ18" s="13">
        <f>BY18*VLOOKUP('Données projet'!$B$12,Paramètres!$A$1:$I$89,3,0)*VLOOKUP('Données projet'!$B$12,Paramètres!$A$1:$I$89,5,0)</f>
        <v>41.196702857142874</v>
      </c>
      <c r="CA18" s="13">
        <f t="shared" si="39"/>
        <v>12.31528689854685</v>
      </c>
      <c r="CB18" s="20">
        <f t="shared" si="10"/>
        <v>93.200048824492924</v>
      </c>
      <c r="CC18" s="59">
        <f t="shared" si="11"/>
        <v>351.27926880838442</v>
      </c>
      <c r="CD18" s="59">
        <f ca="1">AVERAGE(OFFSET($CC$3,0,0,'Données projet'!$E$12+1,1))-AVERAGE(OFFSET($H$3,0,0,'Données projet'!$E$12+1,1))</f>
        <v>493.98227954109774</v>
      </c>
      <c r="CE18" s="59">
        <f t="shared" si="40"/>
        <v>224.32736097997289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4.0942857142857143</v>
      </c>
      <c r="CT18" s="12">
        <f>IF('Données projet'!$A$140&gt;35,CT17+CS18-DB17,IF(A18&lt;'Données projet'!$A$140,$CQ$205^A18,IF(A18='Données projet'!$A$140,'Données projet'!$B$140,CT17+CS18-DB17)))</f>
        <v>61.414285714285739</v>
      </c>
      <c r="CU18" s="17">
        <f>CT18*VLOOKUP('Données projet'!$B$13,Paramètres!$A$1:$I$89,3,0)*VLOOKUP('Données projet'!$B$13,Paramètres!$A$1:$I$89,5,0)</f>
        <v>58.441834285714307</v>
      </c>
      <c r="CV18" s="13">
        <f t="shared" si="41"/>
        <v>16.773714568834297</v>
      </c>
      <c r="CW18" s="20">
        <f t="shared" si="13"/>
        <v>131.0004142550055</v>
      </c>
      <c r="CX18" s="59">
        <f t="shared" si="14"/>
        <v>389.07963423889703</v>
      </c>
      <c r="CY18" s="59">
        <f ca="1">AVERAGE(OFFSET($CX$3,0,0,'Données projet'!$E$13+1,1))-AVERAGE(OFFSET($H$3,0,0,'Données projet'!$E$13+1,1))</f>
        <v>677.13548994240728</v>
      </c>
      <c r="CZ18" s="59">
        <f t="shared" si="42"/>
        <v>298.72429542440534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65.385241813788582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1.2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4.3999999999999995</v>
      </c>
      <c r="H19" s="67">
        <f t="shared" si="1"/>
        <v>239.06666666666669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392.40798695215403</v>
      </c>
      <c r="S19" s="59">
        <f ca="1">AVERAGE(OFFSET($R$3,0,0,'Données projet'!$E$9+1,1))-AVERAGE(OFFSET($H$3,0,0,'Données projet'!$E$9+1,1))</f>
        <v>646.69588445509589</v>
      </c>
      <c r="T19" s="59">
        <f t="shared" si="34"/>
        <v>286.36346771084698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9.300476190476191</v>
      </c>
      <c r="AI19" s="13">
        <f>IF('Données projet'!$A$62&gt;35,AI18+AH19-AQ18,IF(A19&lt;'Données projet'!$A$62,$AF$205^A19,IF(A19='Données projet'!$A$62,'Données projet'!$B$62,AI18+AH19-AQ18)))</f>
        <v>55.630618640165025</v>
      </c>
      <c r="AJ19" s="13">
        <f>AI19*VLOOKUP('Données projet'!$B$10,Paramètres!$A$1:$I$89,3,0)*VLOOKUP('Données projet'!$B$10,Paramètres!$A$1:$I$89,5,0)</f>
        <v>31.097515819852248</v>
      </c>
      <c r="AK19" s="13">
        <f t="shared" si="35"/>
        <v>9.6055998559802376</v>
      </c>
      <c r="AL19" s="20">
        <f t="shared" si="4"/>
        <v>70.891259802074913</v>
      </c>
      <c r="AM19" s="59">
        <f t="shared" si="5"/>
        <v>330.48623971227119</v>
      </c>
      <c r="AN19" s="59">
        <f ca="1">AVERAGE(OFFSET($AM$3,0,0,'Données projet'!$E$10+1,1))-AVERAGE(OFFSET($H$3,0,0,'Données projet'!$E$10+1,1))</f>
        <v>391.55758836264408</v>
      </c>
      <c r="AO19" s="59">
        <f t="shared" si="36"/>
        <v>360.80727659978777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6.7</v>
      </c>
      <c r="BD19" s="12">
        <f>IF('Données projet'!$A$88&gt;35,BD18+BC19-BL18,IF(A19&lt;'Données projet'!$A$88,$BA$205^A19,IF(A19='Données projet'!$A$88,'Données projet'!$B$88,BD18+BC19-BL18)))</f>
        <v>50.313419961502369</v>
      </c>
      <c r="BE19" s="13">
        <f>BD19*VLOOKUP('Données projet'!$B$11,Paramètres!$A$1:$I$89,3,0)*VLOOKUP('Données projet'!$B$11,Paramètres!$A$1:$I$89,5,0)</f>
        <v>22.238531622984048</v>
      </c>
      <c r="BF19" s="13">
        <f t="shared" si="37"/>
        <v>7.1425784962331207</v>
      </c>
      <c r="BG19" s="20">
        <f t="shared" si="7"/>
        <v>51.172100124303235</v>
      </c>
      <c r="BH19" s="59">
        <f t="shared" si="8"/>
        <v>310.76708003449954</v>
      </c>
      <c r="BI19" s="59">
        <f ca="1">AVERAGE(OFFSET($BH$3,0,0,'Données projet'!$E$11+1,1))-AVERAGE(OFFSET($H$3,0,0,'Données projet'!$E$11+1,1))</f>
        <v>400.11184625063709</v>
      </c>
      <c r="BJ19" s="59">
        <f t="shared" si="38"/>
        <v>340.02906159605971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4.0942857142857143</v>
      </c>
      <c r="BY19" s="12">
        <f>IF('Données projet'!$A$114&gt;35,BY18+BX19-CG18,IF(A19&lt;'Données projet'!$A$114,$BV$205^A19,IF(A19='Données projet'!$A$114,'Données projet'!$B$114,BY18+BX19-CG18)))</f>
        <v>65.508571428571457</v>
      </c>
      <c r="BZ19" s="13">
        <f>BY19*VLOOKUP('Données projet'!$B$12,Paramètres!$A$1:$I$89,3,0)*VLOOKUP('Données projet'!$B$12,Paramètres!$A$1:$I$89,5,0)</f>
        <v>43.943149714285731</v>
      </c>
      <c r="CA19" s="13">
        <f t="shared" si="39"/>
        <v>13.037992108759138</v>
      </c>
      <c r="CB19" s="20">
        <f t="shared" si="10"/>
        <v>99.242155341803141</v>
      </c>
      <c r="CC19" s="59">
        <f t="shared" si="11"/>
        <v>358.83713525199943</v>
      </c>
      <c r="CD19" s="59">
        <f ca="1">AVERAGE(OFFSET($CC$3,0,0,'Données projet'!$E$12+1,1))-AVERAGE(OFFSET($H$3,0,0,'Données projet'!$E$12+1,1))</f>
        <v>493.98227954109774</v>
      </c>
      <c r="CE19" s="59">
        <f t="shared" si="40"/>
        <v>224.32736097997289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4.0942857142857143</v>
      </c>
      <c r="CT19" s="12">
        <f>IF('Données projet'!$A$140&gt;35,CT18+CS19-DB18,IF(A19&lt;'Données projet'!$A$140,$CQ$205^A19,IF(A19='Données projet'!$A$140,'Données projet'!$B$140,CT18+CS19-DB18)))</f>
        <v>65.508571428571457</v>
      </c>
      <c r="CU19" s="17">
        <f>CT19*VLOOKUP('Données projet'!$B$13,Paramètres!$A$1:$I$89,3,0)*VLOOKUP('Données projet'!$B$13,Paramètres!$A$1:$I$89,5,0)</f>
        <v>62.337956571428599</v>
      </c>
      <c r="CV19" s="13">
        <f t="shared" si="41"/>
        <v>17.758056307144972</v>
      </c>
      <c r="CW19" s="20">
        <f t="shared" si="13"/>
        <v>139.50055576351562</v>
      </c>
      <c r="CX19" s="59">
        <f t="shared" si="14"/>
        <v>399.09553567371188</v>
      </c>
      <c r="CY19" s="59">
        <f ca="1">AVERAGE(OFFSET($CX$3,0,0,'Données projet'!$E$13+1,1))-AVERAGE(OFFSET($H$3,0,0,'Données projet'!$E$13+1,1))</f>
        <v>677.13548994240728</v>
      </c>
      <c r="CZ19" s="59">
        <f t="shared" si="42"/>
        <v>298.72429542440534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65.46529755126565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1.2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4.3999999999999995</v>
      </c>
      <c r="H20" s="67">
        <f t="shared" si="1"/>
        <v>239.06666666666669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401.9984598371077</v>
      </c>
      <c r="S20" s="59">
        <f ca="1">AVERAGE(OFFSET($R$3,0,0,'Données projet'!$E$9+1,1))-AVERAGE(OFFSET($H$3,0,0,'Données projet'!$E$9+1,1))</f>
        <v>646.69588445509589</v>
      </c>
      <c r="T20" s="59">
        <f t="shared" si="34"/>
        <v>286.36346771084698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9.300476190476191</v>
      </c>
      <c r="AI20" s="13">
        <f>IF('Données projet'!$A$62&gt;35,AI19+AH20-AQ19,IF(A20&lt;'Données projet'!$A$62,$AF$205^A20,IF(A20='Données projet'!$A$62,'Données projet'!$B$62,AI19+AH20-AQ19)))</f>
        <v>71.514813044319794</v>
      </c>
      <c r="AJ20" s="13">
        <f>AI20*VLOOKUP('Données projet'!$B$10,Paramètres!$A$1:$I$89,3,0)*VLOOKUP('Données projet'!$B$10,Paramètres!$A$1:$I$89,5,0)</f>
        <v>39.976780491774768</v>
      </c>
      <c r="AK20" s="13">
        <f t="shared" si="35"/>
        <v>11.992492365518064</v>
      </c>
      <c r="AL20" s="20">
        <f t="shared" si="4"/>
        <v>90.513150226451685</v>
      </c>
      <c r="AM20" s="59">
        <f t="shared" si="5"/>
        <v>351.61879784003895</v>
      </c>
      <c r="AN20" s="59">
        <f ca="1">AVERAGE(OFFSET($AM$3,0,0,'Données projet'!$E$10+1,1))-AVERAGE(OFFSET($H$3,0,0,'Données projet'!$E$10+1,1))</f>
        <v>391.55758836264408</v>
      </c>
      <c r="AO20" s="59">
        <f t="shared" si="36"/>
        <v>360.80727659978777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6.7</v>
      </c>
      <c r="BD20" s="12">
        <f>IF('Données projet'!$A$88&gt;35,BD19+BC20-BL19,IF(A20&lt;'Données projet'!$A$88,$BA$205^A20,IF(A20='Données projet'!$A$88,'Données projet'!$B$88,BD19+BC20-BL19)))</f>
        <v>64.274555013266735</v>
      </c>
      <c r="BE20" s="13">
        <f>BD20*VLOOKUP('Données projet'!$B$11,Paramètres!$A$1:$I$89,3,0)*VLOOKUP('Données projet'!$B$11,Paramètres!$A$1:$I$89,5,0)</f>
        <v>28.4093533158639</v>
      </c>
      <c r="BF20" s="13">
        <f t="shared" si="37"/>
        <v>8.8680985745072238</v>
      </c>
      <c r="BG20" s="20">
        <f t="shared" si="7"/>
        <v>64.924895375729704</v>
      </c>
      <c r="BH20" s="59">
        <f t="shared" si="8"/>
        <v>326.03054298931698</v>
      </c>
      <c r="BI20" s="59">
        <f ca="1">AVERAGE(OFFSET($BH$3,0,0,'Données projet'!$E$11+1,1))-AVERAGE(OFFSET($H$3,0,0,'Données projet'!$E$11+1,1))</f>
        <v>400.11184625063709</v>
      </c>
      <c r="BJ20" s="59">
        <f t="shared" si="38"/>
        <v>340.02906159605971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4.0942857142857143</v>
      </c>
      <c r="BY20" s="12">
        <f>IF('Données projet'!$A$114&gt;35,BY19+BX20-CG19,IF(A20&lt;'Données projet'!$A$114,$BV$205^A20,IF(A20='Données projet'!$A$114,'Données projet'!$B$114,BY19+BX20-CG19)))</f>
        <v>69.602857142857175</v>
      </c>
      <c r="BZ20" s="13">
        <f>BY20*VLOOKUP('Données projet'!$B$12,Paramètres!$A$1:$I$89,3,0)*VLOOKUP('Données projet'!$B$12,Paramètres!$A$1:$I$89,5,0)</f>
        <v>46.689596571428595</v>
      </c>
      <c r="CA20" s="13">
        <f t="shared" si="39"/>
        <v>13.75545511527041</v>
      </c>
      <c r="CB20" s="20">
        <f t="shared" si="10"/>
        <v>105.27513168766744</v>
      </c>
      <c r="CC20" s="59">
        <f t="shared" si="11"/>
        <v>366.38077930125473</v>
      </c>
      <c r="CD20" s="59">
        <f ca="1">AVERAGE(OFFSET($CC$3,0,0,'Données projet'!$E$12+1,1))-AVERAGE(OFFSET($H$3,0,0,'Données projet'!$E$12+1,1))</f>
        <v>493.98227954109774</v>
      </c>
      <c r="CE20" s="59">
        <f t="shared" si="40"/>
        <v>224.32736097997289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4.0942857142857143</v>
      </c>
      <c r="CT20" s="12">
        <f>IF('Données projet'!$A$140&gt;35,CT19+CS20-DB19,IF(A20&lt;'Données projet'!$A$140,$CQ$205^A20,IF(A20='Données projet'!$A$140,'Données projet'!$B$140,CT19+CS20-DB19)))</f>
        <v>69.602857142857175</v>
      </c>
      <c r="CU20" s="17">
        <f>CT20*VLOOKUP('Données projet'!$B$13,Paramètres!$A$1:$I$89,3,0)*VLOOKUP('Données projet'!$B$13,Paramètres!$A$1:$I$89,5,0)</f>
        <v>66.23407885714289</v>
      </c>
      <c r="CV20" s="13">
        <f t="shared" si="41"/>
        <v>18.735258038948551</v>
      </c>
      <c r="CW20" s="20">
        <f t="shared" si="13"/>
        <v>147.98826176069258</v>
      </c>
      <c r="CX20" s="59">
        <f t="shared" si="14"/>
        <v>409.09390937427986</v>
      </c>
      <c r="CY20" s="59">
        <f ca="1">AVERAGE(OFFSET($CX$3,0,0,'Données projet'!$E$13+1,1))-AVERAGE(OFFSET($H$3,0,0,'Données projet'!$E$13+1,1))</f>
        <v>677.13548994240728</v>
      </c>
      <c r="CZ20" s="59">
        <f t="shared" si="42"/>
        <v>298.72429542440534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65.543964500675315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1.2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4.3999999999999995</v>
      </c>
      <c r="H21" s="67">
        <f t="shared" si="1"/>
        <v>239.06666666666669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411.57281460938464</v>
      </c>
      <c r="S21" s="59">
        <f ca="1">AVERAGE(OFFSET($R$3,0,0,'Données projet'!$E$9+1,1))-AVERAGE(OFFSET($H$3,0,0,'Données projet'!$E$9+1,1))</f>
        <v>646.69588445509589</v>
      </c>
      <c r="T21" s="59">
        <f t="shared" si="34"/>
        <v>286.36346771084698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9.300476190476191</v>
      </c>
      <c r="AI21" s="13">
        <f>IF('Données projet'!$A$62&gt;35,AI20+AH21-AQ20,IF(A21&lt;'Données projet'!$A$62,$AF$205^A21,IF(A21='Données projet'!$A$62,'Données projet'!$B$62,AI20+AH21-AQ20)))</f>
        <v>91.934416869336488</v>
      </c>
      <c r="AJ21" s="13">
        <f>AI21*VLOOKUP('Données projet'!$B$10,Paramètres!$A$1:$I$89,3,0)*VLOOKUP('Données projet'!$B$10,Paramètres!$A$1:$I$89,5,0)</f>
        <v>51.391339029959099</v>
      </c>
      <c r="AK21" s="13">
        <f t="shared" si="35"/>
        <v>14.972503049611195</v>
      </c>
      <c r="AL21" s="20">
        <f t="shared" si="4"/>
        <v>115.58369162191825</v>
      </c>
      <c r="AM21" s="59">
        <f t="shared" si="5"/>
        <v>378.19500305466568</v>
      </c>
      <c r="AN21" s="59">
        <f ca="1">AVERAGE(OFFSET($AM$3,0,0,'Données projet'!$E$10+1,1))-AVERAGE(OFFSET($H$3,0,0,'Données projet'!$E$10+1,1))</f>
        <v>391.55758836264408</v>
      </c>
      <c r="AO21" s="59">
        <f t="shared" si="36"/>
        <v>360.80727659978777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6.7</v>
      </c>
      <c r="BD21" s="12">
        <f>IF('Données projet'!$A$88&gt;35,BD20+BC21-BL20,IF(A21&lt;'Données projet'!$A$88,$BA$205^A21,IF(A21='Données projet'!$A$88,'Données projet'!$B$88,BD20+BC21-BL20)))</f>
        <v>82.109672236840183</v>
      </c>
      <c r="BE21" s="13">
        <f>BD21*VLOOKUP('Données projet'!$B$11,Paramètres!$A$1:$I$89,3,0)*VLOOKUP('Données projet'!$B$11,Paramètres!$A$1:$I$89,5,0)</f>
        <v>36.292475128683364</v>
      </c>
      <c r="BF21" s="13">
        <f t="shared" si="37"/>
        <v>11.010473650188397</v>
      </c>
      <c r="BG21" s="20">
        <f t="shared" si="7"/>
        <v>82.385969123201647</v>
      </c>
      <c r="BH21" s="59">
        <f t="shared" si="8"/>
        <v>344.99728055594903</v>
      </c>
      <c r="BI21" s="59">
        <f ca="1">AVERAGE(OFFSET($BH$3,0,0,'Données projet'!$E$11+1,1))-AVERAGE(OFFSET($H$3,0,0,'Données projet'!$E$11+1,1))</f>
        <v>400.11184625063709</v>
      </c>
      <c r="BJ21" s="59">
        <f t="shared" si="38"/>
        <v>340.02906159605971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4.0942857142857143</v>
      </c>
      <c r="BY21" s="12">
        <f>IF('Données projet'!$A$114&gt;35,BY20+BX21-CG20,IF(A21&lt;'Données projet'!$A$114,$BV$205^A21,IF(A21='Données projet'!$A$114,'Données projet'!$B$114,BY20+BX21-CG20)))</f>
        <v>73.697142857142893</v>
      </c>
      <c r="BZ21" s="13">
        <f>BY21*VLOOKUP('Données projet'!$B$12,Paramètres!$A$1:$I$89,3,0)*VLOOKUP('Données projet'!$B$12,Paramètres!$A$1:$I$89,5,0)</f>
        <v>49.436043428571452</v>
      </c>
      <c r="CA21" s="13">
        <f t="shared" si="39"/>
        <v>14.468019408385866</v>
      </c>
      <c r="CB21" s="20">
        <f t="shared" si="10"/>
        <v>111.29957610770066</v>
      </c>
      <c r="CC21" s="59">
        <f t="shared" si="11"/>
        <v>373.91088754044807</v>
      </c>
      <c r="CD21" s="59">
        <f ca="1">AVERAGE(OFFSET($CC$3,0,0,'Données projet'!$E$12+1,1))-AVERAGE(OFFSET($H$3,0,0,'Données projet'!$E$12+1,1))</f>
        <v>493.98227954109774</v>
      </c>
      <c r="CE21" s="59">
        <f t="shared" si="40"/>
        <v>224.32736097997289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4.0942857142857143</v>
      </c>
      <c r="CT21" s="12">
        <f>IF('Données projet'!$A$140&gt;35,CT20+CS21-DB20,IF(A21&lt;'Données projet'!$A$140,$CQ$205^A21,IF(A21='Données projet'!$A$140,'Données projet'!$B$140,CT20+CS21-DB20)))</f>
        <v>73.697142857142893</v>
      </c>
      <c r="CU21" s="17">
        <f>CT21*VLOOKUP('Données projet'!$B$13,Paramètres!$A$1:$I$89,3,0)*VLOOKUP('Données projet'!$B$13,Paramètres!$A$1:$I$89,5,0)</f>
        <v>70.130201142857175</v>
      </c>
      <c r="CV21" s="13">
        <f t="shared" si="41"/>
        <v>19.705787606235543</v>
      </c>
      <c r="CW21" s="20">
        <f t="shared" si="13"/>
        <v>156.46434707133648</v>
      </c>
      <c r="CX21" s="59">
        <f t="shared" si="14"/>
        <v>419.07565850408389</v>
      </c>
      <c r="CY21" s="59">
        <f ca="1">AVERAGE(OFFSET($CX$3,0,0,'Données projet'!$E$13+1,1))-AVERAGE(OFFSET($H$3,0,0,'Données projet'!$E$13+1,1))</f>
        <v>677.13548994240728</v>
      </c>
      <c r="CZ21" s="59">
        <f t="shared" si="42"/>
        <v>298.72429542440534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65.621266754385658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1.2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4.3999999999999995</v>
      </c>
      <c r="H22" s="67">
        <f t="shared" si="1"/>
        <v>239.06666666666669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421.13182590708891</v>
      </c>
      <c r="S22" s="59">
        <f ca="1">AVERAGE(OFFSET($R$3,0,0,'Données projet'!$E$9+1,1))-AVERAGE(OFFSET($H$3,0,0,'Données projet'!$E$9+1,1))</f>
        <v>646.69588445509589</v>
      </c>
      <c r="T22" s="59">
        <f t="shared" si="34"/>
        <v>286.36346771084698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9.300476190476191</v>
      </c>
      <c r="AI22" s="13">
        <f>IF('Données projet'!$A$62&gt;35,AI21+AH22-AQ21,IF(A22&lt;'Données projet'!$A$62,$AF$205^A22,IF(A22='Données projet'!$A$62,'Données projet'!$B$62,AI21+AH22-AQ21)))</f>
        <v>118.18442425161669</v>
      </c>
      <c r="AJ22" s="13">
        <f>AI22*VLOOKUP('Données projet'!$B$10,Paramètres!$A$1:$I$89,3,0)*VLOOKUP('Données projet'!$B$10,Paramètres!$A$1:$I$89,5,0)</f>
        <v>66.065093156653731</v>
      </c>
      <c r="AK22" s="13">
        <f t="shared" si="35"/>
        <v>18.693015658295351</v>
      </c>
      <c r="AL22" s="20">
        <f t="shared" si="4"/>
        <v>147.62037285270299</v>
      </c>
      <c r="AM22" s="59">
        <f t="shared" si="5"/>
        <v>411.73243102658415</v>
      </c>
      <c r="AN22" s="59">
        <f ca="1">AVERAGE(OFFSET($AM$3,0,0,'Données projet'!$E$10+1,1))-AVERAGE(OFFSET($H$3,0,0,'Données projet'!$E$10+1,1))</f>
        <v>391.55758836264408</v>
      </c>
      <c r="AO22" s="59">
        <f t="shared" si="36"/>
        <v>360.80727659978777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6.7</v>
      </c>
      <c r="BD22" s="12">
        <f>IF('Données projet'!$A$88&gt;35,BD21+BC22-BL21,IF(A22&lt;'Données projet'!$A$88,$BA$205^A22,IF(A22='Données projet'!$A$88,'Données projet'!$B$88,BD21+BC22-BL21)))</f>
        <v>104.89373708537892</v>
      </c>
      <c r="BE22" s="13">
        <f>BD22*VLOOKUP('Données projet'!$B$11,Paramètres!$A$1:$I$89,3,0)*VLOOKUP('Données projet'!$B$11,Paramètres!$A$1:$I$89,5,0)</f>
        <v>46.363031791737484</v>
      </c>
      <c r="BF22" s="13">
        <f t="shared" si="37"/>
        <v>13.670408485308201</v>
      </c>
      <c r="BG22" s="20">
        <f t="shared" si="7"/>
        <v>104.55824181585456</v>
      </c>
      <c r="BH22" s="59">
        <f t="shared" si="8"/>
        <v>368.67029998973572</v>
      </c>
      <c r="BI22" s="59">
        <f ca="1">AVERAGE(OFFSET($BH$3,0,0,'Données projet'!$E$11+1,1))-AVERAGE(OFFSET($H$3,0,0,'Données projet'!$E$11+1,1))</f>
        <v>400.11184625063709</v>
      </c>
      <c r="BJ22" s="59">
        <f t="shared" si="38"/>
        <v>340.02906159605971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4.0942857142857143</v>
      </c>
      <c r="BY22" s="12">
        <f>IF('Données projet'!$A$114&gt;35,BY21+BX22-CG21,IF(A22&lt;'Données projet'!$A$114,$BV$205^A22,IF(A22='Données projet'!$A$114,'Données projet'!$B$114,BY21+BX22-CG21)))</f>
        <v>77.791428571428611</v>
      </c>
      <c r="BZ22" s="13">
        <f>BY22*VLOOKUP('Données projet'!$B$12,Paramètres!$A$1:$I$89,3,0)*VLOOKUP('Données projet'!$B$12,Paramètres!$A$1:$I$89,5,0)</f>
        <v>52.182490285714309</v>
      </c>
      <c r="CA22" s="13">
        <f t="shared" si="39"/>
        <v>15.175988157268993</v>
      </c>
      <c r="CB22" s="20">
        <f t="shared" si="10"/>
        <v>117.31601662152924</v>
      </c>
      <c r="CC22" s="59">
        <f t="shared" si="11"/>
        <v>381.4280747954104</v>
      </c>
      <c r="CD22" s="59">
        <f ca="1">AVERAGE(OFFSET($CC$3,0,0,'Données projet'!$E$12+1,1))-AVERAGE(OFFSET($H$3,0,0,'Données projet'!$E$12+1,1))</f>
        <v>493.98227954109774</v>
      </c>
      <c r="CE22" s="59">
        <f t="shared" si="40"/>
        <v>224.32736097997289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4.0942857142857143</v>
      </c>
      <c r="CT22" s="12">
        <f>IF('Données projet'!$A$140&gt;35,CT21+CS22-DB21,IF(A22&lt;'Données projet'!$A$140,$CQ$205^A22,IF(A22='Données projet'!$A$140,'Données projet'!$B$140,CT21+CS22-DB21)))</f>
        <v>77.791428571428611</v>
      </c>
      <c r="CU22" s="17">
        <f>CT22*VLOOKUP('Données projet'!$B$13,Paramètres!$A$1:$I$89,3,0)*VLOOKUP('Données projet'!$B$13,Paramètres!$A$1:$I$89,5,0)</f>
        <v>74.026323428571473</v>
      </c>
      <c r="CV22" s="13">
        <f t="shared" si="41"/>
        <v>20.670057932639512</v>
      </c>
      <c r="CW22" s="20">
        <f t="shared" si="13"/>
        <v>164.92953087077578</v>
      </c>
      <c r="CX22" s="59">
        <f t="shared" si="14"/>
        <v>429.04158904465692</v>
      </c>
      <c r="CY22" s="59">
        <f ca="1">AVERAGE(OFFSET($CX$3,0,0,'Données projet'!$E$13+1,1))-AVERAGE(OFFSET($H$3,0,0,'Données projet'!$E$13+1,1))</f>
        <v>677.13548994240728</v>
      </c>
      <c r="CZ22" s="59">
        <f t="shared" si="42"/>
        <v>298.72429542440534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65.697227986816088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1.2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4.3999999999999995</v>
      </c>
      <c r="H23" s="67">
        <f t="shared" si="1"/>
        <v>239.06666666666669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430.67619036975054</v>
      </c>
      <c r="S23" s="59">
        <f ca="1">AVERAGE(OFFSET($R$3,0,0,'Données projet'!$E$9+1,1))-AVERAGE(OFFSET($H$3,0,0,'Données projet'!$E$9+1,1))</f>
        <v>646.69588445509589</v>
      </c>
      <c r="T23" s="59">
        <f t="shared" si="34"/>
        <v>286.36346771084698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9.300476190476191</v>
      </c>
      <c r="AI23" s="13">
        <f>IF('Données projet'!$A$62&gt;35,AI22+AH23-AQ22,IF(A23&lt;'Données projet'!$A$62,$AF$205^A23,IF(A23='Données projet'!$A$62,'Données projet'!$B$62,AI22+AH23-AQ22)))</f>
        <v>151.92958862770377</v>
      </c>
      <c r="AJ23" s="13">
        <f>AI23*VLOOKUP('Données projet'!$B$10,Paramètres!$A$1:$I$89,3,0)*VLOOKUP('Données projet'!$B$10,Paramètres!$A$1:$I$89,5,0)</f>
        <v>84.928640042886414</v>
      </c>
      <c r="AK23" s="13">
        <f t="shared" si="35"/>
        <v>23.338037283642365</v>
      </c>
      <c r="AL23" s="20">
        <f t="shared" si="4"/>
        <v>188.56446301037093</v>
      </c>
      <c r="AM23" s="59">
        <f t="shared" si="5"/>
        <v>454.1724361476704</v>
      </c>
      <c r="AN23" s="59">
        <f ca="1">AVERAGE(OFFSET($AM$3,0,0,'Données projet'!$E$10+1,1))-AVERAGE(OFFSET($H$3,0,0,'Données projet'!$E$10+1,1))</f>
        <v>391.55758836264408</v>
      </c>
      <c r="AO23" s="59">
        <f t="shared" si="36"/>
        <v>360.80727659978777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134</v>
      </c>
      <c r="BB23" s="12">
        <f>VLOOKUP(A23,'Données projet'!$A$87:$I$107,9,0)</f>
        <v>6.7</v>
      </c>
      <c r="BC23" s="12">
        <f t="array" ref="BC23">INDEX(BB:BB,MIN(IF(ISNUMBER(BB23:BB219),ROW(BB23:BB219),"")))</f>
        <v>6.7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59.228000000000002</v>
      </c>
      <c r="BF23" s="13">
        <f t="shared" si="37"/>
        <v>16.972936323405893</v>
      </c>
      <c r="BG23" s="20">
        <f t="shared" si="7"/>
        <v>132.71663076326527</v>
      </c>
      <c r="BH23" s="59">
        <f t="shared" si="8"/>
        <v>398.32460390056474</v>
      </c>
      <c r="BI23" s="59">
        <f ca="1">AVERAGE(OFFSET($BH$3,0,0,'Données projet'!$E$11+1,1))-AVERAGE(OFFSET($H$3,0,0,'Données projet'!$E$11+1,1))</f>
        <v>400.11184625063709</v>
      </c>
      <c r="BJ23" s="59">
        <f t="shared" si="38"/>
        <v>340.02906159605971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</v>
      </c>
      <c r="BM23" s="16">
        <f>IF(ISNA(VLOOKUP(A23,'Données projet'!$A$87:$I$107,5,0)),0%,VLOOKUP(A23,'Données projet'!$A$87:$I$107,5,0)*VLOOKUP('Données projet'!$B$11,Paramètres!$A$1:$I$89,7,0))</f>
        <v>0.13750000000000001</v>
      </c>
      <c r="BN23" s="16">
        <f>IF(ISNA(VLOOKUP(A23,'Données projet'!$A$87:$I$107,6,0)),0%,VLOOKUP(A23,'Données projet'!$A$87:$I$107,6,0)*VLOOKUP('Données projet'!$B$11,Paramètres!$A$1:$I$89,7,0))</f>
        <v>0.20350000000000001</v>
      </c>
      <c r="BO23" s="16">
        <f>IF(ISNA(VLOOKUP(A23,'Données projet'!$A$87:$I$107,7,0)),0%,VLOOKUP(A23,'Données projet'!$A$87:$I$107,7,0))</f>
        <v>0.38</v>
      </c>
      <c r="BP23" s="21">
        <f>EXP(-LN(2)/35)*BP22+(1-EXP(-LN(2)/35))/(LN(2)/35)*BL23*BM23*VLOOKUP('Données projet'!$B$11,Paramètres!$A$1:$I$89,3,0)*0.475*44/12</f>
        <v>0.40310977389669028</v>
      </c>
      <c r="BQ23" s="21">
        <f>EXP(-LN(2)/25)*BQ22+(1-EXP(-LN(2)/25))/(LN(2)/25)*Calculateur!BL23*Calculateur!BN23*VLOOKUP('Données projet'!$B$11,Paramètres!$A$1:$I$89,3,0)*0.475*44/12</f>
        <v>0.59425341413759025</v>
      </c>
      <c r="BR23" s="21">
        <f>EXP(-LN(2)/2)*BR22+(1-EXP(-LN(2)/2))/(LN(2)/2)*BL23*BO23*VLOOKUP('Données projet'!$B$11,Paramètres!$A$1:$I$89,3,0)*0.475*44/12</f>
        <v>0.95084868346272611</v>
      </c>
      <c r="BS23" s="22">
        <f t="shared" si="9"/>
        <v>1.9482118714970067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4.0942857142857143</v>
      </c>
      <c r="BY23" s="12">
        <f>IF('Données projet'!$A$114&gt;35,BY22+BX23-CG22,IF(A23&lt;'Données projet'!$A$114,$BV$205^A23,IF(A23='Données projet'!$A$114,'Données projet'!$B$114,BY22+BX23-CG22)))</f>
        <v>81.885714285714329</v>
      </c>
      <c r="BZ23" s="13">
        <f>BY23*VLOOKUP('Données projet'!$B$12,Paramètres!$A$1:$I$89,3,0)*VLOOKUP('Données projet'!$B$12,Paramètres!$A$1:$I$89,5,0)</f>
        <v>54.928937142857166</v>
      </c>
      <c r="CA23" s="13">
        <f t="shared" si="39"/>
        <v>15.87963081612768</v>
      </c>
      <c r="CB23" s="20">
        <f t="shared" si="10"/>
        <v>123.32492252856525</v>
      </c>
      <c r="CC23" s="59">
        <f t="shared" si="11"/>
        <v>388.93289566586469</v>
      </c>
      <c r="CD23" s="59">
        <f ca="1">AVERAGE(OFFSET($CC$3,0,0,'Données projet'!$E$12+1,1))-AVERAGE(OFFSET($H$3,0,0,'Données projet'!$E$12+1,1))</f>
        <v>493.98227954109774</v>
      </c>
      <c r="CE23" s="59">
        <f t="shared" si="40"/>
        <v>224.32736097997289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4.0942857142857143</v>
      </c>
      <c r="CT23" s="12">
        <f>IF('Données projet'!$A$140&gt;35,CT22+CS23-DB22,IF(A23&lt;'Données projet'!$A$140,$CQ$205^A23,IF(A23='Données projet'!$A$140,'Données projet'!$B$140,CT22+CS23-DB22)))</f>
        <v>81.885714285714329</v>
      </c>
      <c r="CU23" s="17">
        <f>CT23*VLOOKUP('Données projet'!$B$13,Paramètres!$A$1:$I$89,3,0)*VLOOKUP('Données projet'!$B$13,Paramètres!$A$1:$I$89,5,0)</f>
        <v>77.922445714285757</v>
      </c>
      <c r="CV23" s="13">
        <f t="shared" si="41"/>
        <v>21.628436021220121</v>
      </c>
      <c r="CW23" s="20">
        <f t="shared" si="13"/>
        <v>173.38445235600605</v>
      </c>
      <c r="CX23" s="59">
        <f t="shared" si="14"/>
        <v>438.99242549330552</v>
      </c>
      <c r="CY23" s="59">
        <f ca="1">AVERAGE(OFFSET($CX$3,0,0,'Données projet'!$E$13+1,1))-AVERAGE(OFFSET($H$3,0,0,'Données projet'!$E$13+1,1))</f>
        <v>677.13548994240728</v>
      </c>
      <c r="CZ23" s="59">
        <f t="shared" si="42"/>
        <v>298.72429542440534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65.771871461687724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1.2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4.3999999999999995</v>
      </c>
      <c r="H24" s="67">
        <f t="shared" si="1"/>
        <v>239.06666666666669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440.20653856978345</v>
      </c>
      <c r="S24" s="59">
        <f ca="1">AVERAGE(OFFSET($R$3,0,0,'Données projet'!$E$9+1,1))-AVERAGE(OFFSET($H$3,0,0,'Données projet'!$E$9+1,1))</f>
        <v>646.69588445509589</v>
      </c>
      <c r="T24" s="59">
        <f t="shared" si="34"/>
        <v>286.36346771084698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>
        <f>VLOOKUP(A24,'Données projet'!$A$61:$I$81,2,0)</f>
        <v>195.31</v>
      </c>
      <c r="AG24" s="12">
        <f>VLOOKUP(A24,'Données projet'!$A$61:$I$81,9,0)</f>
        <v>9.300476190476191</v>
      </c>
      <c r="AH24" s="12">
        <f t="array" ref="AH24">INDEX(AG:AG,MIN(IF(ISNUMBER(AG24:AG220),ROW(AG24:AG220),"")))</f>
        <v>9.300476190476191</v>
      </c>
      <c r="AI24" s="13">
        <f>IF('Données projet'!$A$62&gt;35,AI23+AH24-AQ23,IF(A24&lt;'Données projet'!$A$62,$AF$205^A24,IF(A24='Données projet'!$A$62,'Données projet'!$B$62,AI23+AH24-AQ23)))</f>
        <v>195.31</v>
      </c>
      <c r="AJ24" s="13">
        <f>AI24*VLOOKUP('Données projet'!$B$10,Paramètres!$A$1:$I$89,3,0)*VLOOKUP('Données projet'!$B$10,Paramètres!$A$1:$I$89,5,0)</f>
        <v>109.17829</v>
      </c>
      <c r="AK24" s="13">
        <f t="shared" si="35"/>
        <v>29.137298882589644</v>
      </c>
      <c r="AL24" s="20">
        <f t="shared" si="4"/>
        <v>240.89965063717693</v>
      </c>
      <c r="AM24" s="59">
        <f t="shared" si="5"/>
        <v>507.99879078072013</v>
      </c>
      <c r="AN24" s="59">
        <f ca="1">AVERAGE(OFFSET($AM$3,0,0,'Données projet'!$E$10+1,1))-AVERAGE(OFFSET($H$3,0,0,'Données projet'!$E$10+1,1))</f>
        <v>391.55758836264408</v>
      </c>
      <c r="AO24" s="59">
        <f t="shared" si="36"/>
        <v>360.80727659978777</v>
      </c>
      <c r="AP24" s="15">
        <f>IF(ISNA(VLOOKUP(A24,'Données projet'!$A$61:$I$81,3,0)),0,VLOOKUP(A24,'Données projet'!$A$61:$I$81,3,0))</f>
        <v>1</v>
      </c>
      <c r="AQ24" s="15">
        <f>IF(ISNA(VLOOKUP(A24,'Données projet'!$A$61:$I$81,4,0)),0,VLOOKUP(A24,'Données projet'!$A$61:$I$81,4,0))</f>
        <v>64.599999999999994</v>
      </c>
      <c r="AR24" s="16">
        <f>IF(ISNA(VLOOKUP(A24,'Données projet'!$A$61:$I$81,5,0)),0%,VLOOKUP(A24,'Données projet'!$A$61:$I$81,5,0)*VLOOKUP('Données projet'!$B$10,Paramètres!$A$1:$I$89,7,0))</f>
        <v>0.13750000000000001</v>
      </c>
      <c r="AS24" s="16">
        <f>IF(ISNA(VLOOKUP(A24,'Données projet'!$A$61:$I$81,6,0)),0%,VLOOKUP(A24,'Données projet'!$A$61:$I$81,6,0)*VLOOKUP('Données projet'!$B$10,Paramètres!$A$1:$I$89,7,0))</f>
        <v>0.20350000000000001</v>
      </c>
      <c r="AT24" s="16">
        <f>IF(ISNA(VLOOKUP(A24,'Données projet'!$A$61:$I$81,7,0)),0%,VLOOKUP(A24,'Données projet'!$A$61:$I$81,7,0))</f>
        <v>0.38</v>
      </c>
      <c r="AU24" s="21">
        <f>EXP(-LN(2)/35)*AU23+(1-EXP(-LN(2)/35))/(LN(2)/35)*AQ24*AR24*VLOOKUP('Données projet'!$B$10,Paramètres!$A$1:$I$89,3,0)*0.475*44/12</f>
        <v>6.5868137054719185</v>
      </c>
      <c r="AV24" s="21">
        <f>EXP(-LN(2)/25)*AV23+(1-EXP(-LN(2)/25))/(LN(2)/25)*Calculateur!AQ24*Calculateur!AS24*VLOOKUP('Données projet'!$B$10,Paramètres!$A$1:$I$89,3,0)*0.475*44/12</f>
        <v>9.7101007870082245</v>
      </c>
      <c r="AW24" s="21">
        <f>EXP(-LN(2)/2)*AW23+(1-EXP(-LN(2)/2))/(LN(2)/2)*AQ24*AT24*VLOOKUP('Données projet'!$B$10,Paramètres!$A$1:$I$89,3,0)*0.475*44/12</f>
        <v>15.536867487780944</v>
      </c>
      <c r="AX24" s="21">
        <f t="shared" si="6"/>
        <v>31.833781980261087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151.80000000000001</v>
      </c>
      <c r="BE24" s="13">
        <f>BD24*VLOOKUP('Données projet'!$B$11,Paramètres!$A$1:$I$89,3,0)*VLOOKUP('Données projet'!$B$11,Paramètres!$A$1:$I$89,5,0)</f>
        <v>67.095600000000019</v>
      </c>
      <c r="BF24" s="13">
        <f t="shared" si="37"/>
        <v>18.950423477478726</v>
      </c>
      <c r="BG24" s="20">
        <f t="shared" si="7"/>
        <v>149.86349088994214</v>
      </c>
      <c r="BH24" s="59">
        <f t="shared" si="8"/>
        <v>416.96263103348531</v>
      </c>
      <c r="BI24" s="59">
        <f ca="1">AVERAGE(OFFSET($BH$3,0,0,'Données projet'!$E$11+1,1))-AVERAGE(OFFSET($H$3,0,0,'Données projet'!$E$11+1,1))</f>
        <v>400.11184625063709</v>
      </c>
      <c r="BJ24" s="59">
        <f t="shared" si="38"/>
        <v>340.02906159605971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0.39520503710326033</v>
      </c>
      <c r="BQ24" s="21">
        <f>EXP(-LN(2)/25)*BQ23+(1-EXP(-LN(2)/25))/(LN(2)/25)*Calculateur!BL24*Calculateur!BN24*VLOOKUP('Données projet'!$B$11,Paramètres!$A$1:$I$89,3,0)*0.475*44/12</f>
        <v>0.57800352327756899</v>
      </c>
      <c r="BR24" s="21">
        <f>EXP(-LN(2)/2)*BR23+(1-EXP(-LN(2)/2))/(LN(2)/2)*BL24*BO24*VLOOKUP('Données projet'!$B$11,Paramètres!$A$1:$I$89,3,0)*0.475*44/12</f>
        <v>0.6723515519587947</v>
      </c>
      <c r="BS24" s="22">
        <f t="shared" si="9"/>
        <v>1.645560112339624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4.0942857142857143</v>
      </c>
      <c r="BY24" s="12">
        <f>IF('Données projet'!$A$114&gt;35,BY23+BX24-CG23,IF(A24&lt;'Données projet'!$A$114,$BV$205^A24,IF(A24='Données projet'!$A$114,'Données projet'!$B$114,BY23+BX24-CG23)))</f>
        <v>85.980000000000047</v>
      </c>
      <c r="BZ24" s="13">
        <f>BY24*VLOOKUP('Données projet'!$B$12,Paramètres!$A$1:$I$89,3,0)*VLOOKUP('Données projet'!$B$12,Paramètres!$A$1:$I$89,5,0)</f>
        <v>57.67538400000003</v>
      </c>
      <c r="CA24" s="13">
        <f t="shared" si="39"/>
        <v>16.579188371615821</v>
      </c>
      <c r="CB24" s="20">
        <f t="shared" si="10"/>
        <v>129.32671354723092</v>
      </c>
      <c r="CC24" s="59">
        <f t="shared" si="11"/>
        <v>396.42585369077415</v>
      </c>
      <c r="CD24" s="59">
        <f ca="1">AVERAGE(OFFSET($CC$3,0,0,'Données projet'!$E$12+1,1))-AVERAGE(OFFSET($H$3,0,0,'Données projet'!$E$12+1,1))</f>
        <v>493.98227954109774</v>
      </c>
      <c r="CE24" s="59">
        <f t="shared" si="40"/>
        <v>224.32736097997289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4.0942857142857143</v>
      </c>
      <c r="CT24" s="12">
        <f>IF('Données projet'!$A$140&gt;35,CT23+CS24-DB23,IF(A24&lt;'Données projet'!$A$140,$CQ$205^A24,IF(A24='Données projet'!$A$140,'Données projet'!$B$140,CT23+CS24-DB23)))</f>
        <v>85.980000000000047</v>
      </c>
      <c r="CU24" s="17">
        <f>CT24*VLOOKUP('Données projet'!$B$13,Paramètres!$A$1:$I$89,3,0)*VLOOKUP('Données projet'!$B$13,Paramètres!$A$1:$I$89,5,0)</f>
        <v>81.818568000000042</v>
      </c>
      <c r="CV24" s="13">
        <f t="shared" si="41"/>
        <v>22.581250101549351</v>
      </c>
      <c r="CW24" s="20">
        <f t="shared" si="13"/>
        <v>181.82968319353185</v>
      </c>
      <c r="CX24" s="59">
        <f t="shared" si="14"/>
        <v>448.92882333707507</v>
      </c>
      <c r="CY24" s="59">
        <f ca="1">AVERAGE(OFFSET($CX$3,0,0,'Données projet'!$E$13+1,1))-AVERAGE(OFFSET($H$3,0,0,'Données projet'!$E$13+1,1))</f>
        <v>677.13548994240728</v>
      </c>
      <c r="CZ24" s="59">
        <f t="shared" si="42"/>
        <v>298.72429542440534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65.845220039148145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1.2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4.3999999999999995</v>
      </c>
      <c r="H25" s="67">
        <f t="shared" si="1"/>
        <v>239.06666666666669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449.72344461155672</v>
      </c>
      <c r="S25" s="59">
        <f ca="1">AVERAGE(OFFSET($R$3,0,0,'Données projet'!$E$9+1,1))-AVERAGE(OFFSET($H$3,0,0,'Données projet'!$E$9+1,1))</f>
        <v>646.69588445509589</v>
      </c>
      <c r="T25" s="59">
        <f t="shared" si="34"/>
        <v>286.36346771084698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21.61428571428571</v>
      </c>
      <c r="AI25" s="13">
        <f>IF('Données projet'!$A$62&gt;35,AI24+AH25-AQ24,IF(A25&lt;'Données projet'!$A$62,$AF$205^A25,IF(A25='Données projet'!$A$62,'Données projet'!$B$62,AI24+AH25-AQ24)))</f>
        <v>152.32428571428571</v>
      </c>
      <c r="AJ25" s="13">
        <f>AI25*VLOOKUP('Données projet'!$B$10,Paramètres!$A$1:$I$89,3,0)*VLOOKUP('Données projet'!$B$10,Paramètres!$A$1:$I$89,5,0)</f>
        <v>85.149275714285707</v>
      </c>
      <c r="AK25" s="13">
        <f t="shared" si="35"/>
        <v>23.391601652187223</v>
      </c>
      <c r="AL25" s="20">
        <f t="shared" si="4"/>
        <v>189.04202807994034</v>
      </c>
      <c r="AM25" s="59">
        <f t="shared" si="5"/>
        <v>457.62766963899497</v>
      </c>
      <c r="AN25" s="59">
        <f ca="1">AVERAGE(OFFSET($AM$3,0,0,'Données projet'!$E$10+1,1))-AVERAGE(OFFSET($H$3,0,0,'Données projet'!$E$10+1,1))</f>
        <v>391.55758836264408</v>
      </c>
      <c r="AO25" s="59">
        <f t="shared" si="36"/>
        <v>360.80727659978777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6.457650306267273</v>
      </c>
      <c r="AV25" s="21">
        <f>EXP(-LN(2)/25)*AV24+(1-EXP(-LN(2)/25))/(LN(2)/25)*Calculateur!AQ25*Calculateur!AS25*VLOOKUP('Données projet'!$B$10,Paramètres!$A$1:$I$89,3,0)*0.475*44/12</f>
        <v>9.4445775703554773</v>
      </c>
      <c r="AW25" s="21">
        <f>EXP(-LN(2)/2)*AW24+(1-EXP(-LN(2)/2))/(LN(2)/2)*AQ25*AT25*VLOOKUP('Données projet'!$B$10,Paramètres!$A$1:$I$89,3,0)*0.475*44/12</f>
        <v>10.986224359006705</v>
      </c>
      <c r="AX25" s="21">
        <f t="shared" si="6"/>
        <v>26.888452235629455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174.60000000000002</v>
      </c>
      <c r="BE25" s="13">
        <f>BD25*VLOOKUP('Données projet'!$B$11,Paramètres!$A$1:$I$89,3,0)*VLOOKUP('Données projet'!$B$11,Paramètres!$A$1:$I$89,5,0)</f>
        <v>77.173200000000023</v>
      </c>
      <c r="BF25" s="13">
        <f t="shared" si="37"/>
        <v>21.444576401945664</v>
      </c>
      <c r="BG25" s="20">
        <f t="shared" si="7"/>
        <v>171.75929390005538</v>
      </c>
      <c r="BH25" s="59">
        <f t="shared" si="8"/>
        <v>440.34493545911005</v>
      </c>
      <c r="BI25" s="59">
        <f ca="1">AVERAGE(OFFSET($BH$3,0,0,'Données projet'!$E$11+1,1))-AVERAGE(OFFSET($H$3,0,0,'Données projet'!$E$11+1,1))</f>
        <v>400.11184625063709</v>
      </c>
      <c r="BJ25" s="59">
        <f t="shared" si="38"/>
        <v>340.02906159605971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0.38745530737693618</v>
      </c>
      <c r="BQ25" s="21">
        <f>EXP(-LN(2)/25)*BQ24+(1-EXP(-LN(2)/25))/(LN(2)/25)*Calculateur!BL25*Calculateur!BN25*VLOOKUP('Données projet'!$B$11,Paramètres!$A$1:$I$89,3,0)*0.475*44/12</f>
        <v>0.56219798653765962</v>
      </c>
      <c r="BR25" s="21">
        <f>EXP(-LN(2)/2)*BR24+(1-EXP(-LN(2)/2))/(LN(2)/2)*BL25*BO25*VLOOKUP('Données projet'!$B$11,Paramètres!$A$1:$I$89,3,0)*0.475*44/12</f>
        <v>0.47542434173136311</v>
      </c>
      <c r="BS25" s="22">
        <f t="shared" si="9"/>
        <v>1.4250776356459589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4.0942857142857143</v>
      </c>
      <c r="BY25" s="12">
        <f>IF('Données projet'!$A$114&gt;35,BY24+BX25-CG24,IF(A25&lt;'Données projet'!$A$114,$BV$205^A25,IF(A25='Données projet'!$A$114,'Données projet'!$B$114,BY24+BX25-CG24)))</f>
        <v>90.074285714285764</v>
      </c>
      <c r="BZ25" s="13">
        <f>BY25*VLOOKUP('Données projet'!$B$12,Paramètres!$A$1:$I$89,3,0)*VLOOKUP('Données projet'!$B$12,Paramètres!$A$1:$I$89,5,0)</f>
        <v>60.421830857142886</v>
      </c>
      <c r="CA25" s="13">
        <f t="shared" si="39"/>
        <v>17.274877562410449</v>
      </c>
      <c r="CB25" s="20">
        <f t="shared" si="10"/>
        <v>135.32176716405539</v>
      </c>
      <c r="CC25" s="59">
        <f t="shared" si="11"/>
        <v>403.90740872311005</v>
      </c>
      <c r="CD25" s="59">
        <f ca="1">AVERAGE(OFFSET($CC$3,0,0,'Données projet'!$E$12+1,1))-AVERAGE(OFFSET($H$3,0,0,'Données projet'!$E$12+1,1))</f>
        <v>493.98227954109774</v>
      </c>
      <c r="CE25" s="59">
        <f t="shared" si="40"/>
        <v>224.32736097997289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4.0942857142857143</v>
      </c>
      <c r="CT25" s="12">
        <f>IF('Données projet'!$A$140&gt;35,CT24+CS25-DB24,IF(A25&lt;'Données projet'!$A$140,$CQ$205^A25,IF(A25='Données projet'!$A$140,'Données projet'!$B$140,CT24+CS25-DB24)))</f>
        <v>90.074285714285764</v>
      </c>
      <c r="CU25" s="17">
        <f>CT25*VLOOKUP('Données projet'!$B$13,Paramètres!$A$1:$I$89,3,0)*VLOOKUP('Données projet'!$B$13,Paramètres!$A$1:$I$89,5,0)</f>
        <v>85.71469028571434</v>
      </c>
      <c r="CV25" s="13">
        <f t="shared" si="41"/>
        <v>23.528795376876193</v>
      </c>
      <c r="CW25" s="20">
        <f t="shared" si="13"/>
        <v>190.26573752901183</v>
      </c>
      <c r="CX25" s="59">
        <f t="shared" si="14"/>
        <v>458.85137908806644</v>
      </c>
      <c r="CY25" s="59">
        <f ca="1">AVERAGE(OFFSET($CX$3,0,0,'Données projet'!$E$13+1,1))-AVERAGE(OFFSET($H$3,0,0,'Données projet'!$E$13+1,1))</f>
        <v>677.13548994240728</v>
      </c>
      <c r="CZ25" s="59">
        <f t="shared" si="42"/>
        <v>298.72429542440534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65.917296182772475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1.2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4.3999999999999995</v>
      </c>
      <c r="H26" s="67">
        <f t="shared" si="1"/>
        <v>239.06666666666669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459.22743394019852</v>
      </c>
      <c r="S26" s="59">
        <f ca="1">AVERAGE(OFFSET($R$3,0,0,'Données projet'!$E$9+1,1))-AVERAGE(OFFSET($H$3,0,0,'Données projet'!$E$9+1,1))</f>
        <v>646.69588445509589</v>
      </c>
      <c r="T26" s="59">
        <f t="shared" si="34"/>
        <v>286.36346771084698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21.61428571428571</v>
      </c>
      <c r="AI26" s="13">
        <f>IF('Données projet'!$A$62&gt;35,AI25+AH26-AQ25,IF(A26&lt;'Données projet'!$A$62,$AF$205^A26,IF(A26='Données projet'!$A$62,'Données projet'!$B$62,AI25+AH26-AQ25)))</f>
        <v>173.93857142857141</v>
      </c>
      <c r="AJ26" s="13">
        <f>AI26*VLOOKUP('Données projet'!$B$10,Paramètres!$A$1:$I$89,3,0)*VLOOKUP('Données projet'!$B$10,Paramètres!$A$1:$I$89,5,0)</f>
        <v>97.231661428571414</v>
      </c>
      <c r="AK26" s="13">
        <f t="shared" si="35"/>
        <v>26.301405349792162</v>
      </c>
      <c r="AL26" s="20">
        <f t="shared" si="4"/>
        <v>215.15342463898321</v>
      </c>
      <c r="AM26" s="59">
        <f t="shared" si="5"/>
        <v>485.22098296038547</v>
      </c>
      <c r="AN26" s="59">
        <f ca="1">AVERAGE(OFFSET($AM$3,0,0,'Données projet'!$E$10+1,1))-AVERAGE(OFFSET($H$3,0,0,'Données projet'!$E$10+1,1))</f>
        <v>391.55758836264408</v>
      </c>
      <c r="AO26" s="59">
        <f t="shared" si="36"/>
        <v>360.80727659978777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6.3310197225391365</v>
      </c>
      <c r="AV26" s="21">
        <f>EXP(-LN(2)/25)*AV25+(1-EXP(-LN(2)/25))/(LN(2)/25)*Calculateur!AQ26*Calculateur!AS26*VLOOKUP('Données projet'!$B$10,Paramètres!$A$1:$I$89,3,0)*0.475*44/12</f>
        <v>9.1863151000253573</v>
      </c>
      <c r="AW26" s="21">
        <f>EXP(-LN(2)/2)*AW25+(1-EXP(-LN(2)/2))/(LN(2)/2)*AQ26*AT26*VLOOKUP('Données projet'!$B$10,Paramètres!$A$1:$I$89,3,0)*0.475*44/12</f>
        <v>7.7684337438904736</v>
      </c>
      <c r="AX26" s="21">
        <f t="shared" si="6"/>
        <v>23.285768566454966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197.40000000000003</v>
      </c>
      <c r="BE26" s="13">
        <f>BD26*VLOOKUP('Données projet'!$B$11,Paramètres!$A$1:$I$89,3,0)*VLOOKUP('Données projet'!$B$11,Paramètres!$A$1:$I$89,5,0)</f>
        <v>87.250800000000027</v>
      </c>
      <c r="BF26" s="13">
        <f t="shared" si="37"/>
        <v>23.900991769585765</v>
      </c>
      <c r="BG26" s="20">
        <f t="shared" si="7"/>
        <v>193.58937066536194</v>
      </c>
      <c r="BH26" s="59">
        <f t="shared" si="8"/>
        <v>463.65692898676423</v>
      </c>
      <c r="BI26" s="59">
        <f ca="1">AVERAGE(OFFSET($BH$3,0,0,'Données projet'!$E$11+1,1))-AVERAGE(OFFSET($H$3,0,0,'Données projet'!$E$11+1,1))</f>
        <v>400.11184625063709</v>
      </c>
      <c r="BJ26" s="59">
        <f t="shared" si="38"/>
        <v>340.02906159605971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0.37985754512367687</v>
      </c>
      <c r="BQ26" s="21">
        <f>EXP(-LN(2)/25)*BQ25+(1-EXP(-LN(2)/25))/(LN(2)/25)*Calculateur!BL26*Calculateur!BN26*VLOOKUP('Données projet'!$B$11,Paramètres!$A$1:$I$89,3,0)*0.475*44/12</f>
        <v>0.54682465303108008</v>
      </c>
      <c r="BR26" s="21">
        <f>EXP(-LN(2)/2)*BR25+(1-EXP(-LN(2)/2))/(LN(2)/2)*BL26*BO26*VLOOKUP('Données projet'!$B$11,Paramètres!$A$1:$I$89,3,0)*0.475*44/12</f>
        <v>0.33617577597939741</v>
      </c>
      <c r="BS26" s="22">
        <f t="shared" si="9"/>
        <v>1.2628579741341543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4.0942857142857143</v>
      </c>
      <c r="BY26" s="12">
        <f>IF('Données projet'!$A$114&gt;35,BY25+BX26-CG25,IF(A26&lt;'Données projet'!$A$114,$BV$205^A26,IF(A26='Données projet'!$A$114,'Données projet'!$B$114,BY25+BX26-CG25)))</f>
        <v>94.168571428571482</v>
      </c>
      <c r="BZ26" s="13">
        <f>BY26*VLOOKUP('Données projet'!$B$12,Paramètres!$A$1:$I$89,3,0)*VLOOKUP('Données projet'!$B$12,Paramètres!$A$1:$I$89,5,0)</f>
        <v>63.16827771428575</v>
      </c>
      <c r="CA26" s="13">
        <f t="shared" si="39"/>
        <v>17.966894309906216</v>
      </c>
      <c r="CB26" s="20">
        <f t="shared" si="10"/>
        <v>141.31042460880101</v>
      </c>
      <c r="CC26" s="59">
        <f t="shared" si="11"/>
        <v>411.3779829302033</v>
      </c>
      <c r="CD26" s="59">
        <f ca="1">AVERAGE(OFFSET($CC$3,0,0,'Données projet'!$E$12+1,1))-AVERAGE(OFFSET($H$3,0,0,'Données projet'!$E$12+1,1))</f>
        <v>493.98227954109774</v>
      </c>
      <c r="CE26" s="59">
        <f t="shared" si="40"/>
        <v>224.32736097997289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4.0942857142857143</v>
      </c>
      <c r="CT26" s="12">
        <f>IF('Données projet'!$A$140&gt;35,CT25+CS26-DB25,IF(A26&lt;'Données projet'!$A$140,$CQ$205^A26,IF(A26='Données projet'!$A$140,'Données projet'!$B$140,CT25+CS26-DB25)))</f>
        <v>94.168571428571482</v>
      </c>
      <c r="CU26" s="17">
        <f>CT26*VLOOKUP('Données projet'!$B$13,Paramètres!$A$1:$I$89,3,0)*VLOOKUP('Données projet'!$B$13,Paramètres!$A$1:$I$89,5,0)</f>
        <v>89.610812571428625</v>
      </c>
      <c r="CV26" s="13">
        <f t="shared" si="41"/>
        <v>24.471338696814321</v>
      </c>
      <c r="CW26" s="20">
        <f t="shared" si="13"/>
        <v>198.69308012552312</v>
      </c>
      <c r="CX26" s="59">
        <f t="shared" si="14"/>
        <v>468.76063844692538</v>
      </c>
      <c r="CY26" s="59">
        <f ca="1">AVERAGE(OFFSET($CX$3,0,0,'Données projet'!$E$13+1,1))-AVERAGE(OFFSET($H$3,0,0,'Données projet'!$E$13+1,1))</f>
        <v>677.13548994240728</v>
      </c>
      <c r="CZ26" s="59">
        <f t="shared" si="42"/>
        <v>298.72429542440534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65.988121966443046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1.2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4.3999999999999995</v>
      </c>
      <c r="H27" s="67">
        <f t="shared" si="1"/>
        <v>239.06666666666669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468.71898975810075</v>
      </c>
      <c r="S27" s="59">
        <f ca="1">AVERAGE(OFFSET($R$3,0,0,'Données projet'!$E$9+1,1))-AVERAGE(OFFSET($H$3,0,0,'Données projet'!$E$9+1,1))</f>
        <v>646.69588445509589</v>
      </c>
      <c r="T27" s="59">
        <f t="shared" si="34"/>
        <v>286.36346771084698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21.61428571428571</v>
      </c>
      <c r="AI27" s="13">
        <f>IF('Données projet'!$A$62&gt;35,AI26+AH27-AQ26,IF(A27&lt;'Données projet'!$A$62,$AF$205^A27,IF(A27='Données projet'!$A$62,'Données projet'!$B$62,AI26+AH27-AQ26)))</f>
        <v>195.55285714285711</v>
      </c>
      <c r="AJ27" s="13">
        <f>AI27*VLOOKUP('Données projet'!$B$10,Paramètres!$A$1:$I$89,3,0)*VLOOKUP('Données projet'!$B$10,Paramètres!$A$1:$I$89,5,0)</f>
        <v>109.31404714285712</v>
      </c>
      <c r="AK27" s="13">
        <f t="shared" si="35"/>
        <v>29.169309937147133</v>
      </c>
      <c r="AL27" s="20">
        <f t="shared" si="4"/>
        <v>241.19184691434074</v>
      </c>
      <c r="AM27" s="59">
        <f t="shared" si="5"/>
        <v>512.73681687840951</v>
      </c>
      <c r="AN27" s="59">
        <f ca="1">AVERAGE(OFFSET($AM$3,0,0,'Données projet'!$E$10+1,1))-AVERAGE(OFFSET($H$3,0,0,'Données projet'!$E$10+1,1))</f>
        <v>391.55758836264408</v>
      </c>
      <c r="AO27" s="59">
        <f t="shared" si="36"/>
        <v>360.80727659978777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6.2068722873208797</v>
      </c>
      <c r="AV27" s="21">
        <f>EXP(-LN(2)/25)*AV26+(1-EXP(-LN(2)/25))/(LN(2)/25)*Calculateur!AQ27*Calculateur!AS27*VLOOKUP('Données projet'!$B$10,Paramètres!$A$1:$I$89,3,0)*0.475*44/12</f>
        <v>8.9351148305278478</v>
      </c>
      <c r="AW27" s="21">
        <f>EXP(-LN(2)/2)*AW26+(1-EXP(-LN(2)/2))/(LN(2)/2)*AQ27*AT27*VLOOKUP('Données projet'!$B$10,Paramètres!$A$1:$I$89,3,0)*0.475*44/12</f>
        <v>5.4931121795033535</v>
      </c>
      <c r="AX27" s="21">
        <f t="shared" si="6"/>
        <v>20.635099297352081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220.20000000000005</v>
      </c>
      <c r="BE27" s="13">
        <f>BD27*VLOOKUP('Données projet'!$B$11,Paramètres!$A$1:$I$89,3,0)*VLOOKUP('Données projet'!$B$11,Paramètres!$A$1:$I$89,5,0)</f>
        <v>97.32840000000003</v>
      </c>
      <c r="BF27" s="13">
        <f t="shared" si="37"/>
        <v>26.324526076780696</v>
      </c>
      <c r="BG27" s="20">
        <f t="shared" si="7"/>
        <v>215.36217958372643</v>
      </c>
      <c r="BH27" s="59">
        <f t="shared" si="8"/>
        <v>486.90714954779526</v>
      </c>
      <c r="BI27" s="59">
        <f ca="1">AVERAGE(OFFSET($BH$3,0,0,'Données projet'!$E$11+1,1))-AVERAGE(OFFSET($H$3,0,0,'Données projet'!$E$11+1,1))</f>
        <v>400.11184625063709</v>
      </c>
      <c r="BJ27" s="59">
        <f t="shared" si="38"/>
        <v>340.02906159605971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0.37240877035402659</v>
      </c>
      <c r="BQ27" s="21">
        <f>EXP(-LN(2)/25)*BQ26+(1-EXP(-LN(2)/25))/(LN(2)/25)*Calculateur!BL27*Calculateur!BN27*VLOOKUP('Données projet'!$B$11,Paramètres!$A$1:$I$89,3,0)*0.475*44/12</f>
        <v>0.53187170413768647</v>
      </c>
      <c r="BR27" s="21">
        <f>EXP(-LN(2)/2)*BR26+(1-EXP(-LN(2)/2))/(LN(2)/2)*BL27*BO27*VLOOKUP('Données projet'!$B$11,Paramètres!$A$1:$I$89,3,0)*0.475*44/12</f>
        <v>0.23771217086568161</v>
      </c>
      <c r="BS27" s="22">
        <f t="shared" si="9"/>
        <v>1.1419926453573945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4.0942857142857143</v>
      </c>
      <c r="BY27" s="12">
        <f>IF('Données projet'!$A$114&gt;35,BY26+BX27-CG26,IF(A27&lt;'Données projet'!$A$114,$BV$205^A27,IF(A27='Données projet'!$A$114,'Données projet'!$B$114,BY26+BX27-CG26)))</f>
        <v>98.2628571428572</v>
      </c>
      <c r="BZ27" s="13">
        <f>BY27*VLOOKUP('Données projet'!$B$12,Paramètres!$A$1:$I$89,3,0)*VLOOKUP('Données projet'!$B$12,Paramètres!$A$1:$I$89,5,0)</f>
        <v>65.914724571428607</v>
      </c>
      <c r="CA27" s="13">
        <f t="shared" si="39"/>
        <v>18.655416535431812</v>
      </c>
      <c r="CB27" s="20">
        <f t="shared" si="10"/>
        <v>147.29299576111521</v>
      </c>
      <c r="CC27" s="59">
        <f t="shared" si="11"/>
        <v>418.83796572518401</v>
      </c>
      <c r="CD27" s="59">
        <f ca="1">AVERAGE(OFFSET($CC$3,0,0,'Données projet'!$E$12+1,1))-AVERAGE(OFFSET($H$3,0,0,'Données projet'!$E$12+1,1))</f>
        <v>493.98227954109774</v>
      </c>
      <c r="CE27" s="59">
        <f t="shared" si="40"/>
        <v>224.32736097997289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4.0942857142857143</v>
      </c>
      <c r="CT27" s="12">
        <f>IF('Données projet'!$A$140&gt;35,CT26+CS27-DB26,IF(A27&lt;'Données projet'!$A$140,$CQ$205^A27,IF(A27='Données projet'!$A$140,'Données projet'!$B$140,CT26+CS27-DB26)))</f>
        <v>98.2628571428572</v>
      </c>
      <c r="CU27" s="17">
        <f>CT27*VLOOKUP('Données projet'!$B$13,Paramètres!$A$1:$I$89,3,0)*VLOOKUP('Données projet'!$B$13,Paramètres!$A$1:$I$89,5,0)</f>
        <v>93.506934857142909</v>
      </c>
      <c r="CV27" s="13">
        <f t="shared" si="41"/>
        <v>25.409122394458233</v>
      </c>
      <c r="CW27" s="20">
        <f t="shared" si="13"/>
        <v>207.11213304653862</v>
      </c>
      <c r="CX27" s="59">
        <f t="shared" si="14"/>
        <v>478.65710301060744</v>
      </c>
      <c r="CY27" s="59">
        <f ca="1">AVERAGE(OFFSET($CX$3,0,0,'Données projet'!$E$13+1,1))-AVERAGE(OFFSET($H$3,0,0,'Données projet'!$E$13+1,1))</f>
        <v>677.13548994240728</v>
      </c>
      <c r="CZ27" s="59">
        <f t="shared" si="42"/>
        <v>298.72429542440534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66.057719081109667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1.2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4.3999999999999995</v>
      </c>
      <c r="H28" s="67">
        <f t="shared" si="1"/>
        <v>239.06666666666669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478.19855834568898</v>
      </c>
      <c r="S28" s="59">
        <f ca="1">AVERAGE(OFFSET($R$3,0,0,'Données projet'!$E$9+1,1))-AVERAGE(OFFSET($H$3,0,0,'Données projet'!$E$9+1,1))</f>
        <v>646.69588445509589</v>
      </c>
      <c r="T28" s="59">
        <f t="shared" si="34"/>
        <v>286.36346771084698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21.61428571428571</v>
      </c>
      <c r="AI28" s="13">
        <f>IF('Données projet'!$A$62&gt;35,AI27+AH28-AQ27,IF(A28&lt;'Données projet'!$A$62,$AF$205^A28,IF(A28='Données projet'!$A$62,'Données projet'!$B$62,AI27+AH28-AQ27)))</f>
        <v>217.16714285714281</v>
      </c>
      <c r="AJ28" s="13">
        <f>AI28*VLOOKUP('Données projet'!$B$10,Paramètres!$A$1:$I$89,3,0)*VLOOKUP('Données projet'!$B$10,Paramètres!$A$1:$I$89,5,0)</f>
        <v>121.39643285714283</v>
      </c>
      <c r="AK28" s="13">
        <f t="shared" si="35"/>
        <v>32.00047469196349</v>
      </c>
      <c r="AL28" s="20">
        <f t="shared" si="4"/>
        <v>267.16628064802683</v>
      </c>
      <c r="AM28" s="59">
        <f t="shared" si="5"/>
        <v>540.18423528883545</v>
      </c>
      <c r="AN28" s="59">
        <f ca="1">AVERAGE(OFFSET($AM$3,0,0,'Données projet'!$E$10+1,1))-AVERAGE(OFFSET($H$3,0,0,'Données projet'!$E$10+1,1))</f>
        <v>391.55758836264408</v>
      </c>
      <c r="AO28" s="59">
        <f t="shared" si="36"/>
        <v>360.80727659978777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6.0851593075847941</v>
      </c>
      <c r="AV28" s="21">
        <f>EXP(-LN(2)/25)*AV27+(1-EXP(-LN(2)/25))/(LN(2)/25)*Calculateur!AQ28*Calculateur!AS28*VLOOKUP('Données projet'!$B$10,Paramètres!$A$1:$I$89,3,0)*0.475*44/12</f>
        <v>8.6907836456097964</v>
      </c>
      <c r="AW28" s="21">
        <f>EXP(-LN(2)/2)*AW27+(1-EXP(-LN(2)/2))/(LN(2)/2)*AQ28*AT28*VLOOKUP('Données projet'!$B$10,Paramètres!$A$1:$I$89,3,0)*0.475*44/12</f>
        <v>3.8842168719452372</v>
      </c>
      <c r="AX28" s="21">
        <f t="shared" si="6"/>
        <v>18.660159825139829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243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243.00000000000006</v>
      </c>
      <c r="BE28" s="13">
        <f>BD28*VLOOKUP('Données projet'!$B$11,Paramètres!$A$1:$I$89,3,0)*VLOOKUP('Données projet'!$B$11,Paramètres!$A$1:$I$89,5,0)</f>
        <v>107.40600000000003</v>
      </c>
      <c r="BF28" s="13">
        <f t="shared" si="37"/>
        <v>28.718971683040365</v>
      </c>
      <c r="BG28" s="20">
        <f t="shared" si="7"/>
        <v>237.08432568129535</v>
      </c>
      <c r="BH28" s="59">
        <f t="shared" si="8"/>
        <v>510.10228032210392</v>
      </c>
      <c r="BI28" s="59">
        <f ca="1">AVERAGE(OFFSET($BH$3,0,0,'Données projet'!$E$11+1,1))-AVERAGE(OFFSET($H$3,0,0,'Données projet'!$E$11+1,1))</f>
        <v>400.11184625063709</v>
      </c>
      <c r="BJ28" s="59">
        <f t="shared" si="38"/>
        <v>340.02906159605971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0.13750000000000001</v>
      </c>
      <c r="BN28" s="16">
        <f>IF(ISNA(VLOOKUP(A28,'Données projet'!$A$87:$I$107,6,0)),0%,VLOOKUP(A28,'Données projet'!$A$87:$I$107,6,0)*VLOOKUP('Données projet'!$B$11,Paramètres!$A$1:$I$89,7,0))</f>
        <v>0.20350000000000001</v>
      </c>
      <c r="BO28" s="16">
        <f>IF(ISNA(VLOOKUP(A28,'Données projet'!$A$87:$I$107,7,0)),0%,VLOOKUP(A28,'Données projet'!$A$87:$I$107,7,0))</f>
        <v>0.38</v>
      </c>
      <c r="BP28" s="21">
        <f>EXP(-LN(2)/35)*BP27+(1-EXP(-LN(2)/35))/(LN(2)/35)*BL28*BM28*VLOOKUP('Données projet'!$B$11,Paramètres!$A$1:$I$89,3,0)*0.475*44/12</f>
        <v>5.4442892126126026</v>
      </c>
      <c r="BQ28" s="21">
        <f>EXP(-LN(2)/25)*BQ27+(1-EXP(-LN(2)/25))/(LN(2)/25)*Calculateur!BL28*Calculateur!BN28*VLOOKUP('Données projet'!$B$11,Paramètres!$A$1:$I$89,3,0)*0.475*44/12</f>
        <v>8.0049206625517613</v>
      </c>
      <c r="BR28" s="21">
        <f>EXP(-LN(2)/2)*BR27+(1-EXP(-LN(2)/2))/(LN(2)/2)*BL28*BO28*VLOOKUP('Données projet'!$B$11,Paramètres!$A$1:$I$89,3,0)*0.475*44/12</f>
        <v>12.148781299620049</v>
      </c>
      <c r="BS28" s="22">
        <f t="shared" si="9"/>
        <v>25.597991174784411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4.0942857142857143</v>
      </c>
      <c r="BY28" s="12">
        <f>IF('Données projet'!$A$114&gt;35,BY27+BX28-CG27,IF(A28&lt;'Données projet'!$A$114,$BV$205^A28,IF(A28='Données projet'!$A$114,'Données projet'!$B$114,BY27+BX28-CG27)))</f>
        <v>102.35714285714292</v>
      </c>
      <c r="BZ28" s="13">
        <f>BY28*VLOOKUP('Données projet'!$B$12,Paramètres!$A$1:$I$89,3,0)*VLOOKUP('Données projet'!$B$12,Paramètres!$A$1:$I$89,5,0)</f>
        <v>68.661171428571464</v>
      </c>
      <c r="CA28" s="13">
        <f t="shared" si="39"/>
        <v>19.340606494699816</v>
      </c>
      <c r="CB28" s="20">
        <f t="shared" si="10"/>
        <v>153.26976321636414</v>
      </c>
      <c r="CC28" s="59">
        <f t="shared" si="11"/>
        <v>426.28771785717271</v>
      </c>
      <c r="CD28" s="59">
        <f ca="1">AVERAGE(OFFSET($CC$3,0,0,'Données projet'!$E$12+1,1))-AVERAGE(OFFSET($H$3,0,0,'Données projet'!$E$12+1,1))</f>
        <v>493.98227954109774</v>
      </c>
      <c r="CE28" s="59">
        <f t="shared" si="40"/>
        <v>224.32736097997289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4.0942857142857143</v>
      </c>
      <c r="CT28" s="12">
        <f>IF('Données projet'!$A$140&gt;35,CT27+CS28-DB27,IF(A28&lt;'Données projet'!$A$140,$CQ$205^A28,IF(A28='Données projet'!$A$140,'Données projet'!$B$140,CT27+CS28-DB27)))</f>
        <v>102.35714285714292</v>
      </c>
      <c r="CU28" s="17">
        <f>CT28*VLOOKUP('Données projet'!$B$13,Paramètres!$A$1:$I$89,3,0)*VLOOKUP('Données projet'!$B$13,Paramètres!$A$1:$I$89,5,0)</f>
        <v>97.403057142857193</v>
      </c>
      <c r="CV28" s="13">
        <f t="shared" si="41"/>
        <v>26.342367465959477</v>
      </c>
      <c r="CW28" s="20">
        <f t="shared" si="13"/>
        <v>215.52328119368903</v>
      </c>
      <c r="CX28" s="59">
        <f t="shared" si="14"/>
        <v>488.54123583449757</v>
      </c>
      <c r="CY28" s="59">
        <f ca="1">AVERAGE(OFFSET($CX$3,0,0,'Données projet'!$E$13+1,1))-AVERAGE(OFFSET($H$3,0,0,'Données projet'!$E$13+1,1))</f>
        <v>677.13548994240728</v>
      </c>
      <c r="CZ28" s="59">
        <f t="shared" si="42"/>
        <v>298.72429542440534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66.126108841432654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1.2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4.3999999999999995</v>
      </c>
      <c r="H29" s="67">
        <f t="shared" si="1"/>
        <v>239.06666666666669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487.66655351049121</v>
      </c>
      <c r="S29" s="59">
        <f ca="1">AVERAGE(OFFSET($R$3,0,0,'Données projet'!$E$9+1,1))-AVERAGE(OFFSET($H$3,0,0,'Données projet'!$E$9+1,1))</f>
        <v>646.69588445509589</v>
      </c>
      <c r="T29" s="59">
        <f t="shared" si="34"/>
        <v>286.36346771084698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21.61428571428571</v>
      </c>
      <c r="AI29" s="13">
        <f>IF('Données projet'!$A$62&gt;35,AI28+AH29-AQ28,IF(A29&lt;'Données projet'!$A$62,$AF$205^A29,IF(A29='Données projet'!$A$62,'Données projet'!$B$62,AI28+AH29-AQ28)))</f>
        <v>238.78142857142851</v>
      </c>
      <c r="AJ29" s="13">
        <f>AI29*VLOOKUP('Données projet'!$B$10,Paramètres!$A$1:$I$89,3,0)*VLOOKUP('Données projet'!$B$10,Paramètres!$A$1:$I$89,5,0)</f>
        <v>133.47881857142855</v>
      </c>
      <c r="AK29" s="13">
        <f t="shared" si="35"/>
        <v>34.798972504515248</v>
      </c>
      <c r="AL29" s="20">
        <f t="shared" si="4"/>
        <v>293.08381945726882</v>
      </c>
      <c r="AM29" s="59">
        <f t="shared" si="5"/>
        <v>567.5704086068522</v>
      </c>
      <c r="AN29" s="59">
        <f ca="1">AVERAGE(OFFSET($AM$3,0,0,'Données projet'!$E$10+1,1))-AVERAGE(OFFSET($H$3,0,0,'Données projet'!$E$10+1,1))</f>
        <v>391.55758836264408</v>
      </c>
      <c r="AO29" s="59">
        <f t="shared" si="36"/>
        <v>360.80727659978777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5.9658330451437456</v>
      </c>
      <c r="AV29" s="21">
        <f>EXP(-LN(2)/25)*AV28+(1-EXP(-LN(2)/25))/(LN(2)/25)*Calculateur!AQ29*Calculateur!AS29*VLOOKUP('Données projet'!$B$10,Paramètres!$A$1:$I$89,3,0)*0.475*44/12</f>
        <v>8.453133709792148</v>
      </c>
      <c r="AW29" s="21">
        <f>EXP(-LN(2)/2)*AW28+(1-EXP(-LN(2)/2))/(LN(2)/2)*AQ29*AT29*VLOOKUP('Données projet'!$B$10,Paramètres!$A$1:$I$89,3,0)*0.475*44/12</f>
        <v>2.7465560897516772</v>
      </c>
      <c r="AX29" s="21">
        <f t="shared" si="6"/>
        <v>17.165522844687573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25.6</v>
      </c>
      <c r="BD29" s="12">
        <f>IF('Données projet'!$A$88&gt;35,BD28+BC29-BL28,IF(A29&lt;'Données projet'!$A$88,$BA$205^A29,IF(A29='Données projet'!$A$88,'Données projet'!$B$88,BD28+BC29-BL28)))</f>
        <v>205.60000000000008</v>
      </c>
      <c r="BE29" s="13">
        <f>BD29*VLOOKUP('Données projet'!$B$11,Paramètres!$A$1:$I$89,3,0)*VLOOKUP('Données projet'!$B$11,Paramètres!$A$1:$I$89,5,0)</f>
        <v>90.875200000000049</v>
      </c>
      <c r="BF29" s="13">
        <f t="shared" si="37"/>
        <v>24.776183127439278</v>
      </c>
      <c r="BG29" s="20">
        <f t="shared" si="7"/>
        <v>201.4261589469568</v>
      </c>
      <c r="BH29" s="59">
        <f t="shared" si="8"/>
        <v>475.91274809654021</v>
      </c>
      <c r="BI29" s="59">
        <f ca="1">AVERAGE(OFFSET($BH$3,0,0,'Données projet'!$E$11+1,1))-AVERAGE(OFFSET($H$3,0,0,'Données projet'!$E$11+1,1))</f>
        <v>400.11184625063709</v>
      </c>
      <c r="BJ29" s="59">
        <f t="shared" si="38"/>
        <v>340.02906159605971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5.3375300218417987</v>
      </c>
      <c r="BQ29" s="21">
        <f>EXP(-LN(2)/25)*BQ28+(1-EXP(-LN(2)/25))/(LN(2)/25)*Calculateur!BL29*Calculateur!BN29*VLOOKUP('Données projet'!$B$11,Paramètres!$A$1:$I$89,3,0)*0.475*44/12</f>
        <v>7.7860256860738009</v>
      </c>
      <c r="BR29" s="21">
        <f>EXP(-LN(2)/2)*BR28+(1-EXP(-LN(2)/2))/(LN(2)/2)*BL29*BO29*VLOOKUP('Données projet'!$B$11,Paramètres!$A$1:$I$89,3,0)*0.475*44/12</f>
        <v>8.5904856401136556</v>
      </c>
      <c r="BS29" s="22">
        <f t="shared" si="9"/>
        <v>21.714041348029255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4.0942857142857143</v>
      </c>
      <c r="BY29" s="12">
        <f>IF('Données projet'!$A$114&gt;35,BY28+BX29-CG28,IF(A29&lt;'Données projet'!$A$114,$BV$205^A29,IF(A29='Données projet'!$A$114,'Données projet'!$B$114,BY28+BX29-CG28)))</f>
        <v>106.45142857142864</v>
      </c>
      <c r="BZ29" s="13">
        <f>BY29*VLOOKUP('Données projet'!$B$12,Paramètres!$A$1:$I$89,3,0)*VLOOKUP('Données projet'!$B$12,Paramètres!$A$1:$I$89,5,0)</f>
        <v>71.407618285714335</v>
      </c>
      <c r="CA29" s="13">
        <f t="shared" si="39"/>
        <v>20.022612728230477</v>
      </c>
      <c r="CB29" s="20">
        <f t="shared" si="10"/>
        <v>159.24098568262056</v>
      </c>
      <c r="CC29" s="59">
        <f t="shared" si="11"/>
        <v>433.72757483220403</v>
      </c>
      <c r="CD29" s="59">
        <f ca="1">AVERAGE(OFFSET($CC$3,0,0,'Données projet'!$E$12+1,1))-AVERAGE(OFFSET($H$3,0,0,'Données projet'!$E$12+1,1))</f>
        <v>493.98227954109774</v>
      </c>
      <c r="CE29" s="59">
        <f t="shared" si="40"/>
        <v>224.32736097997289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4.0942857142857143</v>
      </c>
      <c r="CT29" s="12">
        <f>IF('Données projet'!$A$140&gt;35,CT28+CS29-DB28,IF(A29&lt;'Données projet'!$A$140,$CQ$205^A29,IF(A29='Données projet'!$A$140,'Données projet'!$B$140,CT28+CS29-DB28)))</f>
        <v>106.45142857142864</v>
      </c>
      <c r="CU29" s="17">
        <f>CT29*VLOOKUP('Données projet'!$B$13,Paramètres!$A$1:$I$89,3,0)*VLOOKUP('Données projet'!$B$13,Paramètres!$A$1:$I$89,5,0)</f>
        <v>101.29917942857151</v>
      </c>
      <c r="CV29" s="13">
        <f t="shared" si="41"/>
        <v>27.271276227050439</v>
      </c>
      <c r="CW29" s="20">
        <f t="shared" si="13"/>
        <v>223.92687693354154</v>
      </c>
      <c r="CX29" s="59">
        <f t="shared" si="14"/>
        <v>498.41346608312494</v>
      </c>
      <c r="CY29" s="59">
        <f ca="1">AVERAGE(OFFSET($CX$3,0,0,'Données projet'!$E$13+1,1))-AVERAGE(OFFSET($H$3,0,0,'Données projet'!$E$13+1,1))</f>
        <v>677.13548994240728</v>
      </c>
      <c r="CZ29" s="59">
        <f t="shared" si="42"/>
        <v>298.72429542440534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66.193312192310628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1.2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4.3999999999999995</v>
      </c>
      <c r="H30" s="67">
        <f t="shared" si="1"/>
        <v>239.06666666666669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497.1233603358508</v>
      </c>
      <c r="S30" s="59">
        <f ca="1">AVERAGE(OFFSET($R$3,0,0,'Données projet'!$E$9+1,1))-AVERAGE(OFFSET($H$3,0,0,'Données projet'!$E$9+1,1))</f>
        <v>646.69588445509589</v>
      </c>
      <c r="T30" s="59">
        <f t="shared" si="34"/>
        <v>286.36346771084698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21.61428571428571</v>
      </c>
      <c r="AI30" s="13">
        <f>IF('Données projet'!$A$62&gt;35,AI29+AH30-AQ29,IF(A30&lt;'Données projet'!$A$62,$AF$205^A30,IF(A30='Données projet'!$A$62,'Données projet'!$B$62,AI29+AH30-AQ29)))</f>
        <v>260.39571428571423</v>
      </c>
      <c r="AJ30" s="13">
        <f>AI30*VLOOKUP('Données projet'!$B$10,Paramètres!$A$1:$I$89,3,0)*VLOOKUP('Données projet'!$B$10,Paramètres!$A$1:$I$89,5,0)</f>
        <v>145.56120428571427</v>
      </c>
      <c r="AK30" s="13">
        <f t="shared" si="35"/>
        <v>37.568096638366988</v>
      </c>
      <c r="AL30" s="20">
        <f t="shared" si="4"/>
        <v>318.95019910944154</v>
      </c>
      <c r="AM30" s="59">
        <f t="shared" si="5"/>
        <v>594.90114806552356</v>
      </c>
      <c r="AN30" s="59">
        <f ca="1">AVERAGE(OFFSET($AM$3,0,0,'Données projet'!$E$10+1,1))-AVERAGE(OFFSET($H$3,0,0,'Données projet'!$E$10+1,1))</f>
        <v>391.55758836264408</v>
      </c>
      <c r="AO30" s="59">
        <f t="shared" si="36"/>
        <v>360.80727659978777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5.8488466979273328</v>
      </c>
      <c r="AV30" s="21">
        <f>EXP(-LN(2)/25)*AV29+(1-EXP(-LN(2)/25))/(LN(2)/25)*Calculateur!AQ30*Calculateur!AS30*VLOOKUP('Données projet'!$B$10,Paramètres!$A$1:$I$89,3,0)*0.475*44/12</f>
        <v>8.2219823239669001</v>
      </c>
      <c r="AW30" s="21">
        <f>EXP(-LN(2)/2)*AW29+(1-EXP(-LN(2)/2))/(LN(2)/2)*AQ30*AT30*VLOOKUP('Données projet'!$B$10,Paramètres!$A$1:$I$89,3,0)*0.475*44/12</f>
        <v>1.9421084359726188</v>
      </c>
      <c r="AX30" s="21">
        <f t="shared" si="6"/>
        <v>16.012937457866851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25.6</v>
      </c>
      <c r="BD30" s="12">
        <f>IF('Données projet'!$A$88&gt;35,BD29+BC30-BL29,IF(A30&lt;'Données projet'!$A$88,$BA$205^A30,IF(A30='Données projet'!$A$88,'Données projet'!$B$88,BD29+BC30-BL29)))</f>
        <v>231.20000000000007</v>
      </c>
      <c r="BE30" s="13">
        <f>BD30*VLOOKUP('Données projet'!$B$11,Paramètres!$A$1:$I$89,3,0)*VLOOKUP('Données projet'!$B$11,Paramètres!$A$1:$I$89,5,0)</f>
        <v>102.19040000000004</v>
      </c>
      <c r="BF30" s="13">
        <f t="shared" si="37"/>
        <v>27.483170265104413</v>
      </c>
      <c r="BG30" s="20">
        <f t="shared" si="7"/>
        <v>225.84813487839025</v>
      </c>
      <c r="BH30" s="59">
        <f t="shared" si="8"/>
        <v>501.79908383447219</v>
      </c>
      <c r="BI30" s="59">
        <f ca="1">AVERAGE(OFFSET($BH$3,0,0,'Données projet'!$E$11+1,1))-AVERAGE(OFFSET($H$3,0,0,'Données projet'!$E$11+1,1))</f>
        <v>400.11184625063709</v>
      </c>
      <c r="BJ30" s="59">
        <f t="shared" si="38"/>
        <v>340.02906159605971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5.232864313685333</v>
      </c>
      <c r="BQ30" s="21">
        <f>EXP(-LN(2)/25)*BQ29+(1-EXP(-LN(2)/25))/(LN(2)/25)*Calculateur!BL30*Calculateur!BN30*VLOOKUP('Données projet'!$B$11,Paramètres!$A$1:$I$89,3,0)*0.475*44/12</f>
        <v>7.5731164042388173</v>
      </c>
      <c r="BR30" s="21">
        <f>EXP(-LN(2)/2)*BR29+(1-EXP(-LN(2)/2))/(LN(2)/2)*BL30*BO30*VLOOKUP('Données projet'!$B$11,Paramètres!$A$1:$I$89,3,0)*0.475*44/12</f>
        <v>6.0743906498100255</v>
      </c>
      <c r="BS30" s="22">
        <f t="shared" si="9"/>
        <v>18.880371367734178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4.0942857142857143</v>
      </c>
      <c r="BY30" s="12">
        <f>IF('Données projet'!$A$114&gt;35,BY29+BX30-CG29,IF(A30&lt;'Données projet'!$A$114,$BV$205^A30,IF(A30='Données projet'!$A$114,'Données projet'!$B$114,BY29+BX30-CG29)))</f>
        <v>110.54571428571435</v>
      </c>
      <c r="BZ30" s="13">
        <f>BY30*VLOOKUP('Données projet'!$B$12,Paramètres!$A$1:$I$89,3,0)*VLOOKUP('Données projet'!$B$12,Paramètres!$A$1:$I$89,5,0)</f>
        <v>74.154065142857192</v>
      </c>
      <c r="CA30" s="13">
        <f t="shared" si="39"/>
        <v>20.701571703270353</v>
      </c>
      <c r="CB30" s="20">
        <f t="shared" si="10"/>
        <v>165.20690084033879</v>
      </c>
      <c r="CC30" s="59">
        <f t="shared" si="11"/>
        <v>441.15784979642075</v>
      </c>
      <c r="CD30" s="59">
        <f ca="1">AVERAGE(OFFSET($CC$3,0,0,'Données projet'!$E$12+1,1))-AVERAGE(OFFSET($H$3,0,0,'Données projet'!$E$12+1,1))</f>
        <v>493.98227954109774</v>
      </c>
      <c r="CE30" s="59">
        <f t="shared" si="40"/>
        <v>224.32736097997289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4.0942857142857143</v>
      </c>
      <c r="CT30" s="12">
        <f>IF('Données projet'!$A$140&gt;35,CT29+CS30-DB29,IF(A30&lt;'Données projet'!$A$140,$CQ$205^A30,IF(A30='Données projet'!$A$140,'Données projet'!$B$140,CT29+CS30-DB29)))</f>
        <v>110.54571428571435</v>
      </c>
      <c r="CU30" s="17">
        <f>CT30*VLOOKUP('Données projet'!$B$13,Paramètres!$A$1:$I$89,3,0)*VLOOKUP('Données projet'!$B$13,Paramètres!$A$1:$I$89,5,0)</f>
        <v>105.19530171428579</v>
      </c>
      <c r="CV30" s="13">
        <f t="shared" si="41"/>
        <v>28.196034549376744</v>
      </c>
      <c r="CW30" s="20">
        <f t="shared" si="13"/>
        <v>232.32324399254557</v>
      </c>
      <c r="CX30" s="59">
        <f t="shared" si="14"/>
        <v>508.2741929486275</v>
      </c>
      <c r="CY30" s="59">
        <f ca="1">AVERAGE(OFFSET($CX$3,0,0,'Données projet'!$E$13+1,1))-AVERAGE(OFFSET($H$3,0,0,'Données projet'!$E$13+1,1))</f>
        <v>677.13548994240728</v>
      </c>
      <c r="CZ30" s="59">
        <f t="shared" si="42"/>
        <v>298.72429542440534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66.259349715295073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1.2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4.3999999999999995</v>
      </c>
      <c r="H31" s="67">
        <f t="shared" si="1"/>
        <v>239.06666666666669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506.5693383618385</v>
      </c>
      <c r="S31" s="59">
        <f ca="1">AVERAGE(OFFSET($R$3,0,0,'Données projet'!$E$9+1,1))-AVERAGE(OFFSET($H$3,0,0,'Données projet'!$E$9+1,1))</f>
        <v>646.69588445509589</v>
      </c>
      <c r="T31" s="59">
        <f t="shared" si="34"/>
        <v>286.36346771084698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282.01</v>
      </c>
      <c r="AG31" s="12">
        <f>VLOOKUP(A31,'Données projet'!$A$61:$I$81,9,0)</f>
        <v>21.61428571428571</v>
      </c>
      <c r="AH31" s="12">
        <f t="array" ref="AH31">INDEX(AG:AG,MIN(IF(ISNUMBER(AG31:AG227),ROW(AG31:AG227),"")))</f>
        <v>21.61428571428571</v>
      </c>
      <c r="AI31" s="13">
        <f>IF('Données projet'!$A$62&gt;35,AI30+AH31-AQ30,IF(A31&lt;'Données projet'!$A$62,$AF$205^A31,IF(A31='Données projet'!$A$62,'Données projet'!$B$62,AI30+AH31-AQ30)))</f>
        <v>282.00999999999993</v>
      </c>
      <c r="AJ31" s="13">
        <f>AI31*VLOOKUP('Données projet'!$B$10,Paramètres!$A$1:$I$89,3,0)*VLOOKUP('Données projet'!$B$10,Paramètres!$A$1:$I$89,5,0)</f>
        <v>157.64358999999996</v>
      </c>
      <c r="AK31" s="13">
        <f t="shared" si="35"/>
        <v>40.310562469543989</v>
      </c>
      <c r="AL31" s="20">
        <f t="shared" si="4"/>
        <v>344.77014888445569</v>
      </c>
      <c r="AM31" s="59">
        <f t="shared" si="5"/>
        <v>622.18125710128743</v>
      </c>
      <c r="AN31" s="59">
        <f ca="1">AVERAGE(OFFSET($AM$3,0,0,'Données projet'!$E$10+1,1))-AVERAGE(OFFSET($H$3,0,0,'Données projet'!$E$10+1,1))</f>
        <v>391.55758836264408</v>
      </c>
      <c r="AO31" s="59">
        <f t="shared" si="36"/>
        <v>360.80727659978777</v>
      </c>
      <c r="AP31" s="15">
        <f>IF(ISNA(VLOOKUP(A31,'Données projet'!$A$61:$I$81,3,0)),0,VLOOKUP(A31,'Données projet'!$A$61:$I$81,3,0))</f>
        <v>2</v>
      </c>
      <c r="AQ31" s="15">
        <f>IF(ISNA(VLOOKUP(A31,'Données projet'!$A$61:$I$81,4,0)),0,VLOOKUP(A31,'Données projet'!$A$61:$I$81,4,0))</f>
        <v>67.639999999999986</v>
      </c>
      <c r="AR31" s="16">
        <f>IF(ISNA(VLOOKUP(A31,'Données projet'!$A$61:$I$81,5,0)),0%,VLOOKUP(A31,'Données projet'!$A$61:$I$81,5,0)*VLOOKUP('Données projet'!$B$10,Paramètres!$A$1:$I$89,7,0))</f>
        <v>0.13750000000000001</v>
      </c>
      <c r="AS31" s="16">
        <f>IF(ISNA(VLOOKUP(A31,'Données projet'!$A$61:$I$81,6,0)),0%,VLOOKUP(A31,'Données projet'!$A$61:$I$81,6,0)*VLOOKUP('Données projet'!$B$10,Paramètres!$A$1:$I$89,7,0))</f>
        <v>0.20350000000000001</v>
      </c>
      <c r="AT31" s="16">
        <f>IF(ISNA(VLOOKUP(A31,'Données projet'!$A$61:$I$81,7,0)),0%,VLOOKUP(A31,'Données projet'!$A$61:$I$81,7,0))</f>
        <v>0.38</v>
      </c>
      <c r="AU31" s="21">
        <f>EXP(-LN(2)/35)*AU30+(1-EXP(-LN(2)/35))/(LN(2)/35)*AQ31*AR31*VLOOKUP('Données projet'!$B$10,Paramètres!$A$1:$I$89,3,0)*0.475*44/12</f>
        <v>12.630935790884042</v>
      </c>
      <c r="AV31" s="21">
        <f>EXP(-LN(2)/25)*AV30+(1-EXP(-LN(2)/25))/(LN(2)/25)*Calculateur!AQ31*Calculateur!AS31*VLOOKUP('Données projet'!$B$10,Paramètres!$A$1:$I$89,3,0)*0.475*44/12</f>
        <v>18.164198491339612</v>
      </c>
      <c r="AW31" s="21">
        <f>EXP(-LN(2)/2)*AW30+(1-EXP(-LN(2)/2))/(LN(2)/2)*AQ31*AT31*VLOOKUP('Données projet'!$B$10,Paramètres!$A$1:$I$89,3,0)*0.475*44/12</f>
        <v>17.641292237964119</v>
      </c>
      <c r="AX31" s="21">
        <f t="shared" si="6"/>
        <v>48.436426520187773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25.6</v>
      </c>
      <c r="BD31" s="12">
        <f>IF('Données projet'!$A$88&gt;35,BD30+BC31-BL30,IF(A31&lt;'Données projet'!$A$88,$BA$205^A31,IF(A31='Données projet'!$A$88,'Données projet'!$B$88,BD30+BC31-BL30)))</f>
        <v>256.80000000000007</v>
      </c>
      <c r="BE31" s="13">
        <f>BD31*VLOOKUP('Données projet'!$B$11,Paramètres!$A$1:$I$89,3,0)*VLOOKUP('Données projet'!$B$11,Paramètres!$A$1:$I$89,5,0)</f>
        <v>113.50560000000004</v>
      </c>
      <c r="BF31" s="13">
        <f t="shared" si="37"/>
        <v>30.155417192749493</v>
      </c>
      <c r="BG31" s="20">
        <f t="shared" si="7"/>
        <v>250.20960494403877</v>
      </c>
      <c r="BH31" s="59">
        <f t="shared" si="8"/>
        <v>527.62071316087054</v>
      </c>
      <c r="BI31" s="59">
        <f ca="1">AVERAGE(OFFSET($BH$3,0,0,'Données projet'!$E$11+1,1))-AVERAGE(OFFSET($H$3,0,0,'Données projet'!$E$11+1,1))</f>
        <v>400.11184625063709</v>
      </c>
      <c r="BJ31" s="59">
        <f t="shared" si="38"/>
        <v>340.02906159605971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5.1302510362260376</v>
      </c>
      <c r="BQ31" s="21">
        <f>EXP(-LN(2)/25)*BQ30+(1-EXP(-LN(2)/25))/(LN(2)/25)*Calculateur!BL31*Calculateur!BN31*VLOOKUP('Données projet'!$B$11,Paramètres!$A$1:$I$89,3,0)*0.475*44/12</f>
        <v>7.3660291379120233</v>
      </c>
      <c r="BR31" s="21">
        <f>EXP(-LN(2)/2)*BR30+(1-EXP(-LN(2)/2))/(LN(2)/2)*BL31*BO31*VLOOKUP('Données projet'!$B$11,Paramètres!$A$1:$I$89,3,0)*0.475*44/12</f>
        <v>4.2952428200568287</v>
      </c>
      <c r="BS31" s="22">
        <f t="shared" si="9"/>
        <v>16.791522994194889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4.0942857142857143</v>
      </c>
      <c r="BY31" s="12">
        <f>IF('Données projet'!$A$114&gt;35,BY30+BX31-CG30,IF(A31&lt;'Données projet'!$A$114,$BV$205^A31,IF(A31='Données projet'!$A$114,'Données projet'!$B$114,BY30+BX31-CG30)))</f>
        <v>114.64000000000007</v>
      </c>
      <c r="BZ31" s="13">
        <f>BY31*VLOOKUP('Données projet'!$B$12,Paramètres!$A$1:$I$89,3,0)*VLOOKUP('Données projet'!$B$12,Paramètres!$A$1:$I$89,5,0)</f>
        <v>76.900512000000049</v>
      </c>
      <c r="CA31" s="13">
        <f t="shared" si="39"/>
        <v>21.377609205625671</v>
      </c>
      <c r="CB31" s="20">
        <f t="shared" si="10"/>
        <v>171.16772776646476</v>
      </c>
      <c r="CC31" s="59">
        <f t="shared" si="11"/>
        <v>448.57883598329647</v>
      </c>
      <c r="CD31" s="59">
        <f ca="1">AVERAGE(OFFSET($CC$3,0,0,'Données projet'!$E$12+1,1))-AVERAGE(OFFSET($H$3,0,0,'Données projet'!$E$12+1,1))</f>
        <v>493.98227954109774</v>
      </c>
      <c r="CE31" s="59">
        <f t="shared" si="40"/>
        <v>224.32736097997289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4.0942857142857143</v>
      </c>
      <c r="CT31" s="12">
        <f>IF('Données projet'!$A$140&gt;35,CT30+CS31-DB30,IF(A31&lt;'Données projet'!$A$140,$CQ$205^A31,IF(A31='Données projet'!$A$140,'Données projet'!$B$140,CT30+CS31-DB30)))</f>
        <v>114.64000000000007</v>
      </c>
      <c r="CU31" s="17">
        <f>CT31*VLOOKUP('Données projet'!$B$13,Paramètres!$A$1:$I$89,3,0)*VLOOKUP('Données projet'!$B$13,Paramètres!$A$1:$I$89,5,0)</f>
        <v>109.09142400000007</v>
      </c>
      <c r="CV31" s="13">
        <f t="shared" si="41"/>
        <v>29.116813756207414</v>
      </c>
      <c r="CW31" s="20">
        <f t="shared" si="13"/>
        <v>240.71268075872808</v>
      </c>
      <c r="CX31" s="59">
        <f t="shared" si="14"/>
        <v>518.12378897555982</v>
      </c>
      <c r="CY31" s="59">
        <f ca="1">AVERAGE(OFFSET($CX$3,0,0,'Données projet'!$E$13+1,1))-AVERAGE(OFFSET($H$3,0,0,'Données projet'!$E$13+1,1))</f>
        <v>677.13548994240728</v>
      </c>
      <c r="CZ31" s="59">
        <f t="shared" si="42"/>
        <v>298.72429542440534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66.324241634893511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1.2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4.3999999999999995</v>
      </c>
      <c r="H32" s="67">
        <f t="shared" si="1"/>
        <v>239.06666666666669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516.00482430197201</v>
      </c>
      <c r="S32" s="59">
        <f ca="1">AVERAGE(OFFSET($R$3,0,0,'Données projet'!$E$9+1,1))-AVERAGE(OFFSET($H$3,0,0,'Données projet'!$E$9+1,1))</f>
        <v>646.69588445509589</v>
      </c>
      <c r="T32" s="59">
        <f t="shared" si="34"/>
        <v>286.36346771084698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23.265714285714289</v>
      </c>
      <c r="AI32" s="13">
        <f>IF('Données projet'!$A$62&gt;35,AI31+AH32-AQ31,IF(A32&lt;'Données projet'!$A$62,$AF$205^A32,IF(A32='Données projet'!$A$62,'Données projet'!$B$62,AI31+AH32-AQ31)))</f>
        <v>237.63571428571424</v>
      </c>
      <c r="AJ32" s="13">
        <f>AI32*VLOOKUP('Données projet'!$B$10,Paramètres!$A$1:$I$89,3,0)*VLOOKUP('Données projet'!$B$10,Paramètres!$A$1:$I$89,5,0)</f>
        <v>132.83836428571425</v>
      </c>
      <c r="AK32" s="13">
        <f t="shared" si="35"/>
        <v>34.651395262904387</v>
      </c>
      <c r="AL32" s="20">
        <f t="shared" si="4"/>
        <v>291.71133121384406</v>
      </c>
      <c r="AM32" s="59">
        <f t="shared" si="5"/>
        <v>570.57847101575476</v>
      </c>
      <c r="AN32" s="59">
        <f ca="1">AVERAGE(OFFSET($AM$3,0,0,'Données projet'!$E$10+1,1))-AVERAGE(OFFSET($H$3,0,0,'Données projet'!$E$10+1,1))</f>
        <v>391.55758836264408</v>
      </c>
      <c r="AO32" s="59">
        <f t="shared" si="36"/>
        <v>360.80727659978777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12.38325084413492</v>
      </c>
      <c r="AV32" s="21">
        <f>EXP(-LN(2)/25)*AV31+(1-EXP(-LN(2)/25))/(LN(2)/25)*Calculateur!AQ32*Calculateur!AS32*VLOOKUP('Données projet'!$B$10,Paramètres!$A$1:$I$89,3,0)*0.475*44/12</f>
        <v>17.667497528380245</v>
      </c>
      <c r="AW32" s="21">
        <f>EXP(-LN(2)/2)*AW31+(1-EXP(-LN(2)/2))/(LN(2)/2)*AQ32*AT32*VLOOKUP('Données projet'!$B$10,Paramètres!$A$1:$I$89,3,0)*0.475*44/12</f>
        <v>12.474277370358035</v>
      </c>
      <c r="AX32" s="21">
        <f t="shared" si="6"/>
        <v>42.525025742873197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25.6</v>
      </c>
      <c r="BD32" s="12">
        <f>IF('Données projet'!$A$88&gt;35,BD31+BC32-BL31,IF(A32&lt;'Données projet'!$A$88,$BA$205^A32,IF(A32='Données projet'!$A$88,'Données projet'!$B$88,BD31+BC32-BL31)))</f>
        <v>282.40000000000009</v>
      </c>
      <c r="BE32" s="13">
        <f>BD32*VLOOKUP('Données projet'!$B$11,Paramètres!$A$1:$I$89,3,0)*VLOOKUP('Données projet'!$B$11,Paramètres!$A$1:$I$89,5,0)</f>
        <v>124.82080000000005</v>
      </c>
      <c r="BF32" s="13">
        <f t="shared" si="37"/>
        <v>32.796781332235874</v>
      </c>
      <c r="BG32" s="20">
        <f t="shared" si="7"/>
        <v>274.51728748697752</v>
      </c>
      <c r="BH32" s="59">
        <f t="shared" si="8"/>
        <v>553.38442728888822</v>
      </c>
      <c r="BI32" s="59">
        <f ca="1">AVERAGE(OFFSET($BH$3,0,0,'Données projet'!$E$11+1,1))-AVERAGE(OFFSET($H$3,0,0,'Données projet'!$E$11+1,1))</f>
        <v>400.11184625063709</v>
      </c>
      <c r="BJ32" s="59">
        <f t="shared" si="38"/>
        <v>340.02906159605971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5.0296499425498</v>
      </c>
      <c r="BQ32" s="21">
        <f>EXP(-LN(2)/25)*BQ31+(1-EXP(-LN(2)/25))/(LN(2)/25)*Calculateur!BL32*Calculateur!BN32*VLOOKUP('Données projet'!$B$11,Paramètres!$A$1:$I$89,3,0)*0.475*44/12</f>
        <v>7.1646046837731818</v>
      </c>
      <c r="BR32" s="21">
        <f>EXP(-LN(2)/2)*BR31+(1-EXP(-LN(2)/2))/(LN(2)/2)*BL32*BO32*VLOOKUP('Données projet'!$B$11,Paramètres!$A$1:$I$89,3,0)*0.475*44/12</f>
        <v>3.0371953249050136</v>
      </c>
      <c r="BS32" s="22">
        <f t="shared" si="9"/>
        <v>15.231449951227995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4.0942857142857143</v>
      </c>
      <c r="BY32" s="12">
        <f>IF('Données projet'!$A$114&gt;35,BY31+BX32-CG31,IF(A32&lt;'Données projet'!$A$114,$BV$205^A32,IF(A32='Données projet'!$A$114,'Données projet'!$B$114,BY31+BX32-CG31)))</f>
        <v>118.73428571428579</v>
      </c>
      <c r="BZ32" s="13">
        <f>BY32*VLOOKUP('Données projet'!$B$12,Paramètres!$A$1:$I$89,3,0)*VLOOKUP('Données projet'!$B$12,Paramètres!$A$1:$I$89,5,0)</f>
        <v>79.646958857142906</v>
      </c>
      <c r="CA32" s="13">
        <f t="shared" si="39"/>
        <v>22.050841527074962</v>
      </c>
      <c r="CB32" s="20">
        <f t="shared" si="10"/>
        <v>177.12366900251277</v>
      </c>
      <c r="CC32" s="59">
        <f t="shared" si="11"/>
        <v>455.99080880442341</v>
      </c>
      <c r="CD32" s="59">
        <f ca="1">AVERAGE(OFFSET($CC$3,0,0,'Données projet'!$E$12+1,1))-AVERAGE(OFFSET($H$3,0,0,'Données projet'!$E$12+1,1))</f>
        <v>493.98227954109774</v>
      </c>
      <c r="CE32" s="59">
        <f t="shared" si="40"/>
        <v>224.32736097997289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4.0942857142857143</v>
      </c>
      <c r="CT32" s="12">
        <f>IF('Données projet'!$A$140&gt;35,CT31+CS32-DB31,IF(A32&lt;'Données projet'!$A$140,$CQ$205^A32,IF(A32='Données projet'!$A$140,'Données projet'!$B$140,CT31+CS32-DB31)))</f>
        <v>118.73428571428579</v>
      </c>
      <c r="CU32" s="17">
        <f>CT32*VLOOKUP('Données projet'!$B$13,Paramètres!$A$1:$I$89,3,0)*VLOOKUP('Données projet'!$B$13,Paramètres!$A$1:$I$89,5,0)</f>
        <v>112.98754628571437</v>
      </c>
      <c r="CV32" s="13">
        <f t="shared" si="41"/>
        <v>30.03377223971917</v>
      </c>
      <c r="CW32" s="20">
        <f t="shared" si="13"/>
        <v>249.0954630984634</v>
      </c>
      <c r="CX32" s="59">
        <f t="shared" si="14"/>
        <v>527.96260290037401</v>
      </c>
      <c r="CY32" s="59">
        <f ca="1">AVERAGE(OFFSET($CX$3,0,0,'Données projet'!$E$13+1,1))-AVERAGE(OFFSET($H$3,0,0,'Données projet'!$E$13+1,1))</f>
        <v>677.13548994240728</v>
      </c>
      <c r="CZ32" s="59">
        <f t="shared" si="42"/>
        <v>298.72429542440534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66.388007824763505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1.2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4.3999999999999995</v>
      </c>
      <c r="H33" s="67">
        <f t="shared" si="1"/>
        <v>239.06666666666669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525.4301343775137</v>
      </c>
      <c r="S33" s="59">
        <f ca="1">AVERAGE(OFFSET($R$3,0,0,'Données projet'!$E$9+1,1))-AVERAGE(OFFSET($H$3,0,0,'Données projet'!$E$9+1,1))</f>
        <v>646.69588445509589</v>
      </c>
      <c r="T33" s="59">
        <f t="shared" si="34"/>
        <v>286.36346771084698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23.265714285714289</v>
      </c>
      <c r="AI33" s="13">
        <f>IF('Données projet'!$A$62&gt;35,AI32+AH33-AQ32,IF(A33&lt;'Données projet'!$A$62,$AF$205^A33,IF(A33='Données projet'!$A$62,'Données projet'!$B$62,AI32+AH33-AQ32)))</f>
        <v>260.90142857142854</v>
      </c>
      <c r="AJ33" s="13">
        <f>AI33*VLOOKUP('Données projet'!$B$10,Paramètres!$A$1:$I$89,3,0)*VLOOKUP('Données projet'!$B$10,Paramètres!$A$1:$I$89,5,0)</f>
        <v>145.84389857142855</v>
      </c>
      <c r="AK33" s="13">
        <f t="shared" si="35"/>
        <v>37.632557667341459</v>
      </c>
      <c r="AL33" s="20">
        <f t="shared" si="4"/>
        <v>319.55482794919106</v>
      </c>
      <c r="AM33" s="59">
        <f t="shared" si="5"/>
        <v>599.87394326645449</v>
      </c>
      <c r="AN33" s="59">
        <f ca="1">AVERAGE(OFFSET($AM$3,0,0,'Données projet'!$E$10+1,1))-AVERAGE(OFFSET($H$3,0,0,'Données projet'!$E$10+1,1))</f>
        <v>391.55758836264408</v>
      </c>
      <c r="AO33" s="59">
        <f t="shared" si="36"/>
        <v>360.80727659978777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12.14042284811865</v>
      </c>
      <c r="AV33" s="21">
        <f>EXP(-LN(2)/25)*AV32+(1-EXP(-LN(2)/25))/(LN(2)/25)*Calculateur!AQ33*Calculateur!AS33*VLOOKUP('Données projet'!$B$10,Paramètres!$A$1:$I$89,3,0)*0.475*44/12</f>
        <v>17.184378879373373</v>
      </c>
      <c r="AW33" s="21">
        <f>EXP(-LN(2)/2)*AW32+(1-EXP(-LN(2)/2))/(LN(2)/2)*AQ33*AT33*VLOOKUP('Données projet'!$B$10,Paramètres!$A$1:$I$89,3,0)*0.475*44/12</f>
        <v>8.8206461189820615</v>
      </c>
      <c r="AX33" s="21">
        <f t="shared" si="6"/>
        <v>38.145447846474084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308</v>
      </c>
      <c r="BB33" s="12">
        <f>VLOOKUP(A33,'Données projet'!$A$87:$I$107,9,0)</f>
        <v>25.6</v>
      </c>
      <c r="BC33" s="12">
        <f t="array" ref="BC33">INDEX(BB:BB,MIN(IF(ISNUMBER(BB33:BB229),ROW(BB33:BB229),"")))</f>
        <v>25.6</v>
      </c>
      <c r="BD33" s="12">
        <f>IF('Données projet'!$A$88&gt;35,BD32+BC33-BL32,IF(A33&lt;'Données projet'!$A$88,$BA$205^A33,IF(A33='Données projet'!$A$88,'Données projet'!$B$88,BD32+BC33-BL32)))</f>
        <v>308.00000000000011</v>
      </c>
      <c r="BE33" s="13">
        <f>BD33*VLOOKUP('Données projet'!$B$11,Paramètres!$A$1:$I$89,3,0)*VLOOKUP('Données projet'!$B$11,Paramètres!$A$1:$I$89,5,0)</f>
        <v>136.13600000000005</v>
      </c>
      <c r="BF33" s="13">
        <f t="shared" si="37"/>
        <v>35.410380638543309</v>
      </c>
      <c r="BG33" s="20">
        <f t="shared" si="7"/>
        <v>298.776612945463</v>
      </c>
      <c r="BH33" s="59">
        <f t="shared" si="8"/>
        <v>579.09572826272642</v>
      </c>
      <c r="BI33" s="59">
        <f ca="1">AVERAGE(OFFSET($BH$3,0,0,'Données projet'!$E$11+1,1))-AVERAGE(OFFSET($H$3,0,0,'Données projet'!$E$11+1,1))</f>
        <v>400.11184625063709</v>
      </c>
      <c r="BJ33" s="59">
        <f t="shared" si="38"/>
        <v>340.02906159605971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0.13750000000000001</v>
      </c>
      <c r="BN33" s="16">
        <f>IF(ISNA(VLOOKUP(A33,'Données projet'!$A$87:$I$107,6,0)),0%,VLOOKUP(A33,'Données projet'!$A$87:$I$107,6,0)*VLOOKUP('Données projet'!$B$11,Paramètres!$A$1:$I$89,7,0))</f>
        <v>0.20350000000000001</v>
      </c>
      <c r="BO33" s="16">
        <f>IF(ISNA(VLOOKUP(A33,'Données projet'!$A$87:$I$107,7,0)),0%,VLOOKUP(A33,'Données projet'!$A$87:$I$107,7,0))</f>
        <v>0.38</v>
      </c>
      <c r="BP33" s="21">
        <f>EXP(-LN(2)/35)*BP32+(1-EXP(-LN(2)/35))/(LN(2)/35)*BL33*BM33*VLOOKUP('Données projet'!$B$11,Paramètres!$A$1:$I$89,3,0)*0.475*44/12</f>
        <v>10.010204726058243</v>
      </c>
      <c r="BQ33" s="21">
        <f>EXP(-LN(2)/25)*BQ32+(1-EXP(-LN(2)/25))/(LN(2)/25)*Calculateur!BL33*Calculateur!BN33*VLOOKUP('Données projet'!$B$11,Paramètres!$A$1:$I$89,3,0)*0.475*44/12</f>
        <v>14.456281210058856</v>
      </c>
      <c r="BR33" s="21">
        <f>EXP(-LN(2)/2)*BR32+(1-EXP(-LN(2)/2))/(LN(2)/2)*BL33*BO33*VLOOKUP('Données projet'!$B$11,Paramètres!$A$1:$I$89,3,0)*0.475*44/12</f>
        <v>14.128314821658766</v>
      </c>
      <c r="BS33" s="22">
        <f t="shared" si="9"/>
        <v>38.594800757775864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4.0942857142857143</v>
      </c>
      <c r="BY33" s="12">
        <f>IF('Données projet'!$A$114&gt;35,BY32+BX33-CG32,IF(A33&lt;'Données projet'!$A$114,$BV$205^A33,IF(A33='Données projet'!$A$114,'Données projet'!$B$114,BY32+BX33-CG32)))</f>
        <v>122.82857142857151</v>
      </c>
      <c r="BZ33" s="13">
        <f>BY33*VLOOKUP('Données projet'!$B$12,Paramètres!$A$1:$I$89,3,0)*VLOOKUP('Données projet'!$B$12,Paramètres!$A$1:$I$89,5,0)</f>
        <v>82.393405714285763</v>
      </c>
      <c r="CA33" s="13">
        <f t="shared" si="39"/>
        <v>22.721376484399109</v>
      </c>
      <c r="CB33" s="20">
        <f t="shared" si="10"/>
        <v>183.07491232937616</v>
      </c>
      <c r="CC33" s="59">
        <f t="shared" si="11"/>
        <v>463.39402764663959</v>
      </c>
      <c r="CD33" s="59">
        <f ca="1">AVERAGE(OFFSET($CC$3,0,0,'Données projet'!$E$12+1,1))-AVERAGE(OFFSET($H$3,0,0,'Données projet'!$E$12+1,1))</f>
        <v>493.98227954109774</v>
      </c>
      <c r="CE33" s="59">
        <f t="shared" si="40"/>
        <v>224.32736097997289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4.0942857142857143</v>
      </c>
      <c r="CT33" s="12">
        <f>IF('Données projet'!$A$140&gt;35,CT32+CS33-DB32,IF(A33&lt;'Données projet'!$A$140,$CQ$205^A33,IF(A33='Données projet'!$A$140,'Données projet'!$B$140,CT32+CS33-DB32)))</f>
        <v>122.82857142857151</v>
      </c>
      <c r="CU33" s="17">
        <f>CT33*VLOOKUP('Données projet'!$B$13,Paramètres!$A$1:$I$89,3,0)*VLOOKUP('Données projet'!$B$13,Paramètres!$A$1:$I$89,5,0)</f>
        <v>116.88366857142864</v>
      </c>
      <c r="CV33" s="13">
        <f t="shared" si="41"/>
        <v>30.947056848939916</v>
      </c>
      <c r="CW33" s="20">
        <f t="shared" si="13"/>
        <v>257.47184677380858</v>
      </c>
      <c r="CX33" s="59">
        <f t="shared" si="14"/>
        <v>537.79096209107206</v>
      </c>
      <c r="CY33" s="59">
        <f ca="1">AVERAGE(OFFSET($CX$3,0,0,'Données projet'!$E$13+1,1))-AVERAGE(OFFSET($H$3,0,0,'Données projet'!$E$13+1,1))</f>
        <v>677.13548994240728</v>
      </c>
      <c r="CZ33" s="59">
        <f t="shared" si="42"/>
        <v>298.72429542440534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66.450667813799114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1.2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4.3999999999999995</v>
      </c>
      <c r="H34" s="67">
        <f t="shared" si="1"/>
        <v>239.06666666666669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533.62334411223605</v>
      </c>
      <c r="S34" s="59">
        <f ca="1">AVERAGE(OFFSET($R$3,0,0,'Données projet'!$E$9+1,1))-AVERAGE(OFFSET($H$3,0,0,'Données projet'!$E$9+1,1))</f>
        <v>646.69588445509589</v>
      </c>
      <c r="T34" s="59">
        <f t="shared" si="34"/>
        <v>286.36346771084698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23.265714285714289</v>
      </c>
      <c r="AI34" s="13">
        <f>IF('Données projet'!$A$62&gt;35,AI33+AH34-AQ33,IF(A34&lt;'Données projet'!$A$62,$AF$205^A34,IF(A34='Données projet'!$A$62,'Données projet'!$B$62,AI33+AH34-AQ33)))</f>
        <v>284.16714285714284</v>
      </c>
      <c r="AJ34" s="13">
        <f>AI34*VLOOKUP('Données projet'!$B$10,Paramètres!$A$1:$I$89,3,0)*VLOOKUP('Données projet'!$B$10,Paramètres!$A$1:$I$89,5,0)</f>
        <v>158.84943285714286</v>
      </c>
      <c r="AK34" s="13">
        <f t="shared" si="35"/>
        <v>40.582892872917235</v>
      </c>
      <c r="AL34" s="20">
        <f t="shared" si="4"/>
        <v>347.34463397985468</v>
      </c>
      <c r="AM34" s="59">
        <f t="shared" si="5"/>
        <v>627.88951688426425</v>
      </c>
      <c r="AN34" s="59">
        <f ca="1">AVERAGE(OFFSET($AM$3,0,0,'Données projet'!$E$10+1,1))-AVERAGE(OFFSET($H$3,0,0,'Données projet'!$E$10+1,1))</f>
        <v>391.55758836264408</v>
      </c>
      <c r="AO34" s="59">
        <f t="shared" si="36"/>
        <v>360.80727659978777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11.902356560993805</v>
      </c>
      <c r="AV34" s="21">
        <f>EXP(-LN(2)/25)*AV33+(1-EXP(-LN(2)/25))/(LN(2)/25)*Calculateur!AQ34*Calculateur!AS34*VLOOKUP('Données projet'!$B$10,Paramètres!$A$1:$I$89,3,0)*0.475*44/12</f>
        <v>16.714471135229697</v>
      </c>
      <c r="AW34" s="21">
        <f>EXP(-LN(2)/2)*AW33+(1-EXP(-LN(2)/2))/(LN(2)/2)*AQ34*AT34*VLOOKUP('Données projet'!$B$10,Paramètres!$A$1:$I$89,3,0)*0.475*44/12</f>
        <v>6.2371386851790183</v>
      </c>
      <c r="AX34" s="21">
        <f t="shared" si="6"/>
        <v>34.853966381402522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26.2</v>
      </c>
      <c r="BD34" s="12">
        <f>IF('Données projet'!$A$88&gt;35,BD33+BC34-BL33,IF(A34&lt;'Données projet'!$A$88,$BA$205^A34,IF(A34='Données projet'!$A$88,'Données projet'!$B$88,BD33+BC34-BL33)))</f>
        <v>271.2000000000001</v>
      </c>
      <c r="BE34" s="13">
        <f>BD34*VLOOKUP('Données projet'!$B$11,Paramètres!$A$1:$I$89,3,0)*VLOOKUP('Données projet'!$B$11,Paramètres!$A$1:$I$89,5,0)</f>
        <v>119.87040000000006</v>
      </c>
      <c r="BF34" s="13">
        <f t="shared" si="37"/>
        <v>31.644770321679825</v>
      </c>
      <c r="BG34" s="20">
        <f t="shared" si="7"/>
        <v>263.88892164359248</v>
      </c>
      <c r="BH34" s="59">
        <f t="shared" si="8"/>
        <v>544.43380454800206</v>
      </c>
      <c r="BI34" s="59">
        <f ca="1">AVERAGE(OFFSET($BH$3,0,0,'Données projet'!$E$11+1,1))-AVERAGE(OFFSET($H$3,0,0,'Données projet'!$E$11+1,1))</f>
        <v>400.11184625063709</v>
      </c>
      <c r="BJ34" s="59">
        <f t="shared" si="38"/>
        <v>340.02906159605971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9.8139107170022442</v>
      </c>
      <c r="BQ34" s="21">
        <f>EXP(-LN(2)/25)*BQ33+(1-EXP(-LN(2)/25))/(LN(2)/25)*Calculateur!BL34*Calculateur!BN34*VLOOKUP('Données projet'!$B$11,Paramètres!$A$1:$I$89,3,0)*0.475*44/12</f>
        <v>14.060973440147007</v>
      </c>
      <c r="BR34" s="21">
        <f>EXP(-LN(2)/2)*BR33+(1-EXP(-LN(2)/2))/(LN(2)/2)*BL34*BO34*VLOOKUP('Données projet'!$B$11,Paramètres!$A$1:$I$89,3,0)*0.475*44/12</f>
        <v>9.990227217133322</v>
      </c>
      <c r="BS34" s="22">
        <f t="shared" si="9"/>
        <v>33.865111374282577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4.0942857142857143</v>
      </c>
      <c r="BY34" s="12">
        <f>IF('Données projet'!$A$114&gt;35,BY33+BX34-CG33,IF(A34&lt;'Données projet'!$A$114,$BV$205^A34,IF(A34='Données projet'!$A$114,'Données projet'!$B$114,BY33+BX34-CG33)))</f>
        <v>126.92285714285723</v>
      </c>
      <c r="BZ34" s="13">
        <f>BY34*VLOOKUP('Données projet'!$B$12,Paramètres!$A$1:$I$89,3,0)*VLOOKUP('Données projet'!$B$12,Paramètres!$A$1:$I$89,5,0)</f>
        <v>85.139852571428634</v>
      </c>
      <c r="CA34" s="13">
        <f t="shared" si="39"/>
        <v>23.389314298724134</v>
      </c>
      <c r="CB34" s="20">
        <f t="shared" si="10"/>
        <v>189.02163229884937</v>
      </c>
      <c r="CC34" s="59">
        <f t="shared" si="11"/>
        <v>469.56651520325897</v>
      </c>
      <c r="CD34" s="59">
        <f ca="1">AVERAGE(OFFSET($CC$3,0,0,'Données projet'!$E$12+1,1))-AVERAGE(OFFSET($H$3,0,0,'Données projet'!$E$12+1,1))</f>
        <v>493.98227954109774</v>
      </c>
      <c r="CE34" s="59">
        <f t="shared" si="40"/>
        <v>224.32736097997289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4.0942857142857143</v>
      </c>
      <c r="CT34" s="12">
        <f>IF('Données projet'!$A$140&gt;35,CT33+CS34-DB33,IF(A34&lt;'Données projet'!$A$140,$CQ$205^A34,IF(A34='Données projet'!$A$140,'Données projet'!$B$140,CT33+CS34-DB33)))</f>
        <v>126.92285714285723</v>
      </c>
      <c r="CU34" s="17">
        <f>CT34*VLOOKUP('Données projet'!$B$13,Paramètres!$A$1:$I$89,3,0)*VLOOKUP('Données projet'!$B$13,Paramètres!$A$1:$I$89,5,0)</f>
        <v>120.77979085714293</v>
      </c>
      <c r="CV34" s="13">
        <f t="shared" si="41"/>
        <v>31.856804087434281</v>
      </c>
      <c r="CW34" s="20">
        <f t="shared" si="13"/>
        <v>265.842069528472</v>
      </c>
      <c r="CX34" s="59">
        <f t="shared" si="14"/>
        <v>546.38695243288157</v>
      </c>
      <c r="CY34" s="59">
        <f ca="1">AVERAGE(OFFSET($CX$3,0,0,'Données projet'!$E$13+1,1))-AVERAGE(OFFSET($H$3,0,0,'Données projet'!$E$13+1,1))</f>
        <v>677.13548994240728</v>
      </c>
      <c r="CZ34" s="59">
        <f t="shared" si="42"/>
        <v>298.72429542440534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66.512240792111697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1.2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4.3999999999999995</v>
      </c>
      <c r="H35" s="67">
        <f t="shared" si="1"/>
        <v>239.06666666666669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541.80695675103766</v>
      </c>
      <c r="S35" s="59">
        <f ca="1">AVERAGE(OFFSET($R$3,0,0,'Données projet'!$E$9+1,1))-AVERAGE(OFFSET($H$3,0,0,'Données projet'!$E$9+1,1))</f>
        <v>646.69588445509589</v>
      </c>
      <c r="T35" s="59">
        <f t="shared" si="34"/>
        <v>286.36346771084698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23.265714285714289</v>
      </c>
      <c r="AI35" s="13">
        <f>IF('Données projet'!$A$62&gt;35,AI34+AH35-AQ34,IF(A35&lt;'Données projet'!$A$62,$AF$205^A35,IF(A35='Données projet'!$A$62,'Données projet'!$B$62,AI34+AH35-AQ34)))</f>
        <v>307.43285714285713</v>
      </c>
      <c r="AJ35" s="13">
        <f>AI35*VLOOKUP('Données projet'!$B$10,Paramètres!$A$1:$I$89,3,0)*VLOOKUP('Données projet'!$B$10,Paramètres!$A$1:$I$89,5,0)</f>
        <v>171.85496714285716</v>
      </c>
      <c r="AK35" s="13">
        <f t="shared" si="35"/>
        <v>43.505211750246715</v>
      </c>
      <c r="AL35" s="20">
        <f t="shared" si="4"/>
        <v>375.08564490548923</v>
      </c>
      <c r="AM35" s="59">
        <f t="shared" si="5"/>
        <v>655.85237883414868</v>
      </c>
      <c r="AN35" s="59">
        <f ca="1">AVERAGE(OFFSET($AM$3,0,0,'Données projet'!$E$10+1,1))-AVERAGE(OFFSET($H$3,0,0,'Données projet'!$E$10+1,1))</f>
        <v>391.55758836264408</v>
      </c>
      <c r="AO35" s="59">
        <f t="shared" si="36"/>
        <v>360.80727659978777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11.668958608553382</v>
      </c>
      <c r="AV35" s="21">
        <f>EXP(-LN(2)/25)*AV34+(1-EXP(-LN(2)/25))/(LN(2)/25)*Calculateur!AQ35*Calculateur!AS35*VLOOKUP('Données projet'!$B$10,Paramètres!$A$1:$I$89,3,0)*0.475*44/12</f>
        <v>16.257413043061007</v>
      </c>
      <c r="AW35" s="21">
        <f>EXP(-LN(2)/2)*AW34+(1-EXP(-LN(2)/2))/(LN(2)/2)*AQ35*AT35*VLOOKUP('Données projet'!$B$10,Paramètres!$A$1:$I$89,3,0)*0.475*44/12</f>
        <v>4.4103230594910308</v>
      </c>
      <c r="AX35" s="21">
        <f t="shared" si="6"/>
        <v>32.336694711105423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26.2</v>
      </c>
      <c r="BD35" s="12">
        <f>IF('Données projet'!$A$88&gt;35,BD34+BC35-BL34,IF(A35&lt;'Données projet'!$A$88,$BA$205^A35,IF(A35='Données projet'!$A$88,'Données projet'!$B$88,BD34+BC35-BL34)))</f>
        <v>297.40000000000009</v>
      </c>
      <c r="BE35" s="13">
        <f>BD35*VLOOKUP('Données projet'!$B$11,Paramètres!$A$1:$I$89,3,0)*VLOOKUP('Données projet'!$B$11,Paramètres!$A$1:$I$89,5,0)</f>
        <v>131.45080000000007</v>
      </c>
      <c r="BF35" s="13">
        <f t="shared" si="37"/>
        <v>34.331379774150925</v>
      </c>
      <c r="BG35" s="20">
        <f t="shared" si="7"/>
        <v>288.73729643997962</v>
      </c>
      <c r="BH35" s="59">
        <f t="shared" si="8"/>
        <v>569.50403036863906</v>
      </c>
      <c r="BI35" s="59">
        <f ca="1">AVERAGE(OFFSET($BH$3,0,0,'Données projet'!$E$11+1,1))-AVERAGE(OFFSET($H$3,0,0,'Données projet'!$E$11+1,1))</f>
        <v>400.11184625063709</v>
      </c>
      <c r="BJ35" s="59">
        <f t="shared" si="38"/>
        <v>340.02906159605971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9.6214659137363103</v>
      </c>
      <c r="BQ35" s="21">
        <f>EXP(-LN(2)/25)*BQ34+(1-EXP(-LN(2)/25))/(LN(2)/25)*Calculateur!BL35*Calculateur!BN35*VLOOKUP('Données projet'!$B$11,Paramètres!$A$1:$I$89,3,0)*0.475*44/12</f>
        <v>13.676475381991731</v>
      </c>
      <c r="BR35" s="21">
        <f>EXP(-LN(2)/2)*BR34+(1-EXP(-LN(2)/2))/(LN(2)/2)*BL35*BO35*VLOOKUP('Données projet'!$B$11,Paramètres!$A$1:$I$89,3,0)*0.475*44/12</f>
        <v>7.0641574108293836</v>
      </c>
      <c r="BS35" s="22">
        <f t="shared" si="9"/>
        <v>30.362098706557425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4.0942857142857143</v>
      </c>
      <c r="BY35" s="12">
        <f>IF('Données projet'!$A$114&gt;35,BY34+BX35-CG34,IF(A35&lt;'Données projet'!$A$114,$BV$205^A35,IF(A35='Données projet'!$A$114,'Données projet'!$B$114,BY34+BX35-CG34)))</f>
        <v>131.01714285714294</v>
      </c>
      <c r="BZ35" s="13">
        <f>BY35*VLOOKUP('Données projet'!$B$12,Paramètres!$A$1:$I$89,3,0)*VLOOKUP('Données projet'!$B$12,Paramètres!$A$1:$I$89,5,0)</f>
        <v>87.88629942857149</v>
      </c>
      <c r="CA35" s="13">
        <f t="shared" si="39"/>
        <v>24.054748358212926</v>
      </c>
      <c r="CB35" s="20">
        <f t="shared" si="10"/>
        <v>194.96399156198288</v>
      </c>
      <c r="CC35" s="59">
        <f t="shared" si="11"/>
        <v>475.73072549064233</v>
      </c>
      <c r="CD35" s="59">
        <f ca="1">AVERAGE(OFFSET($CC$3,0,0,'Données projet'!$E$12+1,1))-AVERAGE(OFFSET($H$3,0,0,'Données projet'!$E$12+1,1))</f>
        <v>493.98227954109774</v>
      </c>
      <c r="CE35" s="59">
        <f t="shared" si="40"/>
        <v>224.32736097997289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4.0942857142857143</v>
      </c>
      <c r="CT35" s="12">
        <f>IF('Données projet'!$A$140&gt;35,CT34+CS35-DB34,IF(A35&lt;'Données projet'!$A$140,$CQ$205^A35,IF(A35='Données projet'!$A$140,'Données projet'!$B$140,CT34+CS35-DB34)))</f>
        <v>131.01714285714294</v>
      </c>
      <c r="CU35" s="17">
        <f>CT35*VLOOKUP('Données projet'!$B$13,Paramètres!$A$1:$I$89,3,0)*VLOOKUP('Données projet'!$B$13,Paramètres!$A$1:$I$89,5,0)</f>
        <v>124.67591314285721</v>
      </c>
      <c r="CV35" s="13">
        <f t="shared" si="41"/>
        <v>32.763141152108169</v>
      </c>
      <c r="CW35" s="20">
        <f t="shared" si="13"/>
        <v>274.20635289706468</v>
      </c>
      <c r="CX35" s="59">
        <f t="shared" si="14"/>
        <v>554.97308682572407</v>
      </c>
      <c r="CY35" s="59">
        <f ca="1">AVERAGE(OFFSET($CX$3,0,0,'Données projet'!$E$13+1,1))-AVERAGE(OFFSET($H$3,0,0,'Données projet'!$E$13+1,1))</f>
        <v>677.13548994240728</v>
      </c>
      <c r="CZ35" s="59">
        <f t="shared" si="42"/>
        <v>298.72429542440534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66.572745616907113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1.2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4.3999999999999995</v>
      </c>
      <c r="H36" s="67">
        <f t="shared" si="1"/>
        <v>239.06666666666669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549.98123812247513</v>
      </c>
      <c r="S36" s="59">
        <f ca="1">AVERAGE(OFFSET($R$3,0,0,'Données projet'!$E$9+1,1))-AVERAGE(OFFSET($H$3,0,0,'Données projet'!$E$9+1,1))</f>
        <v>646.69588445509589</v>
      </c>
      <c r="T36" s="59">
        <f t="shared" si="34"/>
        <v>286.36346771084698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23.265714285714289</v>
      </c>
      <c r="AI36" s="13">
        <f>IF('Données projet'!$A$62&gt;35,AI35+AH36-AQ35,IF(A36&lt;'Données projet'!$A$62,$AF$205^A36,IF(A36='Données projet'!$A$62,'Données projet'!$B$62,AI35+AH36-AQ35)))</f>
        <v>330.69857142857143</v>
      </c>
      <c r="AJ36" s="13">
        <f>AI36*VLOOKUP('Données projet'!$B$10,Paramètres!$A$1:$I$89,3,0)*VLOOKUP('Données projet'!$B$10,Paramètres!$A$1:$I$89,5,0)</f>
        <v>184.86050142857144</v>
      </c>
      <c r="AK36" s="13">
        <f t="shared" si="35"/>
        <v>46.401875578821517</v>
      </c>
      <c r="AL36" s="20">
        <f t="shared" si="4"/>
        <v>402.7819732878761</v>
      </c>
      <c r="AM36" s="59">
        <f t="shared" si="5"/>
        <v>683.76670962149933</v>
      </c>
      <c r="AN36" s="59">
        <f ca="1">AVERAGE(OFFSET($AM$3,0,0,'Données projet'!$E$10+1,1))-AVERAGE(OFFSET($H$3,0,0,'Données projet'!$E$10+1,1))</f>
        <v>391.55758836264408</v>
      </c>
      <c r="AO36" s="59">
        <f t="shared" si="36"/>
        <v>360.80727659978777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11.44013744760162</v>
      </c>
      <c r="AV36" s="21">
        <f>EXP(-LN(2)/25)*AV35+(1-EXP(-LN(2)/25))/(LN(2)/25)*Calculateur!AQ36*Calculateur!AS36*VLOOKUP('Données projet'!$B$10,Paramètres!$A$1:$I$89,3,0)*0.475*44/12</f>
        <v>15.812853228458309</v>
      </c>
      <c r="AW36" s="21">
        <f>EXP(-LN(2)/2)*AW35+(1-EXP(-LN(2)/2))/(LN(2)/2)*AQ36*AT36*VLOOKUP('Données projet'!$B$10,Paramètres!$A$1:$I$89,3,0)*0.475*44/12</f>
        <v>3.1185693425895091</v>
      </c>
      <c r="AX36" s="21">
        <f t="shared" si="6"/>
        <v>30.37156001864944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26.2</v>
      </c>
      <c r="BD36" s="12">
        <f>IF('Données projet'!$A$88&gt;35,BD35+BC36-BL35,IF(A36&lt;'Données projet'!$A$88,$BA$205^A36,IF(A36='Données projet'!$A$88,'Données projet'!$B$88,BD35+BC36-BL35)))</f>
        <v>323.60000000000008</v>
      </c>
      <c r="BE36" s="13">
        <f>BD36*VLOOKUP('Données projet'!$B$11,Paramètres!$A$1:$I$89,3,0)*VLOOKUP('Données projet'!$B$11,Paramètres!$A$1:$I$89,5,0)</f>
        <v>143.03120000000004</v>
      </c>
      <c r="BF36" s="13">
        <f t="shared" si="37"/>
        <v>36.990542790794571</v>
      </c>
      <c r="BG36" s="20">
        <f t="shared" si="7"/>
        <v>313.53786869396725</v>
      </c>
      <c r="BH36" s="59">
        <f t="shared" si="8"/>
        <v>594.52260502759043</v>
      </c>
      <c r="BI36" s="59">
        <f ca="1">AVERAGE(OFFSET($BH$3,0,0,'Données projet'!$E$11+1,1))-AVERAGE(OFFSET($H$3,0,0,'Données projet'!$E$11+1,1))</f>
        <v>400.11184625063709</v>
      </c>
      <c r="BJ36" s="59">
        <f t="shared" si="38"/>
        <v>340.02906159605971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9.4327948356826816</v>
      </c>
      <c r="BQ36" s="21">
        <f>EXP(-LN(2)/25)*BQ35+(1-EXP(-LN(2)/25))/(LN(2)/25)*Calculateur!BL36*Calculateur!BN36*VLOOKUP('Données projet'!$B$11,Paramètres!$A$1:$I$89,3,0)*0.475*44/12</f>
        <v>13.302491443456585</v>
      </c>
      <c r="BR36" s="21">
        <f>EXP(-LN(2)/2)*BR35+(1-EXP(-LN(2)/2))/(LN(2)/2)*BL36*BO36*VLOOKUP('Données projet'!$B$11,Paramètres!$A$1:$I$89,3,0)*0.475*44/12</f>
        <v>4.9951136085666619</v>
      </c>
      <c r="BS36" s="22">
        <f t="shared" si="9"/>
        <v>27.730399887705929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4.0942857142857143</v>
      </c>
      <c r="BY36" s="12">
        <f>IF('Données projet'!$A$114&gt;35,BY35+BX36-CG35,IF(A36&lt;'Données projet'!$A$114,$BV$205^A36,IF(A36='Données projet'!$A$114,'Données projet'!$B$114,BY35+BX36-CG35)))</f>
        <v>135.11142857142866</v>
      </c>
      <c r="BZ36" s="13">
        <f>BY36*VLOOKUP('Données projet'!$B$12,Paramètres!$A$1:$I$89,3,0)*VLOOKUP('Données projet'!$B$12,Paramètres!$A$1:$I$89,5,0)</f>
        <v>90.632746285714347</v>
      </c>
      <c r="CA36" s="13">
        <f t="shared" si="39"/>
        <v>24.717765882742459</v>
      </c>
      <c r="CB36" s="20">
        <f t="shared" si="10"/>
        <v>200.90214202672894</v>
      </c>
      <c r="CC36" s="59">
        <f t="shared" si="11"/>
        <v>481.88687836035211</v>
      </c>
      <c r="CD36" s="59">
        <f ca="1">AVERAGE(OFFSET($CC$3,0,0,'Données projet'!$E$12+1,1))-AVERAGE(OFFSET($H$3,0,0,'Données projet'!$E$12+1,1))</f>
        <v>493.98227954109774</v>
      </c>
      <c r="CE36" s="59">
        <f t="shared" si="40"/>
        <v>224.32736097997289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4.0942857142857143</v>
      </c>
      <c r="CT36" s="12">
        <f>IF('Données projet'!$A$140&gt;35,CT35+CS36-DB35,IF(A36&lt;'Données projet'!$A$140,$CQ$205^A36,IF(A36='Données projet'!$A$140,'Données projet'!$B$140,CT35+CS36-DB35)))</f>
        <v>135.11142857142866</v>
      </c>
      <c r="CU36" s="17">
        <f>CT36*VLOOKUP('Données projet'!$B$13,Paramètres!$A$1:$I$89,3,0)*VLOOKUP('Données projet'!$B$13,Paramètres!$A$1:$I$89,5,0)</f>
        <v>128.5720354285715</v>
      </c>
      <c r="CV36" s="13">
        <f t="shared" si="41"/>
        <v>33.666186838514868</v>
      </c>
      <c r="CW36" s="20">
        <f t="shared" si="13"/>
        <v>282.56490378184208</v>
      </c>
      <c r="CX36" s="59">
        <f t="shared" si="14"/>
        <v>563.54964011546531</v>
      </c>
      <c r="CY36" s="59">
        <f ca="1">AVERAGE(OFFSET($CX$3,0,0,'Données projet'!$E$13+1,1))-AVERAGE(OFFSET($H$3,0,0,'Données projet'!$E$13+1,1))</f>
        <v>677.13548994240728</v>
      </c>
      <c r="CZ36" s="59">
        <f t="shared" si="42"/>
        <v>298.72429542440534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66.632200818260856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1.2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4.3999999999999995</v>
      </c>
      <c r="H37" s="67">
        <f t="shared" si="1"/>
        <v>239.06666666666669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558.14644020188996</v>
      </c>
      <c r="S37" s="59">
        <f ca="1">AVERAGE(OFFSET($R$3,0,0,'Données projet'!$E$9+1,1))-AVERAGE(OFFSET($H$3,0,0,'Données projet'!$E$9+1,1))</f>
        <v>646.69588445509589</v>
      </c>
      <c r="T37" s="59">
        <f t="shared" si="34"/>
        <v>286.36346771084698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23.265714285714289</v>
      </c>
      <c r="AI37" s="13">
        <f>IF('Données projet'!$A$62&gt;35,AI36+AH37-AQ36,IF(A37&lt;'Données projet'!$A$62,$AF$205^A37,IF(A37='Données projet'!$A$62,'Données projet'!$B$62,AI36+AH37-AQ36)))</f>
        <v>353.96428571428572</v>
      </c>
      <c r="AJ37" s="13">
        <f>AI37*VLOOKUP('Données projet'!$B$10,Paramètres!$A$1:$I$89,3,0)*VLOOKUP('Données projet'!$B$10,Paramètres!$A$1:$I$89,5,0)</f>
        <v>197.86603571428572</v>
      </c>
      <c r="AK37" s="13">
        <f t="shared" si="35"/>
        <v>49.274894571766396</v>
      </c>
      <c r="AL37" s="20">
        <f t="shared" si="4"/>
        <v>430.43712024820735</v>
      </c>
      <c r="AM37" s="59">
        <f t="shared" si="5"/>
        <v>711.63607713244846</v>
      </c>
      <c r="AN37" s="59">
        <f ca="1">AVERAGE(OFFSET($AM$3,0,0,'Données projet'!$E$10+1,1))-AVERAGE(OFFSET($H$3,0,0,'Données projet'!$E$10+1,1))</f>
        <v>391.55758836264408</v>
      </c>
      <c r="AO37" s="59">
        <f t="shared" si="36"/>
        <v>360.80727659978777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11.215803330048995</v>
      </c>
      <c r="AV37" s="21">
        <f>EXP(-LN(2)/25)*AV36+(1-EXP(-LN(2)/25))/(LN(2)/25)*Calculateur!AQ37*Calculateur!AS37*VLOOKUP('Données projet'!$B$10,Paramètres!$A$1:$I$89,3,0)*0.475*44/12</f>
        <v>15.380449925364307</v>
      </c>
      <c r="AW37" s="21">
        <f>EXP(-LN(2)/2)*AW36+(1-EXP(-LN(2)/2))/(LN(2)/2)*AQ37*AT37*VLOOKUP('Données projet'!$B$10,Paramètres!$A$1:$I$89,3,0)*0.475*44/12</f>
        <v>2.2051615297455154</v>
      </c>
      <c r="AX37" s="21">
        <f t="shared" si="6"/>
        <v>28.801414785158819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26.2</v>
      </c>
      <c r="BD37" s="12">
        <f>IF('Données projet'!$A$88&gt;35,BD36+BC37-BL36,IF(A37&lt;'Données projet'!$A$88,$BA$205^A37,IF(A37='Données projet'!$A$88,'Données projet'!$B$88,BD36+BC37-BL36)))</f>
        <v>349.80000000000007</v>
      </c>
      <c r="BE37" s="13">
        <f>BD37*VLOOKUP('Données projet'!$B$11,Paramètres!$A$1:$I$89,3,0)*VLOOKUP('Données projet'!$B$11,Paramètres!$A$1:$I$89,5,0)</f>
        <v>154.61160000000004</v>
      </c>
      <c r="BF37" s="13">
        <f t="shared" si="37"/>
        <v>39.624734188365849</v>
      </c>
      <c r="BG37" s="20">
        <f t="shared" si="7"/>
        <v>338.29494871140395</v>
      </c>
      <c r="BH37" s="59">
        <f t="shared" si="8"/>
        <v>619.49390559564506</v>
      </c>
      <c r="BI37" s="59">
        <f ca="1">AVERAGE(OFFSET($BH$3,0,0,'Données projet'!$E$11+1,1))-AVERAGE(OFFSET($H$3,0,0,'Données projet'!$E$11+1,1))</f>
        <v>400.11184625063709</v>
      </c>
      <c r="BJ37" s="59">
        <f t="shared" si="38"/>
        <v>340.02906159605971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9.2478234823916896</v>
      </c>
      <c r="BQ37" s="21">
        <f>EXP(-LN(2)/25)*BQ36+(1-EXP(-LN(2)/25))/(LN(2)/25)*Calculateur!BL37*Calculateur!BN37*VLOOKUP('Données projet'!$B$11,Paramètres!$A$1:$I$89,3,0)*0.475*44/12</f>
        <v>12.938734115387643</v>
      </c>
      <c r="BR37" s="21">
        <f>EXP(-LN(2)/2)*BR36+(1-EXP(-LN(2)/2))/(LN(2)/2)*BL37*BO37*VLOOKUP('Données projet'!$B$11,Paramètres!$A$1:$I$89,3,0)*0.475*44/12</f>
        <v>3.5320787054146927</v>
      </c>
      <c r="BS37" s="22">
        <f t="shared" si="9"/>
        <v>25.718636303194028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4.0942857142857143</v>
      </c>
      <c r="BY37" s="12">
        <f>IF('Données projet'!$A$114&gt;35,BY36+BX37-CG36,IF(A37&lt;'Données projet'!$A$114,$BV$205^A37,IF(A37='Données projet'!$A$114,'Données projet'!$B$114,BY36+BX37-CG36)))</f>
        <v>139.20571428571438</v>
      </c>
      <c r="BZ37" s="13">
        <f>BY37*VLOOKUP('Données projet'!$B$12,Paramètres!$A$1:$I$89,3,0)*VLOOKUP('Données projet'!$B$12,Paramètres!$A$1:$I$89,5,0)</f>
        <v>93.379193142857204</v>
      </c>
      <c r="CA37" s="13">
        <f t="shared" si="39"/>
        <v>25.378448505750285</v>
      </c>
      <c r="CB37" s="20">
        <f t="shared" si="10"/>
        <v>206.8362258713247</v>
      </c>
      <c r="CC37" s="59">
        <f t="shared" si="11"/>
        <v>488.03518275556581</v>
      </c>
      <c r="CD37" s="59">
        <f ca="1">AVERAGE(OFFSET($CC$3,0,0,'Données projet'!$E$12+1,1))-AVERAGE(OFFSET($H$3,0,0,'Données projet'!$E$12+1,1))</f>
        <v>493.98227954109774</v>
      </c>
      <c r="CE37" s="59">
        <f t="shared" si="40"/>
        <v>224.32736097997289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4.0942857142857143</v>
      </c>
      <c r="CT37" s="12">
        <f>IF('Données projet'!$A$140&gt;35,CT36+CS37-DB36,IF(A37&lt;'Données projet'!$A$140,$CQ$205^A37,IF(A37='Données projet'!$A$140,'Données projet'!$B$140,CT36+CS37-DB36)))</f>
        <v>139.20571428571438</v>
      </c>
      <c r="CU37" s="17">
        <f>CT37*VLOOKUP('Données projet'!$B$13,Paramètres!$A$1:$I$89,3,0)*VLOOKUP('Données projet'!$B$13,Paramètres!$A$1:$I$89,5,0)</f>
        <v>132.46815771428581</v>
      </c>
      <c r="CV37" s="13">
        <f t="shared" si="41"/>
        <v>34.566052333343904</v>
      </c>
      <c r="CW37" s="20">
        <f t="shared" si="13"/>
        <v>290.91791583295509</v>
      </c>
      <c r="CX37" s="59">
        <f t="shared" si="14"/>
        <v>572.1168727171962</v>
      </c>
      <c r="CY37" s="59">
        <f ca="1">AVERAGE(OFFSET($CX$3,0,0,'Données projet'!$E$13+1,1))-AVERAGE(OFFSET($H$3,0,0,'Données projet'!$E$13+1,1))</f>
        <v>677.13548994240728</v>
      </c>
      <c r="CZ37" s="59">
        <f t="shared" si="42"/>
        <v>298.72429542440534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66.69062460479303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1.2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4.3999999999999995</v>
      </c>
      <c r="H38" s="67">
        <f t="shared" si="1"/>
        <v>239.06666666666669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566.30280229228356</v>
      </c>
      <c r="S38" s="59">
        <f ca="1">AVERAGE(OFFSET($R$3,0,0,'Données projet'!$E$9+1,1))-AVERAGE(OFFSET($H$3,0,0,'Données projet'!$E$9+1,1))</f>
        <v>646.69588445509589</v>
      </c>
      <c r="T38" s="59">
        <f t="shared" si="34"/>
        <v>286.36346771084698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377.23</v>
      </c>
      <c r="AG38" s="12">
        <f>VLOOKUP(A38,'Données projet'!$A$61:$I$81,9,0)</f>
        <v>23.265714285714289</v>
      </c>
      <c r="AH38" s="12">
        <f t="array" ref="AH38">INDEX(AG:AG,MIN(IF(ISNUMBER(AG38:AG234),ROW(AG38:AG234),"")))</f>
        <v>23.265714285714289</v>
      </c>
      <c r="AI38" s="13">
        <f>IF('Données projet'!$A$62&gt;35,AI37+AH38-AQ37,IF(A38&lt;'Données projet'!$A$62,$AF$205^A38,IF(A38='Données projet'!$A$62,'Données projet'!$B$62,AI37+AH38-AQ37)))</f>
        <v>377.23</v>
      </c>
      <c r="AJ38" s="13">
        <f>AI38*VLOOKUP('Données projet'!$B$10,Paramètres!$A$1:$I$89,3,0)*VLOOKUP('Données projet'!$B$10,Paramètres!$A$1:$I$89,5,0)</f>
        <v>210.87157000000002</v>
      </c>
      <c r="AK38" s="13">
        <f t="shared" si="35"/>
        <v>52.125999737089174</v>
      </c>
      <c r="AL38" s="20">
        <f t="shared" si="4"/>
        <v>458.05410062543029</v>
      </c>
      <c r="AM38" s="59">
        <f t="shared" si="5"/>
        <v>739.46356181266151</v>
      </c>
      <c r="AN38" s="59">
        <f ca="1">AVERAGE(OFFSET($AM$3,0,0,'Données projet'!$E$10+1,1))-AVERAGE(OFFSET($H$3,0,0,'Données projet'!$E$10+1,1))</f>
        <v>391.55758836264408</v>
      </c>
      <c r="AO38" s="59">
        <f t="shared" si="36"/>
        <v>360.80727659978777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86.700000000000045</v>
      </c>
      <c r="AR38" s="16">
        <f>IF(ISNA(VLOOKUP(A38,'Données projet'!$A$61:$I$81,5,0)),0%,VLOOKUP(A38,'Données projet'!$A$61:$I$81,5,0)*VLOOKUP('Données projet'!$B$10,Paramètres!$A$1:$I$89,7,0))</f>
        <v>0.33</v>
      </c>
      <c r="AS38" s="16">
        <f>IF(ISNA(VLOOKUP(A38,'Données projet'!$A$61:$I$81,6,0)),0%,VLOOKUP(A38,'Données projet'!$A$61:$I$81,6,0)*VLOOKUP('Données projet'!$B$10,Paramètres!$A$1:$I$89,7,0))</f>
        <v>0.11000000000000001</v>
      </c>
      <c r="AT38" s="16">
        <f>IF(ISNA(VLOOKUP(A38,'Données projet'!$A$61:$I$81,7,0)),0%,VLOOKUP(A38,'Données projet'!$A$61:$I$81,7,0))</f>
        <v>0.2</v>
      </c>
      <c r="AU38" s="21">
        <f>EXP(-LN(2)/35)*AU37+(1-EXP(-LN(2)/35))/(LN(2)/35)*AQ38*AR38*VLOOKUP('Données projet'!$B$10,Paramètres!$A$1:$I$89,3,0)*0.475*44/12</f>
        <v>32.212341887441895</v>
      </c>
      <c r="AV38" s="21">
        <f>EXP(-LN(2)/25)*AV37+(1-EXP(-LN(2)/25))/(LN(2)/25)*Calculateur!AQ38*Calculateur!AS38*VLOOKUP('Données projet'!$B$10,Paramètres!$A$1:$I$89,3,0)*0.475*44/12</f>
        <v>22.004182806325677</v>
      </c>
      <c r="AW38" s="21">
        <f>EXP(-LN(2)/2)*AW37+(1-EXP(-LN(2)/2))/(LN(2)/2)*AQ38*AT38*VLOOKUP('Données projet'!$B$10,Paramètres!$A$1:$I$89,3,0)*0.475*44/12</f>
        <v>12.534080265156646</v>
      </c>
      <c r="AX38" s="21">
        <f t="shared" si="6"/>
        <v>66.750604958924214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376</v>
      </c>
      <c r="BB38" s="12">
        <f>VLOOKUP(A38,'Données projet'!$A$87:$I$107,9,0)</f>
        <v>26.2</v>
      </c>
      <c r="BC38" s="12">
        <f t="array" ref="BC38">INDEX(BB:BB,MIN(IF(ISNUMBER(BB38:BB234),ROW(BB38:BB234),"")))</f>
        <v>26.2</v>
      </c>
      <c r="BD38" s="12">
        <f>IF('Données projet'!$A$88&gt;35,BD37+BC38-BL37,IF(A38&lt;'Données projet'!$A$88,$BA$205^A38,IF(A38='Données projet'!$A$88,'Données projet'!$B$88,BD37+BC38-BL37)))</f>
        <v>376.00000000000006</v>
      </c>
      <c r="BE38" s="13">
        <f>BD38*VLOOKUP('Données projet'!$B$11,Paramètres!$A$1:$I$89,3,0)*VLOOKUP('Données projet'!$B$11,Paramètres!$A$1:$I$89,5,0)</f>
        <v>166.19200000000004</v>
      </c>
      <c r="BF38" s="13">
        <f t="shared" si="37"/>
        <v>42.236037017770272</v>
      </c>
      <c r="BG38" s="20">
        <f t="shared" si="7"/>
        <v>363.01216447261658</v>
      </c>
      <c r="BH38" s="59">
        <f t="shared" si="8"/>
        <v>644.42162565984779</v>
      </c>
      <c r="BI38" s="59">
        <f ca="1">AVERAGE(OFFSET($BH$3,0,0,'Données projet'!$E$11+1,1))-AVERAGE(OFFSET($H$3,0,0,'Données projet'!$E$11+1,1))</f>
        <v>400.11184625063709</v>
      </c>
      <c r="BJ38" s="59">
        <f t="shared" si="38"/>
        <v>340.02906159605971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0.13750000000000001</v>
      </c>
      <c r="BN38" s="16">
        <f>IF(ISNA(VLOOKUP(A38,'Données projet'!$A$87:$I$107,6,0)),0%,VLOOKUP(A38,'Données projet'!$A$87:$I$107,6,0)*VLOOKUP('Données projet'!$B$11,Paramètres!$A$1:$I$89,7,0))</f>
        <v>0.20350000000000001</v>
      </c>
      <c r="BO38" s="16">
        <f>IF(ISNA(VLOOKUP(A38,'Données projet'!$A$87:$I$107,7,0)),0%,VLOOKUP(A38,'Données projet'!$A$87:$I$107,7,0))</f>
        <v>0.38</v>
      </c>
      <c r="BP38" s="21">
        <f>EXP(-LN(2)/35)*BP37+(1-EXP(-LN(2)/35))/(LN(2)/35)*BL38*BM38*VLOOKUP('Données projet'!$B$11,Paramètres!$A$1:$I$89,3,0)*0.475*44/12</f>
        <v>14.145662455615646</v>
      </c>
      <c r="BQ38" s="21">
        <f>EXP(-LN(2)/25)*BQ37+(1-EXP(-LN(2)/25))/(LN(2)/25)*Calculateur!BL38*Calculateur!BN38*VLOOKUP('Données projet'!$B$11,Paramètres!$A$1:$I$89,3,0)*0.475*44/12</f>
        <v>20.072516768717549</v>
      </c>
      <c r="BR38" s="21">
        <f>EXP(-LN(2)/2)*BR37+(1-EXP(-LN(2)/2))/(LN(2)/2)*BL38*BO38*VLOOKUP('Données projet'!$B$11,Paramètres!$A$1:$I$89,3,0)*0.475*44/12</f>
        <v>14.478250215913681</v>
      </c>
      <c r="BS38" s="22">
        <f t="shared" si="9"/>
        <v>48.696429440246881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4.0942857142857143</v>
      </c>
      <c r="BY38" s="12">
        <f>IF('Données projet'!$A$114&gt;35,BY37+BX38-CG37,IF(A38&lt;'Données projet'!$A$114,$BV$205^A38,IF(A38='Données projet'!$A$114,'Données projet'!$B$114,BY37+BX38-CG37)))</f>
        <v>143.3000000000001</v>
      </c>
      <c r="BZ38" s="13">
        <f>BY38*VLOOKUP('Données projet'!$B$12,Paramètres!$A$1:$I$89,3,0)*VLOOKUP('Données projet'!$B$12,Paramètres!$A$1:$I$89,5,0)</f>
        <v>96.125640000000075</v>
      </c>
      <c r="CA38" s="13">
        <f t="shared" si="39"/>
        <v>26.036872785705079</v>
      </c>
      <c r="CB38" s="20">
        <f t="shared" si="10"/>
        <v>212.76637643510313</v>
      </c>
      <c r="CC38" s="59">
        <f t="shared" si="11"/>
        <v>494.17583762233437</v>
      </c>
      <c r="CD38" s="59">
        <f ca="1">AVERAGE(OFFSET($CC$3,0,0,'Données projet'!$E$12+1,1))-AVERAGE(OFFSET($H$3,0,0,'Données projet'!$E$12+1,1))</f>
        <v>493.98227954109774</v>
      </c>
      <c r="CE38" s="59">
        <f t="shared" si="40"/>
        <v>224.32736097997289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4.0942857142857143</v>
      </c>
      <c r="CT38" s="12">
        <f>IF('Données projet'!$A$140&gt;35,CT37+CS38-DB37,IF(A38&lt;'Données projet'!$A$140,$CQ$205^A38,IF(A38='Données projet'!$A$140,'Données projet'!$B$140,CT37+CS38-DB37)))</f>
        <v>143.3000000000001</v>
      </c>
      <c r="CU38" s="17">
        <f>CT38*VLOOKUP('Données projet'!$B$13,Paramètres!$A$1:$I$89,3,0)*VLOOKUP('Données projet'!$B$13,Paramètres!$A$1:$I$89,5,0)</f>
        <v>136.36428000000009</v>
      </c>
      <c r="CV38" s="13">
        <f t="shared" si="41"/>
        <v>35.462841911056067</v>
      </c>
      <c r="CW38" s="20">
        <f t="shared" si="13"/>
        <v>299.26557066175616</v>
      </c>
      <c r="CX38" s="59">
        <f t="shared" si="14"/>
        <v>580.67503184898737</v>
      </c>
      <c r="CY38" s="59">
        <f ca="1">AVERAGE(OFFSET($CX$3,0,0,'Données projet'!$E$13+1,1))-AVERAGE(OFFSET($H$3,0,0,'Données projet'!$E$13+1,1))</f>
        <v>677.13548994240728</v>
      </c>
      <c r="CZ38" s="59">
        <f t="shared" si="42"/>
        <v>298.72429542440534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66.748034869244876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1.2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4.3999999999999995</v>
      </c>
      <c r="H39" s="67">
        <f t="shared" si="1"/>
        <v>239.06666666666669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574.45055206848872</v>
      </c>
      <c r="S39" s="59">
        <f ca="1">AVERAGE(OFFSET($R$3,0,0,'Données projet'!$E$9+1,1))-AVERAGE(OFFSET($H$3,0,0,'Données projet'!$E$9+1,1))</f>
        <v>646.69588445509589</v>
      </c>
      <c r="T39" s="59">
        <f t="shared" si="34"/>
        <v>286.36346771084698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22.851428571428578</v>
      </c>
      <c r="AI39" s="13">
        <f>IF('Données projet'!$A$62&gt;35,AI38+AH39-AQ38,IF(A39&lt;'Données projet'!$A$62,$AF$205^A39,IF(A39='Données projet'!$A$62,'Données projet'!$B$62,AI38+AH39-AQ38)))</f>
        <v>313.38142857142856</v>
      </c>
      <c r="AJ39" s="13">
        <f>AI39*VLOOKUP('Données projet'!$B$10,Paramètres!$A$1:$I$89,3,0)*VLOOKUP('Données projet'!$B$10,Paramètres!$A$1:$I$89,5,0)</f>
        <v>175.18021857142855</v>
      </c>
      <c r="AK39" s="13">
        <f t="shared" si="35"/>
        <v>44.248185618905715</v>
      </c>
      <c r="AL39" s="20">
        <f t="shared" si="4"/>
        <v>382.17113729816555</v>
      </c>
      <c r="AM39" s="59">
        <f t="shared" si="5"/>
        <v>663.78745100934714</v>
      </c>
      <c r="AN39" s="59">
        <f ca="1">AVERAGE(OFFSET($AM$3,0,0,'Données projet'!$E$10+1,1))-AVERAGE(OFFSET($H$3,0,0,'Données projet'!$E$10+1,1))</f>
        <v>391.55758836264408</v>
      </c>
      <c r="AO39" s="59">
        <f t="shared" si="36"/>
        <v>360.80727659978777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31.580677510617672</v>
      </c>
      <c r="AV39" s="21">
        <f>EXP(-LN(2)/25)*AV38+(1-EXP(-LN(2)/25))/(LN(2)/25)*Calculateur!AQ39*Calculateur!AS39*VLOOKUP('Données projet'!$B$10,Paramètres!$A$1:$I$89,3,0)*0.475*44/12</f>
        <v>21.40247727033702</v>
      </c>
      <c r="AW39" s="21">
        <f>EXP(-LN(2)/2)*AW38+(1-EXP(-LN(2)/2))/(LN(2)/2)*AQ39*AT39*VLOOKUP('Données projet'!$B$10,Paramètres!$A$1:$I$89,3,0)*0.475*44/12</f>
        <v>8.862933151428745</v>
      </c>
      <c r="AX39" s="21">
        <f t="shared" si="6"/>
        <v>61.84608793238344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25.4</v>
      </c>
      <c r="BD39" s="12">
        <f>IF('Données projet'!$A$88&gt;35,BD38+BC39-BL38,IF(A39&lt;'Données projet'!$A$88,$BA$205^A39,IF(A39='Données projet'!$A$88,'Données projet'!$B$88,BD38+BC39-BL38)))</f>
        <v>338.40000000000003</v>
      </c>
      <c r="BE39" s="13">
        <f>BD39*VLOOKUP('Données projet'!$B$11,Paramètres!$A$1:$I$89,3,0)*VLOOKUP('Données projet'!$B$11,Paramètres!$A$1:$I$89,5,0)</f>
        <v>149.57280000000003</v>
      </c>
      <c r="BF39" s="13">
        <f t="shared" si="37"/>
        <v>38.481486779011725</v>
      </c>
      <c r="BG39" s="20">
        <f t="shared" si="7"/>
        <v>327.52788280677879</v>
      </c>
      <c r="BH39" s="59">
        <f t="shared" si="8"/>
        <v>609.14419651796038</v>
      </c>
      <c r="BI39" s="59">
        <f ca="1">AVERAGE(OFFSET($BH$3,0,0,'Données projet'!$E$11+1,1))-AVERAGE(OFFSET($H$3,0,0,'Données projet'!$E$11+1,1))</f>
        <v>400.11184625063709</v>
      </c>
      <c r="BJ39" s="59">
        <f t="shared" si="38"/>
        <v>340.02906159605971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13.868274642863177</v>
      </c>
      <c r="BQ39" s="21">
        <f>EXP(-LN(2)/25)*BQ38+(1-EXP(-LN(2)/25))/(LN(2)/25)*Calculateur!BL39*Calculateur!BN39*VLOOKUP('Données projet'!$B$11,Paramètres!$A$1:$I$89,3,0)*0.475*44/12</f>
        <v>19.523632742109186</v>
      </c>
      <c r="BR39" s="21">
        <f>EXP(-LN(2)/2)*BR38+(1-EXP(-LN(2)/2))/(LN(2)/2)*BL39*BO39*VLOOKUP('Données projet'!$B$11,Paramètres!$A$1:$I$89,3,0)*0.475*44/12</f>
        <v>10.23766890738816</v>
      </c>
      <c r="BS39" s="22">
        <f t="shared" si="9"/>
        <v>43.629576292360525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4.0942857142857143</v>
      </c>
      <c r="BY39" s="12">
        <f>IF('Données projet'!$A$114&gt;35,BY38+BX39-CG38,IF(A39&lt;'Données projet'!$A$114,$BV$205^A39,IF(A39='Données projet'!$A$114,'Données projet'!$B$114,BY38+BX39-CG38)))</f>
        <v>147.39428571428581</v>
      </c>
      <c r="BZ39" s="13">
        <f>BY39*VLOOKUP('Données projet'!$B$12,Paramètres!$A$1:$I$89,3,0)*VLOOKUP('Données projet'!$B$12,Paramètres!$A$1:$I$89,5,0)</f>
        <v>98.872086857142932</v>
      </c>
      <c r="CA39" s="13">
        <f t="shared" si="39"/>
        <v>26.693110657480318</v>
      </c>
      <c r="CB39" s="20">
        <f t="shared" si="10"/>
        <v>218.69271900463548</v>
      </c>
      <c r="CC39" s="59">
        <f t="shared" si="11"/>
        <v>500.30903271581707</v>
      </c>
      <c r="CD39" s="59">
        <f ca="1">AVERAGE(OFFSET($CC$3,0,0,'Données projet'!$E$12+1,1))-AVERAGE(OFFSET($H$3,0,0,'Données projet'!$E$12+1,1))</f>
        <v>493.98227954109774</v>
      </c>
      <c r="CE39" s="59">
        <f t="shared" si="40"/>
        <v>224.32736097997289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4.0942857142857143</v>
      </c>
      <c r="CT39" s="12">
        <f>IF('Données projet'!$A$140&gt;35,CT38+CS39-DB38,IF(A39&lt;'Données projet'!$A$140,$CQ$205^A39,IF(A39='Données projet'!$A$140,'Données projet'!$B$140,CT38+CS39-DB38)))</f>
        <v>147.39428571428581</v>
      </c>
      <c r="CU39" s="17">
        <f>CT39*VLOOKUP('Données projet'!$B$13,Paramètres!$A$1:$I$89,3,0)*VLOOKUP('Données projet'!$B$13,Paramètres!$A$1:$I$89,5,0)</f>
        <v>140.26040228571438</v>
      </c>
      <c r="CV39" s="13">
        <f t="shared" si="41"/>
        <v>36.356653548665221</v>
      </c>
      <c r="CW39" s="20">
        <f t="shared" si="13"/>
        <v>307.60803891154438</v>
      </c>
      <c r="CX39" s="59">
        <f t="shared" si="14"/>
        <v>589.22435262272597</v>
      </c>
      <c r="CY39" s="59">
        <f ca="1">AVERAGE(OFFSET($CX$3,0,0,'Données projet'!$E$13+1,1))-AVERAGE(OFFSET($H$3,0,0,'Données projet'!$E$13+1,1))</f>
        <v>677.13548994240728</v>
      </c>
      <c r="CZ39" s="59">
        <f t="shared" si="42"/>
        <v>298.72429542440534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66.804449193958618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1.2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4.3999999999999995</v>
      </c>
      <c r="H40" s="67">
        <f t="shared" si="1"/>
        <v>239.06666666666669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582.58990650400744</v>
      </c>
      <c r="S40" s="59">
        <f ca="1">AVERAGE(OFFSET($R$3,0,0,'Données projet'!$E$9+1,1))-AVERAGE(OFFSET($H$3,0,0,'Données projet'!$E$9+1,1))</f>
        <v>646.69588445509589</v>
      </c>
      <c r="T40" s="59">
        <f t="shared" si="34"/>
        <v>286.36346771084698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22.851428571428578</v>
      </c>
      <c r="AI40" s="13">
        <f>IF('Données projet'!$A$62&gt;35,AI39+AH40-AQ39,IF(A40&lt;'Données projet'!$A$62,$AF$205^A40,IF(A40='Données projet'!$A$62,'Données projet'!$B$62,AI39+AH40-AQ39)))</f>
        <v>336.23285714285714</v>
      </c>
      <c r="AJ40" s="13">
        <f>AI40*VLOOKUP('Données projet'!$B$10,Paramètres!$A$1:$I$89,3,0)*VLOOKUP('Données projet'!$B$10,Paramètres!$A$1:$I$89,5,0)</f>
        <v>187.95416714285713</v>
      </c>
      <c r="AK40" s="13">
        <f t="shared" si="35"/>
        <v>47.087363665282226</v>
      </c>
      <c r="AL40" s="20">
        <f t="shared" si="4"/>
        <v>409.36399949084267</v>
      </c>
      <c r="AM40" s="59">
        <f t="shared" si="5"/>
        <v>691.18357729713705</v>
      </c>
      <c r="AN40" s="59">
        <f ca="1">AVERAGE(OFFSET($AM$3,0,0,'Données projet'!$E$10+1,1))-AVERAGE(OFFSET($H$3,0,0,'Données projet'!$E$10+1,1))</f>
        <v>391.55758836264408</v>
      </c>
      <c r="AO40" s="59">
        <f t="shared" si="36"/>
        <v>360.80727659978777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30.961399686945747</v>
      </c>
      <c r="AV40" s="21">
        <f>EXP(-LN(2)/25)*AV39+(1-EXP(-LN(2)/25))/(LN(2)/25)*Calculateur!AQ40*Calculateur!AS40*VLOOKUP('Données projet'!$B$10,Paramètres!$A$1:$I$89,3,0)*0.475*44/12</f>
        <v>20.817225403872289</v>
      </c>
      <c r="AW40" s="21">
        <f>EXP(-LN(2)/2)*AW39+(1-EXP(-LN(2)/2))/(LN(2)/2)*AQ40*AT40*VLOOKUP('Données projet'!$B$10,Paramètres!$A$1:$I$89,3,0)*0.475*44/12</f>
        <v>6.267040132578324</v>
      </c>
      <c r="AX40" s="21">
        <f t="shared" si="6"/>
        <v>58.045665223396362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25.4</v>
      </c>
      <c r="BD40" s="12">
        <f>IF('Données projet'!$A$88&gt;35,BD39+BC40-BL39,IF(A40&lt;'Données projet'!$A$88,$BA$205^A40,IF(A40='Données projet'!$A$88,'Données projet'!$B$88,BD39+BC40-BL39)))</f>
        <v>363.8</v>
      </c>
      <c r="BE40" s="13">
        <f>BD40*VLOOKUP('Données projet'!$B$11,Paramètres!$A$1:$I$89,3,0)*VLOOKUP('Données projet'!$B$11,Paramètres!$A$1:$I$89,5,0)</f>
        <v>160.79960000000003</v>
      </c>
      <c r="BF40" s="13">
        <f t="shared" si="37"/>
        <v>41.022815059749384</v>
      </c>
      <c r="BG40" s="20">
        <f t="shared" si="7"/>
        <v>351.50737289573021</v>
      </c>
      <c r="BH40" s="59">
        <f t="shared" si="8"/>
        <v>633.32695070202453</v>
      </c>
      <c r="BI40" s="59">
        <f ca="1">AVERAGE(OFFSET($BH$3,0,0,'Données projet'!$E$11+1,1))-AVERAGE(OFFSET($H$3,0,0,'Données projet'!$E$11+1,1))</f>
        <v>400.11184625063709</v>
      </c>
      <c r="BJ40" s="59">
        <f t="shared" si="38"/>
        <v>340.02906159605971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13.596326235928924</v>
      </c>
      <c r="BQ40" s="21">
        <f>EXP(-LN(2)/25)*BQ39+(1-EXP(-LN(2)/25))/(LN(2)/25)*Calculateur!BL40*Calculateur!BN40*VLOOKUP('Données projet'!$B$11,Paramètres!$A$1:$I$89,3,0)*0.475*44/12</f>
        <v>18.989757978072987</v>
      </c>
      <c r="BR40" s="21">
        <f>EXP(-LN(2)/2)*BR39+(1-EXP(-LN(2)/2))/(LN(2)/2)*BL40*BO40*VLOOKUP('Données projet'!$B$11,Paramètres!$A$1:$I$89,3,0)*0.475*44/12</f>
        <v>7.2391251079568413</v>
      </c>
      <c r="BS40" s="22">
        <f t="shared" si="9"/>
        <v>39.825209321958752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4.0942857142857143</v>
      </c>
      <c r="BY40" s="12">
        <f>IF('Données projet'!$A$114&gt;35,BY39+BX40-CG39,IF(A40&lt;'Données projet'!$A$114,$BV$205^A40,IF(A40='Données projet'!$A$114,'Données projet'!$B$114,BY39+BX40-CG39)))</f>
        <v>151.48857142857153</v>
      </c>
      <c r="BZ40" s="13">
        <f>BY40*VLOOKUP('Données projet'!$B$12,Paramètres!$A$1:$I$89,3,0)*VLOOKUP('Données projet'!$B$12,Paramètres!$A$1:$I$89,5,0)</f>
        <v>101.61853371428579</v>
      </c>
      <c r="CA40" s="13">
        <f t="shared" si="39"/>
        <v>27.34722983216551</v>
      </c>
      <c r="CB40" s="20">
        <f t="shared" si="10"/>
        <v>224.61537151006931</v>
      </c>
      <c r="CC40" s="59">
        <f t="shared" si="11"/>
        <v>506.43494931636371</v>
      </c>
      <c r="CD40" s="59">
        <f ca="1">AVERAGE(OFFSET($CC$3,0,0,'Données projet'!$E$12+1,1))-AVERAGE(OFFSET($H$3,0,0,'Données projet'!$E$12+1,1))</f>
        <v>493.98227954109774</v>
      </c>
      <c r="CE40" s="59">
        <f t="shared" si="40"/>
        <v>224.32736097997289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4.0942857142857143</v>
      </c>
      <c r="CT40" s="12">
        <f>IF('Données projet'!$A$140&gt;35,CT39+CS40-DB39,IF(A40&lt;'Données projet'!$A$140,$CQ$205^A40,IF(A40='Données projet'!$A$140,'Données projet'!$B$140,CT39+CS40-DB39)))</f>
        <v>151.48857142857153</v>
      </c>
      <c r="CU40" s="17">
        <f>CT40*VLOOKUP('Données projet'!$B$13,Paramètres!$A$1:$I$89,3,0)*VLOOKUP('Données projet'!$B$13,Paramètres!$A$1:$I$89,5,0)</f>
        <v>144.15652457142866</v>
      </c>
      <c r="CV40" s="13">
        <f t="shared" si="41"/>
        <v>37.247579470290766</v>
      </c>
      <c r="CW40" s="20">
        <f t="shared" si="13"/>
        <v>315.94548120599461</v>
      </c>
      <c r="CX40" s="59">
        <f t="shared" si="14"/>
        <v>597.76505901228893</v>
      </c>
      <c r="CY40" s="59">
        <f ca="1">AVERAGE(OFFSET($CX$3,0,0,'Données projet'!$E$13+1,1))-AVERAGE(OFFSET($H$3,0,0,'Données projet'!$E$13+1,1))</f>
        <v>677.13548994240728</v>
      </c>
      <c r="CZ40" s="59">
        <f t="shared" si="42"/>
        <v>298.72429542440534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66.859884856262113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1.2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4.3999999999999995</v>
      </c>
      <c r="H41" s="67">
        <f t="shared" si="1"/>
        <v>239.06666666666669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590.72107269668459</v>
      </c>
      <c r="S41" s="59">
        <f ca="1">AVERAGE(OFFSET($R$3,0,0,'Données projet'!$E$9+1,1))-AVERAGE(OFFSET($H$3,0,0,'Données projet'!$E$9+1,1))</f>
        <v>646.69588445509589</v>
      </c>
      <c r="T41" s="59">
        <f t="shared" si="34"/>
        <v>286.36346771084698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22.851428571428578</v>
      </c>
      <c r="AI41" s="13">
        <f>IF('Données projet'!$A$62&gt;35,AI40+AH41-AQ40,IF(A41&lt;'Données projet'!$A$62,$AF$205^A41,IF(A41='Données projet'!$A$62,'Données projet'!$B$62,AI40+AH41-AQ40)))</f>
        <v>359.08428571428573</v>
      </c>
      <c r="AJ41" s="13">
        <f>AI41*VLOOKUP('Données projet'!$B$10,Paramètres!$A$1:$I$89,3,0)*VLOOKUP('Données projet'!$B$10,Paramètres!$A$1:$I$89,5,0)</f>
        <v>200.72811571428574</v>
      </c>
      <c r="AK41" s="13">
        <f t="shared" si="35"/>
        <v>49.904151662519681</v>
      </c>
      <c r="AL41" s="20">
        <f t="shared" si="4"/>
        <v>436.51786568126948</v>
      </c>
      <c r="AM41" s="59">
        <f t="shared" si="5"/>
        <v>718.53718140505703</v>
      </c>
      <c r="AN41" s="59">
        <f ca="1">AVERAGE(OFFSET($AM$3,0,0,'Données projet'!$E$10+1,1))-AVERAGE(OFFSET($H$3,0,0,'Données projet'!$E$10+1,1))</f>
        <v>391.55758836264408</v>
      </c>
      <c r="AO41" s="59">
        <f t="shared" si="36"/>
        <v>360.80727659978777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30.354265523673853</v>
      </c>
      <c r="AV41" s="21">
        <f>EXP(-LN(2)/25)*AV40+(1-EXP(-LN(2)/25))/(LN(2)/25)*Calculateur!AQ41*Calculateur!AS41*VLOOKUP('Données projet'!$B$10,Paramètres!$A$1:$I$89,3,0)*0.475*44/12</f>
        <v>20.247977280473094</v>
      </c>
      <c r="AW41" s="21">
        <f>EXP(-LN(2)/2)*AW40+(1-EXP(-LN(2)/2))/(LN(2)/2)*AQ41*AT41*VLOOKUP('Données projet'!$B$10,Paramètres!$A$1:$I$89,3,0)*0.475*44/12</f>
        <v>4.4314665757143734</v>
      </c>
      <c r="AX41" s="21">
        <f t="shared" si="6"/>
        <v>55.033709379861321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25.4</v>
      </c>
      <c r="BD41" s="12">
        <f>IF('Données projet'!$A$88&gt;35,BD40+BC41-BL40,IF(A41&lt;'Données projet'!$A$88,$BA$205^A41,IF(A41='Données projet'!$A$88,'Données projet'!$B$88,BD40+BC41-BL40)))</f>
        <v>389.2</v>
      </c>
      <c r="BE41" s="13">
        <f>BD41*VLOOKUP('Données projet'!$B$11,Paramètres!$A$1:$I$89,3,0)*VLOOKUP('Données projet'!$B$11,Paramètres!$A$1:$I$89,5,0)</f>
        <v>172.02640000000002</v>
      </c>
      <c r="BF41" s="13">
        <f t="shared" si="37"/>
        <v>43.543556310624133</v>
      </c>
      <c r="BG41" s="20">
        <f t="shared" si="7"/>
        <v>375.45100724100371</v>
      </c>
      <c r="BH41" s="59">
        <f t="shared" si="8"/>
        <v>657.47032296479119</v>
      </c>
      <c r="BI41" s="59">
        <f ca="1">AVERAGE(OFFSET($BH$3,0,0,'Données projet'!$E$11+1,1))-AVERAGE(OFFSET($H$3,0,0,'Données projet'!$E$11+1,1))</f>
        <v>400.11184625063709</v>
      </c>
      <c r="BJ41" s="59">
        <f t="shared" si="38"/>
        <v>340.02906159605971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13.329710571382503</v>
      </c>
      <c r="BQ41" s="21">
        <f>EXP(-LN(2)/25)*BQ40+(1-EXP(-LN(2)/25))/(LN(2)/25)*Calculateur!BL41*Calculateur!BN41*VLOOKUP('Données projet'!$B$11,Paramètres!$A$1:$I$89,3,0)*0.475*44/12</f>
        <v>18.47048204753461</v>
      </c>
      <c r="BR41" s="21">
        <f>EXP(-LN(2)/2)*BR40+(1-EXP(-LN(2)/2))/(LN(2)/2)*BL41*BO41*VLOOKUP('Données projet'!$B$11,Paramètres!$A$1:$I$89,3,0)*0.475*44/12</f>
        <v>5.1188344536940811</v>
      </c>
      <c r="BS41" s="22">
        <f t="shared" si="9"/>
        <v>36.919027072611193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4.0942857142857143</v>
      </c>
      <c r="BY41" s="12">
        <f>IF('Données projet'!$A$114&gt;35,BY40+BX41-CG40,IF(A41&lt;'Données projet'!$A$114,$BV$205^A41,IF(A41='Données projet'!$A$114,'Données projet'!$B$114,BY40+BX41-CG40)))</f>
        <v>155.58285714285725</v>
      </c>
      <c r="BZ41" s="13">
        <f>BY41*VLOOKUP('Données projet'!$B$12,Paramètres!$A$1:$I$89,3,0)*VLOOKUP('Données projet'!$B$12,Paramètres!$A$1:$I$89,5,0)</f>
        <v>104.36498057142863</v>
      </c>
      <c r="CA41" s="13">
        <f t="shared" si="39"/>
        <v>27.999294152438981</v>
      </c>
      <c r="CB41" s="20">
        <f t="shared" si="10"/>
        <v>230.53444514406942</v>
      </c>
      <c r="CC41" s="59">
        <f t="shared" si="11"/>
        <v>512.55376086785691</v>
      </c>
      <c r="CD41" s="59">
        <f ca="1">AVERAGE(OFFSET($CC$3,0,0,'Données projet'!$E$12+1,1))-AVERAGE(OFFSET($H$3,0,0,'Données projet'!$E$12+1,1))</f>
        <v>493.98227954109774</v>
      </c>
      <c r="CE41" s="59">
        <f t="shared" si="40"/>
        <v>224.32736097997289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4.0942857142857143</v>
      </c>
      <c r="CT41" s="12">
        <f>IF('Données projet'!$A$140&gt;35,CT40+CS41-DB40,IF(A41&lt;'Données projet'!$A$140,$CQ$205^A41,IF(A41='Données projet'!$A$140,'Données projet'!$B$140,CT40+CS41-DB40)))</f>
        <v>155.58285714285725</v>
      </c>
      <c r="CU41" s="17">
        <f>CT41*VLOOKUP('Données projet'!$B$13,Paramètres!$A$1:$I$89,3,0)*VLOOKUP('Données projet'!$B$13,Paramètres!$A$1:$I$89,5,0)</f>
        <v>148.05264685714295</v>
      </c>
      <c r="CV41" s="13">
        <f t="shared" si="41"/>
        <v>38.135706631183687</v>
      </c>
      <c r="CW41" s="20">
        <f t="shared" si="13"/>
        <v>324.27804899216886</v>
      </c>
      <c r="CX41" s="59">
        <f t="shared" si="14"/>
        <v>606.29736471595629</v>
      </c>
      <c r="CY41" s="59">
        <f ca="1">AVERAGE(OFFSET($CX$3,0,0,'Données projet'!$E$13+1,1))-AVERAGE(OFFSET($H$3,0,0,'Données projet'!$E$13+1,1))</f>
        <v>677.13548994240728</v>
      </c>
      <c r="CZ41" s="59">
        <f t="shared" si="42"/>
        <v>298.72429542440534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66.914358833760218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1.2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4.3999999999999995</v>
      </c>
      <c r="H42" s="67">
        <f t="shared" si="1"/>
        <v>239.06666666666669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598.84424860678587</v>
      </c>
      <c r="S42" s="59">
        <f ca="1">AVERAGE(OFFSET($R$3,0,0,'Données projet'!$E$9+1,1))-AVERAGE(OFFSET($H$3,0,0,'Données projet'!$E$9+1,1))</f>
        <v>646.69588445509589</v>
      </c>
      <c r="T42" s="59">
        <f t="shared" si="34"/>
        <v>286.36346771084698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22.851428571428578</v>
      </c>
      <c r="AI42" s="13">
        <f>IF('Données projet'!$A$62&gt;35,AI41+AH42-AQ41,IF(A42&lt;'Données projet'!$A$62,$AF$205^A42,IF(A42='Données projet'!$A$62,'Données projet'!$B$62,AI41+AH42-AQ41)))</f>
        <v>381.93571428571431</v>
      </c>
      <c r="AJ42" s="13">
        <f>AI42*VLOOKUP('Données projet'!$B$10,Paramètres!$A$1:$I$89,3,0)*VLOOKUP('Données projet'!$B$10,Paramètres!$A$1:$I$89,5,0)</f>
        <v>213.50206428571431</v>
      </c>
      <c r="AK42" s="13">
        <f t="shared" si="35"/>
        <v>52.700136656354076</v>
      </c>
      <c r="AL42" s="20">
        <f t="shared" si="4"/>
        <v>463.6354999741024</v>
      </c>
      <c r="AM42" s="59">
        <f t="shared" si="5"/>
        <v>745.85108860906143</v>
      </c>
      <c r="AN42" s="59">
        <f ca="1">AVERAGE(OFFSET($AM$3,0,0,'Données projet'!$E$10+1,1))-AVERAGE(OFFSET($H$3,0,0,'Données projet'!$E$10+1,1))</f>
        <v>391.55758836264408</v>
      </c>
      <c r="AO42" s="59">
        <f t="shared" si="36"/>
        <v>360.80727659978777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29.759036891028444</v>
      </c>
      <c r="AV42" s="21">
        <f>EXP(-LN(2)/25)*AV41+(1-EXP(-LN(2)/25))/(LN(2)/25)*Calculateur!AQ42*Calculateur!AS42*VLOOKUP('Données projet'!$B$10,Paramètres!$A$1:$I$89,3,0)*0.475*44/12</f>
        <v>19.694295276943709</v>
      </c>
      <c r="AW42" s="21">
        <f>EXP(-LN(2)/2)*AW41+(1-EXP(-LN(2)/2))/(LN(2)/2)*AQ42*AT42*VLOOKUP('Données projet'!$B$10,Paramètres!$A$1:$I$89,3,0)*0.475*44/12</f>
        <v>3.1335200662891629</v>
      </c>
      <c r="AX42" s="21">
        <f t="shared" si="6"/>
        <v>52.586852234261315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25.4</v>
      </c>
      <c r="BD42" s="12">
        <f>IF('Données projet'!$A$88&gt;35,BD41+BC42-BL41,IF(A42&lt;'Données projet'!$A$88,$BA$205^A42,IF(A42='Données projet'!$A$88,'Données projet'!$B$88,BD41+BC42-BL41)))</f>
        <v>414.59999999999997</v>
      </c>
      <c r="BE42" s="13">
        <f>BD42*VLOOKUP('Données projet'!$B$11,Paramètres!$A$1:$I$89,3,0)*VLOOKUP('Données projet'!$B$11,Paramètres!$A$1:$I$89,5,0)</f>
        <v>183.25319999999999</v>
      </c>
      <c r="BF42" s="13">
        <f t="shared" si="37"/>
        <v>46.04520698394716</v>
      </c>
      <c r="BG42" s="20">
        <f t="shared" si="7"/>
        <v>399.36139216370793</v>
      </c>
      <c r="BH42" s="59">
        <f t="shared" si="8"/>
        <v>681.57698079866691</v>
      </c>
      <c r="BI42" s="59">
        <f ca="1">AVERAGE(OFFSET($BH$3,0,0,'Données projet'!$E$11+1,1))-AVERAGE(OFFSET($H$3,0,0,'Données projet'!$E$11+1,1))</f>
        <v>400.11184625063709</v>
      </c>
      <c r="BJ42" s="59">
        <f t="shared" si="38"/>
        <v>340.02906159605971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13.068323077398338</v>
      </c>
      <c r="BQ42" s="21">
        <f>EXP(-LN(2)/25)*BQ41+(1-EXP(-LN(2)/25))/(LN(2)/25)*Calculateur!BL42*Calculateur!BN42*VLOOKUP('Données projet'!$B$11,Paramètres!$A$1:$I$89,3,0)*0.475*44/12</f>
        <v>17.965405744624341</v>
      </c>
      <c r="BR42" s="21">
        <f>EXP(-LN(2)/2)*BR41+(1-EXP(-LN(2)/2))/(LN(2)/2)*BL42*BO42*VLOOKUP('Données projet'!$B$11,Paramètres!$A$1:$I$89,3,0)*0.475*44/12</f>
        <v>3.6195625539784215</v>
      </c>
      <c r="BS42" s="22">
        <f t="shared" si="9"/>
        <v>34.6532913760011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4.0942857142857143</v>
      </c>
      <c r="BY42" s="12">
        <f>IF('Données projet'!$A$114&gt;35,BY41+BX42-CG41,IF(A42&lt;'Données projet'!$A$114,$BV$205^A42,IF(A42='Données projet'!$A$114,'Données projet'!$B$114,BY41+BX42-CG41)))</f>
        <v>159.67714285714297</v>
      </c>
      <c r="BZ42" s="13">
        <f>BY42*VLOOKUP('Données projet'!$B$12,Paramètres!$A$1:$I$89,3,0)*VLOOKUP('Données projet'!$B$12,Paramètres!$A$1:$I$89,5,0)</f>
        <v>107.1114274285715</v>
      </c>
      <c r="CA42" s="13">
        <f t="shared" si="39"/>
        <v>28.649363909480709</v>
      </c>
      <c r="CB42" s="20">
        <f t="shared" si="10"/>
        <v>236.45004491377424</v>
      </c>
      <c r="CC42" s="59">
        <f t="shared" si="11"/>
        <v>518.66563354873324</v>
      </c>
      <c r="CD42" s="59">
        <f ca="1">AVERAGE(OFFSET($CC$3,0,0,'Données projet'!$E$12+1,1))-AVERAGE(OFFSET($H$3,0,0,'Données projet'!$E$12+1,1))</f>
        <v>493.98227954109774</v>
      </c>
      <c r="CE42" s="59">
        <f t="shared" si="40"/>
        <v>224.32736097997289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4.0942857142857143</v>
      </c>
      <c r="CT42" s="12">
        <f>IF('Données projet'!$A$140&gt;35,CT41+CS42-DB41,IF(A42&lt;'Données projet'!$A$140,$CQ$205^A42,IF(A42='Données projet'!$A$140,'Données projet'!$B$140,CT41+CS42-DB41)))</f>
        <v>159.67714285714297</v>
      </c>
      <c r="CU42" s="17">
        <f>CT42*VLOOKUP('Données projet'!$B$13,Paramètres!$A$1:$I$89,3,0)*VLOOKUP('Données projet'!$B$13,Paramètres!$A$1:$I$89,5,0)</f>
        <v>151.94876914285726</v>
      </c>
      <c r="CV42" s="13">
        <f t="shared" si="41"/>
        <v>39.021117149369502</v>
      </c>
      <c r="CW42" s="20">
        <f t="shared" si="13"/>
        <v>332.60588529229494</v>
      </c>
      <c r="CX42" s="59">
        <f t="shared" si="14"/>
        <v>614.82147392725392</v>
      </c>
      <c r="CY42" s="59">
        <f ca="1">AVERAGE(OFFSET($CX$3,0,0,'Données projet'!$E$13+1,1))-AVERAGE(OFFSET($H$3,0,0,'Données projet'!$E$13+1,1))</f>
        <v>677.13548994240728</v>
      </c>
      <c r="CZ42" s="59">
        <f t="shared" si="42"/>
        <v>298.72429542440534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66.96788780953429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1.2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4.3999999999999995</v>
      </c>
      <c r="H43" s="67">
        <f t="shared" si="1"/>
        <v>239.06666666666669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606.95962371892608</v>
      </c>
      <c r="S43" s="59">
        <f ca="1">AVERAGE(OFFSET($R$3,0,0,'Données projet'!$E$9+1,1))-AVERAGE(OFFSET($H$3,0,0,'Données projet'!$E$9+1,1))</f>
        <v>646.69588445509589</v>
      </c>
      <c r="T43" s="59">
        <f t="shared" si="34"/>
        <v>286.36346771084698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22.851428571428578</v>
      </c>
      <c r="AI43" s="13">
        <f>IF('Données projet'!$A$62&gt;35,AI42+AH43-AQ42,IF(A43&lt;'Données projet'!$A$62,$AF$205^A43,IF(A43='Données projet'!$A$62,'Données projet'!$B$62,AI42+AH43-AQ42)))</f>
        <v>404.7871428571429</v>
      </c>
      <c r="AJ43" s="13">
        <f>AI43*VLOOKUP('Données projet'!$B$10,Paramètres!$A$1:$I$89,3,0)*VLOOKUP('Données projet'!$B$10,Paramètres!$A$1:$I$89,5,0)</f>
        <v>226.27601285714289</v>
      </c>
      <c r="AK43" s="13">
        <f t="shared" si="35"/>
        <v>55.476705055614268</v>
      </c>
      <c r="AL43" s="20">
        <f t="shared" si="4"/>
        <v>490.71931703138534</v>
      </c>
      <c r="AM43" s="59">
        <f t="shared" si="5"/>
        <v>773.12777368130764</v>
      </c>
      <c r="AN43" s="59">
        <f ca="1">AVERAGE(OFFSET($AM$3,0,0,'Données projet'!$E$10+1,1))-AVERAGE(OFFSET($H$3,0,0,'Données projet'!$E$10+1,1))</f>
        <v>391.55758836264408</v>
      </c>
      <c r="AO43" s="59">
        <f t="shared" si="36"/>
        <v>360.80727659978777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29.175480328815595</v>
      </c>
      <c r="AV43" s="21">
        <f>EXP(-LN(2)/25)*AV42+(1-EXP(-LN(2)/25))/(LN(2)/25)*Calculateur!AQ43*Calculateur!AS43*VLOOKUP('Données projet'!$B$10,Paramètres!$A$1:$I$89,3,0)*0.475*44/12</f>
        <v>19.155753736917706</v>
      </c>
      <c r="AW43" s="21">
        <f>EXP(-LN(2)/2)*AW42+(1-EXP(-LN(2)/2))/(LN(2)/2)*AQ43*AT43*VLOOKUP('Données projet'!$B$10,Paramètres!$A$1:$I$89,3,0)*0.475*44/12</f>
        <v>2.2157332878571872</v>
      </c>
      <c r="AX43" s="21">
        <f t="shared" si="6"/>
        <v>50.546967353590489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440</v>
      </c>
      <c r="BB43" s="12">
        <f>VLOOKUP(A43,'Données projet'!$A$87:$I$107,9,0)</f>
        <v>25.4</v>
      </c>
      <c r="BC43" s="12">
        <f t="array" ref="BC43">INDEX(BB:BB,MIN(IF(ISNUMBER(BB43:BB239),ROW(BB43:BB239),"")))</f>
        <v>25.4</v>
      </c>
      <c r="BD43" s="12">
        <f>IF('Données projet'!$A$88&gt;35,BD42+BC43-BL42,IF(A43&lt;'Données projet'!$A$88,$BA$205^A43,IF(A43='Données projet'!$A$88,'Données projet'!$B$88,BD42+BC43-BL42)))</f>
        <v>439.99999999999994</v>
      </c>
      <c r="BE43" s="13">
        <f>BD43*VLOOKUP('Données projet'!$B$11,Paramètres!$A$1:$I$89,3,0)*VLOOKUP('Données projet'!$B$11,Paramètres!$A$1:$I$89,5,0)</f>
        <v>194.48</v>
      </c>
      <c r="BF43" s="13">
        <f t="shared" si="37"/>
        <v>48.529069813916593</v>
      </c>
      <c r="BG43" s="20">
        <f t="shared" si="7"/>
        <v>423.24079659257137</v>
      </c>
      <c r="BH43" s="59">
        <f t="shared" si="8"/>
        <v>705.64925324249373</v>
      </c>
      <c r="BI43" s="59">
        <f ca="1">AVERAGE(OFFSET($BH$3,0,0,'Données projet'!$E$11+1,1))-AVERAGE(OFFSET($H$3,0,0,'Données projet'!$E$11+1,1))</f>
        <v>400.11184625063709</v>
      </c>
      <c r="BJ43" s="59">
        <f t="shared" si="38"/>
        <v>340.02906159605971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0.13750000000000001</v>
      </c>
      <c r="BN43" s="16">
        <f>IF(ISNA(VLOOKUP(A43,'Données projet'!$A$87:$I$107,6,0)),0%,VLOOKUP(A43,'Données projet'!$A$87:$I$107,6,0)*VLOOKUP('Données projet'!$B$11,Paramètres!$A$1:$I$89,7,0))</f>
        <v>0.20350000000000001</v>
      </c>
      <c r="BO43" s="16">
        <f>IF(ISNA(VLOOKUP(A43,'Données projet'!$A$87:$I$107,7,0)),0%,VLOOKUP(A43,'Données projet'!$A$87:$I$107,7,0))</f>
        <v>0.38</v>
      </c>
      <c r="BP43" s="21">
        <f>EXP(-LN(2)/35)*BP42+(1-EXP(-LN(2)/35))/(LN(2)/35)*BL43*BM43*VLOOKUP('Données projet'!$B$11,Paramètres!$A$1:$I$89,3,0)*0.475*44/12</f>
        <v>17.89124438383887</v>
      </c>
      <c r="BQ43" s="21">
        <f>EXP(-LN(2)/25)*BQ42+(1-EXP(-LN(2)/25))/(LN(2)/25)*Calculateur!BL43*Calculateur!BN43*VLOOKUP('Données projet'!$B$11,Paramètres!$A$1:$I$89,3,0)*0.475*44/12</f>
        <v>24.961733797911599</v>
      </c>
      <c r="BR43" s="21">
        <f>EXP(-LN(2)/2)*BR42+(1-EXP(-LN(2)/2))/(LN(2)/2)*BL43*BO43*VLOOKUP('Données projet'!$B$11,Paramètres!$A$1:$I$89,3,0)*0.475*44/12</f>
        <v>14.54011063847739</v>
      </c>
      <c r="BS43" s="22">
        <f t="shared" si="9"/>
        <v>57.39308882022786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4.0942857142857143</v>
      </c>
      <c r="BY43" s="12">
        <f>IF('Données projet'!$A$114&gt;35,BY42+BX43-CG42,IF(A43&lt;'Données projet'!$A$114,$BV$205^A43,IF(A43='Données projet'!$A$114,'Données projet'!$B$114,BY42+BX43-CG42)))</f>
        <v>163.77142857142869</v>
      </c>
      <c r="BZ43" s="13">
        <f>BY43*VLOOKUP('Données projet'!$B$12,Paramètres!$A$1:$I$89,3,0)*VLOOKUP('Données projet'!$B$12,Paramètres!$A$1:$I$89,5,0)</f>
        <v>109.85787428571436</v>
      </c>
      <c r="CA43" s="13">
        <f t="shared" si="39"/>
        <v>29.297496126466736</v>
      </c>
      <c r="CB43" s="20">
        <f t="shared" si="10"/>
        <v>242.36227013454877</v>
      </c>
      <c r="CC43" s="59">
        <f t="shared" si="11"/>
        <v>524.77072678447109</v>
      </c>
      <c r="CD43" s="59">
        <f ca="1">AVERAGE(OFFSET($CC$3,0,0,'Données projet'!$E$12+1,1))-AVERAGE(OFFSET($H$3,0,0,'Données projet'!$E$12+1,1))</f>
        <v>493.98227954109774</v>
      </c>
      <c r="CE43" s="59">
        <f t="shared" si="40"/>
        <v>224.32736097997289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4.0942857142857143</v>
      </c>
      <c r="CT43" s="12">
        <f>IF('Données projet'!$A$140&gt;35,CT42+CS43-DB42,IF(A43&lt;'Données projet'!$A$140,$CQ$205^A43,IF(A43='Données projet'!$A$140,'Données projet'!$B$140,CT42+CS43-DB42)))</f>
        <v>163.77142857142869</v>
      </c>
      <c r="CU43" s="17">
        <f>CT43*VLOOKUP('Données projet'!$B$13,Paramètres!$A$1:$I$89,3,0)*VLOOKUP('Données projet'!$B$13,Paramètres!$A$1:$I$89,5,0)</f>
        <v>155.84489142857154</v>
      </c>
      <c r="CV43" s="13">
        <f t="shared" si="41"/>
        <v>39.903888691774469</v>
      </c>
      <c r="CW43" s="20">
        <f t="shared" si="13"/>
        <v>340.92912537626927</v>
      </c>
      <c r="CX43" s="59">
        <f t="shared" si="14"/>
        <v>623.33758202619163</v>
      </c>
      <c r="CY43" s="59">
        <f ca="1">AVERAGE(OFFSET($CX$3,0,0,'Données projet'!$E$13+1,1))-AVERAGE(OFFSET($H$3,0,0,'Données projet'!$E$13+1,1))</f>
        <v>677.13548994240728</v>
      </c>
      <c r="CZ43" s="59">
        <f t="shared" si="42"/>
        <v>298.72429542440534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67.020488177251551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1.2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4.3999999999999995</v>
      </c>
      <c r="H44" s="67">
        <f t="shared" si="1"/>
        <v>239.06666666666669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615.06737963754222</v>
      </c>
      <c r="S44" s="59">
        <f ca="1">AVERAGE(OFFSET($R$3,0,0,'Données projet'!$E$9+1,1))-AVERAGE(OFFSET($H$3,0,0,'Données projet'!$E$9+1,1))</f>
        <v>646.69588445509589</v>
      </c>
      <c r="T44" s="59">
        <f t="shared" si="34"/>
        <v>286.36346771084698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22.851428571428578</v>
      </c>
      <c r="AI44" s="13">
        <f>IF('Données projet'!$A$62&gt;35,AI43+AH44-AQ43,IF(A44&lt;'Données projet'!$A$62,$AF$205^A44,IF(A44='Données projet'!$A$62,'Données projet'!$B$62,AI43+AH44-AQ43)))</f>
        <v>427.63857142857148</v>
      </c>
      <c r="AJ44" s="13">
        <f>AI44*VLOOKUP('Données projet'!$B$10,Paramètres!$A$1:$I$89,3,0)*VLOOKUP('Données projet'!$B$10,Paramètres!$A$1:$I$89,5,0)</f>
        <v>239.04996142857144</v>
      </c>
      <c r="AK44" s="13">
        <f t="shared" si="35"/>
        <v>58.235077894233235</v>
      </c>
      <c r="AL44" s="20">
        <f t="shared" si="4"/>
        <v>517.77144348721811</v>
      </c>
      <c r="AM44" s="59">
        <f t="shared" si="5"/>
        <v>800.36942232323236</v>
      </c>
      <c r="AN44" s="59">
        <f ca="1">AVERAGE(OFFSET($AM$3,0,0,'Données projet'!$E$10+1,1))-AVERAGE(OFFSET($H$3,0,0,'Données projet'!$E$10+1,1))</f>
        <v>391.55758836264408</v>
      </c>
      <c r="AO44" s="59">
        <f t="shared" si="36"/>
        <v>360.80727659978777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28.603366954853385</v>
      </c>
      <c r="AV44" s="21">
        <f>EXP(-LN(2)/25)*AV43+(1-EXP(-LN(2)/25))/(LN(2)/25)*Calculateur!AQ44*Calculateur!AS44*VLOOKUP('Données projet'!$B$10,Paramètres!$A$1:$I$89,3,0)*0.475*44/12</f>
        <v>18.631938643624384</v>
      </c>
      <c r="AW44" s="21">
        <f>EXP(-LN(2)/2)*AW43+(1-EXP(-LN(2)/2))/(LN(2)/2)*AQ44*AT44*VLOOKUP('Données projet'!$B$10,Paramètres!$A$1:$I$89,3,0)*0.475*44/12</f>
        <v>1.5667600331445817</v>
      </c>
      <c r="AX44" s="21">
        <f t="shared" si="6"/>
        <v>48.802065631622348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24.2</v>
      </c>
      <c r="BD44" s="12">
        <f>IF('Données projet'!$A$88&gt;35,BD43+BC44-BL43,IF(A44&lt;'Données projet'!$A$88,$BA$205^A44,IF(A44='Données projet'!$A$88,'Données projet'!$B$88,BD43+BC44-BL43)))</f>
        <v>401.19999999999993</v>
      </c>
      <c r="BE44" s="13">
        <f>BD44*VLOOKUP('Données projet'!$B$11,Paramètres!$A$1:$I$89,3,0)*VLOOKUP('Données projet'!$B$11,Paramètres!$A$1:$I$89,5,0)</f>
        <v>177.3304</v>
      </c>
      <c r="BF44" s="13">
        <f t="shared" si="37"/>
        <v>44.72773383028116</v>
      </c>
      <c r="BG44" s="20">
        <f t="shared" si="7"/>
        <v>386.75124975440627</v>
      </c>
      <c r="BH44" s="59">
        <f t="shared" si="8"/>
        <v>669.34922859042058</v>
      </c>
      <c r="BI44" s="59">
        <f ca="1">AVERAGE(OFFSET($BH$3,0,0,'Données projet'!$E$11+1,1))-AVERAGE(OFFSET($H$3,0,0,'Données projet'!$E$11+1,1))</f>
        <v>400.11184625063709</v>
      </c>
      <c r="BJ44" s="59">
        <f t="shared" si="38"/>
        <v>340.02906159605971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17.540407994053336</v>
      </c>
      <c r="BQ44" s="21">
        <f>EXP(-LN(2)/25)*BQ43+(1-EXP(-LN(2)/25))/(LN(2)/25)*Calculateur!BL44*Calculateur!BN44*VLOOKUP('Données projet'!$B$11,Paramètres!$A$1:$I$89,3,0)*0.475*44/12</f>
        <v>24.279153874527175</v>
      </c>
      <c r="BR44" s="21">
        <f>EXP(-LN(2)/2)*BR43+(1-EXP(-LN(2)/2))/(LN(2)/2)*BL44*BO44*VLOOKUP('Données projet'!$B$11,Paramètres!$A$1:$I$89,3,0)*0.475*44/12</f>
        <v>10.281410831670025</v>
      </c>
      <c r="BS44" s="22">
        <f t="shared" si="9"/>
        <v>52.10097270025053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4.0942857142857143</v>
      </c>
      <c r="BY44" s="12">
        <f>IF('Données projet'!$A$114&gt;35,BY43+BX44-CG43,IF(A44&lt;'Données projet'!$A$114,$BV$205^A44,IF(A44='Données projet'!$A$114,'Données projet'!$B$114,BY43+BX44-CG43)))</f>
        <v>167.8657142857144</v>
      </c>
      <c r="BZ44" s="13">
        <f>BY44*VLOOKUP('Données projet'!$B$12,Paramètres!$A$1:$I$89,3,0)*VLOOKUP('Données projet'!$B$12,Paramètres!$A$1:$I$89,5,0)</f>
        <v>112.60432114285723</v>
      </c>
      <c r="CA44" s="13">
        <f t="shared" si="39"/>
        <v>29.943744812916144</v>
      </c>
      <c r="CB44" s="20">
        <f t="shared" si="10"/>
        <v>248.27121487297197</v>
      </c>
      <c r="CC44" s="59">
        <f t="shared" si="11"/>
        <v>530.86919370898624</v>
      </c>
      <c r="CD44" s="59">
        <f ca="1">AVERAGE(OFFSET($CC$3,0,0,'Données projet'!$E$12+1,1))-AVERAGE(OFFSET($H$3,0,0,'Données projet'!$E$12+1,1))</f>
        <v>493.98227954109774</v>
      </c>
      <c r="CE44" s="59">
        <f t="shared" si="40"/>
        <v>224.32736097997289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4.0942857142857143</v>
      </c>
      <c r="CT44" s="12">
        <f>IF('Données projet'!$A$140&gt;35,CT43+CS44-DB43,IF(A44&lt;'Données projet'!$A$140,$CQ$205^A44,IF(A44='Données projet'!$A$140,'Données projet'!$B$140,CT43+CS44-DB43)))</f>
        <v>167.8657142857144</v>
      </c>
      <c r="CU44" s="17">
        <f>CT44*VLOOKUP('Données projet'!$B$13,Paramètres!$A$1:$I$89,3,0)*VLOOKUP('Données projet'!$B$13,Paramètres!$A$1:$I$89,5,0)</f>
        <v>159.74101371428583</v>
      </c>
      <c r="CV44" s="13">
        <f t="shared" si="41"/>
        <v>40.784094820651994</v>
      </c>
      <c r="CW44" s="20">
        <f t="shared" si="13"/>
        <v>349.24789736501674</v>
      </c>
      <c r="CX44" s="59">
        <f t="shared" si="14"/>
        <v>631.84587620103105</v>
      </c>
      <c r="CY44" s="59">
        <f ca="1">AVERAGE(OFFSET($CX$3,0,0,'Données projet'!$E$13+1,1))-AVERAGE(OFFSET($H$3,0,0,'Données projet'!$E$13+1,1))</f>
        <v>677.13548994240728</v>
      </c>
      <c r="CZ44" s="59">
        <f t="shared" si="42"/>
        <v>298.72429542440534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67.072176046185717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1.2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4.3999999999999995</v>
      </c>
      <c r="H45" s="67">
        <f t="shared" si="1"/>
        <v>239.06666666666669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623.16769062416301</v>
      </c>
      <c r="S45" s="59">
        <f ca="1">AVERAGE(OFFSET($R$3,0,0,'Données projet'!$E$9+1,1))-AVERAGE(OFFSET($H$3,0,0,'Données projet'!$E$9+1,1))</f>
        <v>646.69588445509589</v>
      </c>
      <c r="T45" s="59">
        <f t="shared" si="34"/>
        <v>286.36346771084698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450.49</v>
      </c>
      <c r="AG45" s="12">
        <f>VLOOKUP(A45,'Données projet'!$A$61:$I$81,9,0)</f>
        <v>22.851428571428578</v>
      </c>
      <c r="AH45" s="12">
        <f t="array" ref="AH45">INDEX(AG:AG,MIN(IF(ISNUMBER(AG45:AG241),ROW(AG45:AG241),"")))</f>
        <v>22.851428571428578</v>
      </c>
      <c r="AI45" s="13">
        <f>IF('Données projet'!$A$62&gt;35,AI44+AH45-AQ44,IF(A45&lt;'Données projet'!$A$62,$AF$205^A45,IF(A45='Données projet'!$A$62,'Données projet'!$B$62,AI44+AH45-AQ44)))</f>
        <v>450.49000000000007</v>
      </c>
      <c r="AJ45" s="13">
        <f>AI45*VLOOKUP('Données projet'!$B$10,Paramètres!$A$1:$I$89,3,0)*VLOOKUP('Données projet'!$B$10,Paramètres!$A$1:$I$89,5,0)</f>
        <v>251.82391000000004</v>
      </c>
      <c r="AK45" s="13">
        <f t="shared" si="35"/>
        <v>60.976338340878812</v>
      </c>
      <c r="AL45" s="20">
        <f t="shared" si="4"/>
        <v>544.79376586036392</v>
      </c>
      <c r="AM45" s="59">
        <f t="shared" si="5"/>
        <v>827.57797909624958</v>
      </c>
      <c r="AN45" s="59">
        <f ca="1">AVERAGE(OFFSET($AM$3,0,0,'Données projet'!$E$10+1,1))-AVERAGE(OFFSET($H$3,0,0,'Données projet'!$E$10+1,1))</f>
        <v>391.55758836264408</v>
      </c>
      <c r="AO45" s="59">
        <f t="shared" si="36"/>
        <v>360.80727659978777</v>
      </c>
      <c r="AP45" s="15">
        <f>IF(ISNA(VLOOKUP(A45,'Données projet'!$A$61:$I$81,3,0)),0,VLOOKUP(A45,'Données projet'!$A$61:$I$81,3,0))</f>
        <v>4</v>
      </c>
      <c r="AQ45" s="15">
        <f>IF(ISNA(VLOOKUP(A45,'Données projet'!$A$61:$I$81,4,0)),0,VLOOKUP(A45,'Données projet'!$A$61:$I$81,4,0))</f>
        <v>100.04000000000002</v>
      </c>
      <c r="AR45" s="16">
        <f>IF(ISNA(VLOOKUP(A45,'Données projet'!$A$61:$I$81,5,0)),0%,VLOOKUP(A45,'Données projet'!$A$61:$I$81,5,0)*VLOOKUP('Données projet'!$B$10,Paramètres!$A$1:$I$89,7,0))</f>
        <v>0.33</v>
      </c>
      <c r="AS45" s="16">
        <f>IF(ISNA(VLOOKUP(A45,'Données projet'!$A$61:$I$81,6,0)),0%,VLOOKUP(A45,'Données projet'!$A$61:$I$81,6,0)*VLOOKUP('Données projet'!$B$10,Paramètres!$A$1:$I$89,7,0))</f>
        <v>0.11000000000000001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52.523395338496876</v>
      </c>
      <c r="AV45" s="21">
        <f>EXP(-LN(2)/25)*AV44+(1-EXP(-LN(2)/25))/(LN(2)/25)*Calculateur!AQ45*Calculateur!AS45*VLOOKUP('Données projet'!$B$10,Paramètres!$A$1:$I$89,3,0)*0.475*44/12</f>
        <v>26.250624715479255</v>
      </c>
      <c r="AW45" s="21">
        <f>EXP(-LN(2)/2)*AW44+(1-EXP(-LN(2)/2))/(LN(2)/2)*AQ45*AT45*VLOOKUP('Données projet'!$B$10,Paramètres!$A$1:$I$89,3,0)*0.475*44/12</f>
        <v>13.771287073109026</v>
      </c>
      <c r="AX45" s="21">
        <f t="shared" si="6"/>
        <v>92.545307127085152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24.2</v>
      </c>
      <c r="BD45" s="12">
        <f>IF('Données projet'!$A$88&gt;35,BD44+BC45-BL44,IF(A45&lt;'Données projet'!$A$88,$BA$205^A45,IF(A45='Données projet'!$A$88,'Données projet'!$B$88,BD44+BC45-BL44)))</f>
        <v>425.39999999999992</v>
      </c>
      <c r="BE45" s="13">
        <f>BD45*VLOOKUP('Données projet'!$B$11,Paramètres!$A$1:$I$89,3,0)*VLOOKUP('Données projet'!$B$11,Paramètres!$A$1:$I$89,5,0)</f>
        <v>188.02680000000001</v>
      </c>
      <c r="BF45" s="13">
        <f t="shared" si="37"/>
        <v>47.103441645351992</v>
      </c>
      <c r="BG45" s="20">
        <f t="shared" si="7"/>
        <v>409.51850419898801</v>
      </c>
      <c r="BH45" s="59">
        <f t="shared" si="8"/>
        <v>692.30271743487367</v>
      </c>
      <c r="BI45" s="59">
        <f ca="1">AVERAGE(OFFSET($BH$3,0,0,'Données projet'!$E$11+1,1))-AVERAGE(OFFSET($H$3,0,0,'Données projet'!$E$11+1,1))</f>
        <v>400.11184625063709</v>
      </c>
      <c r="BJ45" s="59">
        <f t="shared" si="38"/>
        <v>340.02906159605971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17.196451291882429</v>
      </c>
      <c r="BQ45" s="21">
        <f>EXP(-LN(2)/25)*BQ44+(1-EXP(-LN(2)/25))/(LN(2)/25)*Calculateur!BL45*Calculateur!BN45*VLOOKUP('Données projet'!$B$11,Paramètres!$A$1:$I$89,3,0)*0.475*44/12</f>
        <v>23.615239135043019</v>
      </c>
      <c r="BR45" s="21">
        <f>EXP(-LN(2)/2)*BR44+(1-EXP(-LN(2)/2))/(LN(2)/2)*BL45*BO45*VLOOKUP('Données projet'!$B$11,Paramètres!$A$1:$I$89,3,0)*0.475*44/12</f>
        <v>7.2700553192386961</v>
      </c>
      <c r="BS45" s="22">
        <f t="shared" si="9"/>
        <v>48.081745746164145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4.0942857142857143</v>
      </c>
      <c r="BX45" s="12">
        <f t="array" ref="BX45">INDEX(BW:BW,MIN(IF(ISNUMBER(BW45:BW241),ROW(BW45:BW241),"")))</f>
        <v>4.0942857142857143</v>
      </c>
      <c r="BY45" s="12">
        <f>IF('Données projet'!$A$114&gt;35,BY44+BX45-CG44,IF(A45&lt;'Données projet'!$A$114,$BV$205^A45,IF(A45='Données projet'!$A$114,'Données projet'!$B$114,BY44+BX45-CG44)))</f>
        <v>171.96000000000012</v>
      </c>
      <c r="BZ45" s="13">
        <f>BY45*VLOOKUP('Données projet'!$B$12,Paramètres!$A$1:$I$89,3,0)*VLOOKUP('Données projet'!$B$12,Paramètres!$A$1:$I$89,5,0)</f>
        <v>115.35076800000007</v>
      </c>
      <c r="CA45" s="13">
        <f t="shared" si="39"/>
        <v>30.58816119352479</v>
      </c>
      <c r="CB45" s="20">
        <f t="shared" si="10"/>
        <v>254.17696834538913</v>
      </c>
      <c r="CC45" s="59">
        <f t="shared" si="11"/>
        <v>536.96118158127479</v>
      </c>
      <c r="CD45" s="59">
        <f ca="1">AVERAGE(OFFSET($CC$3,0,0,'Données projet'!$E$12+1,1))-AVERAGE(OFFSET($H$3,0,0,'Données projet'!$E$12+1,1))</f>
        <v>493.98227954109774</v>
      </c>
      <c r="CE45" s="59">
        <f t="shared" si="40"/>
        <v>224.32736097997289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44.510000000000005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0.42400000000000004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13.939598244088216</v>
      </c>
      <c r="CM45" s="21">
        <f>EXP(-LN(2)/2)*CM44+(1-EXP(-LN(2)/2))/(LN(2)/2)*CG45*CJ45*VLOOKUP('Données projet'!$B$12,Paramètres!$A$1:$I$89,3,0)*0.475*44/12</f>
        <v>5.6342347391325562</v>
      </c>
      <c r="CN45" s="22">
        <f t="shared" si="12"/>
        <v>19.573832983220772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4.0942857142857143</v>
      </c>
      <c r="CS45" s="12">
        <f t="array" ref="CS45">INDEX(CR:CR,MIN(IF(ISNUMBER(CR45:CR241),ROW(CR45:CR241),"")))</f>
        <v>4.0942857142857143</v>
      </c>
      <c r="CT45" s="12">
        <f>IF('Données projet'!$A$140&gt;35,CT44+CS45-DB44,IF(A45&lt;'Données projet'!$A$140,$CQ$205^A45,IF(A45='Données projet'!$A$140,'Données projet'!$B$140,CT44+CS45-DB44)))</f>
        <v>171.96000000000012</v>
      </c>
      <c r="CU45" s="17">
        <f>CT45*VLOOKUP('Données projet'!$B$13,Paramètres!$A$1:$I$89,3,0)*VLOOKUP('Données projet'!$B$13,Paramètres!$A$1:$I$89,5,0)</f>
        <v>163.63713600000011</v>
      </c>
      <c r="CV45" s="13">
        <f t="shared" si="41"/>
        <v>41.661805305260039</v>
      </c>
      <c r="CW45" s="20">
        <f t="shared" si="13"/>
        <v>357.56232277332811</v>
      </c>
      <c r="CX45" s="59">
        <f t="shared" si="14"/>
        <v>640.34653600921376</v>
      </c>
      <c r="CY45" s="59">
        <f ca="1">AVERAGE(OFFSET($CX$3,0,0,'Données projet'!$E$13+1,1))-AVERAGE(OFFSET($H$3,0,0,'Données projet'!$E$13+1,1))</f>
        <v>677.13548994240728</v>
      </c>
      <c r="CZ45" s="59">
        <f t="shared" si="42"/>
        <v>298.72429542440534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44.510000000000005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0.34400000000000003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16.043688545082667</v>
      </c>
      <c r="DH45" s="21">
        <f>EXP(-LN(2)/2)*DH44+(1-EXP(-LN(2)/2))/(LN(2)/2)*DB45*DE45*VLOOKUP('Données projet'!$B$13,Paramètres!$A$1:$I$89,3,0)*0.475*44/12</f>
        <v>7.992751606676415</v>
      </c>
      <c r="DI45" s="22">
        <f t="shared" si="15"/>
        <v>24.036440151759081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67.122967246150637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1.2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4.3999999999999995</v>
      </c>
      <c r="H46" s="67">
        <f t="shared" si="1"/>
        <v>239.06666666666669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556.71939717923533</v>
      </c>
      <c r="S46" s="59">
        <f ca="1">AVERAGE(OFFSET($R$3,0,0,'Données projet'!$E$9+1,1))-AVERAGE(OFFSET($H$3,0,0,'Données projet'!$E$9+1,1))</f>
        <v>646.69588445509589</v>
      </c>
      <c r="T46" s="59">
        <f t="shared" si="34"/>
        <v>286.36346771084698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21.970000000000002</v>
      </c>
      <c r="AI46" s="13">
        <f>IF('Données projet'!$A$62&gt;35,AI45+AH46-AQ45,IF(A46&lt;'Données projet'!$A$62,$AF$205^A46,IF(A46='Données projet'!$A$62,'Données projet'!$B$62,AI45+AH46-AQ45)))</f>
        <v>372.42000000000007</v>
      </c>
      <c r="AJ46" s="13">
        <f>AI46*VLOOKUP('Données projet'!$B$10,Paramètres!$A$1:$I$89,3,0)*VLOOKUP('Données projet'!$B$10,Paramètres!$A$1:$I$89,5,0)</f>
        <v>208.18278000000007</v>
      </c>
      <c r="AK46" s="13">
        <f t="shared" si="35"/>
        <v>51.538276765249073</v>
      </c>
      <c r="AL46" s="20">
        <f t="shared" si="4"/>
        <v>452.34750719947556</v>
      </c>
      <c r="AM46" s="59">
        <f t="shared" si="5"/>
        <v>735.31472408475258</v>
      </c>
      <c r="AN46" s="59">
        <f ca="1">AVERAGE(OFFSET($AM$3,0,0,'Données projet'!$E$10+1,1))-AVERAGE(OFFSET($H$3,0,0,'Données projet'!$E$10+1,1))</f>
        <v>391.55758836264408</v>
      </c>
      <c r="AO46" s="59">
        <f t="shared" si="36"/>
        <v>360.80727659978777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51.493443592016803</v>
      </c>
      <c r="AV46" s="21">
        <f>EXP(-LN(2)/25)*AV45+(1-EXP(-LN(2)/25))/(LN(2)/25)*Calculateur!AQ46*Calculateur!AS46*VLOOKUP('Données projet'!$B$10,Paramètres!$A$1:$I$89,3,0)*0.475*44/12</f>
        <v>25.532800002174117</v>
      </c>
      <c r="AW46" s="21">
        <f>EXP(-LN(2)/2)*AW45+(1-EXP(-LN(2)/2))/(LN(2)/2)*AQ46*AT46*VLOOKUP('Données projet'!$B$10,Paramètres!$A$1:$I$89,3,0)*0.475*44/12</f>
        <v>9.7377704750620353</v>
      </c>
      <c r="AX46" s="21">
        <f t="shared" si="6"/>
        <v>86.764014069252951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24.2</v>
      </c>
      <c r="BD46" s="12">
        <f>IF('Données projet'!$A$88&gt;35,BD45+BC46-BL45,IF(A46&lt;'Données projet'!$A$88,$BA$205^A46,IF(A46='Données projet'!$A$88,'Données projet'!$B$88,BD45+BC46-BL45)))</f>
        <v>449.59999999999991</v>
      </c>
      <c r="BE46" s="13">
        <f>BD46*VLOOKUP('Données projet'!$B$11,Paramètres!$A$1:$I$89,3,0)*VLOOKUP('Données projet'!$B$11,Paramètres!$A$1:$I$89,5,0)</f>
        <v>198.72319999999996</v>
      </c>
      <c r="BF46" s="13">
        <f t="shared" si="37"/>
        <v>49.463461224416463</v>
      </c>
      <c r="BG46" s="20">
        <f t="shared" si="7"/>
        <v>432.25843496585861</v>
      </c>
      <c r="BH46" s="59">
        <f t="shared" si="8"/>
        <v>715.22565185113558</v>
      </c>
      <c r="BI46" s="59">
        <f ca="1">AVERAGE(OFFSET($BH$3,0,0,'Données projet'!$E$11+1,1))-AVERAGE(OFFSET($H$3,0,0,'Données projet'!$E$11+1,1))</f>
        <v>400.11184625063709</v>
      </c>
      <c r="BJ46" s="59">
        <f t="shared" si="38"/>
        <v>340.02906159605971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16.859239370848218</v>
      </c>
      <c r="BQ46" s="21">
        <f>EXP(-LN(2)/25)*BQ45+(1-EXP(-LN(2)/25))/(LN(2)/25)*Calculateur!BL46*Calculateur!BN46*VLOOKUP('Données projet'!$B$11,Paramètres!$A$1:$I$89,3,0)*0.475*44/12</f>
        <v>22.969479179023814</v>
      </c>
      <c r="BR46" s="21">
        <f>EXP(-LN(2)/2)*BR45+(1-EXP(-LN(2)/2))/(LN(2)/2)*BL46*BO46*VLOOKUP('Données projet'!$B$11,Paramètres!$A$1:$I$89,3,0)*0.475*44/12</f>
        <v>5.1407054158350132</v>
      </c>
      <c r="BS46" s="22">
        <f t="shared" si="9"/>
        <v>44.969423965707051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10.110000000000001</v>
      </c>
      <c r="BY46" s="12">
        <f>IF('Données projet'!$A$114&gt;35,BY45+BX46-CG45,IF(A46&lt;'Données projet'!$A$114,$BV$205^A46,IF(A46='Données projet'!$A$114,'Données projet'!$B$114,BY45+BX46-CG45)))</f>
        <v>137.56000000000012</v>
      </c>
      <c r="BZ46" s="13">
        <f>BY46*VLOOKUP('Données projet'!$B$12,Paramètres!$A$1:$I$89,3,0)*VLOOKUP('Données projet'!$B$12,Paramètres!$A$1:$I$89,5,0)</f>
        <v>92.275248000000076</v>
      </c>
      <c r="CA46" s="13">
        <f t="shared" si="39"/>
        <v>25.113160150449875</v>
      </c>
      <c r="CB46" s="20">
        <f t="shared" si="10"/>
        <v>204.45147752870034</v>
      </c>
      <c r="CC46" s="59">
        <f t="shared" si="11"/>
        <v>487.41869441397739</v>
      </c>
      <c r="CD46" s="59">
        <f ca="1">AVERAGE(OFFSET($CC$3,0,0,'Données projet'!$E$12+1,1))-AVERAGE(OFFSET($H$3,0,0,'Données projet'!$E$12+1,1))</f>
        <v>493.98227954109774</v>
      </c>
      <c r="CE46" s="59">
        <f t="shared" si="40"/>
        <v>224.32736097997289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13.558419197052013</v>
      </c>
      <c r="CM46" s="21">
        <f>EXP(-LN(2)/2)*CM45+(1-EXP(-LN(2)/2))/(LN(2)/2)*CG46*CJ46*VLOOKUP('Données projet'!$B$12,Paramètres!$A$1:$I$89,3,0)*0.475*44/12</f>
        <v>3.9840055908374494</v>
      </c>
      <c r="CN46" s="22">
        <f t="shared" si="12"/>
        <v>17.542424787889463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10.110000000000001</v>
      </c>
      <c r="CT46" s="12">
        <f>IF('Données projet'!$A$140&gt;35,CT45+CS46-DB45,IF(A46&lt;'Données projet'!$A$140,$CQ$205^A46,IF(A46='Données projet'!$A$140,'Données projet'!$B$140,CT45+CS46-DB45)))</f>
        <v>137.56000000000012</v>
      </c>
      <c r="CU46" s="17">
        <f>CT46*VLOOKUP('Données projet'!$B$13,Paramètres!$A$1:$I$89,3,0)*VLOOKUP('Données projet'!$B$13,Paramètres!$A$1:$I$89,5,0)</f>
        <v>130.90209600000011</v>
      </c>
      <c r="CV46" s="13">
        <f t="shared" si="41"/>
        <v>34.204723264285022</v>
      </c>
      <c r="CW46" s="20">
        <f t="shared" si="13"/>
        <v>287.56104355196334</v>
      </c>
      <c r="CX46" s="59">
        <f t="shared" si="14"/>
        <v>570.52826043724031</v>
      </c>
      <c r="CY46" s="59">
        <f ca="1">AVERAGE(OFFSET($CX$3,0,0,'Données projet'!$E$13+1,1))-AVERAGE(OFFSET($H$3,0,0,'Données projet'!$E$13+1,1))</f>
        <v>677.13548994240728</v>
      </c>
      <c r="CZ46" s="59">
        <f t="shared" si="42"/>
        <v>298.72429542440534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15.604973038116469</v>
      </c>
      <c r="DH46" s="21">
        <f>EXP(-LN(2)/2)*DH45+(1-EXP(-LN(2)/2))/(LN(2)/2)*DB46*DE46*VLOOKUP('Données projet'!$B$13,Paramètres!$A$1:$I$89,3,0)*0.475*44/12</f>
        <v>5.6517288614205663</v>
      </c>
      <c r="DI46" s="22">
        <f t="shared" si="15"/>
        <v>21.256701899537035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67.172877332348278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1.2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4.3999999999999995</v>
      </c>
      <c r="H47" s="67">
        <f t="shared" si="1"/>
        <v>239.06666666666669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576.51585965753407</v>
      </c>
      <c r="S47" s="59">
        <f ca="1">AVERAGE(OFFSET($R$3,0,0,'Données projet'!$E$9+1,1))-AVERAGE(OFFSET($H$3,0,0,'Données projet'!$E$9+1,1))</f>
        <v>646.69588445509589</v>
      </c>
      <c r="T47" s="59">
        <f t="shared" si="34"/>
        <v>286.36346771084698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21.970000000000002</v>
      </c>
      <c r="AI47" s="13">
        <f>IF('Données projet'!$A$62&gt;35,AI46+AH47-AQ46,IF(A47&lt;'Données projet'!$A$62,$AF$205^A47,IF(A47='Données projet'!$A$62,'Données projet'!$B$62,AI46+AH47-AQ46)))</f>
        <v>394.3900000000001</v>
      </c>
      <c r="AJ47" s="13">
        <f>AI47*VLOOKUP('Données projet'!$B$10,Paramètres!$A$1:$I$89,3,0)*VLOOKUP('Données projet'!$B$10,Paramètres!$A$1:$I$89,5,0)</f>
        <v>220.46401000000006</v>
      </c>
      <c r="AK47" s="13">
        <f t="shared" si="35"/>
        <v>54.215723631671224</v>
      </c>
      <c r="AL47" s="20">
        <f t="shared" si="4"/>
        <v>478.4005360751608</v>
      </c>
      <c r="AM47" s="59">
        <f t="shared" si="5"/>
        <v>761.54758190564712</v>
      </c>
      <c r="AN47" s="59">
        <f ca="1">AVERAGE(OFFSET($AM$3,0,0,'Données projet'!$E$10+1,1))-AVERAGE(OFFSET($H$3,0,0,'Données projet'!$E$10+1,1))</f>
        <v>391.55758836264408</v>
      </c>
      <c r="AO47" s="59">
        <f t="shared" si="36"/>
        <v>360.80727659978777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50.483688571076669</v>
      </c>
      <c r="AV47" s="21">
        <f>EXP(-LN(2)/25)*AV46+(1-EXP(-LN(2)/25))/(LN(2)/25)*Calculateur!AQ47*Calculateur!AS47*VLOOKUP('Données projet'!$B$10,Paramètres!$A$1:$I$89,3,0)*0.475*44/12</f>
        <v>24.834604243403071</v>
      </c>
      <c r="AW47" s="21">
        <f>EXP(-LN(2)/2)*AW46+(1-EXP(-LN(2)/2))/(LN(2)/2)*AQ47*AT47*VLOOKUP('Données projet'!$B$10,Paramètres!$A$1:$I$89,3,0)*0.475*44/12</f>
        <v>6.8856435365545137</v>
      </c>
      <c r="AX47" s="21">
        <f t="shared" si="6"/>
        <v>82.203936351034258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24.2</v>
      </c>
      <c r="BD47" s="12">
        <f>IF('Données projet'!$A$88&gt;35,BD46+BC47-BL46,IF(A47&lt;'Données projet'!$A$88,$BA$205^A47,IF(A47='Données projet'!$A$88,'Données projet'!$B$88,BD46+BC47-BL46)))</f>
        <v>473.7999999999999</v>
      </c>
      <c r="BE47" s="13">
        <f>BD47*VLOOKUP('Données projet'!$B$11,Paramètres!$A$1:$I$89,3,0)*VLOOKUP('Données projet'!$B$11,Paramètres!$A$1:$I$89,5,0)</f>
        <v>209.41959999999997</v>
      </c>
      <c r="BF47" s="13">
        <f t="shared" si="37"/>
        <v>51.808733273237316</v>
      </c>
      <c r="BG47" s="20">
        <f t="shared" si="7"/>
        <v>454.97268045088828</v>
      </c>
      <c r="BH47" s="59">
        <f t="shared" si="8"/>
        <v>738.1197262813746</v>
      </c>
      <c r="BI47" s="59">
        <f ca="1">AVERAGE(OFFSET($BH$3,0,0,'Données projet'!$E$11+1,1))-AVERAGE(OFFSET($H$3,0,0,'Données projet'!$E$11+1,1))</f>
        <v>400.11184625063709</v>
      </c>
      <c r="BJ47" s="59">
        <f t="shared" si="38"/>
        <v>340.02906159605971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16.528639969906529</v>
      </c>
      <c r="BQ47" s="21">
        <f>EXP(-LN(2)/25)*BQ46+(1-EXP(-LN(2)/25))/(LN(2)/25)*Calculateur!BL47*Calculateur!BN47*VLOOKUP('Données projet'!$B$11,Paramètres!$A$1:$I$89,3,0)*0.475*44/12</f>
        <v>22.341377562960997</v>
      </c>
      <c r="BR47" s="21">
        <f>EXP(-LN(2)/2)*BR46+(1-EXP(-LN(2)/2))/(LN(2)/2)*BL47*BO47*VLOOKUP('Données projet'!$B$11,Paramètres!$A$1:$I$89,3,0)*0.475*44/12</f>
        <v>3.6350276596193489</v>
      </c>
      <c r="BS47" s="22">
        <f t="shared" si="9"/>
        <v>42.505045192486868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10.110000000000001</v>
      </c>
      <c r="BY47" s="12">
        <f>IF('Données projet'!$A$114&gt;35,BY46+BX47-CG46,IF(A47&lt;'Données projet'!$A$114,$BV$205^A47,IF(A47='Données projet'!$A$114,'Données projet'!$B$114,BY46+BX47-CG46)))</f>
        <v>147.67000000000013</v>
      </c>
      <c r="BZ47" s="13">
        <f>BY47*VLOOKUP('Données projet'!$B$12,Paramètres!$A$1:$I$89,3,0)*VLOOKUP('Données projet'!$B$12,Paramètres!$A$1:$I$89,5,0)</f>
        <v>99.057036000000096</v>
      </c>
      <c r="CA47" s="13">
        <f t="shared" si="39"/>
        <v>26.737225655657664</v>
      </c>
      <c r="CB47" s="20">
        <f t="shared" si="10"/>
        <v>219.09167238360394</v>
      </c>
      <c r="CC47" s="59">
        <f t="shared" si="11"/>
        <v>502.23871821409023</v>
      </c>
      <c r="CD47" s="59">
        <f ca="1">AVERAGE(OFFSET($CC$3,0,0,'Données projet'!$E$12+1,1))-AVERAGE(OFFSET($H$3,0,0,'Données projet'!$E$12+1,1))</f>
        <v>493.98227954109774</v>
      </c>
      <c r="CE47" s="59">
        <f t="shared" si="40"/>
        <v>224.32736097997289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13.187663511102349</v>
      </c>
      <c r="CM47" s="21">
        <f>EXP(-LN(2)/2)*CM46+(1-EXP(-LN(2)/2))/(LN(2)/2)*CG47*CJ47*VLOOKUP('Données projet'!$B$12,Paramètres!$A$1:$I$89,3,0)*0.475*44/12</f>
        <v>2.8171173695662786</v>
      </c>
      <c r="CN47" s="22">
        <f t="shared" si="12"/>
        <v>16.004780880668626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10.110000000000001</v>
      </c>
      <c r="CT47" s="12">
        <f>IF('Données projet'!$A$140&gt;35,CT46+CS47-DB46,IF(A47&lt;'Données projet'!$A$140,$CQ$205^A47,IF(A47='Données projet'!$A$140,'Données projet'!$B$140,CT46+CS47-DB46)))</f>
        <v>147.67000000000013</v>
      </c>
      <c r="CU47" s="17">
        <f>CT47*VLOOKUP('Données projet'!$B$13,Paramètres!$A$1:$I$89,3,0)*VLOOKUP('Données projet'!$B$13,Paramètres!$A$1:$I$89,5,0)</f>
        <v>140.52277200000015</v>
      </c>
      <c r="CV47" s="13">
        <f t="shared" si="41"/>
        <v>36.41673922866012</v>
      </c>
      <c r="CW47" s="20">
        <f t="shared" si="13"/>
        <v>308.16964872324991</v>
      </c>
      <c r="CX47" s="59">
        <f t="shared" si="14"/>
        <v>591.31669455373617</v>
      </c>
      <c r="CY47" s="59">
        <f ca="1">AVERAGE(OFFSET($CX$3,0,0,'Données projet'!$E$13+1,1))-AVERAGE(OFFSET($H$3,0,0,'Données projet'!$E$13+1,1))</f>
        <v>677.13548994240728</v>
      </c>
      <c r="CZ47" s="59">
        <f t="shared" si="42"/>
        <v>298.72429542440534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15.178254229759307</v>
      </c>
      <c r="DH47" s="21">
        <f>EXP(-LN(2)/2)*DH46+(1-EXP(-LN(2)/2))/(LN(2)/2)*DB47*DE47*VLOOKUP('Données projet'!$B$13,Paramètres!$A$1:$I$89,3,0)*0.475*44/12</f>
        <v>3.996375803338208</v>
      </c>
      <c r="DI47" s="22">
        <f t="shared" si="15"/>
        <v>19.174630033097515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67.221921590132638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1.2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4.3999999999999995</v>
      </c>
      <c r="H48" s="67">
        <f t="shared" si="1"/>
        <v>239.06666666666669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596.27993123956435</v>
      </c>
      <c r="S48" s="59">
        <f ca="1">AVERAGE(OFFSET($R$3,0,0,'Données projet'!$E$9+1,1))-AVERAGE(OFFSET($H$3,0,0,'Données projet'!$E$9+1,1))</f>
        <v>646.69588445509589</v>
      </c>
      <c r="T48" s="59">
        <f t="shared" si="34"/>
        <v>286.36346771084698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21.970000000000002</v>
      </c>
      <c r="AI48" s="13">
        <f>IF('Données projet'!$A$62&gt;35,AI47+AH48-AQ47,IF(A48&lt;'Données projet'!$A$62,$AF$205^A48,IF(A48='Données projet'!$A$62,'Données projet'!$B$62,AI47+AH48-AQ47)))</f>
        <v>416.36000000000013</v>
      </c>
      <c r="AJ48" s="13">
        <f>AI48*VLOOKUP('Données projet'!$B$10,Paramètres!$A$1:$I$89,3,0)*VLOOKUP('Données projet'!$B$10,Paramètres!$A$1:$I$89,5,0)</f>
        <v>232.74524000000008</v>
      </c>
      <c r="AK48" s="13">
        <f t="shared" si="35"/>
        <v>56.875856080072602</v>
      </c>
      <c r="AL48" s="20">
        <f t="shared" si="4"/>
        <v>504.42340900612658</v>
      </c>
      <c r="AM48" s="59">
        <f t="shared" si="5"/>
        <v>787.74716415166017</v>
      </c>
      <c r="AN48" s="59">
        <f ca="1">AVERAGE(OFFSET($AM$3,0,0,'Données projet'!$E$10+1,1))-AVERAGE(OFFSET($H$3,0,0,'Données projet'!$E$10+1,1))</f>
        <v>391.55758836264408</v>
      </c>
      <c r="AO48" s="59">
        <f t="shared" si="36"/>
        <v>360.80727659978777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49.493734230207423</v>
      </c>
      <c r="AV48" s="21">
        <f>EXP(-LN(2)/25)*AV47+(1-EXP(-LN(2)/25))/(LN(2)/25)*Calculateur!AQ48*Calculateur!AS48*VLOOKUP('Données projet'!$B$10,Paramètres!$A$1:$I$89,3,0)*0.475*44/12</f>
        <v>24.155500684372136</v>
      </c>
      <c r="AW48" s="21">
        <f>EXP(-LN(2)/2)*AW47+(1-EXP(-LN(2)/2))/(LN(2)/2)*AQ48*AT48*VLOOKUP('Données projet'!$B$10,Paramètres!$A$1:$I$89,3,0)*0.475*44/12</f>
        <v>4.8688852375310177</v>
      </c>
      <c r="AX48" s="21">
        <f t="shared" si="6"/>
        <v>78.518120152110569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498</v>
      </c>
      <c r="BB48" s="12">
        <f>VLOOKUP(A48,'Données projet'!$A$87:$I$107,9,0)</f>
        <v>24.2</v>
      </c>
      <c r="BC48" s="12">
        <f t="array" ref="BC48">INDEX(BB:BB,MIN(IF(ISNUMBER(BB48:BB244),ROW(BB48:BB244),"")))</f>
        <v>24.2</v>
      </c>
      <c r="BD48" s="12">
        <f>IF('Données projet'!$A$88&gt;35,BD47+BC48-BL47,IF(A48&lt;'Données projet'!$A$88,$BA$205^A48,IF(A48='Données projet'!$A$88,'Données projet'!$B$88,BD47+BC48-BL47)))</f>
        <v>497.99999999999989</v>
      </c>
      <c r="BE48" s="13">
        <f>BD48*VLOOKUP('Données projet'!$B$11,Paramètres!$A$1:$I$89,3,0)*VLOOKUP('Données projet'!$B$11,Paramètres!$A$1:$I$89,5,0)</f>
        <v>220.11599999999996</v>
      </c>
      <c r="BF48" s="13">
        <f t="shared" si="37"/>
        <v>54.140096973925921</v>
      </c>
      <c r="BG48" s="20">
        <f t="shared" si="7"/>
        <v>477.66270222958752</v>
      </c>
      <c r="BH48" s="59">
        <f t="shared" si="8"/>
        <v>760.98645737512106</v>
      </c>
      <c r="BI48" s="59">
        <f ca="1">AVERAGE(OFFSET($BH$3,0,0,'Données projet'!$E$11+1,1))-AVERAGE(OFFSET($H$3,0,0,'Données projet'!$E$11+1,1))</f>
        <v>400.11184625063709</v>
      </c>
      <c r="BJ48" s="59">
        <f t="shared" si="38"/>
        <v>340.02906159605971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63</v>
      </c>
      <c r="BM48" s="16">
        <f>IF(ISNA(VLOOKUP(A48,'Données projet'!$A$87:$I$107,5,0)),0%,VLOOKUP(A48,'Données projet'!$A$87:$I$107,5,0)*VLOOKUP('Données projet'!$B$11,Paramètres!$A$1:$I$89,7,0))</f>
        <v>0.33</v>
      </c>
      <c r="BN48" s="16">
        <f>IF(ISNA(VLOOKUP(A48,'Données projet'!$A$87:$I$107,6,0)),0%,VLOOKUP(A48,'Données projet'!$A$87:$I$107,6,0)*VLOOKUP('Données projet'!$B$11,Paramètres!$A$1:$I$89,7,0))</f>
        <v>0.11000000000000001</v>
      </c>
      <c r="BO48" s="16">
        <f>IF(ISNA(VLOOKUP(A48,'Données projet'!$A$87:$I$107,7,0)),0%,VLOOKUP(A48,'Données projet'!$A$87:$I$107,7,0))</f>
        <v>0.2</v>
      </c>
      <c r="BP48" s="21">
        <f>EXP(-LN(2)/35)*BP47+(1-EXP(-LN(2)/35))/(LN(2)/35)*BL48*BM48*VLOOKUP('Données projet'!$B$11,Paramètres!$A$1:$I$89,3,0)*0.475*44/12</f>
        <v>28.394562984207496</v>
      </c>
      <c r="BQ48" s="21">
        <f>EXP(-LN(2)/25)*BQ47+(1-EXP(-LN(2)/25))/(LN(2)/25)*Calculateur!BL48*Calculateur!BN48*VLOOKUP('Données projet'!$B$11,Paramètres!$A$1:$I$89,3,0)*0.475*44/12</f>
        <v>25.777798995989379</v>
      </c>
      <c r="BR48" s="21">
        <f>EXP(-LN(2)/2)*BR47+(1-EXP(-LN(2)/2))/(LN(2)/2)*BL48*BO48*VLOOKUP('Données projet'!$B$11,Paramètres!$A$1:$I$89,3,0)*0.475*44/12</f>
        <v>8.8759808193019012</v>
      </c>
      <c r="BS48" s="22">
        <f t="shared" si="9"/>
        <v>63.048342799498776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10.110000000000001</v>
      </c>
      <c r="BY48" s="12">
        <f>IF('Données projet'!$A$114&gt;35,BY47+BX48-CG47,IF(A48&lt;'Données projet'!$A$114,$BV$205^A48,IF(A48='Données projet'!$A$114,'Données projet'!$B$114,BY47+BX48-CG47)))</f>
        <v>157.78000000000014</v>
      </c>
      <c r="BZ48" s="13">
        <f>BY48*VLOOKUP('Données projet'!$B$12,Paramètres!$A$1:$I$89,3,0)*VLOOKUP('Données projet'!$B$12,Paramètres!$A$1:$I$89,5,0)</f>
        <v>105.83882400000009</v>
      </c>
      <c r="CA48" s="13">
        <f t="shared" si="39"/>
        <v>28.348389541640429</v>
      </c>
      <c r="CB48" s="20">
        <f t="shared" si="10"/>
        <v>233.70939691835724</v>
      </c>
      <c r="CC48" s="59">
        <f t="shared" si="11"/>
        <v>517.03315206389084</v>
      </c>
      <c r="CD48" s="59">
        <f ca="1">AVERAGE(OFFSET($CC$3,0,0,'Données projet'!$E$12+1,1))-AVERAGE(OFFSET($H$3,0,0,'Données projet'!$E$12+1,1))</f>
        <v>493.98227954109774</v>
      </c>
      <c r="CE48" s="59">
        <f t="shared" si="40"/>
        <v>224.32736097997289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12.827046158882172</v>
      </c>
      <c r="CM48" s="21">
        <f>EXP(-LN(2)/2)*CM47+(1-EXP(-LN(2)/2))/(LN(2)/2)*CG48*CJ48*VLOOKUP('Données projet'!$B$12,Paramètres!$A$1:$I$89,3,0)*0.475*44/12</f>
        <v>1.9920027954187249</v>
      </c>
      <c r="CN48" s="22">
        <f t="shared" si="12"/>
        <v>14.819048954300897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10.110000000000001</v>
      </c>
      <c r="CT48" s="12">
        <f>IF('Données projet'!$A$140&gt;35,CT47+CS48-DB47,IF(A48&lt;'Données projet'!$A$140,$CQ$205^A48,IF(A48='Données projet'!$A$140,'Données projet'!$B$140,CT47+CS48-DB47)))</f>
        <v>157.78000000000014</v>
      </c>
      <c r="CU48" s="17">
        <f>CT48*VLOOKUP('Données projet'!$B$13,Paramètres!$A$1:$I$89,3,0)*VLOOKUP('Données projet'!$B$13,Paramètres!$A$1:$I$89,5,0)</f>
        <v>150.14344800000015</v>
      </c>
      <c r="CV48" s="13">
        <f t="shared" si="41"/>
        <v>38.611182879849288</v>
      </c>
      <c r="CW48" s="20">
        <f t="shared" si="13"/>
        <v>328.74764878240444</v>
      </c>
      <c r="CX48" s="59">
        <f t="shared" si="14"/>
        <v>612.07140392793804</v>
      </c>
      <c r="CY48" s="59">
        <f ca="1">AVERAGE(OFFSET($CX$3,0,0,'Données projet'!$E$13+1,1))-AVERAGE(OFFSET($H$3,0,0,'Données projet'!$E$13+1,1))</f>
        <v>677.13548994240728</v>
      </c>
      <c r="CZ48" s="59">
        <f t="shared" si="42"/>
        <v>298.72429542440534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14.76320406965684</v>
      </c>
      <c r="DH48" s="21">
        <f>EXP(-LN(2)/2)*DH47+(1-EXP(-LN(2)/2))/(LN(2)/2)*DB48*DE48*VLOOKUP('Données projet'!$B$13,Paramètres!$A$1:$I$89,3,0)*0.475*44/12</f>
        <v>2.8258644307102836</v>
      </c>
      <c r="DI48" s="22">
        <f t="shared" si="15"/>
        <v>17.589068500367123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67.270115039690964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1.2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4.3999999999999995</v>
      </c>
      <c r="H49" s="67">
        <f t="shared" si="1"/>
        <v>239.06666666666669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616.01375512648178</v>
      </c>
      <c r="S49" s="59">
        <f ca="1">AVERAGE(OFFSET($R$3,0,0,'Données projet'!$E$9+1,1))-AVERAGE(OFFSET($H$3,0,0,'Données projet'!$E$9+1,1))</f>
        <v>646.69588445509589</v>
      </c>
      <c r="T49" s="59">
        <f t="shared" si="34"/>
        <v>286.36346771084698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21.970000000000002</v>
      </c>
      <c r="AI49" s="13">
        <f>IF('Données projet'!$A$62&gt;35,AI48+AH49-AQ48,IF(A49&lt;'Données projet'!$A$62,$AF$205^A49,IF(A49='Données projet'!$A$62,'Données projet'!$B$62,AI48+AH49-AQ48)))</f>
        <v>438.33000000000015</v>
      </c>
      <c r="AJ49" s="13">
        <f>AI49*VLOOKUP('Données projet'!$B$10,Paramètres!$A$1:$I$89,3,0)*VLOOKUP('Données projet'!$B$10,Paramètres!$A$1:$I$89,5,0)</f>
        <v>245.02647000000007</v>
      </c>
      <c r="AK49" s="13">
        <f t="shared" si="35"/>
        <v>59.519691926533838</v>
      </c>
      <c r="AL49" s="20">
        <f t="shared" si="4"/>
        <v>530.41789868871319</v>
      </c>
      <c r="AM49" s="59">
        <f t="shared" si="5"/>
        <v>813.91529763774065</v>
      </c>
      <c r="AN49" s="59">
        <f ca="1">AVERAGE(OFFSET($AM$3,0,0,'Données projet'!$E$10+1,1))-AVERAGE(OFFSET($H$3,0,0,'Données projet'!$E$10+1,1))</f>
        <v>391.55758836264408</v>
      </c>
      <c r="AO49" s="59">
        <f t="shared" si="36"/>
        <v>360.80727659978777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48.523192290150099</v>
      </c>
      <c r="AV49" s="21">
        <f>EXP(-LN(2)/25)*AV48+(1-EXP(-LN(2)/25))/(LN(2)/25)*Calculateur!AQ49*Calculateur!AS49*VLOOKUP('Données projet'!$B$10,Paramètres!$A$1:$I$89,3,0)*0.475*44/12</f>
        <v>23.494967247875408</v>
      </c>
      <c r="AW49" s="21">
        <f>EXP(-LN(2)/2)*AW48+(1-EXP(-LN(2)/2))/(LN(2)/2)*AQ49*AT49*VLOOKUP('Données projet'!$B$10,Paramètres!$A$1:$I$89,3,0)*0.475*44/12</f>
        <v>3.4428217682772568</v>
      </c>
      <c r="AX49" s="21">
        <f t="shared" si="6"/>
        <v>75.46098130630277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22.8</v>
      </c>
      <c r="BD49" s="12">
        <f>IF('Données projet'!$A$88&gt;35,BD48+BC49-BL48,IF(A49&lt;'Données projet'!$A$88,$BA$205^A49,IF(A49='Données projet'!$A$88,'Données projet'!$B$88,BD48+BC49-BL48)))</f>
        <v>457.79999999999984</v>
      </c>
      <c r="BE49" s="13">
        <f>BD49*VLOOKUP('Données projet'!$B$11,Paramètres!$A$1:$I$89,3,0)*VLOOKUP('Données projet'!$B$11,Paramètres!$A$1:$I$89,5,0)</f>
        <v>202.34759999999994</v>
      </c>
      <c r="BF49" s="13">
        <f t="shared" si="37"/>
        <v>50.259748221306481</v>
      </c>
      <c r="BG49" s="20">
        <f t="shared" si="7"/>
        <v>439.95779815210875</v>
      </c>
      <c r="BH49" s="59">
        <f t="shared" si="8"/>
        <v>723.45519710113626</v>
      </c>
      <c r="BI49" s="59">
        <f ca="1">AVERAGE(OFFSET($BH$3,0,0,'Données projet'!$E$11+1,1))-AVERAGE(OFFSET($H$3,0,0,'Données projet'!$E$11+1,1))</f>
        <v>400.11184625063709</v>
      </c>
      <c r="BJ49" s="59">
        <f t="shared" si="38"/>
        <v>340.02906159605971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27.837762923060502</v>
      </c>
      <c r="BQ49" s="21">
        <f>EXP(-LN(2)/25)*BQ48+(1-EXP(-LN(2)/25))/(LN(2)/25)*Calculateur!BL49*Calculateur!BN49*VLOOKUP('Données projet'!$B$11,Paramètres!$A$1:$I$89,3,0)*0.475*44/12</f>
        <v>25.072903726848516</v>
      </c>
      <c r="BR49" s="21">
        <f>EXP(-LN(2)/2)*BR48+(1-EXP(-LN(2)/2))/(LN(2)/2)*BL49*BO49*VLOOKUP('Données projet'!$B$11,Paramètres!$A$1:$I$89,3,0)*0.475*44/12</f>
        <v>6.2762662270101028</v>
      </c>
      <c r="BS49" s="22">
        <f t="shared" si="9"/>
        <v>59.186932876919123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10.110000000000001</v>
      </c>
      <c r="BY49" s="12">
        <f>IF('Données projet'!$A$114&gt;35,BY48+BX49-CG48,IF(A49&lt;'Données projet'!$A$114,$BV$205^A49,IF(A49='Données projet'!$A$114,'Données projet'!$B$114,BY48+BX49-CG48)))</f>
        <v>167.89000000000016</v>
      </c>
      <c r="BZ49" s="13">
        <f>BY49*VLOOKUP('Données projet'!$B$12,Paramètres!$A$1:$I$89,3,0)*VLOOKUP('Données projet'!$B$12,Paramètres!$A$1:$I$89,5,0)</f>
        <v>112.62061200000012</v>
      </c>
      <c r="CA49" s="13">
        <f t="shared" si="39"/>
        <v>29.947572593561798</v>
      </c>
      <c r="CB49" s="20">
        <f t="shared" si="10"/>
        <v>248.30625483378697</v>
      </c>
      <c r="CC49" s="59">
        <f t="shared" si="11"/>
        <v>531.80365378281454</v>
      </c>
      <c r="CD49" s="59">
        <f ca="1">AVERAGE(OFFSET($CC$3,0,0,'Données projet'!$E$12+1,1))-AVERAGE(OFFSET($H$3,0,0,'Données projet'!$E$12+1,1))</f>
        <v>493.98227954109774</v>
      </c>
      <c r="CE49" s="59">
        <f t="shared" si="40"/>
        <v>224.32736097997289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12.476289907122499</v>
      </c>
      <c r="CM49" s="21">
        <f>EXP(-LN(2)/2)*CM48+(1-EXP(-LN(2)/2))/(LN(2)/2)*CG49*CJ49*VLOOKUP('Données projet'!$B$12,Paramètres!$A$1:$I$89,3,0)*0.475*44/12</f>
        <v>1.4085586847831395</v>
      </c>
      <c r="CN49" s="22">
        <f t="shared" si="12"/>
        <v>13.884848591905639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10.110000000000001</v>
      </c>
      <c r="CT49" s="12">
        <f>IF('Données projet'!$A$140&gt;35,CT48+CS49-DB48,IF(A49&lt;'Données projet'!$A$140,$CQ$205^A49,IF(A49='Données projet'!$A$140,'Données projet'!$B$140,CT48+CS49-DB48)))</f>
        <v>167.89000000000016</v>
      </c>
      <c r="CU49" s="17">
        <f>CT49*VLOOKUP('Données projet'!$B$13,Paramètres!$A$1:$I$89,3,0)*VLOOKUP('Données projet'!$B$13,Paramètres!$A$1:$I$89,5,0)</f>
        <v>159.76412400000015</v>
      </c>
      <c r="CV49" s="13">
        <f t="shared" si="41"/>
        <v>40.78930834921298</v>
      </c>
      <c r="CW49" s="20">
        <f t="shared" si="13"/>
        <v>349.29722800821287</v>
      </c>
      <c r="CX49" s="59">
        <f t="shared" si="14"/>
        <v>632.79462695724033</v>
      </c>
      <c r="CY49" s="59">
        <f ca="1">AVERAGE(OFFSET($CX$3,0,0,'Données projet'!$E$13+1,1))-AVERAGE(OFFSET($H$3,0,0,'Données projet'!$E$13+1,1))</f>
        <v>677.13548994240728</v>
      </c>
      <c r="CZ49" s="59">
        <f t="shared" si="42"/>
        <v>298.72429542440534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14.359503478008914</v>
      </c>
      <c r="DH49" s="21">
        <f>EXP(-LN(2)/2)*DH48+(1-EXP(-LN(2)/2))/(LN(2)/2)*DB49*DE49*VLOOKUP('Données projet'!$B$13,Paramètres!$A$1:$I$89,3,0)*0.475*44/12</f>
        <v>1.9981879016691044</v>
      </c>
      <c r="DI49" s="22">
        <f t="shared" si="15"/>
        <v>16.35769137967802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67.317472440643868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1.2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4.3999999999999995</v>
      </c>
      <c r="H50" s="67">
        <f t="shared" si="1"/>
        <v>239.06666666666669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635.71920776445097</v>
      </c>
      <c r="S50" s="59">
        <f ca="1">AVERAGE(OFFSET($R$3,0,0,'Données projet'!$E$9+1,1))-AVERAGE(OFFSET($H$3,0,0,'Données projet'!$E$9+1,1))</f>
        <v>646.69588445509589</v>
      </c>
      <c r="T50" s="59">
        <f t="shared" si="34"/>
        <v>286.36346771084698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21.970000000000002</v>
      </c>
      <c r="AI50" s="13">
        <f>IF('Données projet'!$A$62&gt;35,AI49+AH50-AQ49,IF(A50&lt;'Données projet'!$A$62,$AF$205^A50,IF(A50='Données projet'!$A$62,'Données projet'!$B$62,AI49+AH50-AQ49)))</f>
        <v>460.30000000000018</v>
      </c>
      <c r="AJ50" s="13">
        <f>AI50*VLOOKUP('Données projet'!$B$10,Paramètres!$A$1:$I$89,3,0)*VLOOKUP('Données projet'!$B$10,Paramètres!$A$1:$I$89,5,0)</f>
        <v>257.30770000000012</v>
      </c>
      <c r="AK50" s="13">
        <f t="shared" si="35"/>
        <v>62.148141193508692</v>
      </c>
      <c r="AL50" s="20">
        <f t="shared" si="4"/>
        <v>556.38559007869458</v>
      </c>
      <c r="AM50" s="59">
        <f t="shared" si="5"/>
        <v>840.05362049943483</v>
      </c>
      <c r="AN50" s="59">
        <f ca="1">AVERAGE(OFFSET($AM$3,0,0,'Données projet'!$E$10+1,1))-AVERAGE(OFFSET($H$3,0,0,'Données projet'!$E$10+1,1))</f>
        <v>391.55758836264408</v>
      </c>
      <c r="AO50" s="59">
        <f t="shared" si="36"/>
        <v>360.80727659978777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47.571682085565172</v>
      </c>
      <c r="AV50" s="21">
        <f>EXP(-LN(2)/25)*AV49+(1-EXP(-LN(2)/25))/(LN(2)/25)*Calculateur!AQ50*Calculateur!AS50*VLOOKUP('Données projet'!$B$10,Paramètres!$A$1:$I$89,3,0)*0.475*44/12</f>
        <v>22.852496132935627</v>
      </c>
      <c r="AW50" s="21">
        <f>EXP(-LN(2)/2)*AW49+(1-EXP(-LN(2)/2))/(LN(2)/2)*AQ50*AT50*VLOOKUP('Données projet'!$B$10,Paramètres!$A$1:$I$89,3,0)*0.475*44/12</f>
        <v>2.4344426187655088</v>
      </c>
      <c r="AX50" s="21">
        <f t="shared" si="6"/>
        <v>72.858620837266301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22.8</v>
      </c>
      <c r="BD50" s="12">
        <f>IF('Données projet'!$A$88&gt;35,BD49+BC50-BL49,IF(A50&lt;'Données projet'!$A$88,$BA$205^A50,IF(A50='Données projet'!$A$88,'Données projet'!$B$88,BD49+BC50-BL49)))</f>
        <v>480.59999999999985</v>
      </c>
      <c r="BE50" s="13">
        <f>BD50*VLOOKUP('Données projet'!$B$11,Paramètres!$A$1:$I$89,3,0)*VLOOKUP('Données projet'!$B$11,Paramètres!$A$1:$I$89,5,0)</f>
        <v>212.42519999999996</v>
      </c>
      <c r="BF50" s="13">
        <f t="shared" si="37"/>
        <v>52.465198231787184</v>
      </c>
      <c r="BG50" s="20">
        <f t="shared" si="7"/>
        <v>461.35077692036253</v>
      </c>
      <c r="BH50" s="59">
        <f t="shared" si="8"/>
        <v>745.01880734110273</v>
      </c>
      <c r="BI50" s="59">
        <f ca="1">AVERAGE(OFFSET($BH$3,0,0,'Données projet'!$E$11+1,1))-AVERAGE(OFFSET($H$3,0,0,'Données projet'!$E$11+1,1))</f>
        <v>400.11184625063709</v>
      </c>
      <c r="BJ50" s="59">
        <f t="shared" si="38"/>
        <v>340.02906159605971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27.291881371498096</v>
      </c>
      <c r="BQ50" s="21">
        <f>EXP(-LN(2)/25)*BQ49+(1-EXP(-LN(2)/25))/(LN(2)/25)*Calculateur!BL50*Calculateur!BN50*VLOOKUP('Données projet'!$B$11,Paramètres!$A$1:$I$89,3,0)*0.475*44/12</f>
        <v>24.387283855911139</v>
      </c>
      <c r="BR50" s="21">
        <f>EXP(-LN(2)/2)*BR49+(1-EXP(-LN(2)/2))/(LN(2)/2)*BL50*BO50*VLOOKUP('Données projet'!$B$11,Paramètres!$A$1:$I$89,3,0)*0.475*44/12</f>
        <v>4.4379904096509515</v>
      </c>
      <c r="BS50" s="22">
        <f t="shared" si="9"/>
        <v>56.117155637060186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10.110000000000001</v>
      </c>
      <c r="BY50" s="12">
        <f>IF('Données projet'!$A$114&gt;35,BY49+BX50-CG49,IF(A50&lt;'Données projet'!$A$114,$BV$205^A50,IF(A50='Données projet'!$A$114,'Données projet'!$B$114,BY49+BX50-CG49)))</f>
        <v>178.00000000000017</v>
      </c>
      <c r="BZ50" s="13">
        <f>BY50*VLOOKUP('Données projet'!$B$12,Paramètres!$A$1:$I$89,3,0)*VLOOKUP('Données projet'!$B$12,Paramètres!$A$1:$I$89,5,0)</f>
        <v>119.40240000000013</v>
      </c>
      <c r="CA50" s="13">
        <f t="shared" si="39"/>
        <v>31.535578435312125</v>
      </c>
      <c r="CB50" s="20">
        <f t="shared" si="10"/>
        <v>262.88364577483549</v>
      </c>
      <c r="CC50" s="59">
        <f t="shared" si="11"/>
        <v>546.55167619557574</v>
      </c>
      <c r="CD50" s="59">
        <f ca="1">AVERAGE(OFFSET($CC$3,0,0,'Données projet'!$E$12+1,1))-AVERAGE(OFFSET($H$3,0,0,'Données projet'!$E$12+1,1))</f>
        <v>493.98227954109774</v>
      </c>
      <c r="CE50" s="59">
        <f t="shared" si="40"/>
        <v>224.32736097997289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12.135125103512664</v>
      </c>
      <c r="CM50" s="21">
        <f>EXP(-LN(2)/2)*CM49+(1-EXP(-LN(2)/2))/(LN(2)/2)*CG50*CJ50*VLOOKUP('Données projet'!$B$12,Paramètres!$A$1:$I$89,3,0)*0.475*44/12</f>
        <v>0.99600139770936269</v>
      </c>
      <c r="CN50" s="22">
        <f t="shared" si="12"/>
        <v>13.131126501222026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10.110000000000001</v>
      </c>
      <c r="CT50" s="12">
        <f>IF('Données projet'!$A$140&gt;35,CT49+CS50-DB49,IF(A50&lt;'Données projet'!$A$140,$CQ$205^A50,IF(A50='Données projet'!$A$140,'Données projet'!$B$140,CT49+CS50-DB49)))</f>
        <v>178.00000000000017</v>
      </c>
      <c r="CU50" s="17">
        <f>CT50*VLOOKUP('Données projet'!$B$13,Paramètres!$A$1:$I$89,3,0)*VLOOKUP('Données projet'!$B$13,Paramètres!$A$1:$I$89,5,0)</f>
        <v>169.38480000000015</v>
      </c>
      <c r="CV50" s="13">
        <f t="shared" si="41"/>
        <v>42.952210191662502</v>
      </c>
      <c r="CW50" s="20">
        <f t="shared" si="13"/>
        <v>369.82029275047915</v>
      </c>
      <c r="CX50" s="59">
        <f t="shared" si="14"/>
        <v>653.48832317121935</v>
      </c>
      <c r="CY50" s="59">
        <f ca="1">AVERAGE(OFFSET($CX$3,0,0,'Données projet'!$E$13+1,1))-AVERAGE(OFFSET($H$3,0,0,'Données projet'!$E$13+1,1))</f>
        <v>677.13548994240728</v>
      </c>
      <c r="CZ50" s="59">
        <f t="shared" si="42"/>
        <v>298.72429542440534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13.966842100269291</v>
      </c>
      <c r="DH50" s="21">
        <f>EXP(-LN(2)/2)*DH49+(1-EXP(-LN(2)/2))/(LN(2)/2)*DB50*DE50*VLOOKUP('Données projet'!$B$13,Paramètres!$A$1:$I$89,3,0)*0.475*44/12</f>
        <v>1.412932215355142</v>
      </c>
      <c r="DI50" s="22">
        <f t="shared" si="15"/>
        <v>15.379774315624433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67.364008296565515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1.2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4.3999999999999995</v>
      </c>
      <c r="H51" s="67">
        <f t="shared" si="1"/>
        <v>239.06666666666669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655.39794586399023</v>
      </c>
      <c r="S51" s="59">
        <f ca="1">AVERAGE(OFFSET($R$3,0,0,'Données projet'!$E$9+1,1))-AVERAGE(OFFSET($H$3,0,0,'Données projet'!$E$9+1,1))</f>
        <v>646.69588445509589</v>
      </c>
      <c r="T51" s="59">
        <f t="shared" si="34"/>
        <v>286.36346771084698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21.970000000000002</v>
      </c>
      <c r="AI51" s="13">
        <f>IF('Données projet'!$A$62&gt;35,AI50+AH51-AQ50,IF(A51&lt;'Données projet'!$A$62,$AF$205^A51,IF(A51='Données projet'!$A$62,'Données projet'!$B$62,AI50+AH51-AQ50)))</f>
        <v>482.27000000000021</v>
      </c>
      <c r="AJ51" s="13">
        <f>AI51*VLOOKUP('Données projet'!$B$10,Paramètres!$A$1:$I$89,3,0)*VLOOKUP('Données projet'!$B$10,Paramètres!$A$1:$I$89,5,0)</f>
        <v>269.58893000000012</v>
      </c>
      <c r="AK51" s="13">
        <f t="shared" si="35"/>
        <v>64.762022124596854</v>
      </c>
      <c r="AL51" s="20">
        <f t="shared" si="4"/>
        <v>582.32790828367308</v>
      </c>
      <c r="AM51" s="59">
        <f t="shared" si="5"/>
        <v>866.16361010156675</v>
      </c>
      <c r="AN51" s="59">
        <f ca="1">AVERAGE(OFFSET($AM$3,0,0,'Données projet'!$E$10+1,1))-AVERAGE(OFFSET($H$3,0,0,'Données projet'!$E$10+1,1))</f>
        <v>391.55758836264408</v>
      </c>
      <c r="AO51" s="59">
        <f t="shared" si="36"/>
        <v>360.80727659978777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46.638830415728229</v>
      </c>
      <c r="AV51" s="21">
        <f>EXP(-LN(2)/25)*AV50+(1-EXP(-LN(2)/25))/(LN(2)/25)*Calculateur!AQ51*Calculateur!AS51*VLOOKUP('Données projet'!$B$10,Paramètres!$A$1:$I$89,3,0)*0.475*44/12</f>
        <v>22.227593424419961</v>
      </c>
      <c r="AW51" s="21">
        <f>EXP(-LN(2)/2)*AW50+(1-EXP(-LN(2)/2))/(LN(2)/2)*AQ51*AT51*VLOOKUP('Données projet'!$B$10,Paramètres!$A$1:$I$89,3,0)*0.475*44/12</f>
        <v>1.7214108841386284</v>
      </c>
      <c r="AX51" s="21">
        <f t="shared" si="6"/>
        <v>70.587834724286822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22.8</v>
      </c>
      <c r="BD51" s="12">
        <f>IF('Données projet'!$A$88&gt;35,BD50+BC51-BL50,IF(A51&lt;'Données projet'!$A$88,$BA$205^A51,IF(A51='Données projet'!$A$88,'Données projet'!$B$88,BD50+BC51-BL50)))</f>
        <v>503.39999999999986</v>
      </c>
      <c r="BE51" s="13">
        <f>BD51*VLOOKUP('Données projet'!$B$11,Paramètres!$A$1:$I$89,3,0)*VLOOKUP('Données projet'!$B$11,Paramètres!$A$1:$I$89,5,0)</f>
        <v>222.50279999999998</v>
      </c>
      <c r="BF51" s="13">
        <f t="shared" si="37"/>
        <v>54.65849828468945</v>
      </c>
      <c r="BG51" s="20">
        <f t="shared" si="7"/>
        <v>482.72259451250079</v>
      </c>
      <c r="BH51" s="59">
        <f t="shared" si="8"/>
        <v>766.55829633039434</v>
      </c>
      <c r="BI51" s="59">
        <f ca="1">AVERAGE(OFFSET($BH$3,0,0,'Données projet'!$E$11+1,1))-AVERAGE(OFFSET($H$3,0,0,'Données projet'!$E$11+1,1))</f>
        <v>400.11184625063709</v>
      </c>
      <c r="BJ51" s="59">
        <f t="shared" si="38"/>
        <v>340.02906159605971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26.75670422420696</v>
      </c>
      <c r="BQ51" s="21">
        <f>EXP(-LN(2)/25)*BQ50+(1-EXP(-LN(2)/25))/(LN(2)/25)*Calculateur!BL51*Calculateur!BN51*VLOOKUP('Données projet'!$B$11,Paramètres!$A$1:$I$89,3,0)*0.475*44/12</f>
        <v>23.720412296399729</v>
      </c>
      <c r="BR51" s="21">
        <f>EXP(-LN(2)/2)*BR50+(1-EXP(-LN(2)/2))/(LN(2)/2)*BL51*BO51*VLOOKUP('Données projet'!$B$11,Paramètres!$A$1:$I$89,3,0)*0.475*44/12</f>
        <v>3.1381331135050519</v>
      </c>
      <c r="BS51" s="22">
        <f t="shared" si="9"/>
        <v>53.615249634111734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10.110000000000001</v>
      </c>
      <c r="BY51" s="12">
        <f>IF('Données projet'!$A$114&gt;35,BY50+BX51-CG50,IF(A51&lt;'Données projet'!$A$114,$BV$205^A51,IF(A51='Données projet'!$A$114,'Données projet'!$B$114,BY50+BX51-CG50)))</f>
        <v>188.11000000000018</v>
      </c>
      <c r="BZ51" s="13">
        <f>BY51*VLOOKUP('Données projet'!$B$12,Paramètres!$A$1:$I$89,3,0)*VLOOKUP('Données projet'!$B$12,Paramètres!$A$1:$I$89,5,0)</f>
        <v>126.18418800000013</v>
      </c>
      <c r="CA51" s="13">
        <f t="shared" si="39"/>
        <v>33.113114246601818</v>
      </c>
      <c r="CB51" s="20">
        <f t="shared" si="10"/>
        <v>277.44280141283173</v>
      </c>
      <c r="CC51" s="59">
        <f t="shared" si="11"/>
        <v>561.27850323072539</v>
      </c>
      <c r="CD51" s="59">
        <f ca="1">AVERAGE(OFFSET($CC$3,0,0,'Données projet'!$E$12+1,1))-AVERAGE(OFFSET($H$3,0,0,'Données projet'!$E$12+1,1))</f>
        <v>493.98227954109774</v>
      </c>
      <c r="CE51" s="59">
        <f t="shared" si="40"/>
        <v>224.32736097997289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11.803289469398615</v>
      </c>
      <c r="CM51" s="21">
        <f>EXP(-LN(2)/2)*CM50+(1-EXP(-LN(2)/2))/(LN(2)/2)*CG51*CJ51*VLOOKUP('Données projet'!$B$12,Paramètres!$A$1:$I$89,3,0)*0.475*44/12</f>
        <v>0.70427934239156986</v>
      </c>
      <c r="CN51" s="22">
        <f t="shared" si="12"/>
        <v>12.507568811790186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10.110000000000001</v>
      </c>
      <c r="CT51" s="12">
        <f>IF('Données projet'!$A$140&gt;35,CT50+CS51-DB50,IF(A51&lt;'Données projet'!$A$140,$CQ$205^A51,IF(A51='Données projet'!$A$140,'Données projet'!$B$140,CT50+CS51-DB50)))</f>
        <v>188.11000000000018</v>
      </c>
      <c r="CU51" s="17">
        <f>CT51*VLOOKUP('Données projet'!$B$13,Paramètres!$A$1:$I$89,3,0)*VLOOKUP('Données projet'!$B$13,Paramètres!$A$1:$I$89,5,0)</f>
        <v>179.00547600000019</v>
      </c>
      <c r="CV51" s="13">
        <f t="shared" si="41"/>
        <v>45.100851602834986</v>
      </c>
      <c r="CW51" s="20">
        <f t="shared" si="13"/>
        <v>390.31852057493785</v>
      </c>
      <c r="CX51" s="59">
        <f t="shared" si="14"/>
        <v>674.15422239283146</v>
      </c>
      <c r="CY51" s="59">
        <f ca="1">AVERAGE(OFFSET($CX$3,0,0,'Données projet'!$E$13+1,1))-AVERAGE(OFFSET($H$3,0,0,'Données projet'!$E$13+1,1))</f>
        <v>677.13548994240728</v>
      </c>
      <c r="CZ51" s="59">
        <f t="shared" si="42"/>
        <v>298.72429542440534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13.584918068553122</v>
      </c>
      <c r="DH51" s="21">
        <f>EXP(-LN(2)/2)*DH50+(1-EXP(-LN(2)/2))/(LN(2)/2)*DB51*DE51*VLOOKUP('Données projet'!$B$13,Paramètres!$A$1:$I$89,3,0)*0.475*44/12</f>
        <v>0.99909395083455232</v>
      </c>
      <c r="DI51" s="22">
        <f t="shared" si="15"/>
        <v>14.584012019387675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67.409736859425522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1.2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4.3999999999999995</v>
      </c>
      <c r="H52" s="67">
        <f t="shared" si="1"/>
        <v>239.06666666666669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675.05144302550173</v>
      </c>
      <c r="S52" s="59">
        <f ca="1">AVERAGE(OFFSET($R$3,0,0,'Données projet'!$E$9+1,1))-AVERAGE(OFFSET($H$3,0,0,'Données projet'!$E$9+1,1))</f>
        <v>646.69588445509589</v>
      </c>
      <c r="T52" s="59">
        <f t="shared" si="34"/>
        <v>286.36346771084698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504.24</v>
      </c>
      <c r="AG52" s="12">
        <f>VLOOKUP(A52,'Données projet'!$A$61:$I$81,9,0)</f>
        <v>21.970000000000002</v>
      </c>
      <c r="AH52" s="12">
        <f t="array" ref="AH52">INDEX(AG:AG,MIN(IF(ISNUMBER(AG52:AG248),ROW(AG52:AG248),"")))</f>
        <v>21.970000000000002</v>
      </c>
      <c r="AI52" s="13">
        <f>IF('Données projet'!$A$62&gt;35,AI51+AH52-AQ51,IF(A52&lt;'Données projet'!$A$62,$AF$205^A52,IF(A52='Données projet'!$A$62,'Données projet'!$B$62,AI51+AH52-AQ51)))</f>
        <v>504.24000000000024</v>
      </c>
      <c r="AJ52" s="13">
        <f>AI52*VLOOKUP('Données projet'!$B$10,Paramètres!$A$1:$I$89,3,0)*VLOOKUP('Données projet'!$B$10,Paramètres!$A$1:$I$89,5,0)</f>
        <v>281.87016000000011</v>
      </c>
      <c r="AK52" s="13">
        <f t="shared" si="35"/>
        <v>67.362074198579379</v>
      </c>
      <c r="AL52" s="20">
        <f t="shared" si="4"/>
        <v>608.24614122919252</v>
      </c>
      <c r="AM52" s="59">
        <f t="shared" si="5"/>
        <v>892.246605720356</v>
      </c>
      <c r="AN52" s="59">
        <f ca="1">AVERAGE(OFFSET($AM$3,0,0,'Données projet'!$E$10+1,1))-AVERAGE(OFFSET($H$3,0,0,'Données projet'!$E$10+1,1))</f>
        <v>391.55758836264408</v>
      </c>
      <c r="AO52" s="59">
        <f t="shared" si="36"/>
        <v>360.80727659978777</v>
      </c>
      <c r="AP52" s="15">
        <f>IF(ISNA(VLOOKUP(A52,'Données projet'!$A$61:$I$81,3,0)),0,VLOOKUP(A52,'Données projet'!$A$61:$I$81,3,0))</f>
        <v>5</v>
      </c>
      <c r="AQ52" s="15">
        <f>IF(ISNA(VLOOKUP(A52,'Données projet'!$A$61:$I$81,4,0)),0,VLOOKUP(A52,'Données projet'!$A$61:$I$81,4,0))</f>
        <v>112.69999999999999</v>
      </c>
      <c r="AR52" s="16">
        <f>IF(ISNA(VLOOKUP(A52,'Données projet'!$A$61:$I$81,5,0)),0%,VLOOKUP(A52,'Données projet'!$A$61:$I$81,5,0)*VLOOKUP('Données projet'!$B$10,Paramètres!$A$1:$I$89,7,0))</f>
        <v>0.33</v>
      </c>
      <c r="AS52" s="16">
        <f>IF(ISNA(VLOOKUP(A52,'Données projet'!$A$61:$I$81,6,0)),0%,VLOOKUP(A52,'Données projet'!$A$61:$I$81,6,0)*VLOOKUP('Données projet'!$B$10,Paramètres!$A$1:$I$89,7,0))</f>
        <v>0.11000000000000001</v>
      </c>
      <c r="AT52" s="16">
        <f>IF(ISNA(VLOOKUP(A52,'Données projet'!$A$61:$I$81,7,0)),0%,VLOOKUP(A52,'Données projet'!$A$61:$I$81,7,0))</f>
        <v>0.2</v>
      </c>
      <c r="AU52" s="21">
        <f>EXP(-LN(2)/35)*AU51+(1-EXP(-LN(2)/35))/(LN(2)/35)*AQ52*AR52*VLOOKUP('Données projet'!$B$10,Paramètres!$A$1:$I$89,3,0)*0.475*44/12</f>
        <v>73.303239990352296</v>
      </c>
      <c r="AV52" s="21">
        <f>EXP(-LN(2)/25)*AV51+(1-EXP(-LN(2)/25))/(LN(2)/25)*Calculateur!AQ52*Calculateur!AS52*VLOOKUP('Données projet'!$B$10,Paramètres!$A$1:$I$89,3,0)*0.475*44/12</f>
        <v>30.776571941477684</v>
      </c>
      <c r="AW52" s="21">
        <f>EXP(-LN(2)/2)*AW51+(1-EXP(-LN(2)/2))/(LN(2)/2)*AQ52*AT52*VLOOKUP('Données projet'!$B$10,Paramètres!$A$1:$I$89,3,0)*0.475*44/12</f>
        <v>15.483189745694569</v>
      </c>
      <c r="AX52" s="21">
        <f t="shared" si="6"/>
        <v>119.56300167752455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22.8</v>
      </c>
      <c r="BD52" s="12">
        <f>IF('Données projet'!$A$88&gt;35,BD51+BC52-BL51,IF(A52&lt;'Données projet'!$A$88,$BA$205^A52,IF(A52='Données projet'!$A$88,'Données projet'!$B$88,BD51+BC52-BL51)))</f>
        <v>526.19999999999982</v>
      </c>
      <c r="BE52" s="13">
        <f>BD52*VLOOKUP('Données projet'!$B$11,Paramètres!$A$1:$I$89,3,0)*VLOOKUP('Données projet'!$B$11,Paramètres!$A$1:$I$89,5,0)</f>
        <v>232.58039999999994</v>
      </c>
      <c r="BF52" s="13">
        <f t="shared" si="37"/>
        <v>56.840261542288928</v>
      </c>
      <c r="BG52" s="20">
        <f t="shared" si="7"/>
        <v>504.07431885281977</v>
      </c>
      <c r="BH52" s="59">
        <f t="shared" si="8"/>
        <v>788.0747833439832</v>
      </c>
      <c r="BI52" s="59">
        <f ca="1">AVERAGE(OFFSET($BH$3,0,0,'Données projet'!$E$11+1,1))-AVERAGE(OFFSET($H$3,0,0,'Données projet'!$E$11+1,1))</f>
        <v>400.11184625063709</v>
      </c>
      <c r="BJ52" s="59">
        <f t="shared" si="38"/>
        <v>340.02906159605971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26.232021574348373</v>
      </c>
      <c r="BQ52" s="21">
        <f>EXP(-LN(2)/25)*BQ51+(1-EXP(-LN(2)/25))/(LN(2)/25)*Calculateur!BL52*Calculateur!BN52*VLOOKUP('Données projet'!$B$11,Paramètres!$A$1:$I$89,3,0)*0.475*44/12</f>
        <v>23.07177637475241</v>
      </c>
      <c r="BR52" s="21">
        <f>EXP(-LN(2)/2)*BR51+(1-EXP(-LN(2)/2))/(LN(2)/2)*BL52*BO52*VLOOKUP('Données projet'!$B$11,Paramètres!$A$1:$I$89,3,0)*0.475*44/12</f>
        <v>2.2189952048254762</v>
      </c>
      <c r="BS52" s="22">
        <f t="shared" si="9"/>
        <v>51.522793153926258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10.110000000000001</v>
      </c>
      <c r="BY52" s="12">
        <f>IF('Données projet'!$A$114&gt;35,BY51+BX52-CG51,IF(A52&lt;'Données projet'!$A$114,$BV$205^A52,IF(A52='Données projet'!$A$114,'Données projet'!$B$114,BY51+BX52-CG51)))</f>
        <v>198.2200000000002</v>
      </c>
      <c r="BZ52" s="13">
        <f>BY52*VLOOKUP('Données projet'!$B$12,Paramètres!$A$1:$I$89,3,0)*VLOOKUP('Données projet'!$B$12,Paramètres!$A$1:$I$89,5,0)</f>
        <v>132.96597600000013</v>
      </c>
      <c r="CA52" s="13">
        <f t="shared" si="39"/>
        <v>34.680806898996707</v>
      </c>
      <c r="CB52" s="20">
        <f t="shared" si="10"/>
        <v>291.98481354908614</v>
      </c>
      <c r="CC52" s="59">
        <f t="shared" si="11"/>
        <v>575.98527804024957</v>
      </c>
      <c r="CD52" s="59">
        <f ca="1">AVERAGE(OFFSET($CC$3,0,0,'Données projet'!$E$12+1,1))-AVERAGE(OFFSET($H$3,0,0,'Données projet'!$E$12+1,1))</f>
        <v>493.98227954109774</v>
      </c>
      <c r="CE52" s="59">
        <f t="shared" si="40"/>
        <v>224.32736097997289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11.480527898149894</v>
      </c>
      <c r="CM52" s="21">
        <f>EXP(-LN(2)/2)*CM51+(1-EXP(-LN(2)/2))/(LN(2)/2)*CG52*CJ52*VLOOKUP('Données projet'!$B$12,Paramètres!$A$1:$I$89,3,0)*0.475*44/12</f>
        <v>0.4980006988546814</v>
      </c>
      <c r="CN52" s="22">
        <f t="shared" si="12"/>
        <v>11.978528597004576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10.110000000000001</v>
      </c>
      <c r="CT52" s="12">
        <f>IF('Données projet'!$A$140&gt;35,CT51+CS52-DB51,IF(A52&lt;'Données projet'!$A$140,$CQ$205^A52,IF(A52='Données projet'!$A$140,'Données projet'!$B$140,CT51+CS52-DB51)))</f>
        <v>198.2200000000002</v>
      </c>
      <c r="CU52" s="17">
        <f>CT52*VLOOKUP('Données projet'!$B$13,Paramètres!$A$1:$I$89,3,0)*VLOOKUP('Données projet'!$B$13,Paramètres!$A$1:$I$89,5,0)</f>
        <v>188.62615200000019</v>
      </c>
      <c r="CV52" s="13">
        <f t="shared" si="41"/>
        <v>47.236086396758743</v>
      </c>
      <c r="CW52" s="20">
        <f t="shared" si="13"/>
        <v>410.79339854102176</v>
      </c>
      <c r="CX52" s="59">
        <f t="shared" si="14"/>
        <v>694.79386303218519</v>
      </c>
      <c r="CY52" s="59">
        <f ca="1">AVERAGE(OFFSET($CX$3,0,0,'Données projet'!$E$13+1,1))-AVERAGE(OFFSET($H$3,0,0,'Données projet'!$E$13+1,1))</f>
        <v>677.13548994240728</v>
      </c>
      <c r="CZ52" s="59">
        <f t="shared" si="42"/>
        <v>298.72429542440534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13.213437769568745</v>
      </c>
      <c r="DH52" s="21">
        <f>EXP(-LN(2)/2)*DH51+(1-EXP(-LN(2)/2))/(LN(2)/2)*DB52*DE52*VLOOKUP('Données projet'!$B$13,Paramètres!$A$1:$I$89,3,0)*0.475*44/12</f>
        <v>0.70646610767757112</v>
      </c>
      <c r="DI52" s="22">
        <f t="shared" si="15"/>
        <v>13.919903877246316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67.454672133953665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1.2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4.3999999999999995</v>
      </c>
      <c r="H53" s="67">
        <f t="shared" si="1"/>
        <v>239.06666666666669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694.68101868305598</v>
      </c>
      <c r="S53" s="59">
        <f ca="1">AVERAGE(OFFSET($R$3,0,0,'Données projet'!$E$9+1,1))-AVERAGE(OFFSET($H$3,0,0,'Données projet'!$E$9+1,1))</f>
        <v>646.69588445509589</v>
      </c>
      <c r="T53" s="59">
        <f t="shared" si="34"/>
        <v>286.36346771084698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20.355714285714278</v>
      </c>
      <c r="AI53" s="13">
        <f>IF('Données projet'!$A$62&gt;35,AI52+AH53-AQ52,IF(A53&lt;'Données projet'!$A$62,$AF$205^A53,IF(A53='Données projet'!$A$62,'Données projet'!$B$62,AI52+AH53-AQ52)))</f>
        <v>411.89571428571452</v>
      </c>
      <c r="AJ53" s="13">
        <f>AI53*VLOOKUP('Données projet'!$B$10,Paramètres!$A$1:$I$89,3,0)*VLOOKUP('Données projet'!$B$10,Paramètres!$A$1:$I$89,5,0)</f>
        <v>230.24970428571442</v>
      </c>
      <c r="AK53" s="13">
        <f t="shared" si="35"/>
        <v>56.336670025642462</v>
      </c>
      <c r="AL53" s="20">
        <f t="shared" si="4"/>
        <v>499.13793525894647</v>
      </c>
      <c r="AM53" s="59">
        <f t="shared" si="5"/>
        <v>783.30030415935266</v>
      </c>
      <c r="AN53" s="59">
        <f ca="1">AVERAGE(OFFSET($AM$3,0,0,'Données projet'!$E$10+1,1))-AVERAGE(OFFSET($H$3,0,0,'Données projet'!$E$10+1,1))</f>
        <v>391.55758836264408</v>
      </c>
      <c r="AO53" s="59">
        <f t="shared" si="36"/>
        <v>360.80727659978777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71.865808164703083</v>
      </c>
      <c r="AV53" s="21">
        <f>EXP(-LN(2)/25)*AV52+(1-EXP(-LN(2)/25))/(LN(2)/25)*Calculateur!AQ53*Calculateur!AS53*VLOOKUP('Données projet'!$B$10,Paramètres!$A$1:$I$89,3,0)*0.475*44/12</f>
        <v>29.934984963268398</v>
      </c>
      <c r="AW53" s="21">
        <f>EXP(-LN(2)/2)*AW52+(1-EXP(-LN(2)/2))/(LN(2)/2)*AQ53*AT53*VLOOKUP('Données projet'!$B$10,Paramètres!$A$1:$I$89,3,0)*0.475*44/12</f>
        <v>10.948268463578646</v>
      </c>
      <c r="AX53" s="21">
        <f t="shared" si="6"/>
        <v>112.74906159155012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549</v>
      </c>
      <c r="BB53" s="12">
        <f>VLOOKUP(A53,'Données projet'!$A$87:$I$107,9,0)</f>
        <v>22.8</v>
      </c>
      <c r="BC53" s="12">
        <f t="array" ref="BC53">INDEX(BB:BB,MIN(IF(ISNUMBER(BB53:BB249),ROW(BB53:BB249),"")))</f>
        <v>22.8</v>
      </c>
      <c r="BD53" s="12">
        <f>IF('Données projet'!$A$88&gt;35,BD52+BC53-BL52,IF(A53&lt;'Données projet'!$A$88,$BA$205^A53,IF(A53='Données projet'!$A$88,'Données projet'!$B$88,BD52+BC53-BL52)))</f>
        <v>548.99999999999977</v>
      </c>
      <c r="BE53" s="13">
        <f>BD53*VLOOKUP('Données projet'!$B$11,Paramètres!$A$1:$I$89,3,0)*VLOOKUP('Données projet'!$B$11,Paramètres!$A$1:$I$89,5,0)</f>
        <v>242.65799999999993</v>
      </c>
      <c r="BF53" s="13">
        <f t="shared" si="37"/>
        <v>59.011045025839607</v>
      </c>
      <c r="BG53" s="20">
        <f t="shared" si="7"/>
        <v>525.40692008667054</v>
      </c>
      <c r="BH53" s="59">
        <f t="shared" si="8"/>
        <v>809.56928898707667</v>
      </c>
      <c r="BI53" s="59">
        <f ca="1">AVERAGE(OFFSET($BH$3,0,0,'Données projet'!$E$11+1,1))-AVERAGE(OFFSET($H$3,0,0,'Données projet'!$E$11+1,1))</f>
        <v>400.11184625063709</v>
      </c>
      <c r="BJ53" s="59">
        <f t="shared" si="38"/>
        <v>340.02906159605971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63</v>
      </c>
      <c r="BM53" s="16">
        <f>IF(ISNA(VLOOKUP(A53,'Données projet'!$A$87:$I$107,5,0)),0%,VLOOKUP(A53,'Données projet'!$A$87:$I$107,5,0)*VLOOKUP('Données projet'!$B$11,Paramètres!$A$1:$I$89,7,0))</f>
        <v>0.33</v>
      </c>
      <c r="BN53" s="16">
        <f>IF(ISNA(VLOOKUP(A53,'Données projet'!$A$87:$I$107,6,0)),0%,VLOOKUP(A53,'Données projet'!$A$87:$I$107,6,0)*VLOOKUP('Données projet'!$B$11,Paramètres!$A$1:$I$89,7,0))</f>
        <v>0.11000000000000001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37.907667193864611</v>
      </c>
      <c r="BQ53" s="21">
        <f>EXP(-LN(2)/25)*BQ52+(1-EXP(-LN(2)/25))/(LN(2)/25)*Calculateur!BL53*Calculateur!BN53*VLOOKUP('Données projet'!$B$11,Paramètres!$A$1:$I$89,3,0)*0.475*44/12</f>
        <v>26.488225013862348</v>
      </c>
      <c r="BR53" s="21">
        <f>EXP(-LN(2)/2)*BR52+(1-EXP(-LN(2)/2))/(LN(2)/2)*BL53*BO53*VLOOKUP('Données projet'!$B$11,Paramètres!$A$1:$I$89,3,0)*0.475*44/12</f>
        <v>7.8746946681369208</v>
      </c>
      <c r="BS53" s="22">
        <f t="shared" si="9"/>
        <v>72.270586875863884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10.110000000000001</v>
      </c>
      <c r="BX53" s="12">
        <f t="array" ref="BX53">INDEX(BW:BW,MIN(IF(ISNUMBER(BW53:BW249),ROW(BW53:BW249),"")))</f>
        <v>10.110000000000001</v>
      </c>
      <c r="BY53" s="12">
        <f>IF('Données projet'!$A$114&gt;35,BY52+BX53-CG52,IF(A53&lt;'Données projet'!$A$114,$BV$205^A53,IF(A53='Données projet'!$A$114,'Données projet'!$B$114,BY52+BX53-CG52)))</f>
        <v>208.33000000000021</v>
      </c>
      <c r="BZ53" s="13">
        <f>BY53*VLOOKUP('Données projet'!$B$12,Paramètres!$A$1:$I$89,3,0)*VLOOKUP('Données projet'!$B$12,Paramètres!$A$1:$I$89,5,0)</f>
        <v>139.74776400000013</v>
      </c>
      <c r="CA53" s="13">
        <f t="shared" si="39"/>
        <v>36.23921570626387</v>
      </c>
      <c r="CB53" s="20">
        <f t="shared" si="10"/>
        <v>306.51065632174317</v>
      </c>
      <c r="CC53" s="59">
        <f t="shared" si="11"/>
        <v>590.67302522214936</v>
      </c>
      <c r="CD53" s="59">
        <f ca="1">AVERAGE(OFFSET($CC$3,0,0,'Données projet'!$E$12+1,1))-AVERAGE(OFFSET($H$3,0,0,'Données projet'!$E$12+1,1))</f>
        <v>493.98227954109774</v>
      </c>
      <c r="CE53" s="59">
        <f t="shared" si="40"/>
        <v>224.32736097997289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37.54000000000002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0.42400000000000004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22.923332723723973</v>
      </c>
      <c r="CM53" s="21">
        <f>EXP(-LN(2)/2)*CM52+(1-EXP(-LN(2)/2))/(LN(2)/2)*CG53*CJ53*VLOOKUP('Données projet'!$B$12,Paramètres!$A$1:$I$89,3,0)*0.475*44/12</f>
        <v>5.1040869214100351</v>
      </c>
      <c r="CN53" s="22">
        <f t="shared" si="12"/>
        <v>28.02741964513401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10.110000000000001</v>
      </c>
      <c r="CS53" s="12">
        <f t="array" ref="CS53">INDEX(CR:CR,MIN(IF(ISNUMBER(CR53:CR249),ROW(CR53:CR249),"")))</f>
        <v>10.110000000000001</v>
      </c>
      <c r="CT53" s="12">
        <f>IF('Données projet'!$A$140&gt;35,CT52+CS53-DB52,IF(A53&lt;'Données projet'!$A$140,$CQ$205^A53,IF(A53='Données projet'!$A$140,'Données projet'!$B$140,CT52+CS53-DB52)))</f>
        <v>208.33000000000021</v>
      </c>
      <c r="CU53" s="17">
        <f>CT53*VLOOKUP('Données projet'!$B$13,Paramètres!$A$1:$I$89,3,0)*VLOOKUP('Données projet'!$B$13,Paramètres!$A$1:$I$89,5,0)</f>
        <v>198.24682800000019</v>
      </c>
      <c r="CV53" s="13">
        <f t="shared" si="41"/>
        <v>49.358676372128407</v>
      </c>
      <c r="CW53" s="20">
        <f t="shared" si="13"/>
        <v>431.24625344812392</v>
      </c>
      <c r="CX53" s="59">
        <f t="shared" si="14"/>
        <v>715.40862234853012</v>
      </c>
      <c r="CY53" s="59">
        <f ca="1">AVERAGE(OFFSET($CX$3,0,0,'Données projet'!$E$13+1,1))-AVERAGE(OFFSET($H$3,0,0,'Données projet'!$E$13+1,1))</f>
        <v>677.13548994240728</v>
      </c>
      <c r="CZ53" s="59">
        <f t="shared" si="42"/>
        <v>298.72429542440534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37.54000000000002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0.34400000000000003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26.383458417870983</v>
      </c>
      <c r="DH53" s="21">
        <f>EXP(-LN(2)/2)*DH52+(1-EXP(-LN(2)/2))/(LN(2)/2)*DB53*DE53*VLOOKUP('Données projet'!$B$13,Paramètres!$A$1:$I$89,3,0)*0.475*44/12</f>
        <v>7.2406814466514442</v>
      </c>
      <c r="DI53" s="22">
        <f t="shared" si="15"/>
        <v>33.624139864522427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67.498827881928946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1.2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4.3999999999999995</v>
      </c>
      <c r="H54" s="67">
        <f t="shared" si="1"/>
        <v>239.06666666666669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642.46147395700109</v>
      </c>
      <c r="S54" s="59">
        <f ca="1">AVERAGE(OFFSET($R$3,0,0,'Données projet'!$E$9+1,1))-AVERAGE(OFFSET($H$3,0,0,'Données projet'!$E$9+1,1))</f>
        <v>646.69588445509589</v>
      </c>
      <c r="T54" s="59">
        <f t="shared" si="34"/>
        <v>286.36346771084698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20.355714285714278</v>
      </c>
      <c r="AI54" s="13">
        <f>IF('Données projet'!$A$62&gt;35,AI53+AH54-AQ53,IF(A54&lt;'Données projet'!$A$62,$AF$205^A54,IF(A54='Données projet'!$A$62,'Données projet'!$B$62,AI53+AH54-AQ53)))</f>
        <v>432.25142857142879</v>
      </c>
      <c r="AJ54" s="13">
        <f>AI54*VLOOKUP('Données projet'!$B$10,Paramètres!$A$1:$I$89,3,0)*VLOOKUP('Données projet'!$B$10,Paramètres!$A$1:$I$89,5,0)</f>
        <v>241.62854857142869</v>
      </c>
      <c r="AK54" s="13">
        <f t="shared" si="35"/>
        <v>58.789782611687855</v>
      </c>
      <c r="AL54" s="20">
        <f t="shared" si="4"/>
        <v>523.22859347726126</v>
      </c>
      <c r="AM54" s="59">
        <f t="shared" si="5"/>
        <v>807.55005810737384</v>
      </c>
      <c r="AN54" s="59">
        <f ca="1">AVERAGE(OFFSET($AM$3,0,0,'Données projet'!$E$10+1,1))-AVERAGE(OFFSET($H$3,0,0,'Données projet'!$E$10+1,1))</f>
        <v>391.55758836264408</v>
      </c>
      <c r="AO54" s="59">
        <f t="shared" si="36"/>
        <v>360.80727659978777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70.456563500408009</v>
      </c>
      <c r="AV54" s="21">
        <f>EXP(-LN(2)/25)*AV53+(1-EXP(-LN(2)/25))/(LN(2)/25)*Calculateur!AQ54*Calculateur!AS54*VLOOKUP('Données projet'!$B$10,Paramètres!$A$1:$I$89,3,0)*0.475*44/12</f>
        <v>29.116411225235382</v>
      </c>
      <c r="AW54" s="21">
        <f>EXP(-LN(2)/2)*AW53+(1-EXP(-LN(2)/2))/(LN(2)/2)*AQ54*AT54*VLOOKUP('Données projet'!$B$10,Paramètres!$A$1:$I$89,3,0)*0.475*44/12</f>
        <v>7.7415948728472852</v>
      </c>
      <c r="AX54" s="21">
        <f t="shared" si="6"/>
        <v>107.31456959849068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21.6</v>
      </c>
      <c r="BD54" s="12">
        <f>IF('Données projet'!$A$88&gt;35,BD53+BC54-BL53,IF(A54&lt;'Données projet'!$A$88,$BA$205^A54,IF(A54='Données projet'!$A$88,'Données projet'!$B$88,BD53+BC54-BL53)))</f>
        <v>507.5999999999998</v>
      </c>
      <c r="BE54" s="13">
        <f>BD54*VLOOKUP('Données projet'!$B$11,Paramètres!$A$1:$I$89,3,0)*VLOOKUP('Données projet'!$B$11,Paramètres!$A$1:$I$89,5,0)</f>
        <v>224.35919999999993</v>
      </c>
      <c r="BF54" s="13">
        <f t="shared" si="37"/>
        <v>55.061251669487255</v>
      </c>
      <c r="BG54" s="20">
        <f t="shared" si="7"/>
        <v>486.65728665769012</v>
      </c>
      <c r="BH54" s="59">
        <f t="shared" si="8"/>
        <v>770.97875128780265</v>
      </c>
      <c r="BI54" s="59">
        <f ca="1">AVERAGE(OFFSET($BH$3,0,0,'Données projet'!$E$11+1,1))-AVERAGE(OFFSET($H$3,0,0,'Données projet'!$E$11+1,1))</f>
        <v>400.11184625063709</v>
      </c>
      <c r="BJ54" s="59">
        <f t="shared" si="38"/>
        <v>340.02906159605971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37.164320961586867</v>
      </c>
      <c r="BQ54" s="21">
        <f>EXP(-LN(2)/25)*BQ53+(1-EXP(-LN(2)/25))/(LN(2)/25)*Calculateur!BL54*Calculateur!BN54*VLOOKUP('Données projet'!$B$11,Paramètres!$A$1:$I$89,3,0)*0.475*44/12</f>
        <v>25.763903107903069</v>
      </c>
      <c r="BR54" s="21">
        <f>EXP(-LN(2)/2)*BR53+(1-EXP(-LN(2)/2))/(LN(2)/2)*BL54*BO54*VLOOKUP('Données projet'!$B$11,Paramètres!$A$1:$I$89,3,0)*0.475*44/12</f>
        <v>5.5682499996131662</v>
      </c>
      <c r="BS54" s="22">
        <f t="shared" si="9"/>
        <v>68.496474069103101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10.36375</v>
      </c>
      <c r="BY54" s="12">
        <f>IF('Données projet'!$A$114&gt;35,BY53+BX54-CG53,IF(A54&lt;'Données projet'!$A$114,$BV$205^A54,IF(A54='Données projet'!$A$114,'Données projet'!$B$114,BY53+BX54-CG53)))</f>
        <v>181.1537500000002</v>
      </c>
      <c r="BZ54" s="13">
        <f>BY54*VLOOKUP('Données projet'!$B$12,Paramètres!$A$1:$I$89,3,0)*VLOOKUP('Données projet'!$B$12,Paramètres!$A$1:$I$89,5,0)</f>
        <v>121.51793550000014</v>
      </c>
      <c r="CA54" s="13">
        <f t="shared" si="39"/>
        <v>32.028773401893382</v>
      </c>
      <c r="CB54" s="20">
        <f t="shared" si="10"/>
        <v>267.42718467079789</v>
      </c>
      <c r="CC54" s="59">
        <f t="shared" si="11"/>
        <v>551.74864930091053</v>
      </c>
      <c r="CD54" s="59">
        <f ca="1">AVERAGE(OFFSET($CC$3,0,0,'Données projet'!$E$12+1,1))-AVERAGE(OFFSET($H$3,0,0,'Données projet'!$E$12+1,1))</f>
        <v>493.98227954109774</v>
      </c>
      <c r="CE54" s="59">
        <f t="shared" si="40"/>
        <v>224.32736097997289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22.296492984908067</v>
      </c>
      <c r="CM54" s="21">
        <f>EXP(-LN(2)/2)*CM53+(1-EXP(-LN(2)/2))/(LN(2)/2)*CG54*CJ54*VLOOKUP('Données projet'!$B$12,Paramètres!$A$1:$I$89,3,0)*0.475*44/12</f>
        <v>3.609134473894605</v>
      </c>
      <c r="CN54" s="22">
        <f t="shared" si="12"/>
        <v>25.905627458802673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10.36375</v>
      </c>
      <c r="CT54" s="12">
        <f>IF('Données projet'!$A$140&gt;35,CT53+CS54-DB53,IF(A54&lt;'Données projet'!$A$140,$CQ$205^A54,IF(A54='Données projet'!$A$140,'Données projet'!$B$140,CT53+CS54-DB53)))</f>
        <v>181.1537500000002</v>
      </c>
      <c r="CU54" s="17">
        <f>CT54*VLOOKUP('Données projet'!$B$13,Paramètres!$A$1:$I$89,3,0)*VLOOKUP('Données projet'!$B$13,Paramètres!$A$1:$I$89,5,0)</f>
        <v>172.3859085000002</v>
      </c>
      <c r="CV54" s="13">
        <f t="shared" si="41"/>
        <v>43.623953502587391</v>
      </c>
      <c r="CW54" s="20">
        <f t="shared" si="13"/>
        <v>376.21717632117338</v>
      </c>
      <c r="CX54" s="59">
        <f t="shared" si="14"/>
        <v>660.53864095128597</v>
      </c>
      <c r="CY54" s="59">
        <f ca="1">AVERAGE(OFFSET($CX$3,0,0,'Données projet'!$E$13+1,1))-AVERAGE(OFFSET($H$3,0,0,'Données projet'!$E$13+1,1))</f>
        <v>677.13548994240728</v>
      </c>
      <c r="CZ54" s="59">
        <f t="shared" si="42"/>
        <v>298.72429542440534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25.662001359988523</v>
      </c>
      <c r="DH54" s="21">
        <f>EXP(-LN(2)/2)*DH53+(1-EXP(-LN(2)/2))/(LN(2)/2)*DB54*DE54*VLOOKUP('Données projet'!$B$13,Paramètres!$A$1:$I$89,3,0)*0.475*44/12</f>
        <v>5.1199349513388572</v>
      </c>
      <c r="DI54" s="22">
        <f t="shared" si="15"/>
        <v>30.781936311327378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67.542217626394347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1.2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4.3999999999999995</v>
      </c>
      <c r="H55" s="67">
        <f t="shared" si="1"/>
        <v>239.06666666666669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662.61100576744639</v>
      </c>
      <c r="S55" s="59">
        <f ca="1">AVERAGE(OFFSET($R$3,0,0,'Données projet'!$E$9+1,1))-AVERAGE(OFFSET($H$3,0,0,'Données projet'!$E$9+1,1))</f>
        <v>646.69588445509589</v>
      </c>
      <c r="T55" s="59">
        <f t="shared" si="34"/>
        <v>286.36346771084698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20.355714285714278</v>
      </c>
      <c r="AI55" s="13">
        <f>IF('Données projet'!$A$62&gt;35,AI54+AH55-AQ54,IF(A55&lt;'Données projet'!$A$62,$AF$205^A55,IF(A55='Données projet'!$A$62,'Données projet'!$B$62,AI54+AH55-AQ54)))</f>
        <v>452.60714285714306</v>
      </c>
      <c r="AJ55" s="13">
        <f>AI55*VLOOKUP('Données projet'!$B$10,Paramètres!$A$1:$I$89,3,0)*VLOOKUP('Données projet'!$B$10,Paramètres!$A$1:$I$89,5,0)</f>
        <v>253.007392857143</v>
      </c>
      <c r="AK55" s="13">
        <f t="shared" si="35"/>
        <v>61.229479905592257</v>
      </c>
      <c r="AL55" s="20">
        <f t="shared" si="4"/>
        <v>547.29588672843067</v>
      </c>
      <c r="AM55" s="59">
        <f t="shared" si="5"/>
        <v>831.77368713302394</v>
      </c>
      <c r="AN55" s="59">
        <f ca="1">AVERAGE(OFFSET($AM$3,0,0,'Données projet'!$E$10+1,1))-AVERAGE(OFFSET($H$3,0,0,'Données projet'!$E$10+1,1))</f>
        <v>391.55758836264408</v>
      </c>
      <c r="AO55" s="59">
        <f t="shared" si="36"/>
        <v>360.80727659978777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69.074953264425389</v>
      </c>
      <c r="AV55" s="21">
        <f>EXP(-LN(2)/25)*AV54+(1-EXP(-LN(2)/25))/(LN(2)/25)*Calculateur!AQ55*Calculateur!AS55*VLOOKUP('Données projet'!$B$10,Paramètres!$A$1:$I$89,3,0)*0.475*44/12</f>
        <v>28.320221429115801</v>
      </c>
      <c r="AW55" s="21">
        <f>EXP(-LN(2)/2)*AW54+(1-EXP(-LN(2)/2))/(LN(2)/2)*AQ55*AT55*VLOOKUP('Données projet'!$B$10,Paramètres!$A$1:$I$89,3,0)*0.475*44/12</f>
        <v>5.474134231789324</v>
      </c>
      <c r="AX55" s="21">
        <f t="shared" si="6"/>
        <v>102.86930892533051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21.6</v>
      </c>
      <c r="BD55" s="12">
        <f>IF('Données projet'!$A$88&gt;35,BD54+BC55-BL54,IF(A55&lt;'Données projet'!$A$88,$BA$205^A55,IF(A55='Données projet'!$A$88,'Données projet'!$B$88,BD54+BC55-BL54)))</f>
        <v>529.19999999999982</v>
      </c>
      <c r="BE55" s="13">
        <f>BD55*VLOOKUP('Données projet'!$B$11,Paramètres!$A$1:$I$89,3,0)*VLOOKUP('Données projet'!$B$11,Paramètres!$A$1:$I$89,5,0)</f>
        <v>233.90639999999993</v>
      </c>
      <c r="BF55" s="13">
        <f t="shared" si="37"/>
        <v>57.126506840778347</v>
      </c>
      <c r="BG55" s="20">
        <f t="shared" si="7"/>
        <v>506.8823127476889</v>
      </c>
      <c r="BH55" s="59">
        <f t="shared" si="8"/>
        <v>791.36011315228222</v>
      </c>
      <c r="BI55" s="59">
        <f ca="1">AVERAGE(OFFSET($BH$3,0,0,'Données projet'!$E$11+1,1))-AVERAGE(OFFSET($H$3,0,0,'Données projet'!$E$11+1,1))</f>
        <v>400.11184625063709</v>
      </c>
      <c r="BJ55" s="59">
        <f t="shared" si="38"/>
        <v>340.02906159605971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36.435551295527659</v>
      </c>
      <c r="BQ55" s="21">
        <f>EXP(-LN(2)/25)*BQ54+(1-EXP(-LN(2)/25))/(LN(2)/25)*Calculateur!BL55*Calculateur!BN55*VLOOKUP('Données projet'!$B$11,Paramètres!$A$1:$I$89,3,0)*0.475*44/12</f>
        <v>25.059387822552679</v>
      </c>
      <c r="BR55" s="21">
        <f>EXP(-LN(2)/2)*BR54+(1-EXP(-LN(2)/2))/(LN(2)/2)*BL55*BO55*VLOOKUP('Données projet'!$B$11,Paramètres!$A$1:$I$89,3,0)*0.475*44/12</f>
        <v>3.9373473340684608</v>
      </c>
      <c r="BS55" s="22">
        <f t="shared" si="9"/>
        <v>65.432286452148801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10.36375</v>
      </c>
      <c r="BY55" s="12">
        <f>IF('Données projet'!$A$114&gt;35,BY54+BX55-CG54,IF(A55&lt;'Données projet'!$A$114,$BV$205^A55,IF(A55='Données projet'!$A$114,'Données projet'!$B$114,BY54+BX55-CG54)))</f>
        <v>191.51750000000021</v>
      </c>
      <c r="BZ55" s="13">
        <f>BY55*VLOOKUP('Données projet'!$B$12,Paramètres!$A$1:$I$89,3,0)*VLOOKUP('Données projet'!$B$12,Paramètres!$A$1:$I$89,5,0)</f>
        <v>128.46993900000012</v>
      </c>
      <c r="CA55" s="13">
        <f t="shared" si="39"/>
        <v>33.642563909543981</v>
      </c>
      <c r="CB55" s="20">
        <f t="shared" si="10"/>
        <v>282.34594256745601</v>
      </c>
      <c r="CC55" s="59">
        <f t="shared" si="11"/>
        <v>566.82374297204933</v>
      </c>
      <c r="CD55" s="59">
        <f ca="1">AVERAGE(OFFSET($CC$3,0,0,'Données projet'!$E$12+1,1))-AVERAGE(OFFSET($H$3,0,0,'Données projet'!$E$12+1,1))</f>
        <v>493.98227954109774</v>
      </c>
      <c r="CE55" s="59">
        <f t="shared" si="40"/>
        <v>224.32736097997289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21.686794211714147</v>
      </c>
      <c r="CM55" s="21">
        <f>EXP(-LN(2)/2)*CM54+(1-EXP(-LN(2)/2))/(LN(2)/2)*CG55*CJ55*VLOOKUP('Données projet'!$B$12,Paramètres!$A$1:$I$89,3,0)*0.475*44/12</f>
        <v>2.552043460705018</v>
      </c>
      <c r="CN55" s="22">
        <f t="shared" si="12"/>
        <v>24.238837672419166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10.36375</v>
      </c>
      <c r="CT55" s="12">
        <f>IF('Données projet'!$A$140&gt;35,CT54+CS55-DB54,IF(A55&lt;'Données projet'!$A$140,$CQ$205^A55,IF(A55='Données projet'!$A$140,'Données projet'!$B$140,CT54+CS55-DB54)))</f>
        <v>191.51750000000021</v>
      </c>
      <c r="CU55" s="17">
        <f>CT55*VLOOKUP('Données projet'!$B$13,Paramètres!$A$1:$I$89,3,0)*VLOOKUP('Données projet'!$B$13,Paramètres!$A$1:$I$89,5,0)</f>
        <v>182.2480530000002</v>
      </c>
      <c r="CV55" s="13">
        <f t="shared" si="41"/>
        <v>45.821974675153001</v>
      </c>
      <c r="CW55" s="20">
        <f t="shared" si="13"/>
        <v>397.22196486755848</v>
      </c>
      <c r="CX55" s="59">
        <f t="shared" si="14"/>
        <v>681.69976527215181</v>
      </c>
      <c r="CY55" s="59">
        <f ca="1">AVERAGE(OFFSET($CX$3,0,0,'Données projet'!$E$13+1,1))-AVERAGE(OFFSET($H$3,0,0,'Données projet'!$E$13+1,1))</f>
        <v>677.13548994240728</v>
      </c>
      <c r="CZ55" s="59">
        <f t="shared" si="42"/>
        <v>298.72429542440534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24.960272583293637</v>
      </c>
      <c r="DH55" s="21">
        <f>EXP(-LN(2)/2)*DH54+(1-EXP(-LN(2)/2))/(LN(2)/2)*DB55*DE55*VLOOKUP('Données projet'!$B$13,Paramètres!$A$1:$I$89,3,0)*0.475*44/12</f>
        <v>3.6203407233257225</v>
      </c>
      <c r="DI55" s="22">
        <f t="shared" si="15"/>
        <v>28.580613306619359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67.584854655798182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1.2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4.3999999999999995</v>
      </c>
      <c r="H56" s="67">
        <f t="shared" si="1"/>
        <v>239.06666666666669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682.73482365879545</v>
      </c>
      <c r="S56" s="59">
        <f ca="1">AVERAGE(OFFSET($R$3,0,0,'Données projet'!$E$9+1,1))-AVERAGE(OFFSET($H$3,0,0,'Données projet'!$E$9+1,1))</f>
        <v>646.69588445509589</v>
      </c>
      <c r="T56" s="59">
        <f t="shared" si="34"/>
        <v>286.36346771084698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20.355714285714278</v>
      </c>
      <c r="AI56" s="13">
        <f>IF('Données projet'!$A$62&gt;35,AI55+AH56-AQ55,IF(A56&lt;'Données projet'!$A$62,$AF$205^A56,IF(A56='Données projet'!$A$62,'Données projet'!$B$62,AI55+AH56-AQ55)))</f>
        <v>472.96285714285733</v>
      </c>
      <c r="AJ56" s="13">
        <f>AI56*VLOOKUP('Données projet'!$B$10,Paramètres!$A$1:$I$89,3,0)*VLOOKUP('Données projet'!$B$10,Paramètres!$A$1:$I$89,5,0)</f>
        <v>264.38623714285728</v>
      </c>
      <c r="AK56" s="13">
        <f t="shared" si="35"/>
        <v>63.656434183712321</v>
      </c>
      <c r="AL56" s="20">
        <f t="shared" si="4"/>
        <v>571.34098589377538</v>
      </c>
      <c r="AM56" s="59">
        <f t="shared" si="5"/>
        <v>855.97240999667667</v>
      </c>
      <c r="AN56" s="59">
        <f ca="1">AVERAGE(OFFSET($AM$3,0,0,'Données projet'!$E$10+1,1))-AVERAGE(OFFSET($H$3,0,0,'Données projet'!$E$10+1,1))</f>
        <v>391.55758836264408</v>
      </c>
      <c r="AO56" s="59">
        <f t="shared" si="36"/>
        <v>360.80727659978777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67.720435562471351</v>
      </c>
      <c r="AV56" s="21">
        <f>EXP(-LN(2)/25)*AV55+(1-EXP(-LN(2)/25))/(LN(2)/25)*Calculateur!AQ56*Calculateur!AS56*VLOOKUP('Données projet'!$B$10,Paramètres!$A$1:$I$89,3,0)*0.475*44/12</f>
        <v>27.54580348484091</v>
      </c>
      <c r="AW56" s="21">
        <f>EXP(-LN(2)/2)*AW55+(1-EXP(-LN(2)/2))/(LN(2)/2)*AQ56*AT56*VLOOKUP('Données projet'!$B$10,Paramètres!$A$1:$I$89,3,0)*0.475*44/12</f>
        <v>3.870797436423643</v>
      </c>
      <c r="AX56" s="21">
        <f t="shared" si="6"/>
        <v>99.137036483735912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21.6</v>
      </c>
      <c r="BD56" s="12">
        <f>IF('Données projet'!$A$88&gt;35,BD55+BC56-BL55,IF(A56&lt;'Données projet'!$A$88,$BA$205^A56,IF(A56='Données projet'!$A$88,'Données projet'!$B$88,BD55+BC56-BL55)))</f>
        <v>550.79999999999984</v>
      </c>
      <c r="BE56" s="13">
        <f>BD56*VLOOKUP('Données projet'!$B$11,Paramètres!$A$1:$I$89,3,0)*VLOOKUP('Données projet'!$B$11,Paramètres!$A$1:$I$89,5,0)</f>
        <v>243.45359999999997</v>
      </c>
      <c r="BF56" s="13">
        <f t="shared" si="37"/>
        <v>59.181970343065267</v>
      </c>
      <c r="BG56" s="20">
        <f t="shared" si="7"/>
        <v>527.09028501417185</v>
      </c>
      <c r="BH56" s="59">
        <f t="shared" si="8"/>
        <v>811.72170911707315</v>
      </c>
      <c r="BI56" s="59">
        <f ca="1">AVERAGE(OFFSET($BH$3,0,0,'Données projet'!$E$11+1,1))-AVERAGE(OFFSET($H$3,0,0,'Données projet'!$E$11+1,1))</f>
        <v>400.11184625063709</v>
      </c>
      <c r="BJ56" s="59">
        <f t="shared" si="38"/>
        <v>340.02906159605971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35.721072358114263</v>
      </c>
      <c r="BQ56" s="21">
        <f>EXP(-LN(2)/25)*BQ55+(1-EXP(-LN(2)/25))/(LN(2)/25)*Calculateur!BL56*Calculateur!BN56*VLOOKUP('Données projet'!$B$11,Paramètres!$A$1:$I$89,3,0)*0.475*44/12</f>
        <v>24.374137544729045</v>
      </c>
      <c r="BR56" s="21">
        <f>EXP(-LN(2)/2)*BR55+(1-EXP(-LN(2)/2))/(LN(2)/2)*BL56*BO56*VLOOKUP('Données projet'!$B$11,Paramètres!$A$1:$I$89,3,0)*0.475*44/12</f>
        <v>2.7841249998065836</v>
      </c>
      <c r="BS56" s="22">
        <f t="shared" si="9"/>
        <v>62.879334902649894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10.36375</v>
      </c>
      <c r="BY56" s="12">
        <f>IF('Données projet'!$A$114&gt;35,BY55+BX56-CG55,IF(A56&lt;'Données projet'!$A$114,$BV$205^A56,IF(A56='Données projet'!$A$114,'Données projet'!$B$114,BY55+BX56-CG55)))</f>
        <v>201.88125000000022</v>
      </c>
      <c r="BZ56" s="13">
        <f>BY56*VLOOKUP('Données projet'!$B$12,Paramètres!$A$1:$I$89,3,0)*VLOOKUP('Données projet'!$B$12,Paramètres!$A$1:$I$89,5,0)</f>
        <v>135.42194250000017</v>
      </c>
      <c r="CA56" s="13">
        <f t="shared" si="39"/>
        <v>35.246216112353601</v>
      </c>
      <c r="CB56" s="20">
        <f t="shared" si="10"/>
        <v>297.24704291651614</v>
      </c>
      <c r="CC56" s="59">
        <f t="shared" si="11"/>
        <v>581.87846701941749</v>
      </c>
      <c r="CD56" s="59">
        <f ca="1">AVERAGE(OFFSET($CC$3,0,0,'Données projet'!$E$12+1,1))-AVERAGE(OFFSET($H$3,0,0,'Données projet'!$E$12+1,1))</f>
        <v>493.98227954109774</v>
      </c>
      <c r="CE56" s="59">
        <f t="shared" si="40"/>
        <v>224.32736097997289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21.093767683535884</v>
      </c>
      <c r="CM56" s="21">
        <f>EXP(-LN(2)/2)*CM55+(1-EXP(-LN(2)/2))/(LN(2)/2)*CG56*CJ56*VLOOKUP('Données projet'!$B$12,Paramètres!$A$1:$I$89,3,0)*0.475*44/12</f>
        <v>1.8045672369473027</v>
      </c>
      <c r="CN56" s="22">
        <f t="shared" si="12"/>
        <v>22.898334920483187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10.36375</v>
      </c>
      <c r="CT56" s="12">
        <f>IF('Données projet'!$A$140&gt;35,CT55+CS56-DB55,IF(A56&lt;'Données projet'!$A$140,$CQ$205^A56,IF(A56='Données projet'!$A$140,'Données projet'!$B$140,CT55+CS56-DB55)))</f>
        <v>201.88125000000022</v>
      </c>
      <c r="CU56" s="17">
        <f>CT56*VLOOKUP('Données projet'!$B$13,Paramètres!$A$1:$I$89,3,0)*VLOOKUP('Données projet'!$B$13,Paramètres!$A$1:$I$89,5,0)</f>
        <v>192.11019750000023</v>
      </c>
      <c r="CV56" s="13">
        <f t="shared" si="41"/>
        <v>48.00618723464968</v>
      </c>
      <c r="CW56" s="20">
        <f t="shared" si="13"/>
        <v>418.20270341284862</v>
      </c>
      <c r="CX56" s="59">
        <f t="shared" si="14"/>
        <v>702.83412751574997</v>
      </c>
      <c r="CY56" s="59">
        <f ca="1">AVERAGE(OFFSET($CX$3,0,0,'Données projet'!$E$13+1,1))-AVERAGE(OFFSET($H$3,0,0,'Données projet'!$E$13+1,1))</f>
        <v>677.13548994240728</v>
      </c>
      <c r="CZ56" s="59">
        <f t="shared" si="42"/>
        <v>298.72429542440534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24.277732616899787</v>
      </c>
      <c r="DH56" s="21">
        <f>EXP(-LN(2)/2)*DH55+(1-EXP(-LN(2)/2))/(LN(2)/2)*DB56*DE56*VLOOKUP('Données projet'!$B$13,Paramètres!$A$1:$I$89,3,0)*0.475*44/12</f>
        <v>2.5599674756694291</v>
      </c>
      <c r="DI56" s="22">
        <f t="shared" si="15"/>
        <v>26.837700092569214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67.62675202806399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1.2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4.3999999999999995</v>
      </c>
      <c r="H57" s="67">
        <f t="shared" si="1"/>
        <v>239.06666666666669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702.83429020005099</v>
      </c>
      <c r="S57" s="59">
        <f ca="1">AVERAGE(OFFSET($R$3,0,0,'Données projet'!$E$9+1,1))-AVERAGE(OFFSET($H$3,0,0,'Données projet'!$E$9+1,1))</f>
        <v>646.69588445509589</v>
      </c>
      <c r="T57" s="59">
        <f t="shared" si="34"/>
        <v>286.36346771084698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20.355714285714278</v>
      </c>
      <c r="AI57" s="13">
        <f>IF('Données projet'!$A$62&gt;35,AI56+AH57-AQ56,IF(A57&lt;'Données projet'!$A$62,$AF$205^A57,IF(A57='Données projet'!$A$62,'Données projet'!$B$62,AI56+AH57-AQ56)))</f>
        <v>493.3185714285716</v>
      </c>
      <c r="AJ57" s="13">
        <f>AI57*VLOOKUP('Données projet'!$B$10,Paramètres!$A$1:$I$89,3,0)*VLOOKUP('Données projet'!$B$10,Paramètres!$A$1:$I$89,5,0)</f>
        <v>275.76508142857153</v>
      </c>
      <c r="AK57" s="13">
        <f t="shared" si="35"/>
        <v>66.071256581811042</v>
      </c>
      <c r="AL57" s="20">
        <f t="shared" si="4"/>
        <v>595.36495536808297</v>
      </c>
      <c r="AM57" s="59">
        <f t="shared" si="5"/>
        <v>880.14733814157773</v>
      </c>
      <c r="AN57" s="59">
        <f ca="1">AVERAGE(OFFSET($AM$3,0,0,'Données projet'!$E$10+1,1))-AVERAGE(OFFSET($H$3,0,0,'Données projet'!$E$10+1,1))</f>
        <v>391.55758836264408</v>
      </c>
      <c r="AO57" s="59">
        <f t="shared" si="36"/>
        <v>360.80727659978777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66.392479126478406</v>
      </c>
      <c r="AV57" s="21">
        <f>EXP(-LN(2)/25)*AV56+(1-EXP(-LN(2)/25))/(LN(2)/25)*Calculateur!AQ57*Calculateur!AS57*VLOOKUP('Données projet'!$B$10,Paramètres!$A$1:$I$89,3,0)*0.475*44/12</f>
        <v>26.792562039977085</v>
      </c>
      <c r="AW57" s="21">
        <f>EXP(-LN(2)/2)*AW56+(1-EXP(-LN(2)/2))/(LN(2)/2)*AQ57*AT57*VLOOKUP('Données projet'!$B$10,Paramètres!$A$1:$I$89,3,0)*0.475*44/12</f>
        <v>2.7370671158946625</v>
      </c>
      <c r="AX57" s="21">
        <f t="shared" si="6"/>
        <v>95.922108282350152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21.6</v>
      </c>
      <c r="BD57" s="12">
        <f>IF('Données projet'!$A$88&gt;35,BD56+BC57-BL56,IF(A57&lt;'Données projet'!$A$88,$BA$205^A57,IF(A57='Données projet'!$A$88,'Données projet'!$B$88,BD56+BC57-BL56)))</f>
        <v>572.39999999999986</v>
      </c>
      <c r="BE57" s="13">
        <f>BD57*VLOOKUP('Données projet'!$B$11,Paramètres!$A$1:$I$89,3,0)*VLOOKUP('Données projet'!$B$11,Paramètres!$A$1:$I$89,5,0)</f>
        <v>253.00079999999994</v>
      </c>
      <c r="BF57" s="13">
        <f t="shared" si="37"/>
        <v>61.228070105968683</v>
      </c>
      <c r="BG57" s="20">
        <f t="shared" si="7"/>
        <v>547.2819487678953</v>
      </c>
      <c r="BH57" s="59">
        <f t="shared" si="8"/>
        <v>832.06433154139006</v>
      </c>
      <c r="BI57" s="59">
        <f ca="1">AVERAGE(OFFSET($BH$3,0,0,'Données projet'!$E$11+1,1))-AVERAGE(OFFSET($H$3,0,0,'Données projet'!$E$11+1,1))</f>
        <v>400.11184625063709</v>
      </c>
      <c r="BJ57" s="59">
        <f t="shared" si="38"/>
        <v>340.02906159605971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35.020603916874421</v>
      </c>
      <c r="BQ57" s="21">
        <f>EXP(-LN(2)/25)*BQ56+(1-EXP(-LN(2)/25))/(LN(2)/25)*Calculateur!BL57*Calculateur!BN57*VLOOKUP('Données projet'!$B$11,Paramètres!$A$1:$I$89,3,0)*0.475*44/12</f>
        <v>23.707625471788244</v>
      </c>
      <c r="BR57" s="21">
        <f>EXP(-LN(2)/2)*BR56+(1-EXP(-LN(2)/2))/(LN(2)/2)*BL57*BO57*VLOOKUP('Données projet'!$B$11,Paramètres!$A$1:$I$89,3,0)*0.475*44/12</f>
        <v>1.9686736670342306</v>
      </c>
      <c r="BS57" s="22">
        <f t="shared" si="9"/>
        <v>60.6969030556969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10.36375</v>
      </c>
      <c r="BY57" s="12">
        <f>IF('Données projet'!$A$114&gt;35,BY56+BX57-CG56,IF(A57&lt;'Données projet'!$A$114,$BV$205^A57,IF(A57='Données projet'!$A$114,'Données projet'!$B$114,BY56+BX57-CG56)))</f>
        <v>212.24500000000023</v>
      </c>
      <c r="BZ57" s="13">
        <f>BY57*VLOOKUP('Données projet'!$B$12,Paramètres!$A$1:$I$89,3,0)*VLOOKUP('Données projet'!$B$12,Paramètres!$A$1:$I$89,5,0)</f>
        <v>142.37394600000016</v>
      </c>
      <c r="CA57" s="13">
        <f t="shared" si="39"/>
        <v>36.840309839875196</v>
      </c>
      <c r="CB57" s="20">
        <f t="shared" si="10"/>
        <v>312.13149558778292</v>
      </c>
      <c r="CC57" s="59">
        <f t="shared" si="11"/>
        <v>596.91387836127774</v>
      </c>
      <c r="CD57" s="59">
        <f ca="1">AVERAGE(OFFSET($CC$3,0,0,'Données projet'!$E$12+1,1))-AVERAGE(OFFSET($H$3,0,0,'Données projet'!$E$12+1,1))</f>
        <v>493.98227954109774</v>
      </c>
      <c r="CE57" s="59">
        <f t="shared" si="40"/>
        <v>224.32736097997289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20.516957496956564</v>
      </c>
      <c r="CM57" s="21">
        <f>EXP(-LN(2)/2)*CM56+(1-EXP(-LN(2)/2))/(LN(2)/2)*CG57*CJ57*VLOOKUP('Données projet'!$B$12,Paramètres!$A$1:$I$89,3,0)*0.475*44/12</f>
        <v>1.2760217303525092</v>
      </c>
      <c r="CN57" s="22">
        <f t="shared" si="12"/>
        <v>21.792979227309075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10.36375</v>
      </c>
      <c r="CT57" s="12">
        <f>IF('Données projet'!$A$140&gt;35,CT56+CS57-DB56,IF(A57&lt;'Données projet'!$A$140,$CQ$205^A57,IF(A57='Données projet'!$A$140,'Données projet'!$B$140,CT56+CS57-DB56)))</f>
        <v>212.24500000000023</v>
      </c>
      <c r="CU57" s="17">
        <f>CT57*VLOOKUP('Données projet'!$B$13,Paramètres!$A$1:$I$89,3,0)*VLOOKUP('Données projet'!$B$13,Paramètres!$A$1:$I$89,5,0)</f>
        <v>201.97234200000022</v>
      </c>
      <c r="CV57" s="13">
        <f t="shared" si="41"/>
        <v>50.177380922761891</v>
      </c>
      <c r="CW57" s="20">
        <f t="shared" si="13"/>
        <v>439.16076742381068</v>
      </c>
      <c r="CX57" s="59">
        <f t="shared" si="14"/>
        <v>723.94315019730539</v>
      </c>
      <c r="CY57" s="59">
        <f ca="1">AVERAGE(OFFSET($CX$3,0,0,'Données projet'!$E$13+1,1))-AVERAGE(OFFSET($H$3,0,0,'Données projet'!$E$13+1,1))</f>
        <v>677.13548994240728</v>
      </c>
      <c r="CZ57" s="59">
        <f t="shared" si="42"/>
        <v>298.72429542440534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23.613856741780189</v>
      </c>
      <c r="DH57" s="21">
        <f>EXP(-LN(2)/2)*DH56+(1-EXP(-LN(2)/2))/(LN(2)/2)*DB57*DE57*VLOOKUP('Données projet'!$B$13,Paramètres!$A$1:$I$89,3,0)*0.475*44/12</f>
        <v>1.8101703616628615</v>
      </c>
      <c r="DI57" s="22">
        <f t="shared" si="15"/>
        <v>25.424027103443052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67.667922574589483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1.2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4.3999999999999995</v>
      </c>
      <c r="H58" s="67">
        <f t="shared" si="1"/>
        <v>239.06666666666669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722.91063141423854</v>
      </c>
      <c r="S58" s="59">
        <f ca="1">AVERAGE(OFFSET($R$3,0,0,'Données projet'!$E$9+1,1))-AVERAGE(OFFSET($H$3,0,0,'Données projet'!$E$9+1,1))</f>
        <v>646.69588445509589</v>
      </c>
      <c r="T58" s="59">
        <f t="shared" si="34"/>
        <v>286.36346771084698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20.355714285714278</v>
      </c>
      <c r="AI58" s="13">
        <f>IF('Données projet'!$A$62&gt;35,AI57+AH58-AQ57,IF(A58&lt;'Données projet'!$A$62,$AF$205^A58,IF(A58='Données projet'!$A$62,'Données projet'!$B$62,AI57+AH58-AQ57)))</f>
        <v>513.67428571428593</v>
      </c>
      <c r="AJ58" s="13">
        <f>AI58*VLOOKUP('Données projet'!$B$10,Paramètres!$A$1:$I$89,3,0)*VLOOKUP('Données projet'!$B$10,Paramètres!$A$1:$I$89,5,0)</f>
        <v>287.14392571428584</v>
      </c>
      <c r="AK58" s="13">
        <f t="shared" si="35"/>
        <v>68.474504947595136</v>
      </c>
      <c r="AL58" s="20">
        <f t="shared" si="4"/>
        <v>619.36876673610948</v>
      </c>
      <c r="AM58" s="59">
        <f t="shared" si="5"/>
        <v>904.29948938475604</v>
      </c>
      <c r="AN58" s="59">
        <f ca="1">AVERAGE(OFFSET($AM$3,0,0,'Données projet'!$E$10+1,1))-AVERAGE(OFFSET($H$3,0,0,'Données projet'!$E$10+1,1))</f>
        <v>391.55758836264408</v>
      </c>
      <c r="AO58" s="59">
        <f t="shared" si="36"/>
        <v>360.80727659978777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65.090563106221836</v>
      </c>
      <c r="AV58" s="21">
        <f>EXP(-LN(2)/25)*AV57+(1-EXP(-LN(2)/25))/(LN(2)/25)*Calculateur!AQ58*Calculateur!AS58*VLOOKUP('Données projet'!$B$10,Paramètres!$A$1:$I$89,3,0)*0.475*44/12</f>
        <v>26.05991802203431</v>
      </c>
      <c r="AW58" s="21">
        <f>EXP(-LN(2)/2)*AW57+(1-EXP(-LN(2)/2))/(LN(2)/2)*AQ58*AT58*VLOOKUP('Données projet'!$B$10,Paramètres!$A$1:$I$89,3,0)*0.475*44/12</f>
        <v>1.935398718211822</v>
      </c>
      <c r="AX58" s="21">
        <f t="shared" si="6"/>
        <v>93.085879846467975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594</v>
      </c>
      <c r="BB58" s="12">
        <f>VLOOKUP(A58,'Données projet'!$A$87:$I$107,9,0)</f>
        <v>21.6</v>
      </c>
      <c r="BC58" s="12">
        <f t="array" ref="BC58">INDEX(BB:BB,MIN(IF(ISNUMBER(BB58:BB254),ROW(BB58:BB254),"")))</f>
        <v>21.6</v>
      </c>
      <c r="BD58" s="12">
        <f>IF('Données projet'!$A$88&gt;35,BD57+BC58-BL57,IF(A58&lt;'Données projet'!$A$88,$BA$205^A58,IF(A58='Données projet'!$A$88,'Données projet'!$B$88,BD57+BC58-BL57)))</f>
        <v>593.99999999999989</v>
      </c>
      <c r="BE58" s="13">
        <f>BD58*VLOOKUP('Données projet'!$B$11,Paramètres!$A$1:$I$89,3,0)*VLOOKUP('Données projet'!$B$11,Paramètres!$A$1:$I$89,5,0)</f>
        <v>262.548</v>
      </c>
      <c r="BF58" s="13">
        <f t="shared" si="37"/>
        <v>63.265199933079444</v>
      </c>
      <c r="BG58" s="20">
        <f t="shared" si="7"/>
        <v>567.45798988344666</v>
      </c>
      <c r="BH58" s="59">
        <f t="shared" si="8"/>
        <v>852.38871253209322</v>
      </c>
      <c r="BI58" s="59">
        <f ca="1">AVERAGE(OFFSET($BH$3,0,0,'Données projet'!$E$11+1,1))-AVERAGE(OFFSET($H$3,0,0,'Données projet'!$E$11+1,1))</f>
        <v>400.11184625063709</v>
      </c>
      <c r="BJ58" s="59">
        <f t="shared" si="38"/>
        <v>340.02906159605971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60</v>
      </c>
      <c r="BM58" s="16">
        <f>IF(ISNA(VLOOKUP(A58,'Données projet'!$A$87:$I$107,5,0)),0%,VLOOKUP(A58,'Données projet'!$A$87:$I$107,5,0)*VLOOKUP('Données projet'!$B$11,Paramètres!$A$1:$I$89,7,0))</f>
        <v>0.33</v>
      </c>
      <c r="BN58" s="16">
        <f>IF(ISNA(VLOOKUP(A58,'Données projet'!$A$87:$I$107,6,0)),0%,VLOOKUP(A58,'Données projet'!$A$87:$I$107,6,0)*VLOOKUP('Données projet'!$B$11,Paramètres!$A$1:$I$89,7,0))</f>
        <v>0.11000000000000001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45.943432722748419</v>
      </c>
      <c r="BQ58" s="21">
        <f>EXP(-LN(2)/25)*BQ57+(1-EXP(-LN(2)/25))/(LN(2)/25)*Calculateur!BL58*Calculateur!BN58*VLOOKUP('Données projet'!$B$11,Paramètres!$A$1:$I$89,3,0)*0.475*44/12</f>
        <v>26.913955946884293</v>
      </c>
      <c r="BR58" s="21">
        <f>EXP(-LN(2)/2)*BR57+(1-EXP(-LN(2)/2))/(LN(2)/2)*BL58*BO58*VLOOKUP('Données projet'!$B$11,Paramètres!$A$1:$I$89,3,0)*0.475*44/12</f>
        <v>7.3974226059836692</v>
      </c>
      <c r="BS58" s="22">
        <f t="shared" si="9"/>
        <v>80.254811275616376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10.36375</v>
      </c>
      <c r="BY58" s="12">
        <f>IF('Données projet'!$A$114&gt;35,BY57+BX58-CG57,IF(A58&lt;'Données projet'!$A$114,$BV$205^A58,IF(A58='Données projet'!$A$114,'Données projet'!$B$114,BY57+BX58-CG57)))</f>
        <v>222.60875000000024</v>
      </c>
      <c r="BZ58" s="13">
        <f>BY58*VLOOKUP('Données projet'!$B$12,Paramètres!$A$1:$I$89,3,0)*VLOOKUP('Données projet'!$B$12,Paramètres!$A$1:$I$89,5,0)</f>
        <v>149.32594950000015</v>
      </c>
      <c r="CA58" s="13">
        <f t="shared" si="39"/>
        <v>38.425365097325034</v>
      </c>
      <c r="CB58" s="20">
        <f t="shared" si="10"/>
        <v>327.00020625700802</v>
      </c>
      <c r="CC58" s="59">
        <f t="shared" si="11"/>
        <v>611.93092890565458</v>
      </c>
      <c r="CD58" s="59">
        <f ca="1">AVERAGE(OFFSET($CC$3,0,0,'Données projet'!$E$12+1,1))-AVERAGE(OFFSET($H$3,0,0,'Données projet'!$E$12+1,1))</f>
        <v>493.98227954109774</v>
      </c>
      <c r="CE58" s="59">
        <f t="shared" si="40"/>
        <v>224.32736097997289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19.955920215262385</v>
      </c>
      <c r="CM58" s="21">
        <f>EXP(-LN(2)/2)*CM57+(1-EXP(-LN(2)/2))/(LN(2)/2)*CG58*CJ58*VLOOKUP('Données projet'!$B$12,Paramètres!$A$1:$I$89,3,0)*0.475*44/12</f>
        <v>0.90228361847365157</v>
      </c>
      <c r="CN58" s="22">
        <f t="shared" si="12"/>
        <v>20.858203833736034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10.36375</v>
      </c>
      <c r="CT58" s="12">
        <f>IF('Données projet'!$A$140&gt;35,CT57+CS58-DB57,IF(A58&lt;'Données projet'!$A$140,$CQ$205^A58,IF(A58='Données projet'!$A$140,'Données projet'!$B$140,CT57+CS58-DB57)))</f>
        <v>222.60875000000024</v>
      </c>
      <c r="CU58" s="17">
        <f>CT58*VLOOKUP('Données projet'!$B$13,Paramètres!$A$1:$I$89,3,0)*VLOOKUP('Données projet'!$B$13,Paramètres!$A$1:$I$89,5,0)</f>
        <v>211.83448650000022</v>
      </c>
      <c r="CV58" s="13">
        <f t="shared" si="41"/>
        <v>52.336263999000323</v>
      </c>
      <c r="CW58" s="20">
        <f t="shared" si="13"/>
        <v>460.09739045242594</v>
      </c>
      <c r="CX58" s="59">
        <f t="shared" si="14"/>
        <v>745.02811310107245</v>
      </c>
      <c r="CY58" s="59">
        <f ca="1">AVERAGE(OFFSET($CX$3,0,0,'Données projet'!$E$13+1,1))-AVERAGE(OFFSET($H$3,0,0,'Données projet'!$E$13+1,1))</f>
        <v>677.13548994240728</v>
      </c>
      <c r="CZ58" s="59">
        <f t="shared" si="42"/>
        <v>298.72429542440534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22.968134587377456</v>
      </c>
      <c r="DH58" s="21">
        <f>EXP(-LN(2)/2)*DH57+(1-EXP(-LN(2)/2))/(LN(2)/2)*DB58*DE58*VLOOKUP('Données projet'!$B$13,Paramètres!$A$1:$I$89,3,0)*0.475*44/12</f>
        <v>1.2799837378347148</v>
      </c>
      <c r="DI58" s="22">
        <f t="shared" si="15"/>
        <v>24.248118325212172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67.708378904176314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1.2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4.3999999999999995</v>
      </c>
      <c r="H59" s="67">
        <f t="shared" si="1"/>
        <v>239.06666666666669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742.96495646160713</v>
      </c>
      <c r="S59" s="59">
        <f ca="1">AVERAGE(OFFSET($R$3,0,0,'Données projet'!$E$9+1,1))-AVERAGE(OFFSET($H$3,0,0,'Données projet'!$E$9+1,1))</f>
        <v>646.69588445509589</v>
      </c>
      <c r="T59" s="59">
        <f t="shared" si="34"/>
        <v>286.36346771084698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534.03</v>
      </c>
      <c r="AG59" s="12">
        <f>VLOOKUP(A59,'Données projet'!$A$61:$I$81,9,0)</f>
        <v>20.355714285714278</v>
      </c>
      <c r="AH59" s="12">
        <f t="array" ref="AH59">INDEX(AG:AG,MIN(IF(ISNUMBER(AG59:AG255),ROW(AG59:AG255),"")))</f>
        <v>20.355714285714278</v>
      </c>
      <c r="AI59" s="13">
        <f>IF('Données projet'!$A$62&gt;35,AI58+AH59-AQ58,IF(A59&lt;'Données projet'!$A$62,$AF$205^A59,IF(A59='Données projet'!$A$62,'Données projet'!$B$62,AI58+AH59-AQ58)))</f>
        <v>534.0300000000002</v>
      </c>
      <c r="AJ59" s="13">
        <f>AI59*VLOOKUP('Données projet'!$B$10,Paramètres!$A$1:$I$89,3,0)*VLOOKUP('Données projet'!$B$10,Paramètres!$A$1:$I$89,5,0)</f>
        <v>298.52277000000015</v>
      </c>
      <c r="AK59" s="13">
        <f t="shared" si="35"/>
        <v>70.866690413510668</v>
      </c>
      <c r="AL59" s="20">
        <f t="shared" si="4"/>
        <v>643.35331022019807</v>
      </c>
      <c r="AM59" s="59">
        <f t="shared" si="5"/>
        <v>928.42979937880068</v>
      </c>
      <c r="AN59" s="59">
        <f ca="1">AVERAGE(OFFSET($AM$3,0,0,'Données projet'!$E$10+1,1))-AVERAGE(OFFSET($H$3,0,0,'Données projet'!$E$10+1,1))</f>
        <v>391.55758836264408</v>
      </c>
      <c r="AO59" s="59">
        <f t="shared" si="36"/>
        <v>360.80727659978777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94.669999999999959</v>
      </c>
      <c r="AR59" s="16">
        <f>IF(ISNA(VLOOKUP(A59,'Données projet'!$A$61:$I$81,5,0)),0%,VLOOKUP(A59,'Données projet'!$A$61:$I$81,5,0)*VLOOKUP('Données projet'!$B$10,Paramètres!$A$1:$I$89,7,0))</f>
        <v>0.33</v>
      </c>
      <c r="AS59" s="16">
        <f>IF(ISNA(VLOOKUP(A59,'Données projet'!$A$61:$I$81,6,0)),0%,VLOOKUP(A59,'Données projet'!$A$61:$I$81,6,0)*VLOOKUP('Données projet'!$B$10,Paramètres!$A$1:$I$89,7,0))</f>
        <v>0.11000000000000001</v>
      </c>
      <c r="AT59" s="16">
        <f>IF(ISNA(VLOOKUP(A59,'Données projet'!$A$61:$I$81,7,0)),0%,VLOOKUP(A59,'Données projet'!$A$61:$I$81,7,0))</f>
        <v>0.2</v>
      </c>
      <c r="AU59" s="21">
        <f>EXP(-LN(2)/35)*AU58+(1-EXP(-LN(2)/35))/(LN(2)/35)*AQ59*AR59*VLOOKUP('Données projet'!$B$10,Paramètres!$A$1:$I$89,3,0)*0.475*44/12</f>
        <v>86.980999905169341</v>
      </c>
      <c r="AV59" s="21">
        <f>EXP(-LN(2)/25)*AV58+(1-EXP(-LN(2)/25))/(LN(2)/25)*Calculateur!AQ59*Calculateur!AS59*VLOOKUP('Données projet'!$B$10,Paramètres!$A$1:$I$89,3,0)*0.475*44/12</f>
        <v>33.039177003482436</v>
      </c>
      <c r="AW59" s="21">
        <f>EXP(-LN(2)/2)*AW58+(1-EXP(-LN(2)/2))/(LN(2)/2)*AQ59*AT59*VLOOKUP('Données projet'!$B$10,Paramètres!$A$1:$I$89,3,0)*0.475*44/12</f>
        <v>13.352200211590977</v>
      </c>
      <c r="AX59" s="21">
        <f t="shared" si="6"/>
        <v>133.37237712024276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20</v>
      </c>
      <c r="BD59" s="12">
        <f>IF('Données projet'!$A$88&gt;35,BD58+BC59-BL58,IF(A59&lt;'Données projet'!$A$88,$BA$205^A59,IF(A59='Données projet'!$A$88,'Données projet'!$B$88,BD58+BC59-BL58)))</f>
        <v>553.99999999999989</v>
      </c>
      <c r="BE59" s="13">
        <f>BD59*VLOOKUP('Données projet'!$B$11,Paramètres!$A$1:$I$89,3,0)*VLOOKUP('Données projet'!$B$11,Paramètres!$A$1:$I$89,5,0)</f>
        <v>244.86799999999999</v>
      </c>
      <c r="BF59" s="13">
        <f t="shared" si="37"/>
        <v>59.485677215396862</v>
      </c>
      <c r="BG59" s="20">
        <f t="shared" si="7"/>
        <v>530.08265448348277</v>
      </c>
      <c r="BH59" s="59">
        <f t="shared" si="8"/>
        <v>815.15914364208538</v>
      </c>
      <c r="BI59" s="59">
        <f ca="1">AVERAGE(OFFSET($BH$3,0,0,'Données projet'!$E$11+1,1))-AVERAGE(OFFSET($H$3,0,0,'Données projet'!$E$11+1,1))</f>
        <v>400.11184625063709</v>
      </c>
      <c r="BJ59" s="59">
        <f t="shared" si="38"/>
        <v>340.02906159605971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45.042510029782271</v>
      </c>
      <c r="BQ59" s="21">
        <f>EXP(-LN(2)/25)*BQ58+(1-EXP(-LN(2)/25))/(LN(2)/25)*Calculateur!BL59*Calculateur!BN59*VLOOKUP('Données projet'!$B$11,Paramètres!$A$1:$I$89,3,0)*0.475*44/12</f>
        <v>26.177992406173313</v>
      </c>
      <c r="BR59" s="21">
        <f>EXP(-LN(2)/2)*BR58+(1-EXP(-LN(2)/2))/(LN(2)/2)*BL59*BO59*VLOOKUP('Données projet'!$B$11,Paramètres!$A$1:$I$89,3,0)*0.475*44/12</f>
        <v>5.2307676879937146</v>
      </c>
      <c r="BS59" s="22">
        <f t="shared" si="9"/>
        <v>76.4512701239493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10.36375</v>
      </c>
      <c r="BY59" s="12">
        <f>IF('Données projet'!$A$114&gt;35,BY58+BX59-CG58,IF(A59&lt;'Données projet'!$A$114,$BV$205^A59,IF(A59='Données projet'!$A$114,'Données projet'!$B$114,BY58+BX59-CG58)))</f>
        <v>232.97250000000025</v>
      </c>
      <c r="BZ59" s="13">
        <f>BY59*VLOOKUP('Données projet'!$B$12,Paramètres!$A$1:$I$89,3,0)*VLOOKUP('Données projet'!$B$12,Paramètres!$A$1:$I$89,5,0)</f>
        <v>156.27795300000017</v>
      </c>
      <c r="CA59" s="13">
        <f t="shared" si="39"/>
        <v>40.001850734919714</v>
      </c>
      <c r="CB59" s="20">
        <f t="shared" si="10"/>
        <v>341.85399150498546</v>
      </c>
      <c r="CC59" s="59">
        <f t="shared" si="11"/>
        <v>626.93048066358801</v>
      </c>
      <c r="CD59" s="59">
        <f ca="1">AVERAGE(OFFSET($CC$3,0,0,'Données projet'!$E$12+1,1))-AVERAGE(OFFSET($H$3,0,0,'Données projet'!$E$12+1,1))</f>
        <v>493.98227954109774</v>
      </c>
      <c r="CE59" s="59">
        <f t="shared" si="40"/>
        <v>224.32736097997289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19.4102245275398</v>
      </c>
      <c r="CM59" s="21">
        <f>EXP(-LN(2)/2)*CM58+(1-EXP(-LN(2)/2))/(LN(2)/2)*CG59*CJ59*VLOOKUP('Données projet'!$B$12,Paramètres!$A$1:$I$89,3,0)*0.475*44/12</f>
        <v>0.63801086517625472</v>
      </c>
      <c r="CN59" s="22">
        <f t="shared" si="12"/>
        <v>20.048235392716055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10.36375</v>
      </c>
      <c r="CT59" s="12">
        <f>IF('Données projet'!$A$140&gt;35,CT58+CS59-DB58,IF(A59&lt;'Données projet'!$A$140,$CQ$205^A59,IF(A59='Données projet'!$A$140,'Données projet'!$B$140,CT58+CS59-DB58)))</f>
        <v>232.97250000000025</v>
      </c>
      <c r="CU59" s="17">
        <f>CT59*VLOOKUP('Données projet'!$B$13,Paramètres!$A$1:$I$89,3,0)*VLOOKUP('Données projet'!$B$13,Paramètres!$A$1:$I$89,5,0)</f>
        <v>221.69663100000022</v>
      </c>
      <c r="CV59" s="13">
        <f t="shared" si="41"/>
        <v>54.483475048545635</v>
      </c>
      <c r="CW59" s="20">
        <f t="shared" si="13"/>
        <v>481.0136847012173</v>
      </c>
      <c r="CX59" s="59">
        <f t="shared" si="14"/>
        <v>766.09017385981986</v>
      </c>
      <c r="CY59" s="59">
        <f ca="1">AVERAGE(OFFSET($CX$3,0,0,'Données projet'!$E$13+1,1))-AVERAGE(OFFSET($H$3,0,0,'Données projet'!$E$13+1,1))</f>
        <v>677.13548994240728</v>
      </c>
      <c r="CZ59" s="59">
        <f t="shared" si="42"/>
        <v>298.72429542440534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22.340069739243916</v>
      </c>
      <c r="DH59" s="21">
        <f>EXP(-LN(2)/2)*DH58+(1-EXP(-LN(2)/2))/(LN(2)/2)*DB59*DE59*VLOOKUP('Données projet'!$B$13,Paramètres!$A$1:$I$89,3,0)*0.475*44/12</f>
        <v>0.90508518083143097</v>
      </c>
      <c r="DI59" s="22">
        <f t="shared" si="15"/>
        <v>23.245154920075347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67.748133406891611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1.2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4.3999999999999995</v>
      </c>
      <c r="H60" s="67">
        <f t="shared" si="1"/>
        <v>239.06666666666669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762.99827372384175</v>
      </c>
      <c r="S60" s="59">
        <f ca="1">AVERAGE(OFFSET($R$3,0,0,'Données projet'!$E$9+1,1))-AVERAGE(OFFSET($H$3,0,0,'Données projet'!$E$9+1,1))</f>
        <v>646.69588445509589</v>
      </c>
      <c r="T60" s="59">
        <f t="shared" si="34"/>
        <v>286.36346771084698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18.617142857142849</v>
      </c>
      <c r="AI60" s="13">
        <f>IF('Données projet'!$A$62&gt;35,AI59+AH60-AQ59,IF(A60&lt;'Données projet'!$A$62,$AF$205^A60,IF(A60='Données projet'!$A$62,'Données projet'!$B$62,AI59+AH60-AQ59)))</f>
        <v>457.97714285714312</v>
      </c>
      <c r="AJ60" s="13">
        <f>AI60*VLOOKUP('Données projet'!$B$10,Paramètres!$A$1:$I$89,3,0)*VLOOKUP('Données projet'!$B$10,Paramètres!$A$1:$I$89,5,0)</f>
        <v>256.00922285714302</v>
      </c>
      <c r="AK60" s="13">
        <f t="shared" si="35"/>
        <v>61.870941241266237</v>
      </c>
      <c r="AL60" s="20">
        <f t="shared" si="4"/>
        <v>553.64128580472936</v>
      </c>
      <c r="AM60" s="59">
        <f t="shared" si="5"/>
        <v>838.86101275022543</v>
      </c>
      <c r="AN60" s="59">
        <f ca="1">AVERAGE(OFFSET($AM$3,0,0,'Données projet'!$E$10+1,1))-AVERAGE(OFFSET($H$3,0,0,'Données projet'!$E$10+1,1))</f>
        <v>391.55758836264408</v>
      </c>
      <c r="AO60" s="59">
        <f t="shared" si="36"/>
        <v>360.80727659978777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85.275355550200345</v>
      </c>
      <c r="AV60" s="21">
        <f>EXP(-LN(2)/25)*AV59+(1-EXP(-LN(2)/25))/(LN(2)/25)*Calculateur!AQ60*Calculateur!AS60*VLOOKUP('Données projet'!$B$10,Paramètres!$A$1:$I$89,3,0)*0.475*44/12</f>
        <v>32.135718970867401</v>
      </c>
      <c r="AW60" s="21">
        <f>EXP(-LN(2)/2)*AW59+(1-EXP(-LN(2)/2))/(LN(2)/2)*AQ60*AT60*VLOOKUP('Données projet'!$B$10,Paramètres!$A$1:$I$89,3,0)*0.475*44/12</f>
        <v>9.4414313133764356</v>
      </c>
      <c r="AX60" s="21">
        <f t="shared" si="6"/>
        <v>126.85250583444419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20</v>
      </c>
      <c r="BD60" s="12">
        <f>IF('Données projet'!$A$88&gt;35,BD59+BC60-BL59,IF(A60&lt;'Données projet'!$A$88,$BA$205^A60,IF(A60='Données projet'!$A$88,'Données projet'!$B$88,BD59+BC60-BL59)))</f>
        <v>573.99999999999989</v>
      </c>
      <c r="BE60" s="13">
        <f>BD60*VLOOKUP('Données projet'!$B$11,Paramètres!$A$1:$I$89,3,0)*VLOOKUP('Données projet'!$B$11,Paramètres!$A$1:$I$89,5,0)</f>
        <v>253.70799999999997</v>
      </c>
      <c r="BF60" s="13">
        <f t="shared" si="37"/>
        <v>61.379271588933562</v>
      </c>
      <c r="BG60" s="20">
        <f t="shared" si="7"/>
        <v>548.77699801739243</v>
      </c>
      <c r="BH60" s="59">
        <f t="shared" si="8"/>
        <v>833.99672496288849</v>
      </c>
      <c r="BI60" s="59">
        <f ca="1">AVERAGE(OFFSET($BH$3,0,0,'Données projet'!$E$11+1,1))-AVERAGE(OFFSET($H$3,0,0,'Données projet'!$E$11+1,1))</f>
        <v>400.11184625063709</v>
      </c>
      <c r="BJ60" s="59">
        <f t="shared" si="38"/>
        <v>340.02906159605971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44.159253881316602</v>
      </c>
      <c r="BQ60" s="21">
        <f>EXP(-LN(2)/25)*BQ59+(1-EXP(-LN(2)/25))/(LN(2)/25)*Calculateur!BL60*Calculateur!BN60*VLOOKUP('Données projet'!$B$11,Paramètres!$A$1:$I$89,3,0)*0.475*44/12</f>
        <v>25.462153827185713</v>
      </c>
      <c r="BR60" s="21">
        <f>EXP(-LN(2)/2)*BR59+(1-EXP(-LN(2)/2))/(LN(2)/2)*BL60*BO60*VLOOKUP('Données projet'!$B$11,Paramètres!$A$1:$I$89,3,0)*0.475*44/12</f>
        <v>3.698711302991835</v>
      </c>
      <c r="BS60" s="22">
        <f t="shared" si="9"/>
        <v>73.320119011494157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10.36375</v>
      </c>
      <c r="BY60" s="12">
        <f>IF('Données projet'!$A$114&gt;35,BY59+BX60-CG59,IF(A60&lt;'Données projet'!$A$114,$BV$205^A60,IF(A60='Données projet'!$A$114,'Données projet'!$B$114,BY59+BX60-CG59)))</f>
        <v>243.33625000000026</v>
      </c>
      <c r="BZ60" s="13">
        <f>BY60*VLOOKUP('Données projet'!$B$12,Paramètres!$A$1:$I$89,3,0)*VLOOKUP('Données projet'!$B$12,Paramètres!$A$1:$I$89,5,0)</f>
        <v>163.22995650000018</v>
      </c>
      <c r="CA60" s="13">
        <f t="shared" si="39"/>
        <v>41.570191531030112</v>
      </c>
      <c r="CB60" s="20">
        <f t="shared" si="10"/>
        <v>356.69359115404433</v>
      </c>
      <c r="CC60" s="59">
        <f t="shared" si="11"/>
        <v>641.91331809954033</v>
      </c>
      <c r="CD60" s="59">
        <f ca="1">AVERAGE(OFFSET($CC$3,0,0,'Données projet'!$E$12+1,1))-AVERAGE(OFFSET($H$3,0,0,'Données projet'!$E$12+1,1))</f>
        <v>493.98227954109774</v>
      </c>
      <c r="CE60" s="59">
        <f t="shared" si="40"/>
        <v>224.32736097997289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18.879450917094879</v>
      </c>
      <c r="CM60" s="21">
        <f>EXP(-LN(2)/2)*CM59+(1-EXP(-LN(2)/2))/(LN(2)/2)*CG60*CJ60*VLOOKUP('Données projet'!$B$12,Paramètres!$A$1:$I$89,3,0)*0.475*44/12</f>
        <v>0.45114180923682584</v>
      </c>
      <c r="CN60" s="22">
        <f t="shared" si="12"/>
        <v>19.330592726331705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10.36375</v>
      </c>
      <c r="CT60" s="12">
        <f>IF('Données projet'!$A$140&gt;35,CT59+CS60-DB59,IF(A60&lt;'Données projet'!$A$140,$CQ$205^A60,IF(A60='Données projet'!$A$140,'Données projet'!$B$140,CT59+CS60-DB59)))</f>
        <v>243.33625000000026</v>
      </c>
      <c r="CU60" s="17">
        <f>CT60*VLOOKUP('Données projet'!$B$13,Paramètres!$A$1:$I$89,3,0)*VLOOKUP('Données projet'!$B$13,Paramètres!$A$1:$I$89,5,0)</f>
        <v>231.55877550000022</v>
      </c>
      <c r="CV60" s="13">
        <f t="shared" si="41"/>
        <v>56.619592629673022</v>
      </c>
      <c r="CW60" s="20">
        <f t="shared" si="13"/>
        <v>501.91065782584752</v>
      </c>
      <c r="CX60" s="59">
        <f t="shared" si="14"/>
        <v>787.13038477134353</v>
      </c>
      <c r="CY60" s="59">
        <f ca="1">AVERAGE(OFFSET($CX$3,0,0,'Données projet'!$E$13+1,1))-AVERAGE(OFFSET($H$3,0,0,'Données projet'!$E$13+1,1))</f>
        <v>677.13548994240728</v>
      </c>
      <c r="CZ60" s="59">
        <f t="shared" si="42"/>
        <v>298.72429542440534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21.729179357411081</v>
      </c>
      <c r="DH60" s="21">
        <f>EXP(-LN(2)/2)*DH59+(1-EXP(-LN(2)/2))/(LN(2)/2)*DB60*DE60*VLOOKUP('Données projet'!$B$13,Paramètres!$A$1:$I$89,3,0)*0.475*44/12</f>
        <v>0.63999186891735749</v>
      </c>
      <c r="DI60" s="22">
        <f t="shared" si="15"/>
        <v>22.369171226328437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67.787198257862542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1.2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4.3999999999999995</v>
      </c>
      <c r="H61" s="67">
        <f t="shared" si="1"/>
        <v>239.06666666666669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783.01150407308558</v>
      </c>
      <c r="S61" s="59">
        <f ca="1">AVERAGE(OFFSET($R$3,0,0,'Données projet'!$E$9+1,1))-AVERAGE(OFFSET($H$3,0,0,'Données projet'!$E$9+1,1))</f>
        <v>646.69588445509589</v>
      </c>
      <c r="T61" s="59">
        <f t="shared" si="34"/>
        <v>286.36346771084698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18.617142857142849</v>
      </c>
      <c r="AI61" s="13">
        <f>IF('Données projet'!$A$62&gt;35,AI60+AH61-AQ60,IF(A61&lt;'Données projet'!$A$62,$AF$205^A61,IF(A61='Données projet'!$A$62,'Données projet'!$B$62,AI60+AH61-AQ60)))</f>
        <v>476.59428571428595</v>
      </c>
      <c r="AJ61" s="13">
        <f>AI61*VLOOKUP('Données projet'!$B$10,Paramètres!$A$1:$I$89,3,0)*VLOOKUP('Données projet'!$B$10,Paramètres!$A$1:$I$89,5,0)</f>
        <v>266.41620571428587</v>
      </c>
      <c r="AK61" s="13">
        <f t="shared" si="35"/>
        <v>64.088107222101385</v>
      </c>
      <c r="AL61" s="20">
        <f t="shared" si="4"/>
        <v>575.62834503087436</v>
      </c>
      <c r="AM61" s="59">
        <f t="shared" si="5"/>
        <v>860.98882490789288</v>
      </c>
      <c r="AN61" s="59">
        <f ca="1">AVERAGE(OFFSET($AM$3,0,0,'Données projet'!$E$10+1,1))-AVERAGE(OFFSET($H$3,0,0,'Données projet'!$E$10+1,1))</f>
        <v>391.55758836264408</v>
      </c>
      <c r="AO61" s="59">
        <f t="shared" si="36"/>
        <v>360.80727659978777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83.603157840691964</v>
      </c>
      <c r="AV61" s="21">
        <f>EXP(-LN(2)/25)*AV60+(1-EXP(-LN(2)/25))/(LN(2)/25)*Calculateur!AQ61*Calculateur!AS61*VLOOKUP('Données projet'!$B$10,Paramètres!$A$1:$I$89,3,0)*0.475*44/12</f>
        <v>31.25696604566502</v>
      </c>
      <c r="AW61" s="21">
        <f>EXP(-LN(2)/2)*AW60+(1-EXP(-LN(2)/2))/(LN(2)/2)*AQ61*AT61*VLOOKUP('Données projet'!$B$10,Paramètres!$A$1:$I$89,3,0)*0.475*44/12</f>
        <v>6.6761001057954896</v>
      </c>
      <c r="AX61" s="21">
        <f t="shared" si="6"/>
        <v>121.53622399215247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20</v>
      </c>
      <c r="BD61" s="12">
        <f>IF('Données projet'!$A$88&gt;35,BD60+BC61-BL60,IF(A61&lt;'Données projet'!$A$88,$BA$205^A61,IF(A61='Données projet'!$A$88,'Données projet'!$B$88,BD60+BC61-BL60)))</f>
        <v>593.99999999999989</v>
      </c>
      <c r="BE61" s="13">
        <f>BD61*VLOOKUP('Données projet'!$B$11,Paramètres!$A$1:$I$89,3,0)*VLOOKUP('Données projet'!$B$11,Paramètres!$A$1:$I$89,5,0)</f>
        <v>262.548</v>
      </c>
      <c r="BF61" s="13">
        <f t="shared" si="37"/>
        <v>63.265199933079444</v>
      </c>
      <c r="BG61" s="20">
        <f t="shared" si="7"/>
        <v>567.45798988344666</v>
      </c>
      <c r="BH61" s="59">
        <f t="shared" si="8"/>
        <v>852.81846976046518</v>
      </c>
      <c r="BI61" s="59">
        <f ca="1">AVERAGE(OFFSET($BH$3,0,0,'Données projet'!$E$11+1,1))-AVERAGE(OFFSET($H$3,0,0,'Données projet'!$E$11+1,1))</f>
        <v>400.11184625063709</v>
      </c>
      <c r="BJ61" s="59">
        <f t="shared" si="38"/>
        <v>340.02906159605971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43.293317847189293</v>
      </c>
      <c r="BQ61" s="21">
        <f>EXP(-LN(2)/25)*BQ60+(1-EXP(-LN(2)/25))/(LN(2)/25)*Calculateur!BL61*Calculateur!BN61*VLOOKUP('Données projet'!$B$11,Paramètres!$A$1:$I$89,3,0)*0.475*44/12</f>
        <v>24.765889891784845</v>
      </c>
      <c r="BR61" s="21">
        <f>EXP(-LN(2)/2)*BR60+(1-EXP(-LN(2)/2))/(LN(2)/2)*BL61*BO61*VLOOKUP('Données projet'!$B$11,Paramètres!$A$1:$I$89,3,0)*0.475*44/12</f>
        <v>2.6153838439968577</v>
      </c>
      <c r="BS61" s="22">
        <f t="shared" si="9"/>
        <v>70.67459158297099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10.36375</v>
      </c>
      <c r="BX61" s="12">
        <f t="array" ref="BX61">INDEX(BW:BW,MIN(IF(ISNUMBER(BW61:BW257),ROW(BW61:BW257),"")))</f>
        <v>10.36375</v>
      </c>
      <c r="BY61" s="12">
        <f>IF('Données projet'!$A$114&gt;35,BY60+BX61-CG60,IF(A61&lt;'Données projet'!$A$114,$BV$205^A61,IF(A61='Données projet'!$A$114,'Données projet'!$B$114,BY60+BX61-CG60)))</f>
        <v>253.70000000000027</v>
      </c>
      <c r="BZ61" s="13">
        <f>BY61*VLOOKUP('Données projet'!$B$12,Paramètres!$A$1:$I$89,3,0)*VLOOKUP('Données projet'!$B$12,Paramètres!$A$1:$I$89,5,0)</f>
        <v>170.1819600000002</v>
      </c>
      <c r="CA61" s="13">
        <f t="shared" si="39"/>
        <v>43.130774034617012</v>
      </c>
      <c r="CB61" s="20">
        <f t="shared" si="10"/>
        <v>371.51967844362497</v>
      </c>
      <c r="CC61" s="59">
        <f t="shared" si="11"/>
        <v>656.88015832064355</v>
      </c>
      <c r="CD61" s="59">
        <f ca="1">AVERAGE(OFFSET($CC$3,0,0,'Données projet'!$E$12+1,1))-AVERAGE(OFFSET($H$3,0,0,'Données projet'!$E$12+1,1))</f>
        <v>493.98227954109774</v>
      </c>
      <c r="CE61" s="59">
        <f t="shared" si="40"/>
        <v>224.32736097997289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47.789999999999992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0.42400000000000004</v>
      </c>
      <c r="CJ61" s="16">
        <f>IF(ISNA(VLOOKUP(A61,'Données projet'!$A$113:$I$133,7,0)),0%,VLOOKUP(A61,'Données projet'!$A$113:$I$133,7,0))</f>
        <v>0.2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33.330016773335963</v>
      </c>
      <c r="CM61" s="21">
        <f>EXP(-LN(2)/2)*CM60+(1-EXP(-LN(2)/2))/(LN(2)/2)*CG61*CJ61*VLOOKUP('Données projet'!$B$12,Paramètres!$A$1:$I$89,3,0)*0.475*44/12</f>
        <v>6.3684342841528263</v>
      </c>
      <c r="CN61" s="22">
        <f t="shared" si="12"/>
        <v>39.698451057488789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10.36375</v>
      </c>
      <c r="CS61" s="12">
        <f t="array" ref="CS61">INDEX(CR:CR,MIN(IF(ISNUMBER(CR61:CR257),ROW(CR61:CR257),"")))</f>
        <v>10.36375</v>
      </c>
      <c r="CT61" s="12">
        <f>IF('Données projet'!$A$140&gt;35,CT60+CS61-DB60,IF(A61&lt;'Données projet'!$A$140,$CQ$205^A61,IF(A61='Données projet'!$A$140,'Données projet'!$B$140,CT60+CS61-DB60)))</f>
        <v>253.70000000000027</v>
      </c>
      <c r="CU61" s="17">
        <f>CT61*VLOOKUP('Données projet'!$B$13,Paramètres!$A$1:$I$89,3,0)*VLOOKUP('Données projet'!$B$13,Paramètres!$A$1:$I$89,5,0)</f>
        <v>241.42092000000028</v>
      </c>
      <c r="CV61" s="13">
        <f t="shared" si="41"/>
        <v>58.745143231289354</v>
      </c>
      <c r="CW61" s="20">
        <f t="shared" si="13"/>
        <v>522.78922679449613</v>
      </c>
      <c r="CX61" s="59">
        <f t="shared" si="14"/>
        <v>808.14970667151465</v>
      </c>
      <c r="CY61" s="59">
        <f ca="1">AVERAGE(OFFSET($CX$3,0,0,'Données projet'!$E$13+1,1))-AVERAGE(OFFSET($H$3,0,0,'Données projet'!$E$13+1,1))</f>
        <v>677.13548994240728</v>
      </c>
      <c r="CZ61" s="59">
        <f t="shared" si="42"/>
        <v>298.72429542440534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47.789999999999992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0.34400000000000003</v>
      </c>
      <c r="DE61" s="16">
        <f>IF(ISNA(VLOOKUP(A61,'Données projet'!$A$139:$I$159,7,0)),0%,VLOOKUP(A61,'Données projet'!$A$139:$I$159,7,0))</f>
        <v>0.2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38.360962701386669</v>
      </c>
      <c r="DH61" s="21">
        <f>EXP(-LN(2)/2)*DH60+(1-EXP(-LN(2)/2))/(LN(2)/2)*DB61*DE61*VLOOKUP('Données projet'!$B$13,Paramètres!$A$1:$I$89,3,0)*0.475*44/12</f>
        <v>9.0342904961237753</v>
      </c>
      <c r="DI61" s="22">
        <f t="shared" si="15"/>
        <v>47.395253197510442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67.825585421005059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1.2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4.3999999999999995</v>
      </c>
      <c r="H62" s="67">
        <f t="shared" si="1"/>
        <v>239.06666666666669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710.80698903868699</v>
      </c>
      <c r="S62" s="59">
        <f ca="1">AVERAGE(OFFSET($R$3,0,0,'Données projet'!$E$9+1,1))-AVERAGE(OFFSET($H$3,0,0,'Données projet'!$E$9+1,1))</f>
        <v>646.69588445509589</v>
      </c>
      <c r="T62" s="59">
        <f t="shared" si="34"/>
        <v>286.36346771084698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18.617142857142849</v>
      </c>
      <c r="AI62" s="13">
        <f>IF('Données projet'!$A$62&gt;35,AI61+AH62-AQ61,IF(A62&lt;'Données projet'!$A$62,$AF$205^A62,IF(A62='Données projet'!$A$62,'Données projet'!$B$62,AI61+AH62-AQ61)))</f>
        <v>495.21142857142877</v>
      </c>
      <c r="AJ62" s="13">
        <f>AI62*VLOOKUP('Données projet'!$B$10,Paramètres!$A$1:$I$89,3,0)*VLOOKUP('Données projet'!$B$10,Paramètres!$A$1:$I$89,5,0)</f>
        <v>276.82318857142872</v>
      </c>
      <c r="AK62" s="13">
        <f t="shared" si="35"/>
        <v>66.295212111853616</v>
      </c>
      <c r="AL62" s="20">
        <f t="shared" si="4"/>
        <v>597.59788119005009</v>
      </c>
      <c r="AM62" s="59">
        <f t="shared" si="5"/>
        <v>883.09667224990562</v>
      </c>
      <c r="AN62" s="59">
        <f ca="1">AVERAGE(OFFSET($AM$3,0,0,'Données projet'!$E$10+1,1))-AVERAGE(OFFSET($H$3,0,0,'Données projet'!$E$10+1,1))</f>
        <v>391.55758836264408</v>
      </c>
      <c r="AO62" s="59">
        <f t="shared" si="36"/>
        <v>360.80727659978777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81.963750908327142</v>
      </c>
      <c r="AV62" s="21">
        <f>EXP(-LN(2)/25)*AV61+(1-EXP(-LN(2)/25))/(LN(2)/25)*Calculateur!AQ62*Calculateur!AS62*VLOOKUP('Données projet'!$B$10,Paramètres!$A$1:$I$89,3,0)*0.475*44/12</f>
        <v>30.402242665413905</v>
      </c>
      <c r="AW62" s="21">
        <f>EXP(-LN(2)/2)*AW61+(1-EXP(-LN(2)/2))/(LN(2)/2)*AQ62*AT62*VLOOKUP('Données projet'!$B$10,Paramètres!$A$1:$I$89,3,0)*0.475*44/12</f>
        <v>4.7207156566882187</v>
      </c>
      <c r="AX62" s="21">
        <f t="shared" si="6"/>
        <v>117.08670923042926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20</v>
      </c>
      <c r="BD62" s="12">
        <f>IF('Données projet'!$A$88&gt;35,BD61+BC62-BL61,IF(A62&lt;'Données projet'!$A$88,$BA$205^A62,IF(A62='Données projet'!$A$88,'Données projet'!$B$88,BD61+BC62-BL61)))</f>
        <v>613.99999999999989</v>
      </c>
      <c r="BE62" s="13">
        <f>BD62*VLOOKUP('Données projet'!$B$11,Paramètres!$A$1:$I$89,3,0)*VLOOKUP('Données projet'!$B$11,Paramètres!$A$1:$I$89,5,0)</f>
        <v>271.38799999999998</v>
      </c>
      <c r="BF62" s="13">
        <f t="shared" si="37"/>
        <v>65.143749954435705</v>
      </c>
      <c r="BG62" s="20">
        <f t="shared" si="7"/>
        <v>586.12613117064211</v>
      </c>
      <c r="BH62" s="59">
        <f t="shared" si="8"/>
        <v>871.62492223049776</v>
      </c>
      <c r="BI62" s="59">
        <f ca="1">AVERAGE(OFFSET($BH$3,0,0,'Données projet'!$E$11+1,1))-AVERAGE(OFFSET($H$3,0,0,'Données projet'!$E$11+1,1))</f>
        <v>400.11184625063709</v>
      </c>
      <c r="BJ62" s="59">
        <f t="shared" si="38"/>
        <v>340.02906159605971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42.444362290522392</v>
      </c>
      <c r="BQ62" s="21">
        <f>EXP(-LN(2)/25)*BQ61+(1-EXP(-LN(2)/25))/(LN(2)/25)*Calculateur!BL62*Calculateur!BN62*VLOOKUP('Données projet'!$B$11,Paramètres!$A$1:$I$89,3,0)*0.475*44/12</f>
        <v>24.088665330312441</v>
      </c>
      <c r="BR62" s="21">
        <f>EXP(-LN(2)/2)*BR61+(1-EXP(-LN(2)/2))/(LN(2)/2)*BL62*BO62*VLOOKUP('Données projet'!$B$11,Paramètres!$A$1:$I$89,3,0)*0.475*44/12</f>
        <v>1.8493556514959177</v>
      </c>
      <c r="BS62" s="22">
        <f t="shared" si="9"/>
        <v>68.382383272330742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10.107499999999998</v>
      </c>
      <c r="BY62" s="12">
        <f>IF('Données projet'!$A$114&gt;35,BY61+BX62-CG61,IF(A62&lt;'Données projet'!$A$114,$BV$205^A62,IF(A62='Données projet'!$A$114,'Données projet'!$B$114,BY61+BX62-CG61)))</f>
        <v>216.0175000000003</v>
      </c>
      <c r="BZ62" s="13">
        <f>BY62*VLOOKUP('Données projet'!$B$12,Paramètres!$A$1:$I$89,3,0)*VLOOKUP('Données projet'!$B$12,Paramètres!$A$1:$I$89,5,0)</f>
        <v>144.9045390000002</v>
      </c>
      <c r="CA62" s="13">
        <f t="shared" si="39"/>
        <v>37.418305017213846</v>
      </c>
      <c r="CB62" s="20">
        <f t="shared" si="10"/>
        <v>317.54561999664776</v>
      </c>
      <c r="CC62" s="59">
        <f t="shared" si="11"/>
        <v>603.04441105650335</v>
      </c>
      <c r="CD62" s="59">
        <f ca="1">AVERAGE(OFFSET($CC$3,0,0,'Données projet'!$E$12+1,1))-AVERAGE(OFFSET($H$3,0,0,'Données projet'!$E$12+1,1))</f>
        <v>493.98227954109774</v>
      </c>
      <c r="CE62" s="59">
        <f t="shared" si="40"/>
        <v>224.32736097997289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32.418605711919689</v>
      </c>
      <c r="CM62" s="21">
        <f>EXP(-LN(2)/2)*CM61+(1-EXP(-LN(2)/2))/(LN(2)/2)*CG62*CJ62*VLOOKUP('Données projet'!$B$12,Paramètres!$A$1:$I$89,3,0)*0.475*44/12</f>
        <v>4.5031630678653602</v>
      </c>
      <c r="CN62" s="22">
        <f t="shared" si="12"/>
        <v>36.921768779785047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10.107499999999998</v>
      </c>
      <c r="CT62" s="12">
        <f>IF('Données projet'!$A$140&gt;35,CT61+CS62-DB61,IF(A62&lt;'Données projet'!$A$140,$CQ$205^A62,IF(A62='Données projet'!$A$140,'Données projet'!$B$140,CT61+CS62-DB61)))</f>
        <v>216.0175000000003</v>
      </c>
      <c r="CU62" s="17">
        <f>CT62*VLOOKUP('Données projet'!$B$13,Paramètres!$A$1:$I$89,3,0)*VLOOKUP('Données projet'!$B$13,Paramètres!$A$1:$I$89,5,0)</f>
        <v>205.56225300000028</v>
      </c>
      <c r="CV62" s="13">
        <f t="shared" si="41"/>
        <v>50.964624143866644</v>
      </c>
      <c r="CW62" s="20">
        <f t="shared" si="13"/>
        <v>446.78431102556823</v>
      </c>
      <c r="CX62" s="59">
        <f t="shared" si="14"/>
        <v>732.28310208542382</v>
      </c>
      <c r="CY62" s="59">
        <f ca="1">AVERAGE(OFFSET($CX$3,0,0,'Données projet'!$E$13+1,1))-AVERAGE(OFFSET($H$3,0,0,'Données projet'!$E$13+1,1))</f>
        <v>677.13548994240728</v>
      </c>
      <c r="CZ62" s="59">
        <f t="shared" si="42"/>
        <v>298.72429542440534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37.311980159001898</v>
      </c>
      <c r="DH62" s="21">
        <f>EXP(-LN(2)/2)*DH61+(1-EXP(-LN(2)/2))/(LN(2)/2)*DB62*DE62*VLOOKUP('Données projet'!$B$13,Paramètres!$A$1:$I$89,3,0)*0.475*44/12</f>
        <v>6.3882080730183004</v>
      </c>
      <c r="DI62" s="22">
        <f t="shared" si="15"/>
        <v>43.700188232020196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67.863306652687896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1.2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4.3999999999999995</v>
      </c>
      <c r="H63" s="67">
        <f t="shared" si="1"/>
        <v>239.06666666666669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730.37138733065524</v>
      </c>
      <c r="S63" s="59">
        <f ca="1">AVERAGE(OFFSET($R$3,0,0,'Données projet'!$E$9+1,1))-AVERAGE(OFFSET($H$3,0,0,'Données projet'!$E$9+1,1))</f>
        <v>646.69588445509589</v>
      </c>
      <c r="T63" s="59">
        <f t="shared" si="34"/>
        <v>286.36346771084698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18.617142857142849</v>
      </c>
      <c r="AI63" s="13">
        <f>IF('Données projet'!$A$62&gt;35,AI62+AH63-AQ62,IF(A63&lt;'Données projet'!$A$62,$AF$205^A63,IF(A63='Données projet'!$A$62,'Données projet'!$B$62,AI62+AH63-AQ62)))</f>
        <v>513.82857142857165</v>
      </c>
      <c r="AJ63" s="13">
        <f>AI63*VLOOKUP('Données projet'!$B$10,Paramètres!$A$1:$I$89,3,0)*VLOOKUP('Données projet'!$B$10,Paramètres!$A$1:$I$89,5,0)</f>
        <v>287.23017142857157</v>
      </c>
      <c r="AK63" s="13">
        <f t="shared" si="35"/>
        <v>68.492677457199264</v>
      </c>
      <c r="AL63" s="20">
        <f t="shared" si="4"/>
        <v>619.55062847605086</v>
      </c>
      <c r="AM63" s="59">
        <f t="shared" si="5"/>
        <v>905.1853313289389</v>
      </c>
      <c r="AN63" s="59">
        <f ca="1">AVERAGE(OFFSET($AM$3,0,0,'Données projet'!$E$10+1,1))-AVERAGE(OFFSET($H$3,0,0,'Données projet'!$E$10+1,1))</f>
        <v>391.55758836264408</v>
      </c>
      <c r="AO63" s="59">
        <f t="shared" si="36"/>
        <v>360.80727659978777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80.356491745966508</v>
      </c>
      <c r="AV63" s="21">
        <f>EXP(-LN(2)/25)*AV62+(1-EXP(-LN(2)/25))/(LN(2)/25)*Calculateur!AQ63*Calculateur!AS63*VLOOKUP('Données projet'!$B$10,Paramètres!$A$1:$I$89,3,0)*0.475*44/12</f>
        <v>29.570891740943704</v>
      </c>
      <c r="AW63" s="21">
        <f>EXP(-LN(2)/2)*AW62+(1-EXP(-LN(2)/2))/(LN(2)/2)*AQ63*AT63*VLOOKUP('Données projet'!$B$10,Paramètres!$A$1:$I$89,3,0)*0.475*44/12</f>
        <v>3.3380500528977457</v>
      </c>
      <c r="AX63" s="21">
        <f t="shared" si="6"/>
        <v>113.26543353980796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634</v>
      </c>
      <c r="BB63" s="12">
        <f>VLOOKUP(A63,'Données projet'!$A$87:$I$107,9,0)</f>
        <v>20</v>
      </c>
      <c r="BC63" s="12">
        <f t="array" ref="BC63">INDEX(BB:BB,MIN(IF(ISNUMBER(BB63:BB259),ROW(BB63:BB259),"")))</f>
        <v>20</v>
      </c>
      <c r="BD63" s="12">
        <f>IF('Données projet'!$A$88&gt;35,BD62+BC63-BL62,IF(A63&lt;'Données projet'!$A$88,$BA$205^A63,IF(A63='Données projet'!$A$88,'Données projet'!$B$88,BD62+BC63-BL62)))</f>
        <v>633.99999999999989</v>
      </c>
      <c r="BE63" s="13">
        <f>BD63*VLOOKUP('Données projet'!$B$11,Paramètres!$A$1:$I$89,3,0)*VLOOKUP('Données projet'!$B$11,Paramètres!$A$1:$I$89,5,0)</f>
        <v>280.22799999999995</v>
      </c>
      <c r="BF63" s="13">
        <f t="shared" si="37"/>
        <v>67.015189552564891</v>
      </c>
      <c r="BG63" s="20">
        <f t="shared" si="7"/>
        <v>604.78188847071704</v>
      </c>
      <c r="BH63" s="59">
        <f t="shared" si="8"/>
        <v>890.41659132360496</v>
      </c>
      <c r="BI63" s="59">
        <f ca="1">AVERAGE(OFFSET($BH$3,0,0,'Données projet'!$E$11+1,1))-AVERAGE(OFFSET($H$3,0,0,'Données projet'!$E$11+1,1))</f>
        <v>400.11184625063709</v>
      </c>
      <c r="BJ63" s="59">
        <f t="shared" si="38"/>
        <v>340.02906159605971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53</v>
      </c>
      <c r="BM63" s="16">
        <f>IF(ISNA(VLOOKUP(A63,'Données projet'!$A$87:$I$107,5,0)),0%,VLOOKUP(A63,'Données projet'!$A$87:$I$107,5,0)*VLOOKUP('Données projet'!$B$11,Paramètres!$A$1:$I$89,7,0))</f>
        <v>0.33</v>
      </c>
      <c r="BN63" s="16">
        <f>IF(ISNA(VLOOKUP(A63,'Données projet'!$A$87:$I$107,6,0)),0%,VLOOKUP(A63,'Données projet'!$A$87:$I$107,6,0)*VLOOKUP('Données projet'!$B$11,Paramètres!$A$1:$I$89,7,0))</f>
        <v>0.11000000000000001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51.867166882441772</v>
      </c>
      <c r="BQ63" s="21">
        <f>EXP(-LN(2)/25)*BQ62+(1-EXP(-LN(2)/25))/(LN(2)/25)*Calculateur!BL63*Calculateur!BN63*VLOOKUP('Données projet'!$B$11,Paramètres!$A$1:$I$89,3,0)*0.475*44/12</f>
        <v>26.834870964064738</v>
      </c>
      <c r="BR63" s="21">
        <f>EXP(-LN(2)/2)*BR62+(1-EXP(-LN(2)/2))/(LN(2)/2)*BL63*BO63*VLOOKUP('Données projet'!$B$11,Paramètres!$A$1:$I$89,3,0)*0.475*44/12</f>
        <v>6.6124266823694278</v>
      </c>
      <c r="BS63" s="22">
        <f t="shared" si="9"/>
        <v>85.314464528875945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10.107499999999998</v>
      </c>
      <c r="BY63" s="12">
        <f>IF('Données projet'!$A$114&gt;35,BY62+BX63-CG62,IF(A63&lt;'Données projet'!$A$114,$BV$205^A63,IF(A63='Données projet'!$A$114,'Données projet'!$B$114,BY62+BX63-CG62)))</f>
        <v>226.12500000000028</v>
      </c>
      <c r="BZ63" s="13">
        <f>BY63*VLOOKUP('Données projet'!$B$12,Paramètres!$A$1:$I$89,3,0)*VLOOKUP('Données projet'!$B$12,Paramètres!$A$1:$I$89,5,0)</f>
        <v>151.68465000000018</v>
      </c>
      <c r="CA63" s="13">
        <f t="shared" si="39"/>
        <v>38.961179175243949</v>
      </c>
      <c r="CB63" s="20">
        <f t="shared" si="10"/>
        <v>332.0414858135502</v>
      </c>
      <c r="CC63" s="59">
        <f t="shared" si="11"/>
        <v>617.67618866643818</v>
      </c>
      <c r="CD63" s="59">
        <f ca="1">AVERAGE(OFFSET($CC$3,0,0,'Données projet'!$E$12+1,1))-AVERAGE(OFFSET($H$3,0,0,'Données projet'!$E$12+1,1))</f>
        <v>493.98227954109774</v>
      </c>
      <c r="CE63" s="59">
        <f t="shared" si="40"/>
        <v>224.32736097997289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31.532117233906863</v>
      </c>
      <c r="CM63" s="21">
        <f>EXP(-LN(2)/2)*CM62+(1-EXP(-LN(2)/2))/(LN(2)/2)*CG63*CJ63*VLOOKUP('Données projet'!$B$12,Paramètres!$A$1:$I$89,3,0)*0.475*44/12</f>
        <v>3.1842171420764136</v>
      </c>
      <c r="CN63" s="22">
        <f t="shared" si="12"/>
        <v>34.71633437598328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10.107499999999998</v>
      </c>
      <c r="CT63" s="12">
        <f>IF('Données projet'!$A$140&gt;35,CT62+CS63-DB62,IF(A63&lt;'Données projet'!$A$140,$CQ$205^A63,IF(A63='Données projet'!$A$140,'Données projet'!$B$140,CT62+CS63-DB62)))</f>
        <v>226.12500000000028</v>
      </c>
      <c r="CU63" s="17">
        <f>CT63*VLOOKUP('Données projet'!$B$13,Paramètres!$A$1:$I$89,3,0)*VLOOKUP('Données projet'!$B$13,Paramètres!$A$1:$I$89,5,0)</f>
        <v>215.18055000000027</v>
      </c>
      <c r="CV63" s="13">
        <f t="shared" si="41"/>
        <v>53.066055556356247</v>
      </c>
      <c r="CW63" s="20">
        <f t="shared" si="13"/>
        <v>467.19617134398754</v>
      </c>
      <c r="CX63" s="59">
        <f t="shared" si="14"/>
        <v>752.83087419687558</v>
      </c>
      <c r="CY63" s="59">
        <f ca="1">AVERAGE(OFFSET($CX$3,0,0,'Données projet'!$E$13+1,1))-AVERAGE(OFFSET($H$3,0,0,'Données projet'!$E$13+1,1))</f>
        <v>677.13548994240728</v>
      </c>
      <c r="CZ63" s="59">
        <f t="shared" si="42"/>
        <v>298.72429542440534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36.29168209940223</v>
      </c>
      <c r="DH63" s="21">
        <f>EXP(-LN(2)/2)*DH62+(1-EXP(-LN(2)/2))/(LN(2)/2)*DB63*DE63*VLOOKUP('Données projet'!$B$13,Paramètres!$A$1:$I$89,3,0)*0.475*44/12</f>
        <v>4.5171452480618877</v>
      </c>
      <c r="DI63" s="22">
        <f t="shared" si="15"/>
        <v>40.808827347464117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67.900373505333079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1.2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4.3999999999999995</v>
      </c>
      <c r="H64" s="67">
        <f t="shared" si="1"/>
        <v>239.06666666666669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749.91525599742181</v>
      </c>
      <c r="S64" s="59">
        <f ca="1">AVERAGE(OFFSET($R$3,0,0,'Données projet'!$E$9+1,1))-AVERAGE(OFFSET($H$3,0,0,'Données projet'!$E$9+1,1))</f>
        <v>646.69588445509589</v>
      </c>
      <c r="T64" s="59">
        <f t="shared" si="34"/>
        <v>286.36346771084698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18.617142857142849</v>
      </c>
      <c r="AI64" s="13">
        <f>IF('Données projet'!$A$62&gt;35,AI63+AH64-AQ63,IF(A64&lt;'Données projet'!$A$62,$AF$205^A64,IF(A64='Données projet'!$A$62,'Données projet'!$B$62,AI63+AH64-AQ63)))</f>
        <v>532.44571428571453</v>
      </c>
      <c r="AJ64" s="13">
        <f>AI64*VLOOKUP('Données projet'!$B$10,Paramètres!$A$1:$I$89,3,0)*VLOOKUP('Données projet'!$B$10,Paramètres!$A$1:$I$89,5,0)</f>
        <v>297.63715428571442</v>
      </c>
      <c r="AK64" s="13">
        <f t="shared" si="35"/>
        <v>70.680892526366577</v>
      </c>
      <c r="AL64" s="20">
        <f t="shared" si="4"/>
        <v>641.48726486437431</v>
      </c>
      <c r="AM64" s="59">
        <f t="shared" si="5"/>
        <v>927.25552174453878</v>
      </c>
      <c r="AN64" s="59">
        <f ca="1">AVERAGE(OFFSET($AM$3,0,0,'Données projet'!$E$10+1,1))-AVERAGE(OFFSET($H$3,0,0,'Données projet'!$E$10+1,1))</f>
        <v>391.55758836264408</v>
      </c>
      <c r="AO64" s="59">
        <f t="shared" si="36"/>
        <v>360.80727659978777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78.780749955448471</v>
      </c>
      <c r="AV64" s="21">
        <f>EXP(-LN(2)/25)*AV63+(1-EXP(-LN(2)/25))/(LN(2)/25)*Calculateur!AQ64*Calculateur!AS64*VLOOKUP('Données projet'!$B$10,Paramètres!$A$1:$I$89,3,0)*0.475*44/12</f>
        <v>28.762274151221987</v>
      </c>
      <c r="AW64" s="21">
        <f>EXP(-LN(2)/2)*AW63+(1-EXP(-LN(2)/2))/(LN(2)/2)*AQ64*AT64*VLOOKUP('Données projet'!$B$10,Paramètres!$A$1:$I$89,3,0)*0.475*44/12</f>
        <v>2.3603578283441098</v>
      </c>
      <c r="AX64" s="21">
        <f t="shared" si="6"/>
        <v>109.90338193501456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18.600000000000001</v>
      </c>
      <c r="BD64" s="12">
        <f>IF('Données projet'!$A$88&gt;35,BD63+BC64-BL63,IF(A64&lt;'Données projet'!$A$88,$BA$205^A64,IF(A64='Données projet'!$A$88,'Données projet'!$B$88,BD63+BC64-BL63)))</f>
        <v>599.59999999999991</v>
      </c>
      <c r="BE64" s="13">
        <f>BD64*VLOOKUP('Données projet'!$B$11,Paramètres!$A$1:$I$89,3,0)*VLOOKUP('Données projet'!$B$11,Paramètres!$A$1:$I$89,5,0)</f>
        <v>265.02319999999997</v>
      </c>
      <c r="BF64" s="13">
        <f t="shared" si="37"/>
        <v>63.791925803293047</v>
      </c>
      <c r="BG64" s="20">
        <f t="shared" si="7"/>
        <v>572.68634410740208</v>
      </c>
      <c r="BH64" s="59">
        <f t="shared" si="8"/>
        <v>858.45460098756644</v>
      </c>
      <c r="BI64" s="59">
        <f ca="1">AVERAGE(OFFSET($BH$3,0,0,'Données projet'!$E$11+1,1))-AVERAGE(OFFSET($H$3,0,0,'Données projet'!$E$11+1,1))</f>
        <v>400.11184625063709</v>
      </c>
      <c r="BJ64" s="59">
        <f t="shared" si="38"/>
        <v>340.02906159605971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50.850083375725106</v>
      </c>
      <c r="BQ64" s="21">
        <f>EXP(-LN(2)/25)*BQ63+(1-EXP(-LN(2)/25))/(LN(2)/25)*Calculateur!BL64*Calculateur!BN64*VLOOKUP('Données projet'!$B$11,Paramètres!$A$1:$I$89,3,0)*0.475*44/12</f>
        <v>26.101070006367856</v>
      </c>
      <c r="BR64" s="21">
        <f>EXP(-LN(2)/2)*BR63+(1-EXP(-LN(2)/2))/(LN(2)/2)*BL64*BO64*VLOOKUP('Données projet'!$B$11,Paramètres!$A$1:$I$89,3,0)*0.475*44/12</f>
        <v>4.6756917472022881</v>
      </c>
      <c r="BS64" s="22">
        <f t="shared" si="9"/>
        <v>81.626845129295262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10.107499999999998</v>
      </c>
      <c r="BY64" s="12">
        <f>IF('Données projet'!$A$114&gt;35,BY63+BX64-CG63,IF(A64&lt;'Données projet'!$A$114,$BV$205^A64,IF(A64='Données projet'!$A$114,'Données projet'!$B$114,BY63+BX64-CG63)))</f>
        <v>236.23250000000027</v>
      </c>
      <c r="BZ64" s="13">
        <f>BY64*VLOOKUP('Données projet'!$B$12,Paramètres!$A$1:$I$89,3,0)*VLOOKUP('Données projet'!$B$12,Paramètres!$A$1:$I$89,5,0)</f>
        <v>158.46476100000018</v>
      </c>
      <c r="CA64" s="13">
        <f t="shared" si="39"/>
        <v>40.496043894586684</v>
      </c>
      <c r="CB64" s="20">
        <f t="shared" si="10"/>
        <v>346.52340185807208</v>
      </c>
      <c r="CC64" s="59">
        <f t="shared" si="11"/>
        <v>632.29165873823649</v>
      </c>
      <c r="CD64" s="59">
        <f ca="1">AVERAGE(OFFSET($CC$3,0,0,'Données projet'!$E$12+1,1))-AVERAGE(OFFSET($H$3,0,0,'Données projet'!$E$12+1,1))</f>
        <v>493.98227954109774</v>
      </c>
      <c r="CE64" s="59">
        <f t="shared" si="40"/>
        <v>224.32736097997289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30.669869829943703</v>
      </c>
      <c r="CM64" s="21">
        <f>EXP(-LN(2)/2)*CM63+(1-EXP(-LN(2)/2))/(LN(2)/2)*CG64*CJ64*VLOOKUP('Données projet'!$B$12,Paramètres!$A$1:$I$89,3,0)*0.475*44/12</f>
        <v>2.2515815339326806</v>
      </c>
      <c r="CN64" s="22">
        <f t="shared" si="12"/>
        <v>32.921451363876386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10.107499999999998</v>
      </c>
      <c r="CT64" s="12">
        <f>IF('Données projet'!$A$140&gt;35,CT63+CS64-DB63,IF(A64&lt;'Données projet'!$A$140,$CQ$205^A64,IF(A64='Données projet'!$A$140,'Données projet'!$B$140,CT63+CS64-DB63)))</f>
        <v>236.23250000000027</v>
      </c>
      <c r="CU64" s="17">
        <f>CT64*VLOOKUP('Données projet'!$B$13,Paramètres!$A$1:$I$89,3,0)*VLOOKUP('Données projet'!$B$13,Paramètres!$A$1:$I$89,5,0)</f>
        <v>224.79884700000025</v>
      </c>
      <c r="CV64" s="13">
        <f t="shared" si="41"/>
        <v>55.156577922267701</v>
      </c>
      <c r="CW64" s="20">
        <f t="shared" si="13"/>
        <v>487.5890317396167</v>
      </c>
      <c r="CX64" s="59">
        <f t="shared" si="14"/>
        <v>773.35728861978112</v>
      </c>
      <c r="CY64" s="59">
        <f ca="1">AVERAGE(OFFSET($CX$3,0,0,'Données projet'!$E$13+1,1))-AVERAGE(OFFSET($H$3,0,0,'Données projet'!$E$13+1,1))</f>
        <v>677.13548994240728</v>
      </c>
      <c r="CZ64" s="59">
        <f t="shared" si="42"/>
        <v>298.72429542440534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35.299284143897459</v>
      </c>
      <c r="DH64" s="21">
        <f>EXP(-LN(2)/2)*DH63+(1-EXP(-LN(2)/2))/(LN(2)/2)*DB64*DE64*VLOOKUP('Données projet'!$B$13,Paramètres!$A$1:$I$89,3,0)*0.475*44/12</f>
        <v>3.1941040365091502</v>
      </c>
      <c r="DI64" s="22">
        <f t="shared" si="15"/>
        <v>38.493388180406612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67.936797330953922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1.2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4.3999999999999995</v>
      </c>
      <c r="H65" s="67">
        <f t="shared" si="1"/>
        <v>239.06666666666669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769.43950232965085</v>
      </c>
      <c r="S65" s="59">
        <f ca="1">AVERAGE(OFFSET($R$3,0,0,'Données projet'!$E$9+1,1))-AVERAGE(OFFSET($H$3,0,0,'Données projet'!$E$9+1,1))</f>
        <v>646.69588445509589</v>
      </c>
      <c r="T65" s="59">
        <f t="shared" si="34"/>
        <v>286.36346771084698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18.617142857142849</v>
      </c>
      <c r="AI65" s="13">
        <f>IF('Données projet'!$A$62&gt;35,AI64+AH65-AQ64,IF(A65&lt;'Données projet'!$A$62,$AF$205^A65,IF(A65='Données projet'!$A$62,'Données projet'!$B$62,AI64+AH65-AQ64)))</f>
        <v>551.06285714285741</v>
      </c>
      <c r="AJ65" s="13">
        <f>AI65*VLOOKUP('Données projet'!$B$10,Paramètres!$A$1:$I$89,3,0)*VLOOKUP('Données projet'!$B$10,Paramètres!$A$1:$I$89,5,0)</f>
        <v>308.04413714285727</v>
      </c>
      <c r="AK65" s="13">
        <f t="shared" si="35"/>
        <v>72.860217822174434</v>
      </c>
      <c r="AL65" s="20">
        <f t="shared" si="4"/>
        <v>663.40841823076346</v>
      </c>
      <c r="AM65" s="59">
        <f t="shared" si="5"/>
        <v>949.30791227441318</v>
      </c>
      <c r="AN65" s="59">
        <f ca="1">AVERAGE(OFFSET($AM$3,0,0,'Données projet'!$E$10+1,1))-AVERAGE(OFFSET($H$3,0,0,'Données projet'!$E$10+1,1))</f>
        <v>391.55758836264408</v>
      </c>
      <c r="AO65" s="59">
        <f t="shared" si="36"/>
        <v>360.80727659978777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77.235907500334903</v>
      </c>
      <c r="AV65" s="21">
        <f>EXP(-LN(2)/25)*AV64+(1-EXP(-LN(2)/25))/(LN(2)/25)*Calculateur!AQ65*Calculateur!AS65*VLOOKUP('Données projet'!$B$10,Paramètres!$A$1:$I$89,3,0)*0.475*44/12</f>
        <v>27.975768252014561</v>
      </c>
      <c r="AW65" s="21">
        <f>EXP(-LN(2)/2)*AW64+(1-EXP(-LN(2)/2))/(LN(2)/2)*AQ65*AT65*VLOOKUP('Données projet'!$B$10,Paramètres!$A$1:$I$89,3,0)*0.475*44/12</f>
        <v>1.6690250264488731</v>
      </c>
      <c r="AX65" s="21">
        <f t="shared" si="6"/>
        <v>106.88070077879834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18.600000000000001</v>
      </c>
      <c r="BD65" s="12">
        <f>IF('Données projet'!$A$88&gt;35,BD64+BC65-BL64,IF(A65&lt;'Données projet'!$A$88,$BA$205^A65,IF(A65='Données projet'!$A$88,'Données projet'!$B$88,BD64+BC65-BL64)))</f>
        <v>618.19999999999993</v>
      </c>
      <c r="BE65" s="13">
        <f>BD65*VLOOKUP('Données projet'!$B$11,Paramètres!$A$1:$I$89,3,0)*VLOOKUP('Données projet'!$B$11,Paramètres!$A$1:$I$89,5,0)</f>
        <v>273.24439999999998</v>
      </c>
      <c r="BF65" s="13">
        <f t="shared" si="37"/>
        <v>65.537333458790869</v>
      </c>
      <c r="BG65" s="20">
        <f t="shared" si="7"/>
        <v>590.04485244072748</v>
      </c>
      <c r="BH65" s="59">
        <f t="shared" si="8"/>
        <v>875.94434648437709</v>
      </c>
      <c r="BI65" s="59">
        <f ca="1">AVERAGE(OFFSET($BH$3,0,0,'Données projet'!$E$11+1,1))-AVERAGE(OFFSET($H$3,0,0,'Données projet'!$E$11+1,1))</f>
        <v>400.11184625063709</v>
      </c>
      <c r="BJ65" s="59">
        <f t="shared" si="38"/>
        <v>340.02906159605971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49.852944256215473</v>
      </c>
      <c r="BQ65" s="21">
        <f>EXP(-LN(2)/25)*BQ64+(1-EXP(-LN(2)/25))/(LN(2)/25)*Calculateur!BL65*Calculateur!BN65*VLOOKUP('Données projet'!$B$11,Paramètres!$A$1:$I$89,3,0)*0.475*44/12</f>
        <v>25.387334874448111</v>
      </c>
      <c r="BR65" s="21">
        <f>EXP(-LN(2)/2)*BR64+(1-EXP(-LN(2)/2))/(LN(2)/2)*BL65*BO65*VLOOKUP('Données projet'!$B$11,Paramètres!$A$1:$I$89,3,0)*0.475*44/12</f>
        <v>3.3062133411847148</v>
      </c>
      <c r="BS65" s="22">
        <f t="shared" si="9"/>
        <v>78.546492471848296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10.107499999999998</v>
      </c>
      <c r="BY65" s="12">
        <f>IF('Données projet'!$A$114&gt;35,BY64+BX65-CG64,IF(A65&lt;'Données projet'!$A$114,$BV$205^A65,IF(A65='Données projet'!$A$114,'Données projet'!$B$114,BY64+BX65-CG64)))</f>
        <v>246.34000000000026</v>
      </c>
      <c r="BZ65" s="13">
        <f>BY65*VLOOKUP('Données projet'!$B$12,Paramètres!$A$1:$I$89,3,0)*VLOOKUP('Données projet'!$B$12,Paramètres!$A$1:$I$89,5,0)</f>
        <v>165.24487200000019</v>
      </c>
      <c r="CA65" s="13">
        <f t="shared" si="39"/>
        <v>42.023281045198232</v>
      </c>
      <c r="CB65" s="20">
        <f t="shared" si="10"/>
        <v>360.99203322038721</v>
      </c>
      <c r="CC65" s="59">
        <f t="shared" si="11"/>
        <v>646.89152726403688</v>
      </c>
      <c r="CD65" s="59">
        <f ca="1">AVERAGE(OFFSET($CC$3,0,0,'Données projet'!$E$12+1,1))-AVERAGE(OFFSET($H$3,0,0,'Données projet'!$E$12+1,1))</f>
        <v>493.98227954109774</v>
      </c>
      <c r="CE65" s="59">
        <f t="shared" si="40"/>
        <v>224.32736097997289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29.831200626585535</v>
      </c>
      <c r="CM65" s="21">
        <f>EXP(-LN(2)/2)*CM64+(1-EXP(-LN(2)/2))/(LN(2)/2)*CG65*CJ65*VLOOKUP('Données projet'!$B$12,Paramètres!$A$1:$I$89,3,0)*0.475*44/12</f>
        <v>1.592108571038207</v>
      </c>
      <c r="CN65" s="22">
        <f t="shared" si="12"/>
        <v>31.423309197623741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10.107499999999998</v>
      </c>
      <c r="CT65" s="12">
        <f>IF('Données projet'!$A$140&gt;35,CT64+CS65-DB64,IF(A65&lt;'Données projet'!$A$140,$CQ$205^A65,IF(A65='Données projet'!$A$140,'Données projet'!$B$140,CT64+CS65-DB64)))</f>
        <v>246.34000000000026</v>
      </c>
      <c r="CU65" s="17">
        <f>CT65*VLOOKUP('Données projet'!$B$13,Paramètres!$A$1:$I$89,3,0)*VLOOKUP('Données projet'!$B$13,Paramètres!$A$1:$I$89,5,0)</f>
        <v>234.41714400000023</v>
      </c>
      <c r="CV65" s="13">
        <f t="shared" si="41"/>
        <v>57.236711357591943</v>
      </c>
      <c r="CW65" s="20">
        <f t="shared" si="13"/>
        <v>507.96379808113971</v>
      </c>
      <c r="CX65" s="59">
        <f t="shared" si="14"/>
        <v>793.86329212478938</v>
      </c>
      <c r="CY65" s="59">
        <f ca="1">AVERAGE(OFFSET($CX$3,0,0,'Données projet'!$E$13+1,1))-AVERAGE(OFFSET($H$3,0,0,'Données projet'!$E$13+1,1))</f>
        <v>677.13548994240728</v>
      </c>
      <c r="CZ65" s="59">
        <f t="shared" si="42"/>
        <v>298.72429542440534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34.334023362673911</v>
      </c>
      <c r="DH65" s="21">
        <f>EXP(-LN(2)/2)*DH64+(1-EXP(-LN(2)/2))/(LN(2)/2)*DB65*DE65*VLOOKUP('Données projet'!$B$13,Paramètres!$A$1:$I$89,3,0)*0.475*44/12</f>
        <v>2.2585726240309438</v>
      </c>
      <c r="DI65" s="22">
        <f t="shared" si="15"/>
        <v>36.592595986704858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67.972589284631724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1.2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4.3999999999999995</v>
      </c>
      <c r="H66" s="67">
        <f t="shared" si="1"/>
        <v>239.06666666666669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788.94495778830446</v>
      </c>
      <c r="S66" s="59">
        <f ca="1">AVERAGE(OFFSET($R$3,0,0,'Données projet'!$E$9+1,1))-AVERAGE(OFFSET($H$3,0,0,'Données projet'!$E$9+1,1))</f>
        <v>646.69588445509589</v>
      </c>
      <c r="T66" s="59">
        <f t="shared" si="34"/>
        <v>286.36346771084698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569.67999999999995</v>
      </c>
      <c r="AG66" s="12">
        <f>VLOOKUP(A66,'Données projet'!$A$61:$I$81,9,0)</f>
        <v>18.617142857142849</v>
      </c>
      <c r="AH66" s="12">
        <f t="array" ref="AH66">INDEX(AG:AG,MIN(IF(ISNUMBER(AG66:AG262),ROW(AG66:AG262),"")))</f>
        <v>18.617142857142849</v>
      </c>
      <c r="AI66" s="13">
        <f>IF('Données projet'!$A$62&gt;35,AI65+AH66-AQ65,IF(A66&lt;'Données projet'!$A$62,$AF$205^A66,IF(A66='Données projet'!$A$62,'Données projet'!$B$62,AI65+AH66-AQ65)))</f>
        <v>569.68000000000029</v>
      </c>
      <c r="AJ66" s="13">
        <f>AI66*VLOOKUP('Données projet'!$B$10,Paramètres!$A$1:$I$89,3,0)*VLOOKUP('Données projet'!$B$10,Paramètres!$A$1:$I$89,5,0)</f>
        <v>318.45112000000017</v>
      </c>
      <c r="AK66" s="13">
        <f t="shared" si="35"/>
        <v>75.030988106995281</v>
      </c>
      <c r="AL66" s="20">
        <f t="shared" si="4"/>
        <v>685.31467161968374</v>
      </c>
      <c r="AM66" s="59">
        <f t="shared" si="5"/>
        <v>971.34312615543445</v>
      </c>
      <c r="AN66" s="59">
        <f ca="1">AVERAGE(OFFSET($AM$3,0,0,'Données projet'!$E$10+1,1))-AVERAGE(OFFSET($H$3,0,0,'Données projet'!$E$10+1,1))</f>
        <v>391.55758836264408</v>
      </c>
      <c r="AO66" s="59">
        <f t="shared" si="36"/>
        <v>360.80727659978777</v>
      </c>
      <c r="AP66" s="15">
        <f>IF(ISNA(VLOOKUP(A66,'Données projet'!$A$61:$I$81,3,0)),0,VLOOKUP(A66,'Données projet'!$A$61:$I$81,3,0))</f>
        <v>7</v>
      </c>
      <c r="AQ66" s="15">
        <f>IF(ISNA(VLOOKUP(A66,'Données projet'!$A$61:$I$81,4,0)),0,VLOOKUP(A66,'Données projet'!$A$61:$I$81,4,0))</f>
        <v>99.599999999999966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100.09460843496048</v>
      </c>
      <c r="AV66" s="21">
        <f>EXP(-LN(2)/25)*AV65+(1-EXP(-LN(2)/25))/(LN(2)/25)*Calculateur!AQ66*Calculateur!AS66*VLOOKUP('Données projet'!$B$10,Paramètres!$A$1:$I$89,3,0)*0.475*44/12</f>
        <v>35.303197131108604</v>
      </c>
      <c r="AW66" s="21">
        <f>EXP(-LN(2)/2)*AW65+(1-EXP(-LN(2)/2))/(LN(2)/2)*AQ66*AT66*VLOOKUP('Données projet'!$B$10,Paramètres!$A$1:$I$89,3,0)*0.475*44/12</f>
        <v>13.787902572172555</v>
      </c>
      <c r="AX66" s="21">
        <f t="shared" si="6"/>
        <v>149.18570813824164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18.600000000000001</v>
      </c>
      <c r="BD66" s="12">
        <f>IF('Données projet'!$A$88&gt;35,BD65+BC66-BL65,IF(A66&lt;'Données projet'!$A$88,$BA$205^A66,IF(A66='Données projet'!$A$88,'Données projet'!$B$88,BD65+BC66-BL65)))</f>
        <v>636.79999999999995</v>
      </c>
      <c r="BE66" s="13">
        <f>BD66*VLOOKUP('Données projet'!$B$11,Paramètres!$A$1:$I$89,3,0)*VLOOKUP('Données projet'!$B$11,Paramètres!$A$1:$I$89,5,0)</f>
        <v>281.46559999999999</v>
      </c>
      <c r="BF66" s="13">
        <f t="shared" si="37"/>
        <v>67.276638122675294</v>
      </c>
      <c r="BG66" s="20">
        <f t="shared" si="7"/>
        <v>607.39273139699276</v>
      </c>
      <c r="BH66" s="59">
        <f t="shared" si="8"/>
        <v>893.42118593274358</v>
      </c>
      <c r="BI66" s="59">
        <f ca="1">AVERAGE(OFFSET($BH$3,0,0,'Données projet'!$E$11+1,1))-AVERAGE(OFFSET($H$3,0,0,'Données projet'!$E$11+1,1))</f>
        <v>400.11184625063709</v>
      </c>
      <c r="BJ66" s="59">
        <f t="shared" si="38"/>
        <v>340.02906159605971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48.87535842664461</v>
      </c>
      <c r="BQ66" s="21">
        <f>EXP(-LN(2)/25)*BQ65+(1-EXP(-LN(2)/25))/(LN(2)/25)*Calculateur!BL66*Calculateur!BN66*VLOOKUP('Données projet'!$B$11,Paramètres!$A$1:$I$89,3,0)*0.475*44/12</f>
        <v>24.693116867244409</v>
      </c>
      <c r="BR66" s="21">
        <f>EXP(-LN(2)/2)*BR65+(1-EXP(-LN(2)/2))/(LN(2)/2)*BL66*BO66*VLOOKUP('Données projet'!$B$11,Paramètres!$A$1:$I$89,3,0)*0.475*44/12</f>
        <v>2.3378458736011445</v>
      </c>
      <c r="BS66" s="22">
        <f t="shared" si="9"/>
        <v>75.906321167490162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10.107499999999998</v>
      </c>
      <c r="BY66" s="12">
        <f>IF('Données projet'!$A$114&gt;35,BY65+BX66-CG65,IF(A66&lt;'Données projet'!$A$114,$BV$205^A66,IF(A66='Données projet'!$A$114,'Données projet'!$B$114,BY65+BX66-CG65)))</f>
        <v>256.44750000000028</v>
      </c>
      <c r="BZ66" s="13">
        <f>BY66*VLOOKUP('Données projet'!$B$12,Paramètres!$A$1:$I$89,3,0)*VLOOKUP('Données projet'!$B$12,Paramètres!$A$1:$I$89,5,0)</f>
        <v>172.02498300000019</v>
      </c>
      <c r="CA66" s="13">
        <f t="shared" si="39"/>
        <v>43.543239387038597</v>
      </c>
      <c r="CB66" s="20">
        <f t="shared" si="10"/>
        <v>375.44798732409254</v>
      </c>
      <c r="CC66" s="59">
        <f t="shared" si="11"/>
        <v>661.47644185984336</v>
      </c>
      <c r="CD66" s="59">
        <f ca="1">AVERAGE(OFFSET($CC$3,0,0,'Données projet'!$E$12+1,1))-AVERAGE(OFFSET($H$3,0,0,'Données projet'!$E$12+1,1))</f>
        <v>493.98227954109774</v>
      </c>
      <c r="CE66" s="59">
        <f t="shared" si="40"/>
        <v>224.32736097997289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29.015464876696893</v>
      </c>
      <c r="CM66" s="21">
        <f>EXP(-LN(2)/2)*CM65+(1-EXP(-LN(2)/2))/(LN(2)/2)*CG66*CJ66*VLOOKUP('Données projet'!$B$12,Paramètres!$A$1:$I$89,3,0)*0.475*44/12</f>
        <v>1.1257907669663403</v>
      </c>
      <c r="CN66" s="22">
        <f t="shared" si="12"/>
        <v>30.141255643663232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10.107499999999998</v>
      </c>
      <c r="CT66" s="12">
        <f>IF('Données projet'!$A$140&gt;35,CT65+CS66-DB65,IF(A66&lt;'Données projet'!$A$140,$CQ$205^A66,IF(A66='Données projet'!$A$140,'Données projet'!$B$140,CT65+CS66-DB65)))</f>
        <v>256.44750000000028</v>
      </c>
      <c r="CU66" s="17">
        <f>CT66*VLOOKUP('Données projet'!$B$13,Paramètres!$A$1:$I$89,3,0)*VLOOKUP('Données projet'!$B$13,Paramètres!$A$1:$I$89,5,0)</f>
        <v>244.03544100000028</v>
      </c>
      <c r="CV66" s="13">
        <f t="shared" si="41"/>
        <v>59.306930881715026</v>
      </c>
      <c r="CW66" s="20">
        <f t="shared" si="13"/>
        <v>528.3212976939875</v>
      </c>
      <c r="CX66" s="59">
        <f t="shared" si="14"/>
        <v>814.34975222973821</v>
      </c>
      <c r="CY66" s="59">
        <f ca="1">AVERAGE(OFFSET($CX$3,0,0,'Données projet'!$E$13+1,1))-AVERAGE(OFFSET($H$3,0,0,'Données projet'!$E$13+1,1))</f>
        <v>677.13548994240728</v>
      </c>
      <c r="CZ66" s="59">
        <f t="shared" si="42"/>
        <v>298.72429542440534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33.395157688273777</v>
      </c>
      <c r="DH66" s="21">
        <f>EXP(-LN(2)/2)*DH65+(1-EXP(-LN(2)/2))/(LN(2)/2)*DB66*DE66*VLOOKUP('Données projet'!$B$13,Paramètres!$A$1:$I$89,3,0)*0.475*44/12</f>
        <v>1.5970520182545751</v>
      </c>
      <c r="DI66" s="22">
        <f t="shared" si="15"/>
        <v>34.992209706528349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68.007760327932033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1.2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4.3999999999999995</v>
      </c>
      <c r="H67" s="67">
        <f t="shared" si="1"/>
        <v>239.06666666666669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808.43238723255104</v>
      </c>
      <c r="S67" s="59">
        <f ca="1">AVERAGE(OFFSET($R$3,0,0,'Données projet'!$E$9+1,1))-AVERAGE(OFFSET($H$3,0,0,'Données projet'!$E$9+1,1))</f>
        <v>646.69588445509589</v>
      </c>
      <c r="T67" s="59">
        <f t="shared" si="34"/>
        <v>286.36346771084698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16.682857142857149</v>
      </c>
      <c r="AI67" s="13">
        <f>IF('Données projet'!$A$62&gt;35,AI66+AH67-AQ66,IF(A67&lt;'Données projet'!$A$62,$AF$205^A67,IF(A67='Données projet'!$A$62,'Données projet'!$B$62,AI66+AH67-AQ66)))</f>
        <v>486.76285714285751</v>
      </c>
      <c r="AJ67" s="13">
        <f>AI67*VLOOKUP('Données projet'!$B$10,Paramètres!$A$1:$I$89,3,0)*VLOOKUP('Données projet'!$B$10,Paramètres!$A$1:$I$89,5,0)</f>
        <v>272.10043714285734</v>
      </c>
      <c r="AK67" s="13">
        <f t="shared" si="35"/>
        <v>65.294833817604186</v>
      </c>
      <c r="AL67" s="20">
        <f t="shared" si="4"/>
        <v>587.63009692280377</v>
      </c>
      <c r="AM67" s="59">
        <f t="shared" si="5"/>
        <v>873.78527477443026</v>
      </c>
      <c r="AN67" s="59">
        <f ca="1">AVERAGE(OFFSET($AM$3,0,0,'Données projet'!$E$10+1,1))-AVERAGE(OFFSET($H$3,0,0,'Données projet'!$E$10+1,1))</f>
        <v>391.55758836264408</v>
      </c>
      <c r="AO67" s="59">
        <f t="shared" si="36"/>
        <v>360.80727659978777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98.131814215233689</v>
      </c>
      <c r="AV67" s="21">
        <f>EXP(-LN(2)/25)*AV66+(1-EXP(-LN(2)/25))/(LN(2)/25)*Calculateur!AQ67*Calculateur!AS67*VLOOKUP('Données projet'!$B$10,Paramètres!$A$1:$I$89,3,0)*0.475*44/12</f>
        <v>34.337829349043986</v>
      </c>
      <c r="AW67" s="21">
        <f>EXP(-LN(2)/2)*AW66+(1-EXP(-LN(2)/2))/(LN(2)/2)*AQ67*AT67*VLOOKUP('Données projet'!$B$10,Paramètres!$A$1:$I$89,3,0)*0.475*44/12</f>
        <v>9.749519407122655</v>
      </c>
      <c r="AX67" s="21">
        <f t="shared" si="6"/>
        <v>142.21916297140032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18.600000000000001</v>
      </c>
      <c r="BD67" s="12">
        <f>IF('Données projet'!$A$88&gt;35,BD66+BC67-BL66,IF(A67&lt;'Données projet'!$A$88,$BA$205^A67,IF(A67='Données projet'!$A$88,'Données projet'!$B$88,BD66+BC67-BL66)))</f>
        <v>655.4</v>
      </c>
      <c r="BE67" s="13">
        <f>BD67*VLOOKUP('Données projet'!$B$11,Paramètres!$A$1:$I$89,3,0)*VLOOKUP('Données projet'!$B$11,Paramètres!$A$1:$I$89,5,0)</f>
        <v>289.68680000000001</v>
      </c>
      <c r="BF67" s="13">
        <f t="shared" si="37"/>
        <v>69.010038523202823</v>
      </c>
      <c r="BG67" s="20">
        <f t="shared" si="7"/>
        <v>624.73032709457823</v>
      </c>
      <c r="BH67" s="59">
        <f t="shared" si="8"/>
        <v>910.88550494620472</v>
      </c>
      <c r="BI67" s="59">
        <f ca="1">AVERAGE(OFFSET($BH$3,0,0,'Données projet'!$E$11+1,1))-AVERAGE(OFFSET($H$3,0,0,'Données projet'!$E$11+1,1))</f>
        <v>400.11184625063709</v>
      </c>
      <c r="BJ67" s="59">
        <f t="shared" si="38"/>
        <v>340.02906159605971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47.916942458923153</v>
      </c>
      <c r="BQ67" s="21">
        <f>EXP(-LN(2)/25)*BQ66+(1-EXP(-LN(2)/25))/(LN(2)/25)*Calculateur!BL67*Calculateur!BN67*VLOOKUP('Données projet'!$B$11,Paramètres!$A$1:$I$89,3,0)*0.475*44/12</f>
        <v>24.017882287955032</v>
      </c>
      <c r="BR67" s="21">
        <f>EXP(-LN(2)/2)*BR66+(1-EXP(-LN(2)/2))/(LN(2)/2)*BL67*BO67*VLOOKUP('Données projet'!$B$11,Paramètres!$A$1:$I$89,3,0)*0.475*44/12</f>
        <v>1.6531066705923576</v>
      </c>
      <c r="BS67" s="22">
        <f t="shared" si="9"/>
        <v>73.587931417470529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10.107499999999998</v>
      </c>
      <c r="BY67" s="12">
        <f>IF('Données projet'!$A$114&gt;35,BY66+BX67-CG66,IF(A67&lt;'Données projet'!$A$114,$BV$205^A67,IF(A67='Données projet'!$A$114,'Données projet'!$B$114,BY66+BX67-CG66)))</f>
        <v>266.55500000000029</v>
      </c>
      <c r="BZ67" s="13">
        <f>BY67*VLOOKUP('Données projet'!$B$12,Paramètres!$A$1:$I$89,3,0)*VLOOKUP('Données projet'!$B$12,Paramètres!$A$1:$I$89,5,0)</f>
        <v>178.8050940000002</v>
      </c>
      <c r="CA67" s="13">
        <f t="shared" si="39"/>
        <v>45.05623863194468</v>
      </c>
      <c r="CB67" s="20">
        <f t="shared" si="10"/>
        <v>389.89182100063732</v>
      </c>
      <c r="CC67" s="59">
        <f t="shared" si="11"/>
        <v>676.04699885226387</v>
      </c>
      <c r="CD67" s="59">
        <f ca="1">AVERAGE(OFFSET($CC$3,0,0,'Données projet'!$E$12+1,1))-AVERAGE(OFFSET($H$3,0,0,'Données projet'!$E$12+1,1))</f>
        <v>493.98227954109774</v>
      </c>
      <c r="CE67" s="59">
        <f t="shared" si="40"/>
        <v>224.32736097997289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28.222035463786632</v>
      </c>
      <c r="CM67" s="21">
        <f>EXP(-LN(2)/2)*CM66+(1-EXP(-LN(2)/2))/(LN(2)/2)*CG67*CJ67*VLOOKUP('Données projet'!$B$12,Paramètres!$A$1:$I$89,3,0)*0.475*44/12</f>
        <v>0.79605428551910351</v>
      </c>
      <c r="CN67" s="22">
        <f t="shared" si="12"/>
        <v>29.018089749305737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10.107499999999998</v>
      </c>
      <c r="CT67" s="12">
        <f>IF('Données projet'!$A$140&gt;35,CT66+CS67-DB66,IF(A67&lt;'Données projet'!$A$140,$CQ$205^A67,IF(A67='Données projet'!$A$140,'Données projet'!$B$140,CT66+CS67-DB66)))</f>
        <v>266.55500000000029</v>
      </c>
      <c r="CU67" s="17">
        <f>CT67*VLOOKUP('Données projet'!$B$13,Paramètres!$A$1:$I$89,3,0)*VLOOKUP('Données projet'!$B$13,Paramètres!$A$1:$I$89,5,0)</f>
        <v>253.65373800000029</v>
      </c>
      <c r="CV67" s="13">
        <f t="shared" si="41"/>
        <v>61.36767194978637</v>
      </c>
      <c r="CW67" s="20">
        <f t="shared" si="13"/>
        <v>548.66228899587838</v>
      </c>
      <c r="CX67" s="59">
        <f t="shared" si="14"/>
        <v>834.81746684750487</v>
      </c>
      <c r="CY67" s="59">
        <f ca="1">AVERAGE(OFFSET($CX$3,0,0,'Données projet'!$E$13+1,1))-AVERAGE(OFFSET($H$3,0,0,'Données projet'!$E$13+1,1))</f>
        <v>677.13548994240728</v>
      </c>
      <c r="CZ67" s="59">
        <f t="shared" si="42"/>
        <v>298.72429542440534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32.481965345112911</v>
      </c>
      <c r="DH67" s="21">
        <f>EXP(-LN(2)/2)*DH66+(1-EXP(-LN(2)/2))/(LN(2)/2)*DB67*DE67*VLOOKUP('Données projet'!$B$13,Paramètres!$A$1:$I$89,3,0)*0.475*44/12</f>
        <v>1.1292863120154719</v>
      </c>
      <c r="DI67" s="22">
        <f t="shared" si="15"/>
        <v>33.611251657128385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68.04232123226177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1.2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4.3999999999999995</v>
      </c>
      <c r="H68" s="67">
        <f t="shared" ref="H68:H131" si="56">(B68+E68+F68)*44/12+(C68+D68)*0.475*44/12</f>
        <v>239.06666666666669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827.90249671036895</v>
      </c>
      <c r="S68" s="59">
        <f ca="1">AVERAGE(OFFSET($R$3,0,0,'Données projet'!$E$9+1,1))-AVERAGE(OFFSET($H$3,0,0,'Données projet'!$E$9+1,1))</f>
        <v>646.69588445509589</v>
      </c>
      <c r="T68" s="59">
        <f t="shared" si="34"/>
        <v>286.36346771084698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16.682857142857149</v>
      </c>
      <c r="AI68" s="13">
        <f>IF('Données projet'!$A$62&gt;35,AI67+AH68-AQ67,IF(A68&lt;'Données projet'!$A$62,$AF$205^A68,IF(A68='Données projet'!$A$62,'Données projet'!$B$62,AI67+AH68-AQ67)))</f>
        <v>503.44571428571464</v>
      </c>
      <c r="AJ68" s="13">
        <f>AI68*VLOOKUP('Données projet'!$B$10,Paramètres!$A$1:$I$89,3,0)*VLOOKUP('Données projet'!$B$10,Paramètres!$A$1:$I$89,5,0)</f>
        <v>281.42615428571452</v>
      </c>
      <c r="AK68" s="13">
        <f t="shared" si="35"/>
        <v>67.268307105467983</v>
      </c>
      <c r="AL68" s="20">
        <f t="shared" ref="AL68:AL131" si="58">(AJ68+AK68)*0.475*44/12</f>
        <v>607.30952025630938</v>
      </c>
      <c r="AM68" s="59">
        <f t="shared" ref="AM68:AM131" si="59">AL68+(AD68+AE68)*44/12</f>
        <v>893.58922305759188</v>
      </c>
      <c r="AN68" s="59">
        <f ca="1">AVERAGE(OFFSET($AM$3,0,0,'Données projet'!$E$10+1,1))-AVERAGE(OFFSET($H$3,0,0,'Données projet'!$E$10+1,1))</f>
        <v>391.55758836264408</v>
      </c>
      <c r="AO68" s="59">
        <f t="shared" si="36"/>
        <v>360.80727659978777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96.207509192969482</v>
      </c>
      <c r="AV68" s="21">
        <f>EXP(-LN(2)/25)*AV67+(1-EXP(-LN(2)/25))/(LN(2)/25)*Calculateur!AQ68*Calculateur!AS68*VLOOKUP('Données projet'!$B$10,Paramètres!$A$1:$I$89,3,0)*0.475*44/12</f>
        <v>33.398859599746416</v>
      </c>
      <c r="AW68" s="21">
        <f>EXP(-LN(2)/2)*AW67+(1-EXP(-LN(2)/2))/(LN(2)/2)*AQ68*AT68*VLOOKUP('Données projet'!$B$10,Paramètres!$A$1:$I$89,3,0)*0.475*44/12</f>
        <v>6.8939512860862786</v>
      </c>
      <c r="AX68" s="21">
        <f t="shared" ref="AX68:AX131" si="60">SUM(AU68:AW68)</f>
        <v>136.50032007880219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674</v>
      </c>
      <c r="BB68" s="12">
        <f>VLOOKUP(A68,'Données projet'!$A$87:$I$107,9,0)</f>
        <v>18.600000000000001</v>
      </c>
      <c r="BC68" s="12">
        <f t="array" ref="BC68">INDEX(BB:BB,MIN(IF(ISNUMBER(BB68:BB264),ROW(BB68:BB264),"")))</f>
        <v>18.600000000000001</v>
      </c>
      <c r="BD68" s="12">
        <f>IF('Données projet'!$A$88&gt;35,BD67+BC68-BL67,IF(A68&lt;'Données projet'!$A$88,$BA$205^A68,IF(A68='Données projet'!$A$88,'Données projet'!$B$88,BD67+BC68-BL67)))</f>
        <v>674</v>
      </c>
      <c r="BE68" s="13">
        <f>BD68*VLOOKUP('Données projet'!$B$11,Paramètres!$A$1:$I$89,3,0)*VLOOKUP('Données projet'!$B$11,Paramètres!$A$1:$I$89,5,0)</f>
        <v>297.90800000000002</v>
      </c>
      <c r="BF68" s="13">
        <f t="shared" si="37"/>
        <v>70.737721467342539</v>
      </c>
      <c r="BG68" s="20">
        <f t="shared" ref="BG68:BG131" si="61">(BE68+BF68)*0.475*44/12</f>
        <v>642.05796488895498</v>
      </c>
      <c r="BH68" s="59">
        <f t="shared" ref="BH68:BH131" si="62">BG68+(AY68+AZ68)*44/12</f>
        <v>928.33766769023759</v>
      </c>
      <c r="BI68" s="59">
        <f ca="1">AVERAGE(OFFSET($BH$3,0,0,'Données projet'!$E$11+1,1))-AVERAGE(OFFSET($H$3,0,0,'Données projet'!$E$11+1,1))</f>
        <v>400.11184625063709</v>
      </c>
      <c r="BJ68" s="59">
        <f t="shared" si="38"/>
        <v>340.02906159605971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48</v>
      </c>
      <c r="BM68" s="16">
        <f>IF(ISNA(VLOOKUP(A68,'Données projet'!$A$87:$I$107,5,0)),0%,VLOOKUP(A68,'Données projet'!$A$87:$I$107,5,0)*VLOOKUP('Données projet'!$B$11,Paramètres!$A$1:$I$89,7,0))</f>
        <v>0.33</v>
      </c>
      <c r="BN68" s="16">
        <f>IF(ISNA(VLOOKUP(A68,'Données projet'!$A$87:$I$107,6,0)),0%,VLOOKUP(A68,'Données projet'!$A$87:$I$107,6,0)*VLOOKUP('Données projet'!$B$11,Paramètres!$A$1:$I$89,7,0))</f>
        <v>0.11000000000000001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56.264969634332445</v>
      </c>
      <c r="BQ68" s="21">
        <f>EXP(-LN(2)/25)*BQ67+(1-EXP(-LN(2)/25))/(LN(2)/25)*Calculateur!BL68*Calculateur!BN68*VLOOKUP('Données projet'!$B$11,Paramètres!$A$1:$I$89,3,0)*0.475*44/12</f>
        <v>26.444805426026917</v>
      </c>
      <c r="BR68" s="21">
        <f>EXP(-LN(2)/2)*BR67+(1-EXP(-LN(2)/2))/(LN(2)/2)*BL68*BO68*VLOOKUP('Données projet'!$B$11,Paramètres!$A$1:$I$89,3,0)*0.475*44/12</f>
        <v>5.9732110216648726</v>
      </c>
      <c r="BS68" s="22">
        <f t="shared" ref="BS68:BS131" si="63">SUM(BP68:BR68)</f>
        <v>88.682986082024229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10.107499999999998</v>
      </c>
      <c r="BY68" s="12">
        <f>IF('Données projet'!$A$114&gt;35,BY67+BX68-CG67,IF(A68&lt;'Données projet'!$A$114,$BV$205^A68,IF(A68='Données projet'!$A$114,'Données projet'!$B$114,BY67+BX68-CG67)))</f>
        <v>276.66250000000031</v>
      </c>
      <c r="BZ68" s="13">
        <f>BY68*VLOOKUP('Données projet'!$B$12,Paramètres!$A$1:$I$89,3,0)*VLOOKUP('Données projet'!$B$12,Paramètres!$A$1:$I$89,5,0)</f>
        <v>185.58520500000023</v>
      </c>
      <c r="CA68" s="13">
        <f t="shared" si="39"/>
        <v>46.56257287208954</v>
      </c>
      <c r="CB68" s="20">
        <f t="shared" ref="CB68:CB131" si="64">(BZ68+CA68)*0.475*44/12</f>
        <v>404.3240464605563</v>
      </c>
      <c r="CC68" s="59">
        <f t="shared" ref="CC68:CC131" si="65">CB68+(BT68+BU68)*44/12</f>
        <v>690.60374926183886</v>
      </c>
      <c r="CD68" s="59">
        <f ca="1">AVERAGE(OFFSET($CC$3,0,0,'Données projet'!$E$12+1,1))-AVERAGE(OFFSET($H$3,0,0,'Données projet'!$E$12+1,1))</f>
        <v>493.98227954109774</v>
      </c>
      <c r="CE68" s="59">
        <f t="shared" si="40"/>
        <v>224.32736097997289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27.450302419897046</v>
      </c>
      <c r="CM68" s="21">
        <f>EXP(-LN(2)/2)*CM67+(1-EXP(-LN(2)/2))/(LN(2)/2)*CG68*CJ68*VLOOKUP('Données projet'!$B$12,Paramètres!$A$1:$I$89,3,0)*0.475*44/12</f>
        <v>0.56289538348317014</v>
      </c>
      <c r="CN68" s="22">
        <f t="shared" ref="CN68:CN131" si="66">SUM(CK68:CM68)</f>
        <v>28.013197803380216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10.107499999999998</v>
      </c>
      <c r="CT68" s="12">
        <f>IF('Données projet'!$A$140&gt;35,CT67+CS68-DB67,IF(A68&lt;'Données projet'!$A$140,$CQ$205^A68,IF(A68='Données projet'!$A$140,'Données projet'!$B$140,CT67+CS68-DB67)))</f>
        <v>276.66250000000031</v>
      </c>
      <c r="CU68" s="17">
        <f>CT68*VLOOKUP('Données projet'!$B$13,Paramètres!$A$1:$I$89,3,0)*VLOOKUP('Données projet'!$B$13,Paramètres!$A$1:$I$89,5,0)</f>
        <v>263.2720350000003</v>
      </c>
      <c r="CV68" s="13">
        <f t="shared" si="41"/>
        <v>63.419335122362007</v>
      </c>
      <c r="CW68" s="20">
        <f t="shared" ref="CW68:CW131" si="67">(CU68+CV68)*0.475*44/12</f>
        <v>568.987469629781</v>
      </c>
      <c r="CX68" s="59">
        <f t="shared" ref="CX68:CX131" si="68">CW68+(CO68+CP68)*44/12</f>
        <v>855.2671724310635</v>
      </c>
      <c r="CY68" s="59">
        <f ca="1">AVERAGE(OFFSET($CX$3,0,0,'Données projet'!$E$13+1,1))-AVERAGE(OFFSET($H$3,0,0,'Données projet'!$E$13+1,1))</f>
        <v>677.13548994240728</v>
      </c>
      <c r="CZ68" s="59">
        <f t="shared" si="42"/>
        <v>298.72429542440534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31.59374429459848</v>
      </c>
      <c r="DH68" s="21">
        <f>EXP(-LN(2)/2)*DH67+(1-EXP(-LN(2)/2))/(LN(2)/2)*DB68*DE68*VLOOKUP('Données projet'!$B$13,Paramètres!$A$1:$I$89,3,0)*0.475*44/12</f>
        <v>0.79852600912728755</v>
      </c>
      <c r="DI68" s="22">
        <f t="shared" ref="DI68:DI131" si="69">SUM(DF68:DH68)</f>
        <v>32.392270303725766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68.076282582167977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1.2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4.3999999999999995</v>
      </c>
      <c r="H69" s="67">
        <f t="shared" si="56"/>
        <v>239.06666666666669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847.3559400802817</v>
      </c>
      <c r="S69" s="59">
        <f ca="1">AVERAGE(OFFSET($R$3,0,0,'Données projet'!$E$9+1,1))-AVERAGE(OFFSET($H$3,0,0,'Données projet'!$E$9+1,1))</f>
        <v>646.69588445509589</v>
      </c>
      <c r="T69" s="59">
        <f t="shared" ref="T69:T132" si="88">$T$3</f>
        <v>286.36346771084698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16.682857142857149</v>
      </c>
      <c r="AI69" s="13">
        <f>IF('Données projet'!$A$62&gt;35,AI68+AH69-AQ68,IF(A69&lt;'Données projet'!$A$62,$AF$205^A69,IF(A69='Données projet'!$A$62,'Données projet'!$B$62,AI68+AH69-AQ68)))</f>
        <v>520.12857142857183</v>
      </c>
      <c r="AJ69" s="13">
        <f>AI69*VLOOKUP('Données projet'!$B$10,Paramètres!$A$1:$I$89,3,0)*VLOOKUP('Données projet'!$B$10,Paramètres!$A$1:$I$89,5,0)</f>
        <v>290.75187142857169</v>
      </c>
      <c r="AK69" s="13">
        <f t="shared" ref="AK69:AK132" si="89">EXP(-1.0587+0.8836*LN(AJ69)+0.284)</f>
        <v>69.23418152913365</v>
      </c>
      <c r="AL69" s="20">
        <f t="shared" si="58"/>
        <v>626.97570890133682</v>
      </c>
      <c r="AM69" s="59">
        <f t="shared" si="59"/>
        <v>913.37777642279502</v>
      </c>
      <c r="AN69" s="59">
        <f ca="1">AVERAGE(OFFSET($AM$3,0,0,'Données projet'!$E$10+1,1))-AVERAGE(OFFSET($H$3,0,0,'Données projet'!$E$10+1,1))</f>
        <v>391.55758836264408</v>
      </c>
      <c r="AO69" s="59">
        <f t="shared" ref="AO69:AO132" si="90">$AO$3</f>
        <v>360.80727659978777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94.320938618481705</v>
      </c>
      <c r="AV69" s="21">
        <f>EXP(-LN(2)/25)*AV68+(1-EXP(-LN(2)/25))/(LN(2)/25)*Calculateur!AQ69*Calculateur!AS69*VLOOKUP('Données projet'!$B$10,Paramètres!$A$1:$I$89,3,0)*0.475*44/12</f>
        <v>32.485566027621658</v>
      </c>
      <c r="AW69" s="21">
        <f>EXP(-LN(2)/2)*AW68+(1-EXP(-LN(2)/2))/(LN(2)/2)*AQ69*AT69*VLOOKUP('Données projet'!$B$10,Paramètres!$A$1:$I$89,3,0)*0.475*44/12</f>
        <v>4.8747597035613284</v>
      </c>
      <c r="AX69" s="21">
        <f t="shared" si="60"/>
        <v>131.6812643496647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17.2</v>
      </c>
      <c r="BD69" s="12">
        <f>IF('Données projet'!$A$88&gt;35,BD68+BC69-BL68,IF(A69&lt;'Données projet'!$A$88,$BA$205^A69,IF(A69='Données projet'!$A$88,'Données projet'!$B$88,BD68+BC69-BL68)))</f>
        <v>643.20000000000005</v>
      </c>
      <c r="BE69" s="13">
        <f>BD69*VLOOKUP('Données projet'!$B$11,Paramètres!$A$1:$I$89,3,0)*VLOOKUP('Données projet'!$B$11,Paramètres!$A$1:$I$89,5,0)</f>
        <v>284.29440000000005</v>
      </c>
      <c r="BF69" s="13">
        <f t="shared" ref="BF69:BF132" si="91">EXP(-1.0587+0.8836*LN(BE69)+0.284)</f>
        <v>67.873733555704575</v>
      </c>
      <c r="BG69" s="20">
        <f t="shared" si="61"/>
        <v>613.3594992761856</v>
      </c>
      <c r="BH69" s="59">
        <f t="shared" si="62"/>
        <v>899.76156679764381</v>
      </c>
      <c r="BI69" s="59">
        <f ca="1">AVERAGE(OFFSET($BH$3,0,0,'Données projet'!$E$11+1,1))-AVERAGE(OFFSET($H$3,0,0,'Données projet'!$E$11+1,1))</f>
        <v>400.11184625063709</v>
      </c>
      <c r="BJ69" s="59">
        <f t="shared" ref="BJ69:BJ132" si="92">$BJ$3</f>
        <v>340.02906159605971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55.16164789804602</v>
      </c>
      <c r="BQ69" s="21">
        <f>EXP(-LN(2)/25)*BQ68+(1-EXP(-LN(2)/25))/(LN(2)/25)*Calculateur!BL69*Calculateur!BN69*VLOOKUP('Données projet'!$B$11,Paramètres!$A$1:$I$89,3,0)*0.475*44/12</f>
        <v>25.721670830980333</v>
      </c>
      <c r="BR69" s="21">
        <f>EXP(-LN(2)/2)*BR68+(1-EXP(-LN(2)/2))/(LN(2)/2)*BL69*BO69*VLOOKUP('Données projet'!$B$11,Paramètres!$A$1:$I$89,3,0)*0.475*44/12</f>
        <v>4.2236980188774575</v>
      </c>
      <c r="BS69" s="22">
        <f t="shared" si="63"/>
        <v>85.107016747903813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10.107499999999998</v>
      </c>
      <c r="BX69" s="12">
        <f t="array" ref="BX69">INDEX(BW:BW,MIN(IF(ISNUMBER(BW69:BW265),ROW(BW69:BW265),"")))</f>
        <v>10.107499999999998</v>
      </c>
      <c r="BY69" s="12">
        <f>IF('Données projet'!$A$114&gt;35,BY68+BX69-CG68,IF(A69&lt;'Données projet'!$A$114,$BV$205^A69,IF(A69='Données projet'!$A$114,'Données projet'!$B$114,BY68+BX69-CG68)))</f>
        <v>286.77000000000032</v>
      </c>
      <c r="BZ69" s="13">
        <f>BY69*VLOOKUP('Données projet'!$B$12,Paramètres!$A$1:$I$89,3,0)*VLOOKUP('Données projet'!$B$12,Paramètres!$A$1:$I$89,5,0)</f>
        <v>192.36531600000023</v>
      </c>
      <c r="CA69" s="13">
        <f t="shared" ref="CA69:CA132" si="93">EXP(-1.0587+0.8836*LN(BZ69)+0.284)</f>
        <v>48.062513493342635</v>
      </c>
      <c r="CB69" s="20">
        <f t="shared" si="64"/>
        <v>418.74513636757212</v>
      </c>
      <c r="CC69" s="59">
        <f t="shared" si="65"/>
        <v>705.14720388903038</v>
      </c>
      <c r="CD69" s="59">
        <f ca="1">AVERAGE(OFFSET($CC$3,0,0,'Données projet'!$E$12+1,1))-AVERAGE(OFFSET($H$3,0,0,'Données projet'!$E$12+1,1))</f>
        <v>493.98227954109774</v>
      </c>
      <c r="CE69" s="59">
        <f t="shared" ref="CE69:CE132" si="94">$CE$3</f>
        <v>224.32736097997289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53.679999999999978</v>
      </c>
      <c r="CH69" s="16">
        <f>IF(ISNA(VLOOKUP(A69,'Données projet'!$A$113:$I$133,5,0)),0%,VLOOKUP(A69,'Données projet'!$A$113:$I$133,5,0)*VLOOKUP('Données projet'!$B$12,Paramètres!$A$1:$I$89,7,0))</f>
        <v>0.1855</v>
      </c>
      <c r="CI69" s="16">
        <f>IF(ISNA(VLOOKUP(A69,'Données projet'!$A$113:$I$133,6,0)),0%,VLOOKUP(A69,'Données projet'!$A$113:$I$133,6,0)*VLOOKUP('Données projet'!$B$12,Paramètres!$A$1:$I$89,7,0))</f>
        <v>0.10600000000000001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7.3840832677912047</v>
      </c>
      <c r="CL69" s="21">
        <f>EXP(-LN(2)/25)*CL68+(1-EXP(-LN(2)/25))/(LN(2)/25)*Calculateur!CG69*Calculateur!CI69*VLOOKUP('Données projet'!$B$12,Paramètres!$A$1:$I$89,3,0)*0.475*44/12</f>
        <v>30.90253492433893</v>
      </c>
      <c r="CM69" s="21">
        <f>EXP(-LN(2)/2)*CM68+(1-EXP(-LN(2)/2))/(LN(2)/2)*CG69*CJ69*VLOOKUP('Données projet'!$B$12,Paramètres!$A$1:$I$89,3,0)*0.475*44/12</f>
        <v>3.7955301847347873</v>
      </c>
      <c r="CN69" s="22">
        <f t="shared" si="66"/>
        <v>42.082148376864922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10.107499999999998</v>
      </c>
      <c r="CS69" s="12">
        <f t="array" ref="CS69">INDEX(CR:CR,MIN(IF(ISNUMBER(CR69:CR265),ROW(CR69:CR265),"")))</f>
        <v>10.107499999999998</v>
      </c>
      <c r="CT69" s="12">
        <f>IF('Données projet'!$A$140&gt;35,CT68+CS69-DB68,IF(A69&lt;'Données projet'!$A$140,$CQ$205^A69,IF(A69='Données projet'!$A$140,'Données projet'!$B$140,CT68+CS69-DB68)))</f>
        <v>286.77000000000032</v>
      </c>
      <c r="CU69" s="17">
        <f>CT69*VLOOKUP('Données projet'!$B$13,Paramètres!$A$1:$I$89,3,0)*VLOOKUP('Données projet'!$B$13,Paramètres!$A$1:$I$89,5,0)</f>
        <v>272.89033200000034</v>
      </c>
      <c r="CV69" s="13">
        <f t="shared" ref="CV69:CV132" si="95">EXP(-1.0587+0.8836*LN(CU69)+0.284)</f>
        <v>65.462290033470751</v>
      </c>
      <c r="CW69" s="20">
        <f t="shared" si="67"/>
        <v>589.2974833749621</v>
      </c>
      <c r="CX69" s="59">
        <f t="shared" si="68"/>
        <v>875.69955089642031</v>
      </c>
      <c r="CY69" s="59">
        <f ca="1">AVERAGE(OFFSET($CX$3,0,0,'Données projet'!$E$13+1,1))-AVERAGE(OFFSET($H$3,0,0,'Données projet'!$E$13+1,1))</f>
        <v>677.13548994240728</v>
      </c>
      <c r="CZ69" s="59">
        <f t="shared" ref="CZ69:CZ132" si="96">$CZ$3</f>
        <v>298.72429542440534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53.679999999999978</v>
      </c>
      <c r="DC69" s="16">
        <f>IF(ISNA(VLOOKUP(A69,'Données projet'!$A$139:$I$159,5,0)),0%,VLOOKUP(A69,'Données projet'!$A$139:$I$159,5,0)*VLOOKUP('Données projet'!$B$13,Paramètres!$A$1:$I$89,7,0))</f>
        <v>0.15049999999999999</v>
      </c>
      <c r="DD69" s="16">
        <f>IF(ISNA(VLOOKUP(A69,'Données projet'!$A$139:$I$159,6,0)),0%,VLOOKUP(A69,'Données projet'!$A$139:$I$159,6,0)*VLOOKUP('Données projet'!$B$13,Paramètres!$A$1:$I$89,7,0))</f>
        <v>8.6000000000000007E-2</v>
      </c>
      <c r="DE69" s="16">
        <f>IF(ISNA(VLOOKUP(A69,'Données projet'!$A$139:$I$159,7,0)),0%,VLOOKUP(A69,'Données projet'!$A$139:$I$159,7,0))</f>
        <v>0.1</v>
      </c>
      <c r="DF69" s="21">
        <f>EXP(-LN(2)/35)*DF68+(1-EXP(-LN(2)/35))/(LN(2)/35)*DB69*DC69*VLOOKUP('Données projet'!$B$13,Paramètres!$A$1:$I$89,3,0)*0.475*44/12</f>
        <v>8.4986618742502529</v>
      </c>
      <c r="DG69" s="21">
        <f>EXP(-LN(2)/25)*DG68+(1-EXP(-LN(2)/25))/(LN(2)/25)*Calculateur!DB69*Calculateur!DD69*VLOOKUP('Données projet'!$B$13,Paramètres!$A$1:$I$89,3,0)*0.475*44/12</f>
        <v>35.567068497824039</v>
      </c>
      <c r="DH69" s="21">
        <f>EXP(-LN(2)/2)*DH68+(1-EXP(-LN(2)/2))/(LN(2)/2)*DB69*DE69*VLOOKUP('Données projet'!$B$13,Paramètres!$A$1:$I$89,3,0)*0.475*44/12</f>
        <v>5.3843567736935345</v>
      </c>
      <c r="DI69" s="22">
        <f t="shared" si="69"/>
        <v>49.450087145767824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68.109654778579525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1.2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4.3999999999999995</v>
      </c>
      <c r="H70" s="67">
        <f t="shared" si="56"/>
        <v>239.06666666666669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763.31768831539875</v>
      </c>
      <c r="S70" s="59">
        <f ca="1">AVERAGE(OFFSET($R$3,0,0,'Données projet'!$E$9+1,1))-AVERAGE(OFFSET($H$3,0,0,'Données projet'!$E$9+1,1))</f>
        <v>646.69588445509589</v>
      </c>
      <c r="T70" s="59">
        <f t="shared" si="88"/>
        <v>286.36346771084698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16.682857142857149</v>
      </c>
      <c r="AI70" s="13">
        <f>IF('Données projet'!$A$62&gt;35,AI69+AH70-AQ69,IF(A70&lt;'Données projet'!$A$62,$AF$205^A70,IF(A70='Données projet'!$A$62,'Données projet'!$B$62,AI69+AH70-AQ69)))</f>
        <v>536.81142857142902</v>
      </c>
      <c r="AJ70" s="13">
        <f>AI70*VLOOKUP('Données projet'!$B$10,Paramètres!$A$1:$I$89,3,0)*VLOOKUP('Données projet'!$B$10,Paramètres!$A$1:$I$89,5,0)</f>
        <v>300.07758857142881</v>
      </c>
      <c r="AK70" s="13">
        <f t="shared" si="89"/>
        <v>71.19272877566128</v>
      </c>
      <c r="AL70" s="20">
        <f t="shared" si="58"/>
        <v>646.62913604618188</v>
      </c>
      <c r="AM70" s="59">
        <f t="shared" si="59"/>
        <v>933.15144553348728</v>
      </c>
      <c r="AN70" s="59">
        <f ca="1">AVERAGE(OFFSET($AM$3,0,0,'Données projet'!$E$10+1,1))-AVERAGE(OFFSET($H$3,0,0,'Données projet'!$E$10+1,1))</f>
        <v>391.55758836264408</v>
      </c>
      <c r="AO70" s="59">
        <f t="shared" si="90"/>
        <v>360.80727659978777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92.471362542265211</v>
      </c>
      <c r="AV70" s="21">
        <f>EXP(-LN(2)/25)*AV69+(1-EXP(-LN(2)/25))/(LN(2)/25)*Calculateur!AQ70*Calculateur!AS70*VLOOKUP('Données projet'!$B$10,Paramètres!$A$1:$I$89,3,0)*0.475*44/12</f>
        <v>31.597246516254675</v>
      </c>
      <c r="AW70" s="21">
        <f>EXP(-LN(2)/2)*AW69+(1-EXP(-LN(2)/2))/(LN(2)/2)*AQ70*AT70*VLOOKUP('Données projet'!$B$10,Paramètres!$A$1:$I$89,3,0)*0.475*44/12</f>
        <v>3.4469756430431397</v>
      </c>
      <c r="AX70" s="21">
        <f t="shared" si="60"/>
        <v>127.51558470156303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17.2</v>
      </c>
      <c r="BD70" s="12">
        <f>IF('Données projet'!$A$88&gt;35,BD69+BC70-BL69,IF(A70&lt;'Données projet'!$A$88,$BA$205^A70,IF(A70='Données projet'!$A$88,'Données projet'!$B$88,BD69+BC70-BL69)))</f>
        <v>660.40000000000009</v>
      </c>
      <c r="BE70" s="13">
        <f>BD70*VLOOKUP('Données projet'!$B$11,Paramètres!$A$1:$I$89,3,0)*VLOOKUP('Données projet'!$B$11,Paramètres!$A$1:$I$89,5,0)</f>
        <v>291.8968000000001</v>
      </c>
      <c r="BF70" s="13">
        <f t="shared" si="91"/>
        <v>69.475023818152522</v>
      </c>
      <c r="BG70" s="20">
        <f t="shared" si="61"/>
        <v>629.38925981661589</v>
      </c>
      <c r="BH70" s="59">
        <f t="shared" si="62"/>
        <v>915.91156930392128</v>
      </c>
      <c r="BI70" s="59">
        <f ca="1">AVERAGE(OFFSET($BH$3,0,0,'Données projet'!$E$11+1,1))-AVERAGE(OFFSET($H$3,0,0,'Données projet'!$E$11+1,1))</f>
        <v>400.11184625063709</v>
      </c>
      <c r="BJ70" s="59">
        <f t="shared" si="92"/>
        <v>340.02906159605971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54.079961628048359</v>
      </c>
      <c r="BQ70" s="21">
        <f>EXP(-LN(2)/25)*BQ69+(1-EXP(-LN(2)/25))/(LN(2)/25)*Calculateur!BL70*Calculateur!BN70*VLOOKUP('Données projet'!$B$11,Paramètres!$A$1:$I$89,3,0)*0.475*44/12</f>
        <v>25.018310389463295</v>
      </c>
      <c r="BR70" s="21">
        <f>EXP(-LN(2)/2)*BR69+(1-EXP(-LN(2)/2))/(LN(2)/2)*BL70*BO70*VLOOKUP('Données projet'!$B$11,Paramètres!$A$1:$I$89,3,0)*0.475*44/12</f>
        <v>2.9866055108324367</v>
      </c>
      <c r="BS70" s="22">
        <f t="shared" si="63"/>
        <v>82.08487752834408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9.733749999999997</v>
      </c>
      <c r="BY70" s="12">
        <f>IF('Données projet'!$A$114&gt;35,BY69+BX70-CG69,IF(A70&lt;'Données projet'!$A$114,$BV$205^A70,IF(A70='Données projet'!$A$114,'Données projet'!$B$114,BY69+BX70-CG69)))</f>
        <v>242.82375000000033</v>
      </c>
      <c r="BZ70" s="13">
        <f>BY70*VLOOKUP('Données projet'!$B$12,Paramètres!$A$1:$I$89,3,0)*VLOOKUP('Données projet'!$B$12,Paramètres!$A$1:$I$89,5,0)</f>
        <v>162.88617150000024</v>
      </c>
      <c r="CA70" s="13">
        <f t="shared" si="93"/>
        <v>41.492820556939392</v>
      </c>
      <c r="CB70" s="20">
        <f t="shared" si="64"/>
        <v>355.96007783250315</v>
      </c>
      <c r="CC70" s="59">
        <f t="shared" si="65"/>
        <v>642.48238731980859</v>
      </c>
      <c r="CD70" s="59">
        <f ca="1">AVERAGE(OFFSET($CC$3,0,0,'Données projet'!$E$12+1,1))-AVERAGE(OFFSET($H$3,0,0,'Données projet'!$E$12+1,1))</f>
        <v>493.98227954109774</v>
      </c>
      <c r="CE70" s="59">
        <f t="shared" si="94"/>
        <v>224.32736097997289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7.2392858987558943</v>
      </c>
      <c r="CL70" s="21">
        <f>EXP(-LN(2)/25)*CL69+(1-EXP(-LN(2)/25))/(LN(2)/25)*Calculateur!CG70*Calculateur!CI70*VLOOKUP('Données projet'!$B$12,Paramètres!$A$1:$I$89,3,0)*0.475*44/12</f>
        <v>30.0575034817392</v>
      </c>
      <c r="CM70" s="21">
        <f>EXP(-LN(2)/2)*CM69+(1-EXP(-LN(2)/2))/(LN(2)/2)*CG70*CJ70*VLOOKUP('Données projet'!$B$12,Paramètres!$A$1:$I$89,3,0)*0.475*44/12</f>
        <v>2.6838451318241976</v>
      </c>
      <c r="CN70" s="22">
        <f t="shared" si="66"/>
        <v>39.980634512319291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9.733749999999997</v>
      </c>
      <c r="CT70" s="12">
        <f>IF('Données projet'!$A$140&gt;35,CT69+CS70-DB69,IF(A70&lt;'Données projet'!$A$140,$CQ$205^A70,IF(A70='Données projet'!$A$140,'Données projet'!$B$140,CT69+CS70-DB69)))</f>
        <v>242.82375000000033</v>
      </c>
      <c r="CU70" s="17">
        <f>CT70*VLOOKUP('Données projet'!$B$13,Paramètres!$A$1:$I$89,3,0)*VLOOKUP('Données projet'!$B$13,Paramètres!$A$1:$I$89,5,0)</f>
        <v>231.07108050000033</v>
      </c>
      <c r="CV70" s="13">
        <f t="shared" si="95"/>
        <v>56.514211517076802</v>
      </c>
      <c r="CW70" s="20">
        <f t="shared" si="67"/>
        <v>500.87771692974269</v>
      </c>
      <c r="CX70" s="59">
        <f t="shared" si="68"/>
        <v>787.40002641704814</v>
      </c>
      <c r="CY70" s="59">
        <f ca="1">AVERAGE(OFFSET($CX$3,0,0,'Données projet'!$E$13+1,1))-AVERAGE(OFFSET($H$3,0,0,'Données projet'!$E$13+1,1))</f>
        <v>677.13548994240728</v>
      </c>
      <c r="CZ70" s="59">
        <f t="shared" si="96"/>
        <v>298.72429542440534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8.3320082985681037</v>
      </c>
      <c r="DG70" s="21">
        <f>EXP(-LN(2)/25)*DG69+(1-EXP(-LN(2)/25))/(LN(2)/25)*Calculateur!DB70*Calculateur!DD70*VLOOKUP('Données projet'!$B$13,Paramètres!$A$1:$I$89,3,0)*0.475*44/12</f>
        <v>34.594485139360195</v>
      </c>
      <c r="DH70" s="21">
        <f>EXP(-LN(2)/2)*DH69+(1-EXP(-LN(2)/2))/(LN(2)/2)*DB70*DE70*VLOOKUP('Données projet'!$B$13,Paramètres!$A$1:$I$89,3,0)*0.475*44/12</f>
        <v>3.8073151870064192</v>
      </c>
      <c r="DI70" s="22">
        <f t="shared" si="69"/>
        <v>46.733808624934717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68.142448041992381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1.2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4.3999999999999995</v>
      </c>
      <c r="H71" s="67">
        <f t="shared" si="56"/>
        <v>239.06666666666669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782.10158533828519</v>
      </c>
      <c r="S71" s="59">
        <f ca="1">AVERAGE(OFFSET($R$3,0,0,'Données projet'!$E$9+1,1))-AVERAGE(OFFSET($H$3,0,0,'Données projet'!$E$9+1,1))</f>
        <v>646.69588445509589</v>
      </c>
      <c r="T71" s="59">
        <f t="shared" si="88"/>
        <v>286.36346771084698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16.682857142857149</v>
      </c>
      <c r="AI71" s="13">
        <f>IF('Données projet'!$A$62&gt;35,AI70+AH71-AQ70,IF(A71&lt;'Données projet'!$A$62,$AF$205^A71,IF(A71='Données projet'!$A$62,'Données projet'!$B$62,AI70+AH71-AQ70)))</f>
        <v>553.49428571428621</v>
      </c>
      <c r="AJ71" s="13">
        <f>AI71*VLOOKUP('Données projet'!$B$10,Paramètres!$A$1:$I$89,3,0)*VLOOKUP('Données projet'!$B$10,Paramètres!$A$1:$I$89,5,0)</f>
        <v>309.40330571428598</v>
      </c>
      <c r="AK71" s="13">
        <f t="shared" si="89"/>
        <v>73.144202686055834</v>
      </c>
      <c r="AL71" s="20">
        <f t="shared" si="58"/>
        <v>666.27024379726197</v>
      </c>
      <c r="AM71" s="59">
        <f t="shared" si="59"/>
        <v>952.9107093211278</v>
      </c>
      <c r="AN71" s="59">
        <f ca="1">AVERAGE(OFFSET($AM$3,0,0,'Données projet'!$E$10+1,1))-AVERAGE(OFFSET($H$3,0,0,'Données projet'!$E$10+1,1))</f>
        <v>391.55758836264408</v>
      </c>
      <c r="AO71" s="59">
        <f t="shared" si="90"/>
        <v>360.80727659978777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90.658055524773317</v>
      </c>
      <c r="AV71" s="21">
        <f>EXP(-LN(2)/25)*AV70+(1-EXP(-LN(2)/25))/(LN(2)/25)*Calculateur!AQ71*Calculateur!AS71*VLOOKUP('Données projet'!$B$10,Paramètres!$A$1:$I$89,3,0)*0.475*44/12</f>
        <v>30.733218148640713</v>
      </c>
      <c r="AW71" s="21">
        <f>EXP(-LN(2)/2)*AW70+(1-EXP(-LN(2)/2))/(LN(2)/2)*AQ71*AT71*VLOOKUP('Données projet'!$B$10,Paramètres!$A$1:$I$89,3,0)*0.475*44/12</f>
        <v>2.4373798517806646</v>
      </c>
      <c r="AX71" s="21">
        <f t="shared" si="60"/>
        <v>123.8286535251947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17.2</v>
      </c>
      <c r="BD71" s="12">
        <f>IF('Données projet'!$A$88&gt;35,BD70+BC71-BL70,IF(A71&lt;'Données projet'!$A$88,$BA$205^A71,IF(A71='Données projet'!$A$88,'Données projet'!$B$88,BD70+BC71-BL70)))</f>
        <v>677.60000000000014</v>
      </c>
      <c r="BE71" s="13">
        <f>BD71*VLOOKUP('Données projet'!$B$11,Paramètres!$A$1:$I$89,3,0)*VLOOKUP('Données projet'!$B$11,Paramètres!$A$1:$I$89,5,0)</f>
        <v>299.49920000000009</v>
      </c>
      <c r="BF71" s="13">
        <f t="shared" si="91"/>
        <v>71.071466353381297</v>
      </c>
      <c r="BG71" s="20">
        <f t="shared" si="61"/>
        <v>645.41057723213919</v>
      </c>
      <c r="BH71" s="59">
        <f t="shared" si="62"/>
        <v>932.05104275600502</v>
      </c>
      <c r="BI71" s="59">
        <f ca="1">AVERAGE(OFFSET($BH$3,0,0,'Données projet'!$E$11+1,1))-AVERAGE(OFFSET($H$3,0,0,'Données projet'!$E$11+1,1))</f>
        <v>400.11184625063709</v>
      </c>
      <c r="BJ71" s="59">
        <f t="shared" si="92"/>
        <v>340.02906159605971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53.019486566041877</v>
      </c>
      <c r="BQ71" s="21">
        <f>EXP(-LN(2)/25)*BQ70+(1-EXP(-LN(2)/25))/(LN(2)/25)*Calculateur!BL71*Calculateur!BN71*VLOOKUP('Données projet'!$B$11,Paramètres!$A$1:$I$89,3,0)*0.475*44/12</f>
        <v>24.334183376207658</v>
      </c>
      <c r="BR71" s="21">
        <f>EXP(-LN(2)/2)*BR70+(1-EXP(-LN(2)/2))/(LN(2)/2)*BL71*BO71*VLOOKUP('Données projet'!$B$11,Paramètres!$A$1:$I$89,3,0)*0.475*44/12</f>
        <v>2.1118490094387288</v>
      </c>
      <c r="BS71" s="22">
        <f t="shared" si="63"/>
        <v>79.465518951688267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9.733749999999997</v>
      </c>
      <c r="BY71" s="12">
        <f>IF('Données projet'!$A$114&gt;35,BY70+BX71-CG70,IF(A71&lt;'Données projet'!$A$114,$BV$205^A71,IF(A71='Données projet'!$A$114,'Données projet'!$B$114,BY70+BX71-CG70)))</f>
        <v>252.55750000000032</v>
      </c>
      <c r="BZ71" s="13">
        <f>BY71*VLOOKUP('Données projet'!$B$12,Paramètres!$A$1:$I$89,3,0)*VLOOKUP('Données projet'!$B$12,Paramètres!$A$1:$I$89,5,0)</f>
        <v>169.41557100000023</v>
      </c>
      <c r="CA71" s="13">
        <f t="shared" si="93"/>
        <v>42.959104708024029</v>
      </c>
      <c r="CB71" s="20">
        <f t="shared" si="64"/>
        <v>369.88589352480886</v>
      </c>
      <c r="CC71" s="59">
        <f t="shared" si="65"/>
        <v>656.52635904867475</v>
      </c>
      <c r="CD71" s="59">
        <f ca="1">AVERAGE(OFFSET($CC$3,0,0,'Données projet'!$E$12+1,1))-AVERAGE(OFFSET($H$3,0,0,'Données projet'!$E$12+1,1))</f>
        <v>493.98227954109774</v>
      </c>
      <c r="CE71" s="59">
        <f t="shared" si="94"/>
        <v>224.32736097997289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7.0973279178096922</v>
      </c>
      <c r="CL71" s="21">
        <f>EXP(-LN(2)/25)*CL70+(1-EXP(-LN(2)/25))/(LN(2)/25)*Calculateur!CG71*Calculateur!CI71*VLOOKUP('Données projet'!$B$12,Paramètres!$A$1:$I$89,3,0)*0.475*44/12</f>
        <v>29.235579468375629</v>
      </c>
      <c r="CM71" s="21">
        <f>EXP(-LN(2)/2)*CM70+(1-EXP(-LN(2)/2))/(LN(2)/2)*CG71*CJ71*VLOOKUP('Données projet'!$B$12,Paramètres!$A$1:$I$89,3,0)*0.475*44/12</f>
        <v>1.8977650923673939</v>
      </c>
      <c r="CN71" s="22">
        <f t="shared" si="66"/>
        <v>38.230672478552712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9.733749999999997</v>
      </c>
      <c r="CT71" s="12">
        <f>IF('Données projet'!$A$140&gt;35,CT70+CS71-DB70,IF(A71&lt;'Données projet'!$A$140,$CQ$205^A71,IF(A71='Données projet'!$A$140,'Données projet'!$B$140,CT70+CS71-DB70)))</f>
        <v>252.55750000000032</v>
      </c>
      <c r="CU71" s="17">
        <f>CT71*VLOOKUP('Données projet'!$B$13,Paramètres!$A$1:$I$89,3,0)*VLOOKUP('Données projet'!$B$13,Paramètres!$A$1:$I$89,5,0)</f>
        <v>240.33371700000029</v>
      </c>
      <c r="CV71" s="13">
        <f t="shared" si="95"/>
        <v>58.511325512853986</v>
      </c>
      <c r="CW71" s="20">
        <f t="shared" si="67"/>
        <v>520.48844904322118</v>
      </c>
      <c r="CX71" s="59">
        <f t="shared" si="68"/>
        <v>807.12891456708701</v>
      </c>
      <c r="CY71" s="59">
        <f ca="1">AVERAGE(OFFSET($CX$3,0,0,'Données projet'!$E$13+1,1))-AVERAGE(OFFSET($H$3,0,0,'Données projet'!$E$13+1,1))</f>
        <v>677.13548994240728</v>
      </c>
      <c r="CZ71" s="59">
        <f t="shared" si="96"/>
        <v>298.72429542440534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8.1686226978564367</v>
      </c>
      <c r="DG71" s="21">
        <f>EXP(-LN(2)/25)*DG70+(1-EXP(-LN(2)/25))/(LN(2)/25)*Calculateur!DB71*Calculateur!DD71*VLOOKUP('Données projet'!$B$13,Paramètres!$A$1:$I$89,3,0)*0.475*44/12</f>
        <v>33.648497123979482</v>
      </c>
      <c r="DH71" s="21">
        <f>EXP(-LN(2)/2)*DH70+(1-EXP(-LN(2)/2))/(LN(2)/2)*DB71*DE71*VLOOKUP('Données projet'!$B$13,Paramètres!$A$1:$I$89,3,0)*0.475*44/12</f>
        <v>2.6921783868467677</v>
      </c>
      <c r="DI71" s="22">
        <f t="shared" si="69"/>
        <v>44.509298208682686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68.174672415599773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1.2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4.3999999999999995</v>
      </c>
      <c r="H72" s="67">
        <f t="shared" si="56"/>
        <v>239.06666666666669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800.86853804323709</v>
      </c>
      <c r="S72" s="59">
        <f ca="1">AVERAGE(OFFSET($R$3,0,0,'Données projet'!$E$9+1,1))-AVERAGE(OFFSET($H$3,0,0,'Données projet'!$E$9+1,1))</f>
        <v>646.69588445509589</v>
      </c>
      <c r="T72" s="59">
        <f t="shared" si="88"/>
        <v>286.36346771084698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16.682857142857149</v>
      </c>
      <c r="AI72" s="13">
        <f>IF('Données projet'!$A$62&gt;35,AI71+AH72-AQ71,IF(A72&lt;'Données projet'!$A$62,$AF$205^A72,IF(A72='Données projet'!$A$62,'Données projet'!$B$62,AI71+AH72-AQ71)))</f>
        <v>570.17714285714339</v>
      </c>
      <c r="AJ72" s="13">
        <f>AI72*VLOOKUP('Données projet'!$B$10,Paramètres!$A$1:$I$89,3,0)*VLOOKUP('Données projet'!$B$10,Paramètres!$A$1:$I$89,5,0)</f>
        <v>318.72902285714315</v>
      </c>
      <c r="AK72" s="13">
        <f t="shared" si="89"/>
        <v>75.088840929664514</v>
      </c>
      <c r="AL72" s="20">
        <f t="shared" si="58"/>
        <v>685.89944609535667</v>
      </c>
      <c r="AM72" s="59">
        <f t="shared" si="59"/>
        <v>972.65601791270592</v>
      </c>
      <c r="AN72" s="59">
        <f ca="1">AVERAGE(OFFSET($AM$3,0,0,'Données projet'!$E$10+1,1))-AVERAGE(OFFSET($H$3,0,0,'Données projet'!$E$10+1,1))</f>
        <v>391.55758836264408</v>
      </c>
      <c r="AO72" s="59">
        <f t="shared" si="90"/>
        <v>360.80727659978777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88.880306351886361</v>
      </c>
      <c r="AV72" s="21">
        <f>EXP(-LN(2)/25)*AV71+(1-EXP(-LN(2)/25))/(LN(2)/25)*Calculateur!AQ72*Calculateur!AS72*VLOOKUP('Données projet'!$B$10,Paramètres!$A$1:$I$89,3,0)*0.475*44/12</f>
        <v>29.892816682176431</v>
      </c>
      <c r="AW72" s="21">
        <f>EXP(-LN(2)/2)*AW71+(1-EXP(-LN(2)/2))/(LN(2)/2)*AQ72*AT72*VLOOKUP('Données projet'!$B$10,Paramètres!$A$1:$I$89,3,0)*0.475*44/12</f>
        <v>1.7234878215215701</v>
      </c>
      <c r="AX72" s="21">
        <f t="shared" si="60"/>
        <v>120.49661085558436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17.2</v>
      </c>
      <c r="BD72" s="12">
        <f>IF('Données projet'!$A$88&gt;35,BD71+BC72-BL71,IF(A72&lt;'Données projet'!$A$88,$BA$205^A72,IF(A72='Données projet'!$A$88,'Données projet'!$B$88,BD71+BC72-BL71)))</f>
        <v>694.80000000000018</v>
      </c>
      <c r="BE72" s="13">
        <f>BD72*VLOOKUP('Données projet'!$B$11,Paramètres!$A$1:$I$89,3,0)*VLOOKUP('Données projet'!$B$11,Paramètres!$A$1:$I$89,5,0)</f>
        <v>307.10160000000013</v>
      </c>
      <c r="BF72" s="13">
        <f t="shared" si="91"/>
        <v>72.663198365143572</v>
      </c>
      <c r="BG72" s="20">
        <f t="shared" si="61"/>
        <v>661.42369048595856</v>
      </c>
      <c r="BH72" s="59">
        <f t="shared" si="62"/>
        <v>948.18026230330793</v>
      </c>
      <c r="BI72" s="59">
        <f ca="1">AVERAGE(OFFSET($BH$3,0,0,'Données projet'!$E$11+1,1))-AVERAGE(OFFSET($H$3,0,0,'Données projet'!$E$11+1,1))</f>
        <v>400.11184625063709</v>
      </c>
      <c r="BJ72" s="59">
        <f t="shared" si="92"/>
        <v>340.02906159605971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51.979806773175419</v>
      </c>
      <c r="BQ72" s="21">
        <f>EXP(-LN(2)/25)*BQ71+(1-EXP(-LN(2)/25))/(LN(2)/25)*Calculateur!BL72*Calculateur!BN72*VLOOKUP('Données projet'!$B$11,Paramètres!$A$1:$I$89,3,0)*0.475*44/12</f>
        <v>23.668763852106174</v>
      </c>
      <c r="BR72" s="21">
        <f>EXP(-LN(2)/2)*BR71+(1-EXP(-LN(2)/2))/(LN(2)/2)*BL72*BO72*VLOOKUP('Données projet'!$B$11,Paramètres!$A$1:$I$89,3,0)*0.475*44/12</f>
        <v>1.4933027554162184</v>
      </c>
      <c r="BS72" s="22">
        <f t="shared" si="63"/>
        <v>77.141873380697817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9.733749999999997</v>
      </c>
      <c r="BY72" s="12">
        <f>IF('Données projet'!$A$114&gt;35,BY71+BX72-CG71,IF(A72&lt;'Données projet'!$A$114,$BV$205^A72,IF(A72='Données projet'!$A$114,'Données projet'!$B$114,BY71+BX72-CG71)))</f>
        <v>262.29125000000033</v>
      </c>
      <c r="BZ72" s="13">
        <f>BY72*VLOOKUP('Données projet'!$B$12,Paramètres!$A$1:$I$89,3,0)*VLOOKUP('Données projet'!$B$12,Paramètres!$A$1:$I$89,5,0)</f>
        <v>175.94497050000021</v>
      </c>
      <c r="CA72" s="13">
        <f t="shared" si="93"/>
        <v>44.418823918165273</v>
      </c>
      <c r="CB72" s="20">
        <f t="shared" si="64"/>
        <v>383.80027527830481</v>
      </c>
      <c r="CC72" s="59">
        <f t="shared" si="65"/>
        <v>670.55684709565412</v>
      </c>
      <c r="CD72" s="59">
        <f ca="1">AVERAGE(OFFSET($CC$3,0,0,'Données projet'!$E$12+1,1))-AVERAGE(OFFSET($H$3,0,0,'Données projet'!$E$12+1,1))</f>
        <v>493.98227954109774</v>
      </c>
      <c r="CE72" s="59">
        <f t="shared" si="94"/>
        <v>224.32736097997289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6.9581536462840266</v>
      </c>
      <c r="CL72" s="21">
        <f>EXP(-LN(2)/25)*CL71+(1-EXP(-LN(2)/25))/(LN(2)/25)*Calculateur!CG72*Calculateur!CI72*VLOOKUP('Données projet'!$B$12,Paramètres!$A$1:$I$89,3,0)*0.475*44/12</f>
        <v>28.436131010380592</v>
      </c>
      <c r="CM72" s="21">
        <f>EXP(-LN(2)/2)*CM71+(1-EXP(-LN(2)/2))/(LN(2)/2)*CG72*CJ72*VLOOKUP('Données projet'!$B$12,Paramètres!$A$1:$I$89,3,0)*0.475*44/12</f>
        <v>1.341922565912099</v>
      </c>
      <c r="CN72" s="22">
        <f t="shared" si="66"/>
        <v>36.736207222576716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9.733749999999997</v>
      </c>
      <c r="CT72" s="12">
        <f>IF('Données projet'!$A$140&gt;35,CT71+CS72-DB71,IF(A72&lt;'Données projet'!$A$140,$CQ$205^A72,IF(A72='Données projet'!$A$140,'Données projet'!$B$140,CT71+CS72-DB71)))</f>
        <v>262.29125000000033</v>
      </c>
      <c r="CU72" s="17">
        <f>CT72*VLOOKUP('Données projet'!$B$13,Paramètres!$A$1:$I$89,3,0)*VLOOKUP('Données projet'!$B$13,Paramètres!$A$1:$I$89,5,0)</f>
        <v>249.5963535000003</v>
      </c>
      <c r="CV72" s="13">
        <f t="shared" si="95"/>
        <v>60.49949790244262</v>
      </c>
      <c r="CW72" s="20">
        <f t="shared" si="67"/>
        <v>540.0836078592547</v>
      </c>
      <c r="CX72" s="59">
        <f t="shared" si="68"/>
        <v>826.84017967660407</v>
      </c>
      <c r="CY72" s="59">
        <f ca="1">AVERAGE(OFFSET($CX$3,0,0,'Données projet'!$E$13+1,1))-AVERAGE(OFFSET($H$3,0,0,'Données projet'!$E$13+1,1))</f>
        <v>677.13548994240728</v>
      </c>
      <c r="CZ72" s="59">
        <f t="shared" si="96"/>
        <v>298.72429542440534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8.0084409891193502</v>
      </c>
      <c r="DG72" s="21">
        <f>EXP(-LN(2)/25)*DG71+(1-EXP(-LN(2)/25))/(LN(2)/25)*Calculateur!DB72*Calculateur!DD72*VLOOKUP('Données projet'!$B$13,Paramètres!$A$1:$I$89,3,0)*0.475*44/12</f>
        <v>32.728377200626703</v>
      </c>
      <c r="DH72" s="21">
        <f>EXP(-LN(2)/2)*DH71+(1-EXP(-LN(2)/2))/(LN(2)/2)*DB72*DE72*VLOOKUP('Données projet'!$B$13,Paramètres!$A$1:$I$89,3,0)*0.475*44/12</f>
        <v>1.9036575935032101</v>
      </c>
      <c r="DI72" s="22">
        <f t="shared" si="69"/>
        <v>42.640475783249265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68.206337768368002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1.2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4.3999999999999995</v>
      </c>
      <c r="H73" s="67">
        <f t="shared" si="56"/>
        <v>239.06666666666669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819.61919802962984</v>
      </c>
      <c r="S73" s="59">
        <f ca="1">AVERAGE(OFFSET($R$3,0,0,'Données projet'!$E$9+1,1))-AVERAGE(OFFSET($H$3,0,0,'Données projet'!$E$9+1,1))</f>
        <v>646.69588445509589</v>
      </c>
      <c r="T73" s="59">
        <f t="shared" si="88"/>
        <v>286.36346771084698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586.86</v>
      </c>
      <c r="AG73" s="12">
        <f>VLOOKUP(A73,'Données projet'!$A$61:$I$81,9,0)</f>
        <v>16.682857142857149</v>
      </c>
      <c r="AH73" s="12">
        <f t="array" ref="AH73">INDEX(AG:AG,MIN(IF(ISNUMBER(AG73:AG269),ROW(AG73:AG269),"")))</f>
        <v>16.682857142857149</v>
      </c>
      <c r="AI73" s="13">
        <f>IF('Données projet'!$A$62&gt;35,AI72+AH73-AQ72,IF(A73&lt;'Données projet'!$A$62,$AF$205^A73,IF(A73='Données projet'!$A$62,'Données projet'!$B$62,AI72+AH73-AQ72)))</f>
        <v>586.86000000000058</v>
      </c>
      <c r="AJ73" s="13">
        <f>AI73*VLOOKUP('Données projet'!$B$10,Paramètres!$A$1:$I$89,3,0)*VLOOKUP('Données projet'!$B$10,Paramètres!$A$1:$I$89,5,0)</f>
        <v>328.05474000000032</v>
      </c>
      <c r="AK73" s="13">
        <f t="shared" si="89"/>
        <v>77.026866477102189</v>
      </c>
      <c r="AL73" s="20">
        <f t="shared" si="58"/>
        <v>705.51713128095355</v>
      </c>
      <c r="AM73" s="59">
        <f t="shared" si="59"/>
        <v>992.38779520716912</v>
      </c>
      <c r="AN73" s="59">
        <f ca="1">AVERAGE(OFFSET($AM$3,0,0,'Données projet'!$E$10+1,1))-AVERAGE(OFFSET($H$3,0,0,'Données projet'!$E$10+1,1))</f>
        <v>391.55758836264408</v>
      </c>
      <c r="AO73" s="59">
        <f t="shared" si="90"/>
        <v>360.80727659978777</v>
      </c>
      <c r="AP73" s="15">
        <f>IF(ISNA(VLOOKUP(A73,'Données projet'!$A$61:$I$81,3,0)),0,VLOOKUP(A73,'Données projet'!$A$61:$I$81,3,0))</f>
        <v>8</v>
      </c>
      <c r="AQ73" s="15">
        <f>IF(ISNA(VLOOKUP(A73,'Données projet'!$A$61:$I$81,4,0)),0,VLOOKUP(A73,'Données projet'!$A$61:$I$81,4,0))</f>
        <v>586.86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0.11000000000000001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230.74871773837151</v>
      </c>
      <c r="AV73" s="21">
        <f>EXP(-LN(2)/25)*AV72+(1-EXP(-LN(2)/25))/(LN(2)/25)*Calculateur!AQ73*Calculateur!AS73*VLOOKUP('Données projet'!$B$10,Paramètres!$A$1:$I$89,3,0)*0.475*44/12</f>
        <v>76.757345229402674</v>
      </c>
      <c r="AW73" s="21">
        <f>EXP(-LN(2)/2)*AW72+(1-EXP(-LN(2)/2))/(LN(2)/2)*AQ73*AT73*VLOOKUP('Données projet'!$B$10,Paramètres!$A$1:$I$89,3,0)*0.475*44/12</f>
        <v>75.505524322819824</v>
      </c>
      <c r="AX73" s="21">
        <f t="shared" si="60"/>
        <v>383.01158729059404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712</v>
      </c>
      <c r="BB73" s="12">
        <f>VLOOKUP(A73,'Données projet'!$A$87:$I$107,9,0)</f>
        <v>17.2</v>
      </c>
      <c r="BC73" s="12">
        <f t="array" ref="BC73">INDEX(BB:BB,MIN(IF(ISNUMBER(BB73:BB269),ROW(BB73:BB269),"")))</f>
        <v>17.2</v>
      </c>
      <c r="BD73" s="12">
        <f>IF('Données projet'!$A$88&gt;35,BD72+BC73-BL72,IF(A73&lt;'Données projet'!$A$88,$BA$205^A73,IF(A73='Données projet'!$A$88,'Données projet'!$B$88,BD72+BC73-BL72)))</f>
        <v>712.00000000000023</v>
      </c>
      <c r="BE73" s="13">
        <f>BD73*VLOOKUP('Données projet'!$B$11,Paramètres!$A$1:$I$89,3,0)*VLOOKUP('Données projet'!$B$11,Paramètres!$A$1:$I$89,5,0)</f>
        <v>314.70400000000012</v>
      </c>
      <c r="BF73" s="13">
        <f t="shared" si="91"/>
        <v>74.250349876926123</v>
      </c>
      <c r="BG73" s="20">
        <f t="shared" si="61"/>
        <v>677.42882603564658</v>
      </c>
      <c r="BH73" s="59">
        <f t="shared" si="62"/>
        <v>964.29948996186226</v>
      </c>
      <c r="BI73" s="59">
        <f ca="1">AVERAGE(OFFSET($BH$3,0,0,'Données projet'!$E$11+1,1))-AVERAGE(OFFSET($H$3,0,0,'Données projet'!$E$11+1,1))</f>
        <v>400.11184625063709</v>
      </c>
      <c r="BJ73" s="59">
        <f t="shared" si="92"/>
        <v>340.02906159605971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45</v>
      </c>
      <c r="BM73" s="16">
        <f>IF(ISNA(VLOOKUP(A73,'Données projet'!$A$87:$I$107,5,0)),0%,VLOOKUP(A73,'Données projet'!$A$87:$I$107,5,0)*VLOOKUP('Données projet'!$B$11,Paramètres!$A$1:$I$89,7,0))</f>
        <v>0.33</v>
      </c>
      <c r="BN73" s="16">
        <f>IF(ISNA(VLOOKUP(A73,'Données projet'!$A$87:$I$107,6,0)),0%,VLOOKUP(A73,'Données projet'!$A$87:$I$107,6,0)*VLOOKUP('Données projet'!$B$11,Paramètres!$A$1:$I$89,7,0))</f>
        <v>0.11000000000000001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59.667685583073528</v>
      </c>
      <c r="BQ73" s="21">
        <f>EXP(-LN(2)/25)*BQ72+(1-EXP(-LN(2)/25))/(LN(2)/25)*Calculateur!BL73*Calculateur!BN73*VLOOKUP('Données projet'!$B$11,Paramètres!$A$1:$I$89,3,0)*0.475*44/12</f>
        <v>25.912502815148091</v>
      </c>
      <c r="BR73" s="21">
        <f>EXP(-LN(2)/2)*BR72+(1-EXP(-LN(2)/2))/(LN(2)/2)*BL73*BO73*VLOOKUP('Données projet'!$B$11,Paramètres!$A$1:$I$89,3,0)*0.475*44/12</f>
        <v>5.5599445842796458</v>
      </c>
      <c r="BS73" s="22">
        <f t="shared" si="63"/>
        <v>91.140132982501271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9.733749999999997</v>
      </c>
      <c r="BY73" s="12">
        <f>IF('Données projet'!$A$114&gt;35,BY72+BX73-CG72,IF(A73&lt;'Données projet'!$A$114,$BV$205^A73,IF(A73='Données projet'!$A$114,'Données projet'!$B$114,BY72+BX73-CG72)))</f>
        <v>272.02500000000032</v>
      </c>
      <c r="BZ73" s="13">
        <f>BY73*VLOOKUP('Données projet'!$B$12,Paramètres!$A$1:$I$89,3,0)*VLOOKUP('Données projet'!$B$12,Paramètres!$A$1:$I$89,5,0)</f>
        <v>182.47437000000022</v>
      </c>
      <c r="CA73" s="13">
        <f t="shared" si="93"/>
        <v>45.872249713893197</v>
      </c>
      <c r="CB73" s="20">
        <f t="shared" si="64"/>
        <v>397.70369600169761</v>
      </c>
      <c r="CC73" s="59">
        <f t="shared" si="65"/>
        <v>684.57435992791329</v>
      </c>
      <c r="CD73" s="59">
        <f ca="1">AVERAGE(OFFSET($CC$3,0,0,'Données projet'!$E$12+1,1))-AVERAGE(OFFSET($H$3,0,0,'Données projet'!$E$12+1,1))</f>
        <v>493.98227954109774</v>
      </c>
      <c r="CE73" s="59">
        <f t="shared" si="94"/>
        <v>224.32736097997289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6.821708497335055</v>
      </c>
      <c r="CL73" s="21">
        <f>EXP(-LN(2)/25)*CL72+(1-EXP(-LN(2)/25))/(LN(2)/25)*Calculateur!CG73*Calculateur!CI73*VLOOKUP('Données projet'!$B$12,Paramètres!$A$1:$I$89,3,0)*0.475*44/12</f>
        <v>27.658543512510597</v>
      </c>
      <c r="CM73" s="21">
        <f>EXP(-LN(2)/2)*CM72+(1-EXP(-LN(2)/2))/(LN(2)/2)*CG73*CJ73*VLOOKUP('Données projet'!$B$12,Paramètres!$A$1:$I$89,3,0)*0.475*44/12</f>
        <v>0.94888254618369705</v>
      </c>
      <c r="CN73" s="22">
        <f t="shared" si="66"/>
        <v>35.429134556029346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9.733749999999997</v>
      </c>
      <c r="CT73" s="12">
        <f>IF('Données projet'!$A$140&gt;35,CT72+CS73-DB72,IF(A73&lt;'Données projet'!$A$140,$CQ$205^A73,IF(A73='Données projet'!$A$140,'Données projet'!$B$140,CT72+CS73-DB72)))</f>
        <v>272.02500000000032</v>
      </c>
      <c r="CU73" s="17">
        <f>CT73*VLOOKUP('Données projet'!$B$13,Paramètres!$A$1:$I$89,3,0)*VLOOKUP('Données projet'!$B$13,Paramètres!$A$1:$I$89,5,0)</f>
        <v>258.85899000000029</v>
      </c>
      <c r="CV73" s="13">
        <f t="shared" si="95"/>
        <v>62.47909851145463</v>
      </c>
      <c r="CW73" s="20">
        <f t="shared" si="67"/>
        <v>559.66383749078398</v>
      </c>
      <c r="CX73" s="59">
        <f t="shared" si="68"/>
        <v>846.53450141699955</v>
      </c>
      <c r="CY73" s="59">
        <f ca="1">AVERAGE(OFFSET($CX$3,0,0,'Données projet'!$E$13+1,1))-AVERAGE(OFFSET($H$3,0,0,'Données projet'!$E$13+1,1))</f>
        <v>677.13548994240728</v>
      </c>
      <c r="CZ73" s="59">
        <f t="shared" si="96"/>
        <v>298.72429542440534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7.8514003459894024</v>
      </c>
      <c r="DG73" s="21">
        <f>EXP(-LN(2)/25)*DG72+(1-EXP(-LN(2)/25))/(LN(2)/25)*Calculateur!DB73*Calculateur!DD73*VLOOKUP('Données projet'!$B$13,Paramètres!$A$1:$I$89,3,0)*0.475*44/12</f>
        <v>31.833418004965012</v>
      </c>
      <c r="DH73" s="21">
        <f>EXP(-LN(2)/2)*DH72+(1-EXP(-LN(2)/2))/(LN(2)/2)*DB73*DE73*VLOOKUP('Données projet'!$B$13,Paramètres!$A$1:$I$89,3,0)*0.475*44/12</f>
        <v>1.3460891934233841</v>
      </c>
      <c r="DI73" s="22">
        <f t="shared" si="69"/>
        <v>41.030907544377797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68.237453798058809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1.2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4.3999999999999995</v>
      </c>
      <c r="H74" s="67">
        <f t="shared" si="56"/>
        <v>239.06666666666669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838.35416969378934</v>
      </c>
      <c r="S74" s="59">
        <f ca="1">AVERAGE(OFFSET($R$3,0,0,'Données projet'!$E$9+1,1))-AVERAGE(OFFSET($H$3,0,0,'Données projet'!$E$9+1,1))</f>
        <v>646.69588445509589</v>
      </c>
      <c r="T74" s="59">
        <f t="shared" si="88"/>
        <v>286.36346771084698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5.6843418860808015E-13</v>
      </c>
      <c r="AJ74" s="13">
        <f>AI74*VLOOKUP('Données projet'!$B$10,Paramètres!$A$1:$I$89,3,0)*VLOOKUP('Données projet'!$B$10,Paramètres!$A$1:$I$89,5,0)</f>
        <v>3.177547114319168E-13</v>
      </c>
      <c r="AK74" s="13">
        <f t="shared" si="89"/>
        <v>4.1725404435445377E-12</v>
      </c>
      <c r="AL74" s="20">
        <f t="shared" si="58"/>
        <v>7.820597394917325E-12</v>
      </c>
      <c r="AM74" s="59">
        <f t="shared" si="59"/>
        <v>286.98277679207268</v>
      </c>
      <c r="AN74" s="59">
        <f ca="1">AVERAGE(OFFSET($AM$3,0,0,'Données projet'!$E$10+1,1))-AVERAGE(OFFSET($H$3,0,0,'Données projet'!$E$10+1,1))</f>
        <v>391.55758836264408</v>
      </c>
      <c r="AO74" s="59">
        <f t="shared" si="90"/>
        <v>360.80727659978777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226.22387612634267</v>
      </c>
      <c r="AV74" s="21">
        <f>EXP(-LN(2)/25)*AV73+(1-EXP(-LN(2)/25))/(LN(2)/25)*Calculateur!AQ74*Calculateur!AS74*VLOOKUP('Données projet'!$B$10,Paramètres!$A$1:$I$89,3,0)*0.475*44/12</f>
        <v>74.658411587611297</v>
      </c>
      <c r="AW74" s="21">
        <f>EXP(-LN(2)/2)*AW73+(1-EXP(-LN(2)/2))/(LN(2)/2)*AQ74*AT74*VLOOKUP('Données projet'!$B$10,Paramètres!$A$1:$I$89,3,0)*0.475*44/12</f>
        <v>53.390468265711704</v>
      </c>
      <c r="AX74" s="21">
        <f t="shared" si="60"/>
        <v>354.2727559796657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15.8</v>
      </c>
      <c r="BD74" s="12">
        <f>IF('Données projet'!$A$88&gt;35,BD73+BC74-BL73,IF(A74&lt;'Données projet'!$A$88,$BA$205^A74,IF(A74='Données projet'!$A$88,'Données projet'!$B$88,BD73+BC74-BL73)))</f>
        <v>682.80000000000018</v>
      </c>
      <c r="BE74" s="13">
        <f>BD74*VLOOKUP('Données projet'!$B$11,Paramètres!$A$1:$I$89,3,0)*VLOOKUP('Données projet'!$B$11,Paramètres!$A$1:$I$89,5,0)</f>
        <v>301.7976000000001</v>
      </c>
      <c r="BF74" s="13">
        <f t="shared" si="91"/>
        <v>71.553178355215891</v>
      </c>
      <c r="BG74" s="20">
        <f t="shared" si="61"/>
        <v>650.25260563533459</v>
      </c>
      <c r="BH74" s="59">
        <f t="shared" si="62"/>
        <v>937.23538242739937</v>
      </c>
      <c r="BI74" s="59">
        <f ca="1">AVERAGE(OFFSET($BH$3,0,0,'Données projet'!$E$11+1,1))-AVERAGE(OFFSET($H$3,0,0,'Données projet'!$E$11+1,1))</f>
        <v>400.11184625063709</v>
      </c>
      <c r="BJ74" s="59">
        <f t="shared" si="92"/>
        <v>340.02906159605971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58.497638662484086</v>
      </c>
      <c r="BQ74" s="21">
        <f>EXP(-LN(2)/25)*BQ73+(1-EXP(-LN(2)/25))/(LN(2)/25)*Calculateur!BL74*Calculateur!BN74*VLOOKUP('Données projet'!$B$11,Paramètres!$A$1:$I$89,3,0)*0.475*44/12</f>
        <v>25.203924062988566</v>
      </c>
      <c r="BR74" s="21">
        <f>EXP(-LN(2)/2)*BR73+(1-EXP(-LN(2)/2))/(LN(2)/2)*BL74*BO74*VLOOKUP('Données projet'!$B$11,Paramètres!$A$1:$I$89,3,0)*0.475*44/12</f>
        <v>3.9314745185655577</v>
      </c>
      <c r="BS74" s="22">
        <f t="shared" si="63"/>
        <v>87.633037244038206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9.733749999999997</v>
      </c>
      <c r="BY74" s="12">
        <f>IF('Données projet'!$A$114&gt;35,BY73+BX74-CG73,IF(A74&lt;'Données projet'!$A$114,$BV$205^A74,IF(A74='Données projet'!$A$114,'Données projet'!$B$114,BY73+BX74-CG73)))</f>
        <v>281.7587500000003</v>
      </c>
      <c r="BZ74" s="13">
        <f>BY74*VLOOKUP('Données projet'!$B$12,Paramètres!$A$1:$I$89,3,0)*VLOOKUP('Données projet'!$B$12,Paramètres!$A$1:$I$89,5,0)</f>
        <v>189.0037695000002</v>
      </c>
      <c r="CA74" s="13">
        <f t="shared" si="93"/>
        <v>47.319633088383469</v>
      </c>
      <c r="CB74" s="20">
        <f t="shared" si="64"/>
        <v>411.59659284143487</v>
      </c>
      <c r="CC74" s="59">
        <f t="shared" si="65"/>
        <v>698.57936963349971</v>
      </c>
      <c r="CD74" s="59">
        <f ca="1">AVERAGE(OFFSET($CC$3,0,0,'Données projet'!$E$12+1,1))-AVERAGE(OFFSET($H$3,0,0,'Données projet'!$E$12+1,1))</f>
        <v>493.98227954109774</v>
      </c>
      <c r="CE74" s="59">
        <f t="shared" si="94"/>
        <v>224.32736097997289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6.6879389545336503</v>
      </c>
      <c r="CL74" s="21">
        <f>EXP(-LN(2)/25)*CL73+(1-EXP(-LN(2)/25))/(LN(2)/25)*Calculateur!CG74*Calculateur!CI74*VLOOKUP('Données projet'!$B$12,Paramètres!$A$1:$I$89,3,0)*0.475*44/12</f>
        <v>26.902219185661405</v>
      </c>
      <c r="CM74" s="21">
        <f>EXP(-LN(2)/2)*CM73+(1-EXP(-LN(2)/2))/(LN(2)/2)*CG74*CJ74*VLOOKUP('Données projet'!$B$12,Paramètres!$A$1:$I$89,3,0)*0.475*44/12</f>
        <v>0.67096128295604962</v>
      </c>
      <c r="CN74" s="22">
        <f t="shared" si="66"/>
        <v>34.261119423151108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9.733749999999997</v>
      </c>
      <c r="CT74" s="12">
        <f>IF('Données projet'!$A$140&gt;35,CT73+CS74-DB73,IF(A74&lt;'Données projet'!$A$140,$CQ$205^A74,IF(A74='Données projet'!$A$140,'Données projet'!$B$140,CT73+CS74-DB73)))</f>
        <v>281.7587500000003</v>
      </c>
      <c r="CU74" s="17">
        <f>CT74*VLOOKUP('Données projet'!$B$13,Paramètres!$A$1:$I$89,3,0)*VLOOKUP('Données projet'!$B$13,Paramètres!$A$1:$I$89,5,0)</f>
        <v>268.12162650000027</v>
      </c>
      <c r="CV74" s="13">
        <f t="shared" si="95"/>
        <v>64.450469198583448</v>
      </c>
      <c r="CW74" s="20">
        <f t="shared" si="67"/>
        <v>579.2297333416999</v>
      </c>
      <c r="CX74" s="59">
        <f t="shared" si="68"/>
        <v>866.21251013376468</v>
      </c>
      <c r="CY74" s="59">
        <f ca="1">AVERAGE(OFFSET($CX$3,0,0,'Données projet'!$E$13+1,1))-AVERAGE(OFFSET($H$3,0,0,'Données projet'!$E$13+1,1))</f>
        <v>677.13548994240728</v>
      </c>
      <c r="CZ74" s="59">
        <f t="shared" si="96"/>
        <v>298.72429542440534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7.6974391740858987</v>
      </c>
      <c r="DG74" s="21">
        <f>EXP(-LN(2)/25)*DG73+(1-EXP(-LN(2)/25))/(LN(2)/25)*Calculateur!DB74*Calculateur!DD74*VLOOKUP('Données projet'!$B$13,Paramètres!$A$1:$I$89,3,0)*0.475*44/12</f>
        <v>30.962931515572546</v>
      </c>
      <c r="DH74" s="21">
        <f>EXP(-LN(2)/2)*DH73+(1-EXP(-LN(2)/2))/(LN(2)/2)*DB74*DE74*VLOOKUP('Données projet'!$B$13,Paramètres!$A$1:$I$89,3,0)*0.475*44/12</f>
        <v>0.95182879675160514</v>
      </c>
      <c r="DI74" s="22">
        <f t="shared" si="69"/>
        <v>39.612199486410049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68.268030034199498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1.2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4.3999999999999995</v>
      </c>
      <c r="H75" s="67">
        <f t="shared" si="56"/>
        <v>239.06666666666669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857.07401524919123</v>
      </c>
      <c r="S75" s="59">
        <f ca="1">AVERAGE(OFFSET($R$3,0,0,'Données projet'!$E$9+1,1))-AVERAGE(OFFSET($H$3,0,0,'Données projet'!$E$9+1,1))</f>
        <v>646.69588445509589</v>
      </c>
      <c r="T75" s="59">
        <f t="shared" si="88"/>
        <v>286.36346771084698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5.6843418860808015E-13</v>
      </c>
      <c r="AJ75" s="13">
        <f>AI75*VLOOKUP('Données projet'!$B$10,Paramètres!$A$1:$I$89,3,0)*VLOOKUP('Données projet'!$B$10,Paramètres!$A$1:$I$89,5,0)</f>
        <v>3.177547114319168E-13</v>
      </c>
      <c r="AK75" s="13">
        <f t="shared" si="89"/>
        <v>4.1725404435445377E-12</v>
      </c>
      <c r="AL75" s="20">
        <f t="shared" si="58"/>
        <v>7.820597394917325E-12</v>
      </c>
      <c r="AM75" s="59">
        <f t="shared" si="59"/>
        <v>287.09294475034625</v>
      </c>
      <c r="AN75" s="59">
        <f ca="1">AVERAGE(OFFSET($AM$3,0,0,'Données projet'!$E$10+1,1))-AVERAGE(OFFSET($H$3,0,0,'Données projet'!$E$10+1,1))</f>
        <v>391.55758836264408</v>
      </c>
      <c r="AO75" s="59">
        <f t="shared" si="90"/>
        <v>360.80727659978777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221.78776389844484</v>
      </c>
      <c r="AV75" s="21">
        <f>EXP(-LN(2)/25)*AV74+(1-EXP(-LN(2)/25))/(LN(2)/25)*Calculateur!AQ75*Calculateur!AS75*VLOOKUP('Données projet'!$B$10,Paramètres!$A$1:$I$89,3,0)*0.475*44/12</f>
        <v>72.61687339663284</v>
      </c>
      <c r="AW75" s="21">
        <f>EXP(-LN(2)/2)*AW74+(1-EXP(-LN(2)/2))/(LN(2)/2)*AQ75*AT75*VLOOKUP('Données projet'!$B$10,Paramètres!$A$1:$I$89,3,0)*0.475*44/12</f>
        <v>37.752762161409919</v>
      </c>
      <c r="AX75" s="21">
        <f t="shared" si="60"/>
        <v>332.15739945648761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15.8</v>
      </c>
      <c r="BD75" s="12">
        <f>IF('Données projet'!$A$88&gt;35,BD74+BC75-BL74,IF(A75&lt;'Données projet'!$A$88,$BA$205^A75,IF(A75='Données projet'!$A$88,'Données projet'!$B$88,BD74+BC75-BL74)))</f>
        <v>698.60000000000014</v>
      </c>
      <c r="BE75" s="13">
        <f>BD75*VLOOKUP('Données projet'!$B$11,Paramètres!$A$1:$I$89,3,0)*VLOOKUP('Données projet'!$B$11,Paramètres!$A$1:$I$89,5,0)</f>
        <v>308.78120000000007</v>
      </c>
      <c r="BF75" s="13">
        <f t="shared" si="91"/>
        <v>73.014237894388074</v>
      </c>
      <c r="BG75" s="20">
        <f t="shared" si="61"/>
        <v>664.96038766605932</v>
      </c>
      <c r="BH75" s="59">
        <f t="shared" si="62"/>
        <v>952.05333241639778</v>
      </c>
      <c r="BI75" s="59">
        <f ca="1">AVERAGE(OFFSET($BH$3,0,0,'Données projet'!$E$11+1,1))-AVERAGE(OFFSET($H$3,0,0,'Données projet'!$E$11+1,1))</f>
        <v>400.11184625063709</v>
      </c>
      <c r="BJ75" s="59">
        <f t="shared" si="92"/>
        <v>340.02906159605971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57.350535648349243</v>
      </c>
      <c r="BQ75" s="21">
        <f>EXP(-LN(2)/25)*BQ74+(1-EXP(-LN(2)/25))/(LN(2)/25)*Calculateur!BL75*Calculateur!BN75*VLOOKUP('Données projet'!$B$11,Paramètres!$A$1:$I$89,3,0)*0.475*44/12</f>
        <v>24.514721434069383</v>
      </c>
      <c r="BR75" s="21">
        <f>EXP(-LN(2)/2)*BR74+(1-EXP(-LN(2)/2))/(LN(2)/2)*BL75*BO75*VLOOKUP('Données projet'!$B$11,Paramètres!$A$1:$I$89,3,0)*0.475*44/12</f>
        <v>2.7799722921398233</v>
      </c>
      <c r="BS75" s="22">
        <f t="shared" si="63"/>
        <v>84.64522937455844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9.733749999999997</v>
      </c>
      <c r="BY75" s="12">
        <f>IF('Données projet'!$A$114&gt;35,BY74+BX75-CG74,IF(A75&lt;'Données projet'!$A$114,$BV$205^A75,IF(A75='Données projet'!$A$114,'Données projet'!$B$114,BY74+BX75-CG74)))</f>
        <v>291.49250000000029</v>
      </c>
      <c r="BZ75" s="13">
        <f>BY75*VLOOKUP('Données projet'!$B$12,Paramètres!$A$1:$I$89,3,0)*VLOOKUP('Données projet'!$B$12,Paramètres!$A$1:$I$89,5,0)</f>
        <v>195.53316900000021</v>
      </c>
      <c r="CA75" s="13">
        <f t="shared" si="93"/>
        <v>48.761206709446725</v>
      </c>
      <c r="CB75" s="20">
        <f t="shared" si="64"/>
        <v>425.47937102728673</v>
      </c>
      <c r="CC75" s="59">
        <f t="shared" si="65"/>
        <v>712.57231577762514</v>
      </c>
      <c r="CD75" s="59">
        <f ca="1">AVERAGE(OFFSET($CC$3,0,0,'Données projet'!$E$12+1,1))-AVERAGE(OFFSET($H$3,0,0,'Données projet'!$E$12+1,1))</f>
        <v>493.98227954109774</v>
      </c>
      <c r="CE75" s="59">
        <f t="shared" si="94"/>
        <v>224.32736097997289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6.5567925508752163</v>
      </c>
      <c r="CL75" s="21">
        <f>EXP(-LN(2)/25)*CL74+(1-EXP(-LN(2)/25))/(LN(2)/25)*Calculateur!CG75*Calculateur!CI75*VLOOKUP('Données projet'!$B$12,Paramètres!$A$1:$I$89,3,0)*0.475*44/12</f>
        <v>26.166576587303272</v>
      </c>
      <c r="CM75" s="21">
        <f>EXP(-LN(2)/2)*CM74+(1-EXP(-LN(2)/2))/(LN(2)/2)*CG75*CJ75*VLOOKUP('Données projet'!$B$12,Paramètres!$A$1:$I$89,3,0)*0.475*44/12</f>
        <v>0.47444127309184864</v>
      </c>
      <c r="CN75" s="22">
        <f t="shared" si="66"/>
        <v>33.197810411270339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9.733749999999997</v>
      </c>
      <c r="CT75" s="12">
        <f>IF('Données projet'!$A$140&gt;35,CT74+CS75-DB74,IF(A75&lt;'Données projet'!$A$140,$CQ$205^A75,IF(A75='Données projet'!$A$140,'Données projet'!$B$140,CT74+CS75-DB74)))</f>
        <v>291.49250000000029</v>
      </c>
      <c r="CU75" s="17">
        <f>CT75*VLOOKUP('Données projet'!$B$13,Paramètres!$A$1:$I$89,3,0)*VLOOKUP('Données projet'!$B$13,Paramètres!$A$1:$I$89,5,0)</f>
        <v>277.38426300000032</v>
      </c>
      <c r="CV75" s="13">
        <f t="shared" si="95"/>
        <v>66.413926862937842</v>
      </c>
      <c r="CW75" s="20">
        <f t="shared" si="67"/>
        <v>598.78184734461729</v>
      </c>
      <c r="CX75" s="59">
        <f t="shared" si="68"/>
        <v>885.87479209495564</v>
      </c>
      <c r="CY75" s="59">
        <f ca="1">AVERAGE(OFFSET($CX$3,0,0,'Données projet'!$E$13+1,1))-AVERAGE(OFFSET($H$3,0,0,'Données projet'!$E$13+1,1))</f>
        <v>677.13548994240728</v>
      </c>
      <c r="CZ75" s="59">
        <f t="shared" si="96"/>
        <v>298.72429542440534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7.5464970868563803</v>
      </c>
      <c r="DG75" s="21">
        <f>EXP(-LN(2)/25)*DG74+(1-EXP(-LN(2)/25))/(LN(2)/25)*Calculateur!DB75*Calculateur!DD75*VLOOKUP('Données projet'!$B$13,Paramètres!$A$1:$I$89,3,0)*0.475*44/12</f>
        <v>30.116248525009414</v>
      </c>
      <c r="DH75" s="21">
        <f>EXP(-LN(2)/2)*DH74+(1-EXP(-LN(2)/2))/(LN(2)/2)*DB75*DE75*VLOOKUP('Données projet'!$B$13,Paramètres!$A$1:$I$89,3,0)*0.475*44/12</f>
        <v>0.67304459671169214</v>
      </c>
      <c r="DI75" s="22">
        <f t="shared" si="69"/>
        <v>38.335790208577485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68.298075841001378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1.2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4.3999999999999995</v>
      </c>
      <c r="H76" s="67">
        <f t="shared" si="56"/>
        <v>239.06666666666669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875.77925905855409</v>
      </c>
      <c r="S76" s="59">
        <f ca="1">AVERAGE(OFFSET($R$3,0,0,'Données projet'!$E$9+1,1))-AVERAGE(OFFSET($H$3,0,0,'Données projet'!$E$9+1,1))</f>
        <v>646.69588445509589</v>
      </c>
      <c r="T76" s="59">
        <f t="shared" si="88"/>
        <v>286.36346771084698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5.6843418860808015E-13</v>
      </c>
      <c r="AJ76" s="13">
        <f>AI76*VLOOKUP('Données projet'!$B$10,Paramètres!$A$1:$I$89,3,0)*VLOOKUP('Données projet'!$B$10,Paramètres!$A$1:$I$89,5,0)</f>
        <v>3.177547114319168E-13</v>
      </c>
      <c r="AK76" s="13">
        <f t="shared" si="89"/>
        <v>4.1725404435445377E-12</v>
      </c>
      <c r="AL76" s="20">
        <f t="shared" si="58"/>
        <v>7.820597394917325E-12</v>
      </c>
      <c r="AM76" s="59">
        <f t="shared" si="59"/>
        <v>287.20120154084242</v>
      </c>
      <c r="AN76" s="59">
        <f ca="1">AVERAGE(OFFSET($AM$3,0,0,'Données projet'!$E$10+1,1))-AVERAGE(OFFSET($H$3,0,0,'Données projet'!$E$10+1,1))</f>
        <v>391.55758836264408</v>
      </c>
      <c r="AO76" s="59">
        <f t="shared" si="90"/>
        <v>360.80727659978777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217.4386411255748</v>
      </c>
      <c r="AV76" s="21">
        <f>EXP(-LN(2)/25)*AV75+(1-EXP(-LN(2)/25))/(LN(2)/25)*Calculateur!AQ76*Calculateur!AS76*VLOOKUP('Données projet'!$B$10,Paramètres!$A$1:$I$89,3,0)*0.475*44/12</f>
        <v>70.631161174846511</v>
      </c>
      <c r="AW76" s="21">
        <f>EXP(-LN(2)/2)*AW75+(1-EXP(-LN(2)/2))/(LN(2)/2)*AQ76*AT76*VLOOKUP('Données projet'!$B$10,Paramètres!$A$1:$I$89,3,0)*0.475*44/12</f>
        <v>26.695234132855855</v>
      </c>
      <c r="AX76" s="21">
        <f t="shared" si="60"/>
        <v>314.76503643327715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15.8</v>
      </c>
      <c r="BD76" s="12">
        <f>IF('Données projet'!$A$88&gt;35,BD75+BC76-BL75,IF(A76&lt;'Données projet'!$A$88,$BA$205^A76,IF(A76='Données projet'!$A$88,'Données projet'!$B$88,BD75+BC76-BL75)))</f>
        <v>714.40000000000009</v>
      </c>
      <c r="BE76" s="13">
        <f>BD76*VLOOKUP('Données projet'!$B$11,Paramètres!$A$1:$I$89,3,0)*VLOOKUP('Données projet'!$B$11,Paramètres!$A$1:$I$89,5,0)</f>
        <v>315.76480000000009</v>
      </c>
      <c r="BF76" s="13">
        <f t="shared" si="91"/>
        <v>74.471455790571639</v>
      </c>
      <c r="BG76" s="20">
        <f t="shared" si="61"/>
        <v>679.6614788352457</v>
      </c>
      <c r="BH76" s="59">
        <f t="shared" si="62"/>
        <v>966.86268037608033</v>
      </c>
      <c r="BI76" s="59">
        <f ca="1">AVERAGE(OFFSET($BH$3,0,0,'Données projet'!$E$11+1,1))-AVERAGE(OFFSET($H$3,0,0,'Données projet'!$E$11+1,1))</f>
        <v>400.11184625063709</v>
      </c>
      <c r="BJ76" s="59">
        <f t="shared" si="92"/>
        <v>340.02906159605971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56.225926624657838</v>
      </c>
      <c r="BQ76" s="21">
        <f>EXP(-LN(2)/25)*BQ75+(1-EXP(-LN(2)/25))/(LN(2)/25)*Calculateur!BL76*Calculateur!BN76*VLOOKUP('Données projet'!$B$11,Paramètres!$A$1:$I$89,3,0)*0.475*44/12</f>
        <v>23.844365087281584</v>
      </c>
      <c r="BR76" s="21">
        <f>EXP(-LN(2)/2)*BR75+(1-EXP(-LN(2)/2))/(LN(2)/2)*BL76*BO76*VLOOKUP('Données projet'!$B$11,Paramètres!$A$1:$I$89,3,0)*0.475*44/12</f>
        <v>1.9657372592827791</v>
      </c>
      <c r="BS76" s="22">
        <f t="shared" si="63"/>
        <v>82.036028971222194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9.733749999999997</v>
      </c>
      <c r="BY76" s="12">
        <f>IF('Données projet'!$A$114&gt;35,BY75+BX76-CG75,IF(A76&lt;'Données projet'!$A$114,$BV$205^A76,IF(A76='Données projet'!$A$114,'Données projet'!$B$114,BY75+BX76-CG75)))</f>
        <v>301.22625000000028</v>
      </c>
      <c r="BZ76" s="13">
        <f>BY76*VLOOKUP('Données projet'!$B$12,Paramètres!$A$1:$I$89,3,0)*VLOOKUP('Données projet'!$B$12,Paramètres!$A$1:$I$89,5,0)</f>
        <v>202.0625685000002</v>
      </c>
      <c r="CA76" s="13">
        <f t="shared" si="93"/>
        <v>50.197186824308993</v>
      </c>
      <c r="CB76" s="20">
        <f t="shared" si="64"/>
        <v>439.35240718983852</v>
      </c>
      <c r="CC76" s="59">
        <f t="shared" si="65"/>
        <v>726.55360873067309</v>
      </c>
      <c r="CD76" s="59">
        <f ca="1">AVERAGE(OFFSET($CC$3,0,0,'Données projet'!$E$12+1,1))-AVERAGE(OFFSET($H$3,0,0,'Données projet'!$E$12+1,1))</f>
        <v>493.98227954109774</v>
      </c>
      <c r="CE76" s="59">
        <f t="shared" si="94"/>
        <v>224.32736097997289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6.4282178482011165</v>
      </c>
      <c r="CL76" s="21">
        <f>EXP(-LN(2)/25)*CL75+(1-EXP(-LN(2)/25))/(LN(2)/25)*Calculateur!CG76*Calculateur!CI76*VLOOKUP('Données projet'!$B$12,Paramètres!$A$1:$I$89,3,0)*0.475*44/12</f>
        <v>25.451050174483004</v>
      </c>
      <c r="CM76" s="21">
        <f>EXP(-LN(2)/2)*CM75+(1-EXP(-LN(2)/2))/(LN(2)/2)*CG76*CJ76*VLOOKUP('Données projet'!$B$12,Paramètres!$A$1:$I$89,3,0)*0.475*44/12</f>
        <v>0.33548064147802487</v>
      </c>
      <c r="CN76" s="22">
        <f t="shared" si="66"/>
        <v>32.214748664162144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9.733749999999997</v>
      </c>
      <c r="CT76" s="12">
        <f>IF('Données projet'!$A$140&gt;35,CT75+CS76-DB75,IF(A76&lt;'Données projet'!$A$140,$CQ$205^A76,IF(A76='Données projet'!$A$140,'Données projet'!$B$140,CT75+CS76-DB75)))</f>
        <v>301.22625000000028</v>
      </c>
      <c r="CU76" s="17">
        <f>CT76*VLOOKUP('Données projet'!$B$13,Paramètres!$A$1:$I$89,3,0)*VLOOKUP('Données projet'!$B$13,Paramètres!$A$1:$I$89,5,0)</f>
        <v>286.64689950000025</v>
      </c>
      <c r="CV76" s="13">
        <f t="shared" si="95"/>
        <v>68.369766038399021</v>
      </c>
      <c r="CW76" s="20">
        <f t="shared" si="67"/>
        <v>618.32069247937864</v>
      </c>
      <c r="CX76" s="59">
        <f t="shared" si="68"/>
        <v>905.52189402021327</v>
      </c>
      <c r="CY76" s="59">
        <f ca="1">AVERAGE(OFFSET($CX$3,0,0,'Données projet'!$E$13+1,1))-AVERAGE(OFFSET($H$3,0,0,'Données projet'!$E$13+1,1))</f>
        <v>677.13548994240728</v>
      </c>
      <c r="CZ76" s="59">
        <f t="shared" si="96"/>
        <v>298.72429542440534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7.3985148818918498</v>
      </c>
      <c r="DG76" s="21">
        <f>EXP(-LN(2)/25)*DG75+(1-EXP(-LN(2)/25))/(LN(2)/25)*Calculateur!DB76*Calculateur!DD76*VLOOKUP('Données projet'!$B$13,Paramètres!$A$1:$I$89,3,0)*0.475*44/12</f>
        <v>29.292718125348355</v>
      </c>
      <c r="DH76" s="21">
        <f>EXP(-LN(2)/2)*DH75+(1-EXP(-LN(2)/2))/(LN(2)/2)*DB76*DE76*VLOOKUP('Données projet'!$B$13,Paramètres!$A$1:$I$89,3,0)*0.475*44/12</f>
        <v>0.47591439837580263</v>
      </c>
      <c r="DI76" s="22">
        <f t="shared" si="69"/>
        <v>37.167147405616006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68.327600420227611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1.2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4.3999999999999995</v>
      </c>
      <c r="H77" s="67">
        <f t="shared" si="56"/>
        <v>239.06666666666669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894.47039139147228</v>
      </c>
      <c r="S77" s="59">
        <f ca="1">AVERAGE(OFFSET($R$3,0,0,'Données projet'!$E$9+1,1))-AVERAGE(OFFSET($H$3,0,0,'Données projet'!$E$9+1,1))</f>
        <v>646.69588445509589</v>
      </c>
      <c r="T77" s="59">
        <f t="shared" si="88"/>
        <v>286.36346771084698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5.6843418860808015E-13</v>
      </c>
      <c r="AJ77" s="13">
        <f>AI77*VLOOKUP('Données projet'!$B$10,Paramètres!$A$1:$I$89,3,0)*VLOOKUP('Données projet'!$B$10,Paramètres!$A$1:$I$89,5,0)</f>
        <v>3.177547114319168E-13</v>
      </c>
      <c r="AK77" s="13">
        <f t="shared" si="89"/>
        <v>4.1725404435445377E-12</v>
      </c>
      <c r="AL77" s="20">
        <f t="shared" si="58"/>
        <v>7.820597394917325E-12</v>
      </c>
      <c r="AM77" s="59">
        <f t="shared" si="59"/>
        <v>287.30758031804936</v>
      </c>
      <c r="AN77" s="59">
        <f ca="1">AVERAGE(OFFSET($AM$3,0,0,'Données projet'!$E$10+1,1))-AVERAGE(OFFSET($H$3,0,0,'Données projet'!$E$10+1,1))</f>
        <v>391.55758836264408</v>
      </c>
      <c r="AO77" s="59">
        <f t="shared" si="90"/>
        <v>360.80727659978777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213.17480199757779</v>
      </c>
      <c r="AV77" s="21">
        <f>EXP(-LN(2)/25)*AV76+(1-EXP(-LN(2)/25))/(LN(2)/25)*Calculateur!AQ77*Calculateur!AS77*VLOOKUP('Données projet'!$B$10,Paramètres!$A$1:$I$89,3,0)*0.475*44/12</f>
        <v>68.699748358188998</v>
      </c>
      <c r="AW77" s="21">
        <f>EXP(-LN(2)/2)*AW76+(1-EXP(-LN(2)/2))/(LN(2)/2)*AQ77*AT77*VLOOKUP('Données projet'!$B$10,Paramètres!$A$1:$I$89,3,0)*0.475*44/12</f>
        <v>18.876381080704963</v>
      </c>
      <c r="AX77" s="21">
        <f t="shared" si="60"/>
        <v>300.75093143647177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15.8</v>
      </c>
      <c r="BD77" s="12">
        <f>IF('Données projet'!$A$88&gt;35,BD76+BC77-BL76,IF(A77&lt;'Données projet'!$A$88,$BA$205^A77,IF(A77='Données projet'!$A$88,'Données projet'!$B$88,BD76+BC77-BL76)))</f>
        <v>730.2</v>
      </c>
      <c r="BE77" s="13">
        <f>BD77*VLOOKUP('Données projet'!$B$11,Paramètres!$A$1:$I$89,3,0)*VLOOKUP('Données projet'!$B$11,Paramètres!$A$1:$I$89,5,0)</f>
        <v>322.74840000000006</v>
      </c>
      <c r="BF77" s="13">
        <f t="shared" si="91"/>
        <v>75.924926790688417</v>
      </c>
      <c r="BG77" s="20">
        <f t="shared" si="61"/>
        <v>694.35604416044907</v>
      </c>
      <c r="BH77" s="59">
        <f t="shared" si="62"/>
        <v>981.66362447849065</v>
      </c>
      <c r="BI77" s="59">
        <f ca="1">AVERAGE(OFFSET($BH$3,0,0,'Données projet'!$E$11+1,1))-AVERAGE(OFFSET($H$3,0,0,'Données projet'!$E$11+1,1))</f>
        <v>400.11184625063709</v>
      </c>
      <c r="BJ77" s="59">
        <f t="shared" si="92"/>
        <v>340.02906159605971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55.123370497977248</v>
      </c>
      <c r="BQ77" s="21">
        <f>EXP(-LN(2)/25)*BQ76+(1-EXP(-LN(2)/25))/(LN(2)/25)*Calculateur!BL77*Calculateur!BN77*VLOOKUP('Données projet'!$B$11,Paramètres!$A$1:$I$89,3,0)*0.475*44/12</f>
        <v>23.192339670049208</v>
      </c>
      <c r="BR77" s="21">
        <f>EXP(-LN(2)/2)*BR76+(1-EXP(-LN(2)/2))/(LN(2)/2)*BL77*BO77*VLOOKUP('Données projet'!$B$11,Paramètres!$A$1:$I$89,3,0)*0.475*44/12</f>
        <v>1.3899861460699119</v>
      </c>
      <c r="BS77" s="22">
        <f t="shared" si="63"/>
        <v>79.705696314096372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9.733749999999997</v>
      </c>
      <c r="BX77" s="12">
        <f t="array" ref="BX77">INDEX(BW:BW,MIN(IF(ISNUMBER(BW77:BW273),ROW(BW77:BW273),"")))</f>
        <v>9.733749999999997</v>
      </c>
      <c r="BY77" s="12">
        <f>IF('Données projet'!$A$114&gt;35,BY76+BX77-CG76,IF(A77&lt;'Données projet'!$A$114,$BV$205^A77,IF(A77='Données projet'!$A$114,'Données projet'!$B$114,BY76+BX77-CG76)))</f>
        <v>310.96000000000026</v>
      </c>
      <c r="BZ77" s="13">
        <f>BY77*VLOOKUP('Données projet'!$B$12,Paramètres!$A$1:$I$89,3,0)*VLOOKUP('Données projet'!$B$12,Paramètres!$A$1:$I$89,5,0)</f>
        <v>208.59196800000015</v>
      </c>
      <c r="CA77" s="13">
        <f t="shared" si="93"/>
        <v>51.627774911273974</v>
      </c>
      <c r="CB77" s="20">
        <f t="shared" si="64"/>
        <v>453.21605223713573</v>
      </c>
      <c r="CC77" s="59">
        <f t="shared" si="65"/>
        <v>740.5236325551773</v>
      </c>
      <c r="CD77" s="59">
        <f ca="1">AVERAGE(OFFSET($CC$3,0,0,'Données projet'!$E$12+1,1))-AVERAGE(OFFSET($H$3,0,0,'Données projet'!$E$12+1,1))</f>
        <v>493.98227954109774</v>
      </c>
      <c r="CE77" s="59">
        <f t="shared" si="94"/>
        <v>224.32736097997289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51.339999999999975</v>
      </c>
      <c r="CH77" s="16">
        <f>IF(ISNA(VLOOKUP(A77,'Données projet'!$A$113:$I$133,5,0)),0%,VLOOKUP(A77,'Données projet'!$A$113:$I$133,5,0)*VLOOKUP('Données projet'!$B$12,Paramètres!$A$1:$I$89,7,0))</f>
        <v>0.1855</v>
      </c>
      <c r="CI77" s="16">
        <f>IF(ISNA(VLOOKUP(A77,'Données projet'!$A$113:$I$133,6,0)),0%,VLOOKUP(A77,'Données projet'!$A$113:$I$133,6,0)*VLOOKUP('Données projet'!$B$12,Paramètres!$A$1:$I$89,7,0))</f>
        <v>0.10600000000000001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13.364363280071327</v>
      </c>
      <c r="CL77" s="21">
        <f>EXP(-LN(2)/25)*CL76+(1-EXP(-LN(2)/25))/(LN(2)/25)*Calculateur!CG77*Calculateur!CI77*VLOOKUP('Données projet'!$B$12,Paramètres!$A$1:$I$89,3,0)*0.475*44/12</f>
        <v>28.774742609172151</v>
      </c>
      <c r="CM77" s="21">
        <f>EXP(-LN(2)/2)*CM76+(1-EXP(-LN(2)/2))/(LN(2)/2)*CG77*CJ77*VLOOKUP('Données projet'!$B$12,Paramètres!$A$1:$I$89,3,0)*0.475*44/12</f>
        <v>3.4866209006109119</v>
      </c>
      <c r="CN77" s="22">
        <f t="shared" si="66"/>
        <v>45.62572678985439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9.733749999999997</v>
      </c>
      <c r="CS77" s="12">
        <f t="array" ref="CS77">INDEX(CR:CR,MIN(IF(ISNUMBER(CR77:CR273),ROW(CR77:CR273),"")))</f>
        <v>9.733749999999997</v>
      </c>
      <c r="CT77" s="12">
        <f>IF('Données projet'!$A$140&gt;35,CT76+CS77-DB76,IF(A77&lt;'Données projet'!$A$140,$CQ$205^A77,IF(A77='Données projet'!$A$140,'Données projet'!$B$140,CT76+CS77-DB76)))</f>
        <v>310.96000000000026</v>
      </c>
      <c r="CU77" s="17">
        <f>CT77*VLOOKUP('Données projet'!$B$13,Paramètres!$A$1:$I$89,3,0)*VLOOKUP('Données projet'!$B$13,Paramètres!$A$1:$I$89,5,0)</f>
        <v>295.90953600000029</v>
      </c>
      <c r="CV77" s="13">
        <f t="shared" si="95"/>
        <v>70.318261143223381</v>
      </c>
      <c r="CW77" s="20">
        <f t="shared" si="67"/>
        <v>637.8467466911145</v>
      </c>
      <c r="CX77" s="59">
        <f t="shared" si="68"/>
        <v>925.15432700915608</v>
      </c>
      <c r="CY77" s="59">
        <f ca="1">AVERAGE(OFFSET($CX$3,0,0,'Données projet'!$E$13+1,1))-AVERAGE(OFFSET($H$3,0,0,'Données projet'!$E$13+1,1))</f>
        <v>677.13548994240728</v>
      </c>
      <c r="CZ77" s="59">
        <f t="shared" si="96"/>
        <v>298.72429542440534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51.339999999999975</v>
      </c>
      <c r="DC77" s="16">
        <f>IF(ISNA(VLOOKUP(A77,'Données projet'!$A$139:$I$159,5,0)),0%,VLOOKUP(A77,'Données projet'!$A$139:$I$159,5,0)*VLOOKUP('Données projet'!$B$13,Paramètres!$A$1:$I$89,7,0))</f>
        <v>0.15049999999999999</v>
      </c>
      <c r="DD77" s="16">
        <f>IF(ISNA(VLOOKUP(A77,'Données projet'!$A$139:$I$159,6,0)),0%,VLOOKUP(A77,'Données projet'!$A$139:$I$159,6,0)*VLOOKUP('Données projet'!$B$13,Paramètres!$A$1:$I$89,7,0))</f>
        <v>8.6000000000000007E-2</v>
      </c>
      <c r="DE77" s="16">
        <f>IF(ISNA(VLOOKUP(A77,'Données projet'!$A$139:$I$159,7,0)),0%,VLOOKUP(A77,'Données projet'!$A$139:$I$159,7,0))</f>
        <v>0.1</v>
      </c>
      <c r="DF77" s="21">
        <f>EXP(-LN(2)/35)*DF76+(1-EXP(-LN(2)/35))/(LN(2)/35)*DB77*DC77*VLOOKUP('Données projet'!$B$13,Paramètres!$A$1:$I$89,3,0)*0.475*44/12</f>
        <v>15.381625661968885</v>
      </c>
      <c r="DG77" s="21">
        <f>EXP(-LN(2)/25)*DG76+(1-EXP(-LN(2)/25))/(LN(2)/25)*Calculateur!DB77*Calculateur!DD77*VLOOKUP('Données projet'!$B$13,Paramètres!$A$1:$I$89,3,0)*0.475*44/12</f>
        <v>33.118099984141523</v>
      </c>
      <c r="DH77" s="21">
        <f>EXP(-LN(2)/2)*DH76+(1-EXP(-LN(2)/2))/(LN(2)/2)*DB77*DE77*VLOOKUP('Données projet'!$B$13,Paramètres!$A$1:$I$89,3,0)*0.475*44/12</f>
        <v>4.9461366264480375</v>
      </c>
      <c r="DI77" s="22">
        <f t="shared" si="69"/>
        <v>53.445862272558443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68.356612814011328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1.2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4.3999999999999995</v>
      </c>
      <c r="H78" s="67">
        <f t="shared" si="56"/>
        <v>239.06666666666669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814.69007033862931</v>
      </c>
      <c r="S78" s="59">
        <f ca="1">AVERAGE(OFFSET($R$3,0,0,'Données projet'!$E$9+1,1))-AVERAGE(OFFSET($H$3,0,0,'Données projet'!$E$9+1,1))</f>
        <v>646.69588445509589</v>
      </c>
      <c r="T78" s="59">
        <f t="shared" si="88"/>
        <v>286.36346771084698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5.6843418860808015E-13</v>
      </c>
      <c r="AJ78" s="13">
        <f>AI78*VLOOKUP('Données projet'!$B$10,Paramètres!$A$1:$I$89,3,0)*VLOOKUP('Données projet'!$B$10,Paramètres!$A$1:$I$89,5,0)</f>
        <v>3.177547114319168E-13</v>
      </c>
      <c r="AK78" s="13">
        <f t="shared" si="89"/>
        <v>4.1725404435445377E-12</v>
      </c>
      <c r="AL78" s="20">
        <f t="shared" si="58"/>
        <v>7.820597394917325E-12</v>
      </c>
      <c r="AM78" s="59">
        <f t="shared" si="59"/>
        <v>287.41211366129909</v>
      </c>
      <c r="AN78" s="59">
        <f ca="1">AVERAGE(OFFSET($AM$3,0,0,'Données projet'!$E$10+1,1))-AVERAGE(OFFSET($H$3,0,0,'Données projet'!$E$10+1,1))</f>
        <v>391.55758836264408</v>
      </c>
      <c r="AO78" s="59">
        <f t="shared" si="90"/>
        <v>360.80727659978777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208.99457415419573</v>
      </c>
      <c r="AV78" s="21">
        <f>EXP(-LN(2)/25)*AV77+(1-EXP(-LN(2)/25))/(LN(2)/25)*Calculateur!AQ78*Calculateur!AS78*VLOOKUP('Données projet'!$B$10,Paramètres!$A$1:$I$89,3,0)*0.475*44/12</f>
        <v>66.821150126571567</v>
      </c>
      <c r="AW78" s="21">
        <f>EXP(-LN(2)/2)*AW77+(1-EXP(-LN(2)/2))/(LN(2)/2)*AQ78*AT78*VLOOKUP('Données projet'!$B$10,Paramètres!$A$1:$I$89,3,0)*0.475*44/12</f>
        <v>13.347617066427931</v>
      </c>
      <c r="AX78" s="21">
        <f t="shared" si="60"/>
        <v>289.16334134719523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746</v>
      </c>
      <c r="BB78" s="12">
        <f>VLOOKUP(A78,'Données projet'!$A$87:$I$107,9,0)</f>
        <v>15.8</v>
      </c>
      <c r="BC78" s="12">
        <f t="array" ref="BC78">INDEX(BB:BB,MIN(IF(ISNUMBER(BB78:BB274),ROW(BB78:BB274),"")))</f>
        <v>15.8</v>
      </c>
      <c r="BD78" s="12">
        <f>IF('Données projet'!$A$88&gt;35,BD77+BC78-BL77,IF(A78&lt;'Données projet'!$A$88,$BA$205^A78,IF(A78='Données projet'!$A$88,'Données projet'!$B$88,BD77+BC78-BL77)))</f>
        <v>746</v>
      </c>
      <c r="BE78" s="13">
        <f>BD78*VLOOKUP('Données projet'!$B$11,Paramètres!$A$1:$I$89,3,0)*VLOOKUP('Données projet'!$B$11,Paramètres!$A$1:$I$89,5,0)</f>
        <v>329.73200000000003</v>
      </c>
      <c r="BF78" s="13">
        <f t="shared" si="91"/>
        <v>77.374741307218997</v>
      </c>
      <c r="BG78" s="20">
        <f t="shared" si="61"/>
        <v>709.04424111007302</v>
      </c>
      <c r="BH78" s="59">
        <f t="shared" si="62"/>
        <v>996.4563547713642</v>
      </c>
      <c r="BI78" s="59">
        <f ca="1">AVERAGE(OFFSET($BH$3,0,0,'Données projet'!$E$11+1,1))-AVERAGE(OFFSET($H$3,0,0,'Données projet'!$E$11+1,1))</f>
        <v>400.11184625063709</v>
      </c>
      <c r="BJ78" s="59">
        <f t="shared" si="92"/>
        <v>340.02906159605971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43</v>
      </c>
      <c r="BM78" s="16">
        <f>IF(ISNA(VLOOKUP(A78,'Données projet'!$A$87:$I$107,5,0)),0%,VLOOKUP(A78,'Données projet'!$A$87:$I$107,5,0)*VLOOKUP('Données projet'!$B$11,Paramètres!$A$1:$I$89,7,0))</f>
        <v>0.33</v>
      </c>
      <c r="BN78" s="16">
        <f>IF(ISNA(VLOOKUP(A78,'Données projet'!$A$87:$I$107,6,0)),0%,VLOOKUP(A78,'Données projet'!$A$87:$I$107,6,0)*VLOOKUP('Données projet'!$B$11,Paramètres!$A$1:$I$89,7,0))</f>
        <v>0.11000000000000001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62.362620557675719</v>
      </c>
      <c r="BQ78" s="21">
        <f>EXP(-LN(2)/25)*BQ77+(1-EXP(-LN(2)/25))/(LN(2)/25)*Calculateur!BL78*Calculateur!BN78*VLOOKUP('Données projet'!$B$11,Paramètres!$A$1:$I$89,3,0)*0.475*44/12</f>
        <v>25.32061925272513</v>
      </c>
      <c r="BR78" s="21">
        <f>EXP(-LN(2)/2)*BR77+(1-EXP(-LN(2)/2))/(LN(2)/2)*BL78*BO78*VLOOKUP('Données projet'!$B$11,Paramètres!$A$1:$I$89,3,0)*0.475*44/12</f>
        <v>5.2867100389989927</v>
      </c>
      <c r="BS78" s="22">
        <f t="shared" si="63"/>
        <v>92.969949849399839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9.546999999999997</v>
      </c>
      <c r="BY78" s="12">
        <f>IF('Données projet'!$A$114&gt;35,BY77+BX78-CG77,IF(A78&lt;'Données projet'!$A$114,$BV$205^A78,IF(A78='Données projet'!$A$114,'Données projet'!$B$114,BY77+BX78-CG77)))</f>
        <v>269.16700000000031</v>
      </c>
      <c r="BZ78" s="13">
        <f>BY78*VLOOKUP('Données projet'!$B$12,Paramètres!$A$1:$I$89,3,0)*VLOOKUP('Données projet'!$B$12,Paramètres!$A$1:$I$89,5,0)</f>
        <v>180.55722360000021</v>
      </c>
      <c r="CA78" s="13">
        <f t="shared" si="93"/>
        <v>45.44613584111341</v>
      </c>
      <c r="CB78" s="20">
        <f t="shared" si="64"/>
        <v>393.62251769327281</v>
      </c>
      <c r="CC78" s="59">
        <f t="shared" si="65"/>
        <v>681.034631354564</v>
      </c>
      <c r="CD78" s="59">
        <f ca="1">AVERAGE(OFFSET($CC$3,0,0,'Données projet'!$E$12+1,1))-AVERAGE(OFFSET($H$3,0,0,'Données projet'!$E$12+1,1))</f>
        <v>493.98227954109774</v>
      </c>
      <c r="CE78" s="59">
        <f t="shared" si="94"/>
        <v>224.32736097997289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13.102296267605839</v>
      </c>
      <c r="CL78" s="21">
        <f>EXP(-LN(2)/25)*CL77+(1-EXP(-LN(2)/25))/(LN(2)/25)*Calculateur!CG78*Calculateur!CI78*VLOOKUP('Données projet'!$B$12,Paramètres!$A$1:$I$89,3,0)*0.475*44/12</f>
        <v>27.987895759326388</v>
      </c>
      <c r="CM78" s="21">
        <f>EXP(-LN(2)/2)*CM77+(1-EXP(-LN(2)/2))/(LN(2)/2)*CG78*CJ78*VLOOKUP('Données projet'!$B$12,Paramètres!$A$1:$I$89,3,0)*0.475*44/12</f>
        <v>2.4654132822487234</v>
      </c>
      <c r="CN78" s="22">
        <f t="shared" si="66"/>
        <v>43.555605309180955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9.546999999999997</v>
      </c>
      <c r="CT78" s="12">
        <f>IF('Données projet'!$A$140&gt;35,CT77+CS78-DB77,IF(A78&lt;'Données projet'!$A$140,$CQ$205^A78,IF(A78='Données projet'!$A$140,'Données projet'!$B$140,CT77+CS78-DB77)))</f>
        <v>269.16700000000031</v>
      </c>
      <c r="CU78" s="17">
        <f>CT78*VLOOKUP('Données projet'!$B$13,Paramètres!$A$1:$I$89,3,0)*VLOOKUP('Données projet'!$B$13,Paramètres!$A$1:$I$89,5,0)</f>
        <v>256.13931720000033</v>
      </c>
      <c r="CV78" s="13">
        <f t="shared" si="95"/>
        <v>61.898721250680353</v>
      </c>
      <c r="CW78" s="20">
        <f t="shared" si="67"/>
        <v>553.91625030160219</v>
      </c>
      <c r="CX78" s="59">
        <f t="shared" si="68"/>
        <v>841.32836396289349</v>
      </c>
      <c r="CY78" s="59">
        <f ca="1">AVERAGE(OFFSET($CX$3,0,0,'Données projet'!$E$13+1,1))-AVERAGE(OFFSET($H$3,0,0,'Données projet'!$E$13+1,1))</f>
        <v>677.13548994240728</v>
      </c>
      <c r="CZ78" s="59">
        <f t="shared" si="96"/>
        <v>298.72429542440534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15.080001364602946</v>
      </c>
      <c r="DG78" s="21">
        <f>EXP(-LN(2)/25)*DG77+(1-EXP(-LN(2)/25))/(LN(2)/25)*Calculateur!DB78*Calculateur!DD78*VLOOKUP('Données projet'!$B$13,Paramètres!$A$1:$I$89,3,0)*0.475*44/12</f>
        <v>32.212483798469989</v>
      </c>
      <c r="DH78" s="21">
        <f>EXP(-LN(2)/2)*DH77+(1-EXP(-LN(2)/2))/(LN(2)/2)*DB78*DE78*VLOOKUP('Données projet'!$B$13,Paramètres!$A$1:$I$89,3,0)*0.475*44/12</f>
        <v>3.4974467492365608</v>
      </c>
      <c r="DI78" s="22">
        <f t="shared" si="69"/>
        <v>50.789931912309498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68.385121907624892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1.2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4.3999999999999995</v>
      </c>
      <c r="H79" s="67">
        <f t="shared" si="56"/>
        <v>239.06666666666669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833.06237386787552</v>
      </c>
      <c r="S79" s="59">
        <f ca="1">AVERAGE(OFFSET($R$3,0,0,'Données projet'!$E$9+1,1))-AVERAGE(OFFSET($H$3,0,0,'Données projet'!$E$9+1,1))</f>
        <v>646.69588445509589</v>
      </c>
      <c r="T79" s="59">
        <f t="shared" si="88"/>
        <v>286.36346771084698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5.6843418860808015E-13</v>
      </c>
      <c r="AJ79" s="13">
        <f>AI79*VLOOKUP('Données projet'!$B$10,Paramètres!$A$1:$I$89,3,0)*VLOOKUP('Données projet'!$B$10,Paramètres!$A$1:$I$89,5,0)</f>
        <v>3.177547114319168E-13</v>
      </c>
      <c r="AK79" s="13">
        <f t="shared" si="89"/>
        <v>4.1725404435445377E-12</v>
      </c>
      <c r="AL79" s="20">
        <f t="shared" si="58"/>
        <v>7.820597394917325E-12</v>
      </c>
      <c r="AM79" s="59">
        <f t="shared" si="59"/>
        <v>287.51483358474508</v>
      </c>
      <c r="AN79" s="59">
        <f ca="1">AVERAGE(OFFSET($AM$3,0,0,'Données projet'!$E$10+1,1))-AVERAGE(OFFSET($H$3,0,0,'Données projet'!$E$10+1,1))</f>
        <v>391.55758836264408</v>
      </c>
      <c r="AO79" s="59">
        <f t="shared" si="90"/>
        <v>360.80727659978777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204.89631802913516</v>
      </c>
      <c r="AV79" s="21">
        <f>EXP(-LN(2)/25)*AV78+(1-EXP(-LN(2)/25))/(LN(2)/25)*Calculateur!AQ79*Calculateur!AS79*VLOOKUP('Données projet'!$B$10,Paramètres!$A$1:$I$89,3,0)*0.475*44/12</f>
        <v>64.993922262388907</v>
      </c>
      <c r="AW79" s="21">
        <f>EXP(-LN(2)/2)*AW78+(1-EXP(-LN(2)/2))/(LN(2)/2)*AQ79*AT79*VLOOKUP('Données projet'!$B$10,Paramètres!$A$1:$I$89,3,0)*0.475*44/12</f>
        <v>9.4381905403524833</v>
      </c>
      <c r="AX79" s="21">
        <f t="shared" si="60"/>
        <v>279.32843083187652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14.6</v>
      </c>
      <c r="BD79" s="12">
        <f>IF('Données projet'!$A$88&gt;35,BD78+BC79-BL78,IF(A79&lt;'Données projet'!$A$88,$BA$205^A79,IF(A79='Données projet'!$A$88,'Données projet'!$B$88,BD78+BC79-BL78)))</f>
        <v>717.6</v>
      </c>
      <c r="BE79" s="13">
        <f>BD79*VLOOKUP('Données projet'!$B$11,Paramètres!$A$1:$I$89,3,0)*VLOOKUP('Données projet'!$B$11,Paramètres!$A$1:$I$89,5,0)</f>
        <v>317.17920000000004</v>
      </c>
      <c r="BF79" s="13">
        <f t="shared" si="91"/>
        <v>74.766129261581426</v>
      </c>
      <c r="BG79" s="20">
        <f t="shared" si="61"/>
        <v>682.63811513058772</v>
      </c>
      <c r="BH79" s="59">
        <f t="shared" si="62"/>
        <v>970.15294871532501</v>
      </c>
      <c r="BI79" s="59">
        <f ca="1">AVERAGE(OFFSET($BH$3,0,0,'Données projet'!$E$11+1,1))-AVERAGE(OFFSET($H$3,0,0,'Données projet'!$E$11+1,1))</f>
        <v>400.11184625063709</v>
      </c>
      <c r="BJ79" s="59">
        <f t="shared" si="92"/>
        <v>340.02906159605971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61.139727605982351</v>
      </c>
      <c r="BQ79" s="21">
        <f>EXP(-LN(2)/25)*BQ78+(1-EXP(-LN(2)/25))/(LN(2)/25)*Calculateur!BL79*Calculateur!BN79*VLOOKUP('Données projet'!$B$11,Paramètres!$A$1:$I$89,3,0)*0.475*44/12</f>
        <v>24.628225587705867</v>
      </c>
      <c r="BR79" s="21">
        <f>EXP(-LN(2)/2)*BR78+(1-EXP(-LN(2)/2))/(LN(2)/2)*BL79*BO79*VLOOKUP('Données projet'!$B$11,Paramètres!$A$1:$I$89,3,0)*0.475*44/12</f>
        <v>3.738268518743185</v>
      </c>
      <c r="BS79" s="22">
        <f t="shared" si="63"/>
        <v>89.506221712431397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9.546999999999997</v>
      </c>
      <c r="BY79" s="12">
        <f>IF('Données projet'!$A$114&gt;35,BY78+BX79-CG78,IF(A79&lt;'Données projet'!$A$114,$BV$205^A79,IF(A79='Données projet'!$A$114,'Données projet'!$B$114,BY78+BX79-CG78)))</f>
        <v>278.71400000000028</v>
      </c>
      <c r="BZ79" s="13">
        <f>BY79*VLOOKUP('Données projet'!$B$12,Paramètres!$A$1:$I$89,3,0)*VLOOKUP('Données projet'!$B$12,Paramètres!$A$1:$I$89,5,0)</f>
        <v>186.96135120000019</v>
      </c>
      <c r="CA79" s="13">
        <f t="shared" si="93"/>
        <v>46.86752168757036</v>
      </c>
      <c r="CB79" s="20">
        <f t="shared" si="64"/>
        <v>407.25195361251866</v>
      </c>
      <c r="CC79" s="59">
        <f t="shared" si="65"/>
        <v>694.76678719725589</v>
      </c>
      <c r="CD79" s="59">
        <f ca="1">AVERAGE(OFFSET($CC$3,0,0,'Données projet'!$E$12+1,1))-AVERAGE(OFFSET($H$3,0,0,'Données projet'!$E$12+1,1))</f>
        <v>493.98227954109774</v>
      </c>
      <c r="CE79" s="59">
        <f t="shared" si="94"/>
        <v>224.32736097997289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12.845368229409706</v>
      </c>
      <c r="CL79" s="21">
        <f>EXP(-LN(2)/25)*CL78+(1-EXP(-LN(2)/25))/(LN(2)/25)*Calculateur!CG79*Calculateur!CI79*VLOOKUP('Données projet'!$B$12,Paramètres!$A$1:$I$89,3,0)*0.475*44/12</f>
        <v>27.222565277968137</v>
      </c>
      <c r="CM79" s="21">
        <f>EXP(-LN(2)/2)*CM78+(1-EXP(-LN(2)/2))/(LN(2)/2)*CG79*CJ79*VLOOKUP('Données projet'!$B$12,Paramètres!$A$1:$I$89,3,0)*0.475*44/12</f>
        <v>1.7433104503054562</v>
      </c>
      <c r="CN79" s="22">
        <f t="shared" si="66"/>
        <v>41.811243957683303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9.546999999999997</v>
      </c>
      <c r="CT79" s="12">
        <f>IF('Données projet'!$A$140&gt;35,CT78+CS79-DB78,IF(A79&lt;'Données projet'!$A$140,$CQ$205^A79,IF(A79='Données projet'!$A$140,'Données projet'!$B$140,CT78+CS79-DB78)))</f>
        <v>278.71400000000028</v>
      </c>
      <c r="CU79" s="17">
        <f>CT79*VLOOKUP('Données projet'!$B$13,Paramètres!$A$1:$I$89,3,0)*VLOOKUP('Données projet'!$B$13,Paramètres!$A$1:$I$89,5,0)</f>
        <v>265.22424240000026</v>
      </c>
      <c r="CV79" s="13">
        <f t="shared" si="95"/>
        <v>63.834682684389406</v>
      </c>
      <c r="CW79" s="20">
        <f t="shared" si="67"/>
        <v>573.11096118864532</v>
      </c>
      <c r="CX79" s="59">
        <f t="shared" si="68"/>
        <v>860.62579477338249</v>
      </c>
      <c r="CY79" s="59">
        <f ca="1">AVERAGE(OFFSET($CX$3,0,0,'Données projet'!$E$13+1,1))-AVERAGE(OFFSET($H$3,0,0,'Données projet'!$E$13+1,1))</f>
        <v>677.13548994240728</v>
      </c>
      <c r="CZ79" s="59">
        <f t="shared" si="96"/>
        <v>298.72429542440534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14.784291735735698</v>
      </c>
      <c r="DG79" s="21">
        <f>EXP(-LN(2)/25)*DG78+(1-EXP(-LN(2)/25))/(LN(2)/25)*Calculateur!DB79*Calculateur!DD79*VLOOKUP('Données projet'!$B$13,Paramètres!$A$1:$I$89,3,0)*0.475*44/12</f>
        <v>31.331631735019926</v>
      </c>
      <c r="DH79" s="21">
        <f>EXP(-LN(2)/2)*DH78+(1-EXP(-LN(2)/2))/(LN(2)/2)*DB79*DE79*VLOOKUP('Données projet'!$B$13,Paramètres!$A$1:$I$89,3,0)*0.475*44/12</f>
        <v>2.4730683132240188</v>
      </c>
      <c r="DI79" s="22">
        <f t="shared" si="69"/>
        <v>48.588991783979644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68.413136432201057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1.2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4.3999999999999995</v>
      </c>
      <c r="H80" s="67">
        <f t="shared" si="56"/>
        <v>239.06666666666669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851.42006047338464</v>
      </c>
      <c r="S80" s="59">
        <f ca="1">AVERAGE(OFFSET($R$3,0,0,'Données projet'!$E$9+1,1))-AVERAGE(OFFSET($H$3,0,0,'Données projet'!$E$9+1,1))</f>
        <v>646.69588445509589</v>
      </c>
      <c r="T80" s="59">
        <f t="shared" si="88"/>
        <v>286.36346771084698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5.6843418860808015E-13</v>
      </c>
      <c r="AJ80" s="13">
        <f>AI80*VLOOKUP('Données projet'!$B$10,Paramètres!$A$1:$I$89,3,0)*VLOOKUP('Données projet'!$B$10,Paramètres!$A$1:$I$89,5,0)</f>
        <v>3.177547114319168E-13</v>
      </c>
      <c r="AK80" s="13">
        <f t="shared" si="89"/>
        <v>4.1725404435445377E-12</v>
      </c>
      <c r="AL80" s="20">
        <f t="shared" si="58"/>
        <v>7.820597394917325E-12</v>
      </c>
      <c r="AM80" s="59">
        <f t="shared" si="59"/>
        <v>287.6157715471665</v>
      </c>
      <c r="AN80" s="59">
        <f ca="1">AVERAGE(OFFSET($AM$3,0,0,'Données projet'!$E$10+1,1))-AVERAGE(OFFSET($H$3,0,0,'Données projet'!$E$10+1,1))</f>
        <v>391.55758836264408</v>
      </c>
      <c r="AO80" s="59">
        <f t="shared" si="90"/>
        <v>360.80727659978777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200.87842620699763</v>
      </c>
      <c r="AV80" s="21">
        <f>EXP(-LN(2)/25)*AV79+(1-EXP(-LN(2)/25))/(LN(2)/25)*Calculateur!AQ80*Calculateur!AS80*VLOOKUP('Données projet'!$B$10,Paramètres!$A$1:$I$89,3,0)*0.475*44/12</f>
        <v>63.216660040242054</v>
      </c>
      <c r="AW80" s="21">
        <f>EXP(-LN(2)/2)*AW79+(1-EXP(-LN(2)/2))/(LN(2)/2)*AQ80*AT80*VLOOKUP('Données projet'!$B$10,Paramètres!$A$1:$I$89,3,0)*0.475*44/12</f>
        <v>6.6738085332139665</v>
      </c>
      <c r="AX80" s="21">
        <f t="shared" si="60"/>
        <v>270.76889478045365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14.6</v>
      </c>
      <c r="BD80" s="12">
        <f>IF('Données projet'!$A$88&gt;35,BD79+BC80-BL79,IF(A80&lt;'Données projet'!$A$88,$BA$205^A80,IF(A80='Données projet'!$A$88,'Données projet'!$B$88,BD79+BC80-BL79)))</f>
        <v>732.2</v>
      </c>
      <c r="BE80" s="13">
        <f>BD80*VLOOKUP('Données projet'!$B$11,Paramètres!$A$1:$I$89,3,0)*VLOOKUP('Données projet'!$B$11,Paramètres!$A$1:$I$89,5,0)</f>
        <v>323.63240000000008</v>
      </c>
      <c r="BF80" s="13">
        <f t="shared" si="91"/>
        <v>76.108647913461411</v>
      </c>
      <c r="BG80" s="20">
        <f t="shared" si="61"/>
        <v>696.21565844927864</v>
      </c>
      <c r="BH80" s="59">
        <f t="shared" si="62"/>
        <v>983.83142999643724</v>
      </c>
      <c r="BI80" s="59">
        <f ca="1">AVERAGE(OFFSET($BH$3,0,0,'Données projet'!$E$11+1,1))-AVERAGE(OFFSET($H$3,0,0,'Données projet'!$E$11+1,1))</f>
        <v>400.11184625063709</v>
      </c>
      <c r="BJ80" s="59">
        <f t="shared" si="92"/>
        <v>340.02906159605971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59.940814839180639</v>
      </c>
      <c r="BQ80" s="21">
        <f>EXP(-LN(2)/25)*BQ79+(1-EXP(-LN(2)/25))/(LN(2)/25)*Calculateur!BL80*Calculateur!BN80*VLOOKUP('Données projet'!$B$11,Paramètres!$A$1:$I$89,3,0)*0.475*44/12</f>
        <v>23.954765463867954</v>
      </c>
      <c r="BR80" s="21">
        <f>EXP(-LN(2)/2)*BR79+(1-EXP(-LN(2)/2))/(LN(2)/2)*BL80*BO80*VLOOKUP('Données projet'!$B$11,Paramètres!$A$1:$I$89,3,0)*0.475*44/12</f>
        <v>2.6433550194994968</v>
      </c>
      <c r="BS80" s="22">
        <f t="shared" si="63"/>
        <v>86.538935322548085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9.546999999999997</v>
      </c>
      <c r="BY80" s="12">
        <f>IF('Données projet'!$A$114&gt;35,BY79+BX80-CG79,IF(A80&lt;'Données projet'!$A$114,$BV$205^A80,IF(A80='Données projet'!$A$114,'Données projet'!$B$114,BY79+BX80-CG79)))</f>
        <v>288.26100000000031</v>
      </c>
      <c r="BZ80" s="13">
        <f>BY80*VLOOKUP('Données projet'!$B$12,Paramètres!$A$1:$I$89,3,0)*VLOOKUP('Données projet'!$B$12,Paramètres!$A$1:$I$89,5,0)</f>
        <v>193.3654788000002</v>
      </c>
      <c r="CA80" s="13">
        <f t="shared" si="93"/>
        <v>48.283250388856992</v>
      </c>
      <c r="CB80" s="20">
        <f t="shared" si="64"/>
        <v>420.87153667059289</v>
      </c>
      <c r="CC80" s="59">
        <f t="shared" si="65"/>
        <v>708.48730821775155</v>
      </c>
      <c r="CD80" s="59">
        <f ca="1">AVERAGE(OFFSET($CC$3,0,0,'Données projet'!$E$12+1,1))-AVERAGE(OFFSET($H$3,0,0,'Données projet'!$E$12+1,1))</f>
        <v>493.98227954109774</v>
      </c>
      <c r="CE80" s="59">
        <f t="shared" si="94"/>
        <v>224.32736097997289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12.593478393331969</v>
      </c>
      <c r="CL80" s="21">
        <f>EXP(-LN(2)/25)*CL79+(1-EXP(-LN(2)/25))/(LN(2)/25)*Calculateur!CG80*Calculateur!CI80*VLOOKUP('Données projet'!$B$12,Paramètres!$A$1:$I$89,3,0)*0.475*44/12</f>
        <v>26.478162798869608</v>
      </c>
      <c r="CM80" s="21">
        <f>EXP(-LN(2)/2)*CM79+(1-EXP(-LN(2)/2))/(LN(2)/2)*CG80*CJ80*VLOOKUP('Données projet'!$B$12,Paramètres!$A$1:$I$89,3,0)*0.475*44/12</f>
        <v>1.2327066411243619</v>
      </c>
      <c r="CN80" s="22">
        <f t="shared" si="66"/>
        <v>40.304347833325934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9.546999999999997</v>
      </c>
      <c r="CT80" s="12">
        <f>IF('Données projet'!$A$140&gt;35,CT79+CS80-DB79,IF(A80&lt;'Données projet'!$A$140,$CQ$205^A80,IF(A80='Données projet'!$A$140,'Données projet'!$B$140,CT79+CS80-DB79)))</f>
        <v>288.26100000000031</v>
      </c>
      <c r="CU80" s="17">
        <f>CT80*VLOOKUP('Données projet'!$B$13,Paramètres!$A$1:$I$89,3,0)*VLOOKUP('Données projet'!$B$13,Paramètres!$A$1:$I$89,5,0)</f>
        <v>274.30916760000031</v>
      </c>
      <c r="CV80" s="13">
        <f t="shared" si="95"/>
        <v>65.762938951410732</v>
      </c>
      <c r="CW80" s="20">
        <f t="shared" si="67"/>
        <v>592.29225224370759</v>
      </c>
      <c r="CX80" s="59">
        <f t="shared" si="68"/>
        <v>879.90802379086631</v>
      </c>
      <c r="CY80" s="59">
        <f ca="1">AVERAGE(OFFSET($CX$3,0,0,'Données projet'!$E$13+1,1))-AVERAGE(OFFSET($H$3,0,0,'Données projet'!$E$13+1,1))</f>
        <v>677.13548994240728</v>
      </c>
      <c r="CZ80" s="59">
        <f t="shared" si="96"/>
        <v>298.72429542440534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14.494380792325472</v>
      </c>
      <c r="DG80" s="21">
        <f>EXP(-LN(2)/25)*DG79+(1-EXP(-LN(2)/25))/(LN(2)/25)*Calculateur!DB80*Calculateur!DD80*VLOOKUP('Données projet'!$B$13,Paramètres!$A$1:$I$89,3,0)*0.475*44/12</f>
        <v>30.474866617566903</v>
      </c>
      <c r="DH80" s="21">
        <f>EXP(-LN(2)/2)*DH79+(1-EXP(-LN(2)/2))/(LN(2)/2)*DB80*DE80*VLOOKUP('Données projet'!$B$13,Paramètres!$A$1:$I$89,3,0)*0.475*44/12</f>
        <v>1.7487233746182804</v>
      </c>
      <c r="DI80" s="22">
        <f t="shared" si="69"/>
        <v>46.717970784510655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68.440664967406917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1.2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4.3999999999999995</v>
      </c>
      <c r="H81" s="67">
        <f t="shared" si="56"/>
        <v>239.06666666666669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869.76363489529876</v>
      </c>
      <c r="S81" s="59">
        <f ca="1">AVERAGE(OFFSET($R$3,0,0,'Données projet'!$E$9+1,1))-AVERAGE(OFFSET($H$3,0,0,'Données projet'!$E$9+1,1))</f>
        <v>646.69588445509589</v>
      </c>
      <c r="T81" s="59">
        <f t="shared" si="88"/>
        <v>286.36346771084698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5.6843418860808015E-13</v>
      </c>
      <c r="AJ81" s="13">
        <f>AI81*VLOOKUP('Données projet'!$B$10,Paramètres!$A$1:$I$89,3,0)*VLOOKUP('Données projet'!$B$10,Paramètres!$A$1:$I$89,5,0)</f>
        <v>3.177547114319168E-13</v>
      </c>
      <c r="AK81" s="13">
        <f t="shared" si="89"/>
        <v>4.1725404435445377E-12</v>
      </c>
      <c r="AL81" s="20">
        <f t="shared" si="58"/>
        <v>7.820597394917325E-12</v>
      </c>
      <c r="AM81" s="59">
        <f t="shared" si="59"/>
        <v>287.71495846160343</v>
      </c>
      <c r="AN81" s="59">
        <f ca="1">AVERAGE(OFFSET($AM$3,0,0,'Données projet'!$E$10+1,1))-AVERAGE(OFFSET($H$3,0,0,'Données projet'!$E$10+1,1))</f>
        <v>391.55758836264408</v>
      </c>
      <c r="AO81" s="59">
        <f t="shared" si="90"/>
        <v>360.80727659978777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196.93932279282018</v>
      </c>
      <c r="AV81" s="21">
        <f>EXP(-LN(2)/25)*AV80+(1-EXP(-LN(2)/25))/(LN(2)/25)*Calculateur!AQ81*Calculateur!AS81*VLOOKUP('Données projet'!$B$10,Paramètres!$A$1:$I$89,3,0)*0.475*44/12</f>
        <v>61.487997147021964</v>
      </c>
      <c r="AW81" s="21">
        <f>EXP(-LN(2)/2)*AW80+(1-EXP(-LN(2)/2))/(LN(2)/2)*AQ81*AT81*VLOOKUP('Données projet'!$B$10,Paramètres!$A$1:$I$89,3,0)*0.475*44/12</f>
        <v>4.7190952701762425</v>
      </c>
      <c r="AX81" s="21">
        <f t="shared" si="60"/>
        <v>263.1464152100184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14.6</v>
      </c>
      <c r="BD81" s="12">
        <f>IF('Données projet'!$A$88&gt;35,BD80+BC81-BL80,IF(A81&lt;'Données projet'!$A$88,$BA$205^A81,IF(A81='Données projet'!$A$88,'Données projet'!$B$88,BD80+BC81-BL80)))</f>
        <v>746.80000000000007</v>
      </c>
      <c r="BE81" s="13">
        <f>BD81*VLOOKUP('Données projet'!$B$11,Paramètres!$A$1:$I$89,3,0)*VLOOKUP('Données projet'!$B$11,Paramètres!$A$1:$I$89,5,0)</f>
        <v>330.08560000000006</v>
      </c>
      <c r="BF81" s="13">
        <f t="shared" si="91"/>
        <v>77.448053967870919</v>
      </c>
      <c r="BG81" s="20">
        <f t="shared" si="61"/>
        <v>709.78778066070856</v>
      </c>
      <c r="BH81" s="59">
        <f t="shared" si="62"/>
        <v>997.50273912230409</v>
      </c>
      <c r="BI81" s="59">
        <f ca="1">AVERAGE(OFFSET($BH$3,0,0,'Données projet'!$E$11+1,1))-AVERAGE(OFFSET($H$3,0,0,'Données projet'!$E$11+1,1))</f>
        <v>400.11184625063709</v>
      </c>
      <c r="BJ81" s="59">
        <f t="shared" si="92"/>
        <v>340.02906159605971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58.765412020471331</v>
      </c>
      <c r="BQ81" s="21">
        <f>EXP(-LN(2)/25)*BQ80+(1-EXP(-LN(2)/25))/(LN(2)/25)*Calculateur!BL81*Calculateur!BN81*VLOOKUP('Données projet'!$B$11,Paramètres!$A$1:$I$89,3,0)*0.475*44/12</f>
        <v>23.299721142532118</v>
      </c>
      <c r="BR81" s="21">
        <f>EXP(-LN(2)/2)*BR80+(1-EXP(-LN(2)/2))/(LN(2)/2)*BL81*BO81*VLOOKUP('Données projet'!$B$11,Paramètres!$A$1:$I$89,3,0)*0.475*44/12</f>
        <v>1.8691342593715929</v>
      </c>
      <c r="BS81" s="22">
        <f t="shared" si="63"/>
        <v>83.934267422375044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9.546999999999997</v>
      </c>
      <c r="BY81" s="12">
        <f>IF('Données projet'!$A$114&gt;35,BY80+BX81-CG80,IF(A81&lt;'Données projet'!$A$114,$BV$205^A81,IF(A81='Données projet'!$A$114,'Données projet'!$B$114,BY80+BX81-CG80)))</f>
        <v>297.80800000000033</v>
      </c>
      <c r="BZ81" s="13">
        <f>BY81*VLOOKUP('Données projet'!$B$12,Paramètres!$A$1:$I$89,3,0)*VLOOKUP('Données projet'!$B$12,Paramètres!$A$1:$I$89,5,0)</f>
        <v>199.76960640000021</v>
      </c>
      <c r="CA81" s="13">
        <f t="shared" si="93"/>
        <v>49.693530789265445</v>
      </c>
      <c r="CB81" s="20">
        <f t="shared" si="64"/>
        <v>434.4816306046377</v>
      </c>
      <c r="CC81" s="59">
        <f t="shared" si="65"/>
        <v>722.19658906623329</v>
      </c>
      <c r="CD81" s="59">
        <f ca="1">AVERAGE(OFFSET($CC$3,0,0,'Données projet'!$E$12+1,1))-AVERAGE(OFFSET($H$3,0,0,'Données projet'!$E$12+1,1))</f>
        <v>493.98227954109774</v>
      </c>
      <c r="CE81" s="59">
        <f t="shared" si="94"/>
        <v>224.32736097997289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12.346527963302087</v>
      </c>
      <c r="CL81" s="21">
        <f>EXP(-LN(2)/25)*CL80+(1-EXP(-LN(2)/25))/(LN(2)/25)*Calculateur!CG81*Calculateur!CI81*VLOOKUP('Données projet'!$B$12,Paramètres!$A$1:$I$89,3,0)*0.475*44/12</f>
        <v>25.754116044708454</v>
      </c>
      <c r="CM81" s="21">
        <f>EXP(-LN(2)/2)*CM80+(1-EXP(-LN(2)/2))/(LN(2)/2)*CG81*CJ81*VLOOKUP('Données projet'!$B$12,Paramètres!$A$1:$I$89,3,0)*0.475*44/12</f>
        <v>0.8716552251527282</v>
      </c>
      <c r="CN81" s="22">
        <f t="shared" si="66"/>
        <v>38.97229923316327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9.546999999999997</v>
      </c>
      <c r="CT81" s="12">
        <f>IF('Données projet'!$A$140&gt;35,CT80+CS81-DB80,IF(A81&lt;'Données projet'!$A$140,$CQ$205^A81,IF(A81='Données projet'!$A$140,'Données projet'!$B$140,CT80+CS81-DB80)))</f>
        <v>297.80800000000033</v>
      </c>
      <c r="CU81" s="17">
        <f>CT81*VLOOKUP('Données projet'!$B$13,Paramètres!$A$1:$I$89,3,0)*VLOOKUP('Données projet'!$B$13,Paramètres!$A$1:$I$89,5,0)</f>
        <v>283.39409280000029</v>
      </c>
      <c r="CV81" s="13">
        <f t="shared" si="95"/>
        <v>67.683774502652653</v>
      </c>
      <c r="CW81" s="20">
        <f t="shared" si="67"/>
        <v>611.46061888545398</v>
      </c>
      <c r="CX81" s="59">
        <f t="shared" si="68"/>
        <v>899.17557734704951</v>
      </c>
      <c r="CY81" s="59">
        <f ca="1">AVERAGE(OFFSET($CX$3,0,0,'Données projet'!$E$13+1,1))-AVERAGE(OFFSET($H$3,0,0,'Données projet'!$E$13+1,1))</f>
        <v>677.13548994240728</v>
      </c>
      <c r="CZ81" s="59">
        <f t="shared" si="96"/>
        <v>298.72429542440534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14.210154825687306</v>
      </c>
      <c r="DG81" s="21">
        <f>EXP(-LN(2)/25)*DG80+(1-EXP(-LN(2)/25))/(LN(2)/25)*Calculateur!DB81*Calculateur!DD81*VLOOKUP('Données projet'!$B$13,Paramètres!$A$1:$I$89,3,0)*0.475*44/12</f>
        <v>29.641529787305952</v>
      </c>
      <c r="DH81" s="21">
        <f>EXP(-LN(2)/2)*DH80+(1-EXP(-LN(2)/2))/(LN(2)/2)*DB81*DE81*VLOOKUP('Données projet'!$B$13,Paramètres!$A$1:$I$89,3,0)*0.475*44/12</f>
        <v>1.2365341566120094</v>
      </c>
      <c r="DI81" s="22">
        <f t="shared" si="69"/>
        <v>45.08821876960527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68.467715944071529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1.2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4.3999999999999995</v>
      </c>
      <c r="H82" s="67">
        <f t="shared" si="56"/>
        <v>239.06666666666669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888.09356923311998</v>
      </c>
      <c r="S82" s="59">
        <f ca="1">AVERAGE(OFFSET($R$3,0,0,'Données projet'!$E$9+1,1))-AVERAGE(OFFSET($H$3,0,0,'Données projet'!$E$9+1,1))</f>
        <v>646.69588445509589</v>
      </c>
      <c r="T82" s="59">
        <f t="shared" si="88"/>
        <v>286.36346771084698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5.6843418860808015E-13</v>
      </c>
      <c r="AJ82" s="13">
        <f>AI82*VLOOKUP('Données projet'!$B$10,Paramètres!$A$1:$I$89,3,0)*VLOOKUP('Données projet'!$B$10,Paramètres!$A$1:$I$89,5,0)</f>
        <v>3.177547114319168E-13</v>
      </c>
      <c r="AK82" s="13">
        <f t="shared" si="89"/>
        <v>4.1725404435445377E-12</v>
      </c>
      <c r="AL82" s="20">
        <f t="shared" si="58"/>
        <v>7.820597394917325E-12</v>
      </c>
      <c r="AM82" s="59">
        <f t="shared" si="59"/>
        <v>287.81242470482363</v>
      </c>
      <c r="AN82" s="59">
        <f ca="1">AVERAGE(OFFSET($AM$3,0,0,'Données projet'!$E$10+1,1))-AVERAGE(OFFSET($H$3,0,0,'Données projet'!$E$10+1,1))</f>
        <v>391.55758836264408</v>
      </c>
      <c r="AO82" s="59">
        <f t="shared" si="90"/>
        <v>360.80727659978777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193.0774627939789</v>
      </c>
      <c r="AV82" s="21">
        <f>EXP(-LN(2)/25)*AV81+(1-EXP(-LN(2)/25))/(LN(2)/25)*Calculateur!AQ82*Calculateur!AS82*VLOOKUP('Données projet'!$B$10,Paramètres!$A$1:$I$89,3,0)*0.475*44/12</f>
        <v>59.806604631523413</v>
      </c>
      <c r="AW82" s="21">
        <f>EXP(-LN(2)/2)*AW81+(1-EXP(-LN(2)/2))/(LN(2)/2)*AQ82*AT82*VLOOKUP('Données projet'!$B$10,Paramètres!$A$1:$I$89,3,0)*0.475*44/12</f>
        <v>3.3369042666069841</v>
      </c>
      <c r="AX82" s="21">
        <f t="shared" si="60"/>
        <v>256.22097169210929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14.6</v>
      </c>
      <c r="BD82" s="12">
        <f>IF('Données projet'!$A$88&gt;35,BD81+BC82-BL81,IF(A82&lt;'Données projet'!$A$88,$BA$205^A82,IF(A82='Données projet'!$A$88,'Données projet'!$B$88,BD81+BC82-BL81)))</f>
        <v>761.40000000000009</v>
      </c>
      <c r="BE82" s="13">
        <f>BD82*VLOOKUP('Données projet'!$B$11,Paramètres!$A$1:$I$89,3,0)*VLOOKUP('Données projet'!$B$11,Paramètres!$A$1:$I$89,5,0)</f>
        <v>336.53880000000004</v>
      </c>
      <c r="BF82" s="13">
        <f t="shared" si="91"/>
        <v>78.784415290943599</v>
      </c>
      <c r="BG82" s="20">
        <f t="shared" si="61"/>
        <v>723.35459996506006</v>
      </c>
      <c r="BH82" s="59">
        <f t="shared" si="62"/>
        <v>1011.1670246698759</v>
      </c>
      <c r="BI82" s="59">
        <f ca="1">AVERAGE(OFFSET($BH$3,0,0,'Données projet'!$E$11+1,1))-AVERAGE(OFFSET($H$3,0,0,'Données projet'!$E$11+1,1))</f>
        <v>400.11184625063709</v>
      </c>
      <c r="BJ82" s="59">
        <f t="shared" si="92"/>
        <v>340.02906159605971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57.613058134111981</v>
      </c>
      <c r="BQ82" s="21">
        <f>EXP(-LN(2)/25)*BQ81+(1-EXP(-LN(2)/25))/(LN(2)/25)*Calculateur!BL82*Calculateur!BN82*VLOOKUP('Données projet'!$B$11,Paramètres!$A$1:$I$89,3,0)*0.475*44/12</f>
        <v>22.662589042610495</v>
      </c>
      <c r="BR82" s="21">
        <f>EXP(-LN(2)/2)*BR81+(1-EXP(-LN(2)/2))/(LN(2)/2)*BL82*BO82*VLOOKUP('Données projet'!$B$11,Paramètres!$A$1:$I$89,3,0)*0.475*44/12</f>
        <v>1.3216775097497486</v>
      </c>
      <c r="BS82" s="22">
        <f t="shared" si="63"/>
        <v>81.59732468647222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9.546999999999997</v>
      </c>
      <c r="BY82" s="12">
        <f>IF('Données projet'!$A$114&gt;35,BY81+BX82-CG81,IF(A82&lt;'Données projet'!$A$114,$BV$205^A82,IF(A82='Données projet'!$A$114,'Données projet'!$B$114,BY81+BX82-CG81)))</f>
        <v>307.35500000000036</v>
      </c>
      <c r="BZ82" s="13">
        <f>BY82*VLOOKUP('Données projet'!$B$12,Paramètres!$A$1:$I$89,3,0)*VLOOKUP('Données projet'!$B$12,Paramètres!$A$1:$I$89,5,0)</f>
        <v>206.17373400000025</v>
      </c>
      <c r="CA82" s="13">
        <f t="shared" si="93"/>
        <v>51.098557582749017</v>
      </c>
      <c r="CB82" s="20">
        <f t="shared" si="64"/>
        <v>448.08257450662171</v>
      </c>
      <c r="CC82" s="59">
        <f t="shared" si="65"/>
        <v>735.89499921143749</v>
      </c>
      <c r="CD82" s="59">
        <f ca="1">AVERAGE(OFFSET($CC$3,0,0,'Données projet'!$E$12+1,1))-AVERAGE(OFFSET($H$3,0,0,'Données projet'!$E$12+1,1))</f>
        <v>493.98227954109774</v>
      </c>
      <c r="CE82" s="59">
        <f t="shared" si="94"/>
        <v>224.32736097997289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12.104420080580201</v>
      </c>
      <c r="CL82" s="21">
        <f>EXP(-LN(2)/25)*CL81+(1-EXP(-LN(2)/25))/(LN(2)/25)*Calculateur!CG82*Calculateur!CI82*VLOOKUP('Données projet'!$B$12,Paramètres!$A$1:$I$89,3,0)*0.475*44/12</f>
        <v>25.049868387115801</v>
      </c>
      <c r="CM82" s="21">
        <f>EXP(-LN(2)/2)*CM81+(1-EXP(-LN(2)/2))/(LN(2)/2)*CG82*CJ82*VLOOKUP('Données projet'!$B$12,Paramètres!$A$1:$I$89,3,0)*0.475*44/12</f>
        <v>0.61635332056218106</v>
      </c>
      <c r="CN82" s="22">
        <f t="shared" si="66"/>
        <v>37.770641788258189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9.546999999999997</v>
      </c>
      <c r="CT82" s="12">
        <f>IF('Données projet'!$A$140&gt;35,CT81+CS82-DB81,IF(A82&lt;'Données projet'!$A$140,$CQ$205^A82,IF(A82='Données projet'!$A$140,'Données projet'!$B$140,CT81+CS82-DB81)))</f>
        <v>307.35500000000036</v>
      </c>
      <c r="CU82" s="17">
        <f>CT82*VLOOKUP('Données projet'!$B$13,Paramètres!$A$1:$I$89,3,0)*VLOOKUP('Données projet'!$B$13,Paramètres!$A$1:$I$89,5,0)</f>
        <v>292.47901800000034</v>
      </c>
      <c r="CV82" s="13">
        <f t="shared" si="95"/>
        <v>69.597454515924511</v>
      </c>
      <c r="CW82" s="20">
        <f t="shared" si="67"/>
        <v>630.61652296523562</v>
      </c>
      <c r="CX82" s="59">
        <f t="shared" si="68"/>
        <v>918.42894767005146</v>
      </c>
      <c r="CY82" s="59">
        <f ca="1">AVERAGE(OFFSET($CX$3,0,0,'Données projet'!$E$13+1,1))-AVERAGE(OFFSET($H$3,0,0,'Données projet'!$E$13+1,1))</f>
        <v>677.13548994240728</v>
      </c>
      <c r="CZ82" s="59">
        <f t="shared" si="96"/>
        <v>298.72429542440534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13.931502356894192</v>
      </c>
      <c r="DG82" s="21">
        <f>EXP(-LN(2)/25)*DG81+(1-EXP(-LN(2)/25))/(LN(2)/25)*Calculateur!DB82*Calculateur!DD82*VLOOKUP('Données projet'!$B$13,Paramètres!$A$1:$I$89,3,0)*0.475*44/12</f>
        <v>28.830980596491766</v>
      </c>
      <c r="DH82" s="21">
        <f>EXP(-LN(2)/2)*DH81+(1-EXP(-LN(2)/2))/(LN(2)/2)*DB82*DE82*VLOOKUP('Données projet'!$B$13,Paramètres!$A$1:$I$89,3,0)*0.475*44/12</f>
        <v>0.87436168730914021</v>
      </c>
      <c r="DI82" s="22">
        <f t="shared" si="69"/>
        <v>43.636844640695095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68.494297646767947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1.2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4.3999999999999995</v>
      </c>
      <c r="H83" s="67">
        <f t="shared" si="56"/>
        <v>239.06666666666669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906.41030605916887</v>
      </c>
      <c r="S83" s="59">
        <f ca="1">AVERAGE(OFFSET($R$3,0,0,'Données projet'!$E$9+1,1))-AVERAGE(OFFSET($H$3,0,0,'Données projet'!$E$9+1,1))</f>
        <v>646.69588445509589</v>
      </c>
      <c r="T83" s="59">
        <f t="shared" si="88"/>
        <v>286.36346771084698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5.6843418860808015E-13</v>
      </c>
      <c r="AJ83" s="13">
        <f>AI83*VLOOKUP('Données projet'!$B$10,Paramètres!$A$1:$I$89,3,0)*VLOOKUP('Données projet'!$B$10,Paramètres!$A$1:$I$89,5,0)</f>
        <v>3.177547114319168E-13</v>
      </c>
      <c r="AK83" s="13">
        <f t="shared" si="89"/>
        <v>4.1725404435445377E-12</v>
      </c>
      <c r="AL83" s="20">
        <f t="shared" si="58"/>
        <v>7.820597394917325E-12</v>
      </c>
      <c r="AM83" s="59">
        <f t="shared" si="59"/>
        <v>287.90820012662584</v>
      </c>
      <c r="AN83" s="59">
        <f ca="1">AVERAGE(OFFSET($AM$3,0,0,'Données projet'!$E$10+1,1))-AVERAGE(OFFSET($H$3,0,0,'Données projet'!$E$10+1,1))</f>
        <v>391.55758836264408</v>
      </c>
      <c r="AO83" s="59">
        <f t="shared" si="90"/>
        <v>360.80727659978777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189.29133151421289</v>
      </c>
      <c r="AV83" s="21">
        <f>EXP(-LN(2)/25)*AV82+(1-EXP(-LN(2)/25))/(LN(2)/25)*Calculateur!AQ83*Calculateur!AS83*VLOOKUP('Données projet'!$B$10,Paramètres!$A$1:$I$89,3,0)*0.475*44/12</f>
        <v>58.171189882781761</v>
      </c>
      <c r="AW83" s="21">
        <f>EXP(-LN(2)/2)*AW82+(1-EXP(-LN(2)/2))/(LN(2)/2)*AQ83*AT83*VLOOKUP('Données projet'!$B$10,Paramètres!$A$1:$I$89,3,0)*0.475*44/12</f>
        <v>2.3595476350881217</v>
      </c>
      <c r="AX83" s="21">
        <f t="shared" si="60"/>
        <v>249.82206903208277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776</v>
      </c>
      <c r="BB83" s="12">
        <f>VLOOKUP(A83,'Données projet'!$A$87:$I$107,9,0)</f>
        <v>14.6</v>
      </c>
      <c r="BC83" s="12">
        <f t="array" ref="BC83">INDEX(BB:BB,MIN(IF(ISNUMBER(BB83:BB279),ROW(BB83:BB279),"")))</f>
        <v>14.6</v>
      </c>
      <c r="BD83" s="12">
        <f>IF('Données projet'!$A$88&gt;35,BD82+BC83-BL82,IF(A83&lt;'Données projet'!$A$88,$BA$205^A83,IF(A83='Données projet'!$A$88,'Données projet'!$B$88,BD82+BC83-BL82)))</f>
        <v>776.00000000000011</v>
      </c>
      <c r="BE83" s="13">
        <f>BD83*VLOOKUP('Données projet'!$B$11,Paramètres!$A$1:$I$89,3,0)*VLOOKUP('Données projet'!$B$11,Paramètres!$A$1:$I$89,5,0)</f>
        <v>342.99200000000008</v>
      </c>
      <c r="BF83" s="13">
        <f t="shared" si="91"/>
        <v>80.117796997208558</v>
      </c>
      <c r="BG83" s="20">
        <f t="shared" si="61"/>
        <v>736.91622977013833</v>
      </c>
      <c r="BH83" s="59">
        <f t="shared" si="62"/>
        <v>1024.8244298967563</v>
      </c>
      <c r="BI83" s="59">
        <f ca="1">AVERAGE(OFFSET($BH$3,0,0,'Données projet'!$E$11+1,1))-AVERAGE(OFFSET($H$3,0,0,'Données projet'!$E$11+1,1))</f>
        <v>400.11184625063709</v>
      </c>
      <c r="BJ83" s="59">
        <f t="shared" si="92"/>
        <v>340.02906159605971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776</v>
      </c>
      <c r="BM83" s="16">
        <f>IF(ISNA(VLOOKUP(A83,'Données projet'!$A$87:$I$107,5,0)),0%,VLOOKUP(A83,'Données projet'!$A$87:$I$107,5,0)*VLOOKUP('Données projet'!$B$11,Paramètres!$A$1:$I$89,7,0))</f>
        <v>0.33</v>
      </c>
      <c r="BN83" s="16">
        <f>IF(ISNA(VLOOKUP(A83,'Données projet'!$A$87:$I$107,6,0)),0%,VLOOKUP(A83,'Données projet'!$A$87:$I$107,6,0)*VLOOKUP('Données projet'!$B$11,Paramètres!$A$1:$I$89,7,0))</f>
        <v>0.11000000000000001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206.63362978563688</v>
      </c>
      <c r="BQ83" s="21">
        <f>EXP(-LN(2)/25)*BQ82+(1-EXP(-LN(2)/25))/(LN(2)/25)*Calculateur!BL83*Calculateur!BN83*VLOOKUP('Données projet'!$B$11,Paramètres!$A$1:$I$89,3,0)*0.475*44/12</f>
        <v>71.895922528684935</v>
      </c>
      <c r="BR83" s="21">
        <f>EXP(-LN(2)/2)*BR82+(1-EXP(-LN(2)/2))/(LN(2)/2)*BL83*BO83*VLOOKUP('Données projet'!$B$11,Paramètres!$A$1:$I$89,3,0)*0.475*44/12</f>
        <v>78.603891168325319</v>
      </c>
      <c r="BS83" s="22">
        <f t="shared" si="63"/>
        <v>357.13344348264712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9.546999999999997</v>
      </c>
      <c r="BY83" s="12">
        <f>IF('Données projet'!$A$114&gt;35,BY82+BX83-CG82,IF(A83&lt;'Données projet'!$A$114,$BV$205^A83,IF(A83='Données projet'!$A$114,'Données projet'!$B$114,BY82+BX83-CG82)))</f>
        <v>316.90200000000038</v>
      </c>
      <c r="BZ83" s="13">
        <f>BY83*VLOOKUP('Données projet'!$B$12,Paramètres!$A$1:$I$89,3,0)*VLOOKUP('Données projet'!$B$12,Paramètres!$A$1:$I$89,5,0)</f>
        <v>212.57786160000026</v>
      </c>
      <c r="CA83" s="13">
        <f t="shared" si="93"/>
        <v>52.498512681111691</v>
      </c>
      <c r="CB83" s="20">
        <f t="shared" si="64"/>
        <v>461.67468520627</v>
      </c>
      <c r="CC83" s="59">
        <f t="shared" si="65"/>
        <v>749.58288533288805</v>
      </c>
      <c r="CD83" s="59">
        <f ca="1">AVERAGE(OFFSET($CC$3,0,0,'Données projet'!$E$12+1,1))-AVERAGE(OFFSET($H$3,0,0,'Données projet'!$E$12+1,1))</f>
        <v>493.98227954109774</v>
      </c>
      <c r="CE83" s="59">
        <f t="shared" si="94"/>
        <v>224.32736097997289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11.867059785767266</v>
      </c>
      <c r="CL83" s="21">
        <f>EXP(-LN(2)/25)*CL82+(1-EXP(-LN(2)/25))/(LN(2)/25)*Calculateur!CG83*Calculateur!CI83*VLOOKUP('Données projet'!$B$12,Paramètres!$A$1:$I$89,3,0)*0.475*44/12</f>
        <v>24.364878418754792</v>
      </c>
      <c r="CM83" s="21">
        <f>EXP(-LN(2)/2)*CM82+(1-EXP(-LN(2)/2))/(LN(2)/2)*CG83*CJ83*VLOOKUP('Données projet'!$B$12,Paramètres!$A$1:$I$89,3,0)*0.475*44/12</f>
        <v>0.43582761257636415</v>
      </c>
      <c r="CN83" s="22">
        <f t="shared" si="66"/>
        <v>36.66776581709842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9.546999999999997</v>
      </c>
      <c r="CT83" s="12">
        <f>IF('Données projet'!$A$140&gt;35,CT82+CS83-DB82,IF(A83&lt;'Données projet'!$A$140,$CQ$205^A83,IF(A83='Données projet'!$A$140,'Données projet'!$B$140,CT82+CS83-DB82)))</f>
        <v>316.90200000000038</v>
      </c>
      <c r="CU83" s="17">
        <f>CT83*VLOOKUP('Données projet'!$B$13,Paramètres!$A$1:$I$89,3,0)*VLOOKUP('Données projet'!$B$13,Paramètres!$A$1:$I$89,5,0)</f>
        <v>301.56394320000038</v>
      </c>
      <c r="CV83" s="13">
        <f t="shared" si="95"/>
        <v>71.504226759443313</v>
      </c>
      <c r="CW83" s="20">
        <f t="shared" si="67"/>
        <v>649.76039601269781</v>
      </c>
      <c r="CX83" s="59">
        <f t="shared" si="68"/>
        <v>937.66859613931581</v>
      </c>
      <c r="CY83" s="59">
        <f ca="1">AVERAGE(OFFSET($CX$3,0,0,'Données projet'!$E$13+1,1))-AVERAGE(OFFSET($H$3,0,0,'Données projet'!$E$13+1,1))</f>
        <v>677.13548994240728</v>
      </c>
      <c r="CZ83" s="59">
        <f t="shared" si="96"/>
        <v>298.72429542440534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13.658314093052889</v>
      </c>
      <c r="DG83" s="21">
        <f>EXP(-LN(2)/25)*DG82+(1-EXP(-LN(2)/25))/(LN(2)/25)*Calculateur!DB83*Calculateur!DD83*VLOOKUP('Données projet'!$B$13,Paramètres!$A$1:$I$89,3,0)*0.475*44/12</f>
        <v>28.042595915925325</v>
      </c>
      <c r="DH83" s="21">
        <f>EXP(-LN(2)/2)*DH82+(1-EXP(-LN(2)/2))/(LN(2)/2)*DB83*DE83*VLOOKUP('Données projet'!$B$13,Paramètres!$A$1:$I$89,3,0)*0.475*44/12</f>
        <v>0.61826707830600469</v>
      </c>
      <c r="DI83" s="22">
        <f t="shared" si="69"/>
        <v>42.319177087284217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68.520418216350365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1.2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4.3999999999999995</v>
      </c>
      <c r="H84" s="67">
        <f t="shared" si="56"/>
        <v>239.06666666666669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924.71426114730866</v>
      </c>
      <c r="S84" s="59">
        <f ca="1">AVERAGE(OFFSET($R$3,0,0,'Données projet'!$E$9+1,1))-AVERAGE(OFFSET($H$3,0,0,'Données projet'!$E$9+1,1))</f>
        <v>646.69588445509589</v>
      </c>
      <c r="T84" s="59">
        <f t="shared" si="88"/>
        <v>286.36346771084698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5.6843418860808015E-13</v>
      </c>
      <c r="AJ84" s="13">
        <f>AI84*VLOOKUP('Données projet'!$B$10,Paramètres!$A$1:$I$89,3,0)*VLOOKUP('Données projet'!$B$10,Paramètres!$A$1:$I$89,5,0)</f>
        <v>3.177547114319168E-13</v>
      </c>
      <c r="AK84" s="13">
        <f t="shared" si="89"/>
        <v>4.1725404435445377E-12</v>
      </c>
      <c r="AL84" s="20">
        <f t="shared" si="58"/>
        <v>7.820597394917325E-12</v>
      </c>
      <c r="AM84" s="59">
        <f t="shared" si="59"/>
        <v>288.00231405898154</v>
      </c>
      <c r="AN84" s="59">
        <f ca="1">AVERAGE(OFFSET($AM$3,0,0,'Données projet'!$E$10+1,1))-AVERAGE(OFFSET($H$3,0,0,'Données projet'!$E$10+1,1))</f>
        <v>391.55758836264408</v>
      </c>
      <c r="AO84" s="59">
        <f t="shared" si="90"/>
        <v>360.80727659978777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185.57944395953103</v>
      </c>
      <c r="AV84" s="21">
        <f>EXP(-LN(2)/25)*AV83+(1-EXP(-LN(2)/25))/(LN(2)/25)*Calculateur!AQ84*Calculateur!AS84*VLOOKUP('Données projet'!$B$10,Paramètres!$A$1:$I$89,3,0)*0.475*44/12</f>
        <v>56.580495636347166</v>
      </c>
      <c r="AW84" s="21">
        <f>EXP(-LN(2)/2)*AW83+(1-EXP(-LN(2)/2))/(LN(2)/2)*AQ84*AT84*VLOOKUP('Données projet'!$B$10,Paramètres!$A$1:$I$89,3,0)*0.475*44/12</f>
        <v>1.6684521333034923</v>
      </c>
      <c r="AX84" s="21">
        <f t="shared" si="60"/>
        <v>243.8283917291817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5.0249582272954292E-14</v>
      </c>
      <c r="BF84" s="13">
        <f t="shared" si="91"/>
        <v>8.1784820119191593E-13</v>
      </c>
      <c r="BG84" s="20">
        <f t="shared" si="61"/>
        <v>1.5119369728679821E-12</v>
      </c>
      <c r="BH84" s="59">
        <f t="shared" si="62"/>
        <v>288.00231405897523</v>
      </c>
      <c r="BI84" s="59">
        <f ca="1">AVERAGE(OFFSET($BH$3,0,0,'Données projet'!$E$11+1,1))-AVERAGE(OFFSET($H$3,0,0,'Données projet'!$E$11+1,1))</f>
        <v>400.11184625063709</v>
      </c>
      <c r="BJ84" s="59">
        <f t="shared" si="92"/>
        <v>340.02906159605971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202.58167033960987</v>
      </c>
      <c r="BQ84" s="21">
        <f>EXP(-LN(2)/25)*BQ83+(1-EXP(-LN(2)/25))/(LN(2)/25)*Calculateur!BL84*Calculateur!BN84*VLOOKUP('Données projet'!$B$11,Paramètres!$A$1:$I$89,3,0)*0.475*44/12</f>
        <v>69.929924746295796</v>
      </c>
      <c r="BR84" s="21">
        <f>EXP(-LN(2)/2)*BR83+(1-EXP(-LN(2)/2))/(LN(2)/2)*BL84*BO84*VLOOKUP('Données projet'!$B$11,Paramètres!$A$1:$I$89,3,0)*0.475*44/12</f>
        <v>55.581344472772209</v>
      </c>
      <c r="BS84" s="22">
        <f t="shared" si="63"/>
        <v>328.09293955867793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9.546999999999997</v>
      </c>
      <c r="BY84" s="12">
        <f>IF('Données projet'!$A$114&gt;35,BY83+BX84-CG83,IF(A84&lt;'Données projet'!$A$114,$BV$205^A84,IF(A84='Données projet'!$A$114,'Données projet'!$B$114,BY83+BX84-CG83)))</f>
        <v>326.44900000000041</v>
      </c>
      <c r="BZ84" s="13">
        <f>BY84*VLOOKUP('Données projet'!$B$12,Paramètres!$A$1:$I$89,3,0)*VLOOKUP('Données projet'!$B$12,Paramètres!$A$1:$I$89,5,0)</f>
        <v>218.9819892000003</v>
      </c>
      <c r="CA84" s="13">
        <f t="shared" si="93"/>
        <v>53.893566412693055</v>
      </c>
      <c r="CB84" s="20">
        <f t="shared" si="64"/>
        <v>475.25825935877418</v>
      </c>
      <c r="CC84" s="59">
        <f t="shared" si="65"/>
        <v>763.26057341774788</v>
      </c>
      <c r="CD84" s="59">
        <f ca="1">AVERAGE(OFFSET($CC$3,0,0,'Données projet'!$E$12+1,1))-AVERAGE(OFFSET($H$3,0,0,'Données projet'!$E$12+1,1))</f>
        <v>493.98227954109774</v>
      </c>
      <c r="CE84" s="59">
        <f t="shared" si="94"/>
        <v>224.32736097997289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11.634353981560126</v>
      </c>
      <c r="CL84" s="21">
        <f>EXP(-LN(2)/25)*CL83+(1-EXP(-LN(2)/25))/(LN(2)/25)*Calculateur!CG84*Calculateur!CI84*VLOOKUP('Données projet'!$B$12,Paramètres!$A$1:$I$89,3,0)*0.475*44/12</f>
        <v>23.698619537100672</v>
      </c>
      <c r="CM84" s="21">
        <f>EXP(-LN(2)/2)*CM83+(1-EXP(-LN(2)/2))/(LN(2)/2)*CG84*CJ84*VLOOKUP('Données projet'!$B$12,Paramètres!$A$1:$I$89,3,0)*0.475*44/12</f>
        <v>0.30817666028109053</v>
      </c>
      <c r="CN84" s="22">
        <f t="shared" si="66"/>
        <v>35.641150178941892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9.546999999999997</v>
      </c>
      <c r="CT84" s="12">
        <f>IF('Données projet'!$A$140&gt;35,CT83+CS84-DB83,IF(A84&lt;'Données projet'!$A$140,$CQ$205^A84,IF(A84='Données projet'!$A$140,'Données projet'!$B$140,CT83+CS84-DB83)))</f>
        <v>326.44900000000041</v>
      </c>
      <c r="CU84" s="17">
        <f>CT84*VLOOKUP('Données projet'!$B$13,Paramètres!$A$1:$I$89,3,0)*VLOOKUP('Données projet'!$B$13,Paramètres!$A$1:$I$89,5,0)</f>
        <v>310.64886840000037</v>
      </c>
      <c r="CV84" s="13">
        <f t="shared" si="95"/>
        <v>73.404323224471185</v>
      </c>
      <c r="CW84" s="20">
        <f t="shared" si="67"/>
        <v>668.89264207928784</v>
      </c>
      <c r="CX84" s="59">
        <f t="shared" si="68"/>
        <v>956.89495613826148</v>
      </c>
      <c r="CY84" s="59">
        <f ca="1">AVERAGE(OFFSET($CX$3,0,0,'Données projet'!$E$13+1,1))-AVERAGE(OFFSET($H$3,0,0,'Données projet'!$E$13+1,1))</f>
        <v>677.13548994240728</v>
      </c>
      <c r="CZ84" s="59">
        <f t="shared" si="96"/>
        <v>298.72429542440534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13.390482884437125</v>
      </c>
      <c r="DG84" s="21">
        <f>EXP(-LN(2)/25)*DG83+(1-EXP(-LN(2)/25))/(LN(2)/25)*Calculateur!DB84*Calculateur!DD84*VLOOKUP('Données projet'!$B$13,Paramètres!$A$1:$I$89,3,0)*0.475*44/12</f>
        <v>27.27576965590832</v>
      </c>
      <c r="DH84" s="21">
        <f>EXP(-LN(2)/2)*DH83+(1-EXP(-LN(2)/2))/(LN(2)/2)*DB84*DE84*VLOOKUP('Données projet'!$B$13,Paramètres!$A$1:$I$89,3,0)*0.475*44/12</f>
        <v>0.43718084365457011</v>
      </c>
      <c r="DI84" s="22">
        <f t="shared" si="69"/>
        <v>41.10343338400002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68.546085652447374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1.2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4.3999999999999995</v>
      </c>
      <c r="H85" s="67">
        <f t="shared" si="56"/>
        <v>239.06666666666669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943.00582587443705</v>
      </c>
      <c r="S85" s="59">
        <f ca="1">AVERAGE(OFFSET($R$3,0,0,'Données projet'!$E$9+1,1))-AVERAGE(OFFSET($H$3,0,0,'Données projet'!$E$9+1,1))</f>
        <v>646.69588445509589</v>
      </c>
      <c r="T85" s="59">
        <f t="shared" si="88"/>
        <v>286.36346771084698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5.6843418860808015E-13</v>
      </c>
      <c r="AJ85" s="13">
        <f>AI85*VLOOKUP('Données projet'!$B$10,Paramètres!$A$1:$I$89,3,0)*VLOOKUP('Données projet'!$B$10,Paramètres!$A$1:$I$89,5,0)</f>
        <v>3.177547114319168E-13</v>
      </c>
      <c r="AK85" s="13">
        <f t="shared" si="89"/>
        <v>4.1725404435445377E-12</v>
      </c>
      <c r="AL85" s="20">
        <f t="shared" si="58"/>
        <v>7.820597394917325E-12</v>
      </c>
      <c r="AM85" s="59">
        <f t="shared" si="59"/>
        <v>288.09479532501808</v>
      </c>
      <c r="AN85" s="59">
        <f ca="1">AVERAGE(OFFSET($AM$3,0,0,'Données projet'!$E$10+1,1))-AVERAGE(OFFSET($H$3,0,0,'Données projet'!$E$10+1,1))</f>
        <v>391.55758836264408</v>
      </c>
      <c r="AO85" s="59">
        <f t="shared" si="90"/>
        <v>360.80727659978777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181.94034425576862</v>
      </c>
      <c r="AV85" s="21">
        <f>EXP(-LN(2)/25)*AV84+(1-EXP(-LN(2)/25))/(LN(2)/25)*Calculateur!AQ85*Calculateur!AS85*VLOOKUP('Données projet'!$B$10,Paramètres!$A$1:$I$89,3,0)*0.475*44/12</f>
        <v>55.033299007732303</v>
      </c>
      <c r="AW85" s="21">
        <f>EXP(-LN(2)/2)*AW84+(1-EXP(-LN(2)/2))/(LN(2)/2)*AQ85*AT85*VLOOKUP('Données projet'!$B$10,Paramètres!$A$1:$I$89,3,0)*0.475*44/12</f>
        <v>1.1797738175440611</v>
      </c>
      <c r="AX85" s="21">
        <f t="shared" si="60"/>
        <v>238.15341708104498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5.0249582272954292E-14</v>
      </c>
      <c r="BF85" s="13">
        <f t="shared" si="91"/>
        <v>8.1784820119191593E-13</v>
      </c>
      <c r="BG85" s="20">
        <f t="shared" si="61"/>
        <v>1.5119369728679821E-12</v>
      </c>
      <c r="BH85" s="59">
        <f t="shared" si="62"/>
        <v>288.09479532501177</v>
      </c>
      <c r="BI85" s="59">
        <f ca="1">AVERAGE(OFFSET($BH$3,0,0,'Données projet'!$E$11+1,1))-AVERAGE(OFFSET($H$3,0,0,'Données projet'!$E$11+1,1))</f>
        <v>400.11184625063709</v>
      </c>
      <c r="BJ85" s="59">
        <f t="shared" si="92"/>
        <v>340.02906159605971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198.60916734686825</v>
      </c>
      <c r="BQ85" s="21">
        <f>EXP(-LN(2)/25)*BQ84+(1-EXP(-LN(2)/25))/(LN(2)/25)*Calculateur!BL85*Calculateur!BN85*VLOOKUP('Données projet'!$B$11,Paramètres!$A$1:$I$89,3,0)*0.475*44/12</f>
        <v>68.017687276653419</v>
      </c>
      <c r="BR85" s="21">
        <f>EXP(-LN(2)/2)*BR84+(1-EXP(-LN(2)/2))/(LN(2)/2)*BL85*BO85*VLOOKUP('Données projet'!$B$11,Paramètres!$A$1:$I$89,3,0)*0.475*44/12</f>
        <v>39.301945584162667</v>
      </c>
      <c r="BS85" s="22">
        <f t="shared" si="63"/>
        <v>305.92880020768439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9.546999999999997</v>
      </c>
      <c r="BY85" s="12">
        <f>IF('Données projet'!$A$114&gt;35,BY84+BX85-CG84,IF(A85&lt;'Données projet'!$A$114,$BV$205^A85,IF(A85='Données projet'!$A$114,'Données projet'!$B$114,BY84+BX85-CG84)))</f>
        <v>335.99600000000044</v>
      </c>
      <c r="BZ85" s="13">
        <f>BY85*VLOOKUP('Données projet'!$B$12,Paramètres!$A$1:$I$89,3,0)*VLOOKUP('Données projet'!$B$12,Paramètres!$A$1:$I$89,5,0)</f>
        <v>225.38611680000028</v>
      </c>
      <c r="CA85" s="13">
        <f t="shared" si="93"/>
        <v>55.283878576890118</v>
      </c>
      <c r="CB85" s="20">
        <f t="shared" si="64"/>
        <v>488.83357528141732</v>
      </c>
      <c r="CC85" s="59">
        <f t="shared" si="65"/>
        <v>776.92837060642751</v>
      </c>
      <c r="CD85" s="59">
        <f ca="1">AVERAGE(OFFSET($CC$3,0,0,'Données projet'!$E$12+1,1))-AVERAGE(OFFSET($H$3,0,0,'Données projet'!$E$12+1,1))</f>
        <v>493.98227954109774</v>
      </c>
      <c r="CE85" s="59">
        <f t="shared" si="94"/>
        <v>224.32736097997289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11.406211396236964</v>
      </c>
      <c r="CL85" s="21">
        <f>EXP(-LN(2)/25)*CL84+(1-EXP(-LN(2)/25))/(LN(2)/25)*Calculateur!CG85*Calculateur!CI85*VLOOKUP('Données projet'!$B$12,Paramètres!$A$1:$I$89,3,0)*0.475*44/12</f>
        <v>23.050579539602417</v>
      </c>
      <c r="CM85" s="21">
        <f>EXP(-LN(2)/2)*CM84+(1-EXP(-LN(2)/2))/(LN(2)/2)*CG85*CJ85*VLOOKUP('Données projet'!$B$12,Paramètres!$A$1:$I$89,3,0)*0.475*44/12</f>
        <v>0.21791380628818208</v>
      </c>
      <c r="CN85" s="22">
        <f t="shared" si="66"/>
        <v>34.67470474212756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9.546999999999997</v>
      </c>
      <c r="CT85" s="12">
        <f>IF('Données projet'!$A$140&gt;35,CT84+CS85-DB84,IF(A85&lt;'Données projet'!$A$140,$CQ$205^A85,IF(A85='Données projet'!$A$140,'Données projet'!$B$140,CT84+CS85-DB84)))</f>
        <v>335.99600000000044</v>
      </c>
      <c r="CU85" s="17">
        <f>CT85*VLOOKUP('Données projet'!$B$13,Paramètres!$A$1:$I$89,3,0)*VLOOKUP('Données projet'!$B$13,Paramètres!$A$1:$I$89,5,0)</f>
        <v>319.73379360000041</v>
      </c>
      <c r="CV85" s="13">
        <f t="shared" si="95"/>
        <v>75.297961561599294</v>
      </c>
      <c r="CW85" s="20">
        <f t="shared" si="67"/>
        <v>688.01364023978613</v>
      </c>
      <c r="CX85" s="59">
        <f t="shared" si="68"/>
        <v>976.10843556479631</v>
      </c>
      <c r="CY85" s="59">
        <f ca="1">AVERAGE(OFFSET($CX$3,0,0,'Données projet'!$E$13+1,1))-AVERAGE(OFFSET($H$3,0,0,'Données projet'!$E$13+1,1))</f>
        <v>677.13548994240728</v>
      </c>
      <c r="CZ85" s="59">
        <f t="shared" si="96"/>
        <v>298.72429542440534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13.12790368246141</v>
      </c>
      <c r="DG85" s="21">
        <f>EXP(-LN(2)/25)*DG84+(1-EXP(-LN(2)/25))/(LN(2)/25)*Calculateur!DB85*Calculateur!DD85*VLOOKUP('Données projet'!$B$13,Paramètres!$A$1:$I$89,3,0)*0.475*44/12</f>
        <v>26.52991230029712</v>
      </c>
      <c r="DH85" s="21">
        <f>EXP(-LN(2)/2)*DH84+(1-EXP(-LN(2)/2))/(LN(2)/2)*DB85*DE85*VLOOKUP('Données projet'!$B$13,Paramètres!$A$1:$I$89,3,0)*0.475*44/12</f>
        <v>0.30913353915300235</v>
      </c>
      <c r="DI85" s="22">
        <f t="shared" si="69"/>
        <v>39.96694952191153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68.571307815911879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1.2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4.3999999999999995</v>
      </c>
      <c r="H86" s="67">
        <f t="shared" si="56"/>
        <v>239.06666666666669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961.2853693422494</v>
      </c>
      <c r="S86" s="59">
        <f ca="1">AVERAGE(OFFSET($R$3,0,0,'Données projet'!$E$9+1,1))-AVERAGE(OFFSET($H$3,0,0,'Données projet'!$E$9+1,1))</f>
        <v>646.69588445509589</v>
      </c>
      <c r="T86" s="59">
        <f t="shared" si="88"/>
        <v>286.36346771084698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5.6843418860808015E-13</v>
      </c>
      <c r="AJ86" s="13">
        <f>AI86*VLOOKUP('Données projet'!$B$10,Paramètres!$A$1:$I$89,3,0)*VLOOKUP('Données projet'!$B$10,Paramètres!$A$1:$I$89,5,0)</f>
        <v>3.177547114319168E-13</v>
      </c>
      <c r="AK86" s="13">
        <f t="shared" si="89"/>
        <v>4.1725404435445377E-12</v>
      </c>
      <c r="AL86" s="20">
        <f t="shared" si="58"/>
        <v>7.820597394917325E-12</v>
      </c>
      <c r="AM86" s="59">
        <f t="shared" si="59"/>
        <v>288.18567224784607</v>
      </c>
      <c r="AN86" s="59">
        <f ca="1">AVERAGE(OFFSET($AM$3,0,0,'Données projet'!$E$10+1,1))-AVERAGE(OFFSET($H$3,0,0,'Données projet'!$E$10+1,1))</f>
        <v>391.55758836264408</v>
      </c>
      <c r="AO86" s="59">
        <f t="shared" si="90"/>
        <v>360.80727659978777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178.37260507756537</v>
      </c>
      <c r="AV86" s="21">
        <f>EXP(-LN(2)/25)*AV85+(1-EXP(-LN(2)/25))/(LN(2)/25)*Calculateur!AQ86*Calculateur!AS86*VLOOKUP('Données projet'!$B$10,Paramètres!$A$1:$I$89,3,0)*0.475*44/12</f>
        <v>53.528410552290445</v>
      </c>
      <c r="AW86" s="21">
        <f>EXP(-LN(2)/2)*AW85+(1-EXP(-LN(2)/2))/(LN(2)/2)*AQ86*AT86*VLOOKUP('Données projet'!$B$10,Paramètres!$A$1:$I$89,3,0)*0.475*44/12</f>
        <v>0.83422606665174626</v>
      </c>
      <c r="AX86" s="21">
        <f t="shared" si="60"/>
        <v>232.73524169650756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5.0249582272954292E-14</v>
      </c>
      <c r="BF86" s="13">
        <f t="shared" si="91"/>
        <v>8.1784820119191593E-13</v>
      </c>
      <c r="BG86" s="20">
        <f t="shared" si="61"/>
        <v>1.5119369728679821E-12</v>
      </c>
      <c r="BH86" s="59">
        <f t="shared" si="62"/>
        <v>288.18567224783976</v>
      </c>
      <c r="BI86" s="59">
        <f ca="1">AVERAGE(OFFSET($BH$3,0,0,'Données projet'!$E$11+1,1))-AVERAGE(OFFSET($H$3,0,0,'Données projet'!$E$11+1,1))</f>
        <v>400.11184625063709</v>
      </c>
      <c r="BJ86" s="59">
        <f t="shared" si="92"/>
        <v>340.02906159605971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194.71456271482668</v>
      </c>
      <c r="BQ86" s="21">
        <f>EXP(-LN(2)/25)*BQ85+(1-EXP(-LN(2)/25))/(LN(2)/25)*Calculateur!BL86*Calculateur!BN86*VLOOKUP('Données projet'!$B$11,Paramètres!$A$1:$I$89,3,0)*0.475*44/12</f>
        <v>66.157740041178613</v>
      </c>
      <c r="BR86" s="21">
        <f>EXP(-LN(2)/2)*BR85+(1-EXP(-LN(2)/2))/(LN(2)/2)*BL86*BO86*VLOOKUP('Données projet'!$B$11,Paramètres!$A$1:$I$89,3,0)*0.475*44/12</f>
        <v>27.790672236386111</v>
      </c>
      <c r="BS86" s="22">
        <f t="shared" si="63"/>
        <v>288.66297499239141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9.546999999999997</v>
      </c>
      <c r="BY86" s="12">
        <f>IF('Données projet'!$A$114&gt;35,BY85+BX86-CG85,IF(A86&lt;'Données projet'!$A$114,$BV$205^A86,IF(A86='Données projet'!$A$114,'Données projet'!$B$114,BY85+BX86-CG85)))</f>
        <v>345.54300000000046</v>
      </c>
      <c r="BZ86" s="13">
        <f>BY86*VLOOKUP('Données projet'!$B$12,Paramètres!$A$1:$I$89,3,0)*VLOOKUP('Données projet'!$B$12,Paramètres!$A$1:$I$89,5,0)</f>
        <v>231.79024440000029</v>
      </c>
      <c r="CA86" s="13">
        <f t="shared" si="93"/>
        <v>56.669599375458397</v>
      </c>
      <c r="CB86" s="20">
        <f t="shared" si="64"/>
        <v>502.4008945755906</v>
      </c>
      <c r="CC86" s="59">
        <f t="shared" si="65"/>
        <v>790.58656682342883</v>
      </c>
      <c r="CD86" s="59">
        <f ca="1">AVERAGE(OFFSET($CC$3,0,0,'Données projet'!$E$12+1,1))-AVERAGE(OFFSET($H$3,0,0,'Données projet'!$E$12+1,1))</f>
        <v>493.98227954109774</v>
      </c>
      <c r="CE86" s="59">
        <f t="shared" si="94"/>
        <v>224.32736097997289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11.182542547858752</v>
      </c>
      <c r="CL86" s="21">
        <f>EXP(-LN(2)/25)*CL85+(1-EXP(-LN(2)/25))/(LN(2)/25)*Calculateur!CG86*Calculateur!CI86*VLOOKUP('Données projet'!$B$12,Paramètres!$A$1:$I$89,3,0)*0.475*44/12</f>
        <v>22.420260229914692</v>
      </c>
      <c r="CM86" s="21">
        <f>EXP(-LN(2)/2)*CM85+(1-EXP(-LN(2)/2))/(LN(2)/2)*CG86*CJ86*VLOOKUP('Données projet'!$B$12,Paramètres!$A$1:$I$89,3,0)*0.475*44/12</f>
        <v>0.15408833014054527</v>
      </c>
      <c r="CN86" s="22">
        <f t="shared" si="66"/>
        <v>33.756891107913994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9.546999999999997</v>
      </c>
      <c r="CT86" s="12">
        <f>IF('Données projet'!$A$140&gt;35,CT85+CS86-DB85,IF(A86&lt;'Données projet'!$A$140,$CQ$205^A86,IF(A86='Données projet'!$A$140,'Données projet'!$B$140,CT85+CS86-DB85)))</f>
        <v>345.54300000000046</v>
      </c>
      <c r="CU86" s="17">
        <f>CT86*VLOOKUP('Données projet'!$B$13,Paramètres!$A$1:$I$89,3,0)*VLOOKUP('Données projet'!$B$13,Paramètres!$A$1:$I$89,5,0)</f>
        <v>328.81871880000045</v>
      </c>
      <c r="CV86" s="13">
        <f t="shared" si="95"/>
        <v>77.185346349202092</v>
      </c>
      <c r="CW86" s="20">
        <f t="shared" si="67"/>
        <v>707.12374680152777</v>
      </c>
      <c r="CX86" s="59">
        <f t="shared" si="68"/>
        <v>995.30941904936594</v>
      </c>
      <c r="CY86" s="59">
        <f ca="1">AVERAGE(OFFSET($CX$3,0,0,'Données projet'!$E$13+1,1))-AVERAGE(OFFSET($H$3,0,0,'Données projet'!$E$13+1,1))</f>
        <v>677.13548994240728</v>
      </c>
      <c r="CZ86" s="59">
        <f t="shared" si="96"/>
        <v>298.72429542440534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12.87047349847894</v>
      </c>
      <c r="DG86" s="21">
        <f>EXP(-LN(2)/25)*DG85+(1-EXP(-LN(2)/25))/(LN(2)/25)*Calculateur!DB86*Calculateur!DD86*VLOOKUP('Données projet'!$B$13,Paramètres!$A$1:$I$89,3,0)*0.475*44/12</f>
        <v>25.804450453298042</v>
      </c>
      <c r="DH86" s="21">
        <f>EXP(-LN(2)/2)*DH85+(1-EXP(-LN(2)/2))/(LN(2)/2)*DB86*DE86*VLOOKUP('Données projet'!$B$13,Paramètres!$A$1:$I$89,3,0)*0.475*44/12</f>
        <v>0.21859042182728505</v>
      </c>
      <c r="DI86" s="22">
        <f t="shared" si="69"/>
        <v>38.893514373604269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68.596092431228598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1.2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4.3999999999999995</v>
      </c>
      <c r="H87" s="67">
        <f t="shared" si="56"/>
        <v>239.06666666666669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979.55324025877667</v>
      </c>
      <c r="S87" s="59">
        <f ca="1">AVERAGE(OFFSET($R$3,0,0,'Données projet'!$E$9+1,1))-AVERAGE(OFFSET($H$3,0,0,'Données projet'!$E$9+1,1))</f>
        <v>646.69588445509589</v>
      </c>
      <c r="T87" s="59">
        <f t="shared" si="88"/>
        <v>286.36346771084698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5.6843418860808015E-13</v>
      </c>
      <c r="AJ87" s="13">
        <f>AI87*VLOOKUP('Données projet'!$B$10,Paramètres!$A$1:$I$89,3,0)*VLOOKUP('Données projet'!$B$10,Paramètres!$A$1:$I$89,5,0)</f>
        <v>3.177547114319168E-13</v>
      </c>
      <c r="AK87" s="13">
        <f t="shared" si="89"/>
        <v>4.1725404435445377E-12</v>
      </c>
      <c r="AL87" s="20">
        <f t="shared" si="58"/>
        <v>7.820597394917325E-12</v>
      </c>
      <c r="AM87" s="59">
        <f t="shared" si="59"/>
        <v>288.27497265923324</v>
      </c>
      <c r="AN87" s="59">
        <f ca="1">AVERAGE(OFFSET($AM$3,0,0,'Données projet'!$E$10+1,1))-AVERAGE(OFFSET($H$3,0,0,'Données projet'!$E$10+1,1))</f>
        <v>391.55758836264408</v>
      </c>
      <c r="AO87" s="59">
        <f t="shared" si="90"/>
        <v>360.80727659978777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174.87482708854066</v>
      </c>
      <c r="AV87" s="21">
        <f>EXP(-LN(2)/25)*AV86+(1-EXP(-LN(2)/25))/(LN(2)/25)*Calculateur!AQ87*Calculateur!AS87*VLOOKUP('Données projet'!$B$10,Paramètres!$A$1:$I$89,3,0)*0.475*44/12</f>
        <v>52.064673350801293</v>
      </c>
      <c r="AW87" s="21">
        <f>EXP(-LN(2)/2)*AW86+(1-EXP(-LN(2)/2))/(LN(2)/2)*AQ87*AT87*VLOOKUP('Données projet'!$B$10,Paramètres!$A$1:$I$89,3,0)*0.475*44/12</f>
        <v>0.58988690877203054</v>
      </c>
      <c r="AX87" s="21">
        <f t="shared" si="60"/>
        <v>227.52938734811397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5.0249582272954292E-14</v>
      </c>
      <c r="BF87" s="13">
        <f t="shared" si="91"/>
        <v>8.1784820119191593E-13</v>
      </c>
      <c r="BG87" s="20">
        <f t="shared" si="61"/>
        <v>1.5119369728679821E-12</v>
      </c>
      <c r="BH87" s="59">
        <f t="shared" si="62"/>
        <v>288.27497265922693</v>
      </c>
      <c r="BI87" s="59">
        <f ca="1">AVERAGE(OFFSET($BH$3,0,0,'Données projet'!$E$11+1,1))-AVERAGE(OFFSET($H$3,0,0,'Données projet'!$E$11+1,1))</f>
        <v>400.11184625063709</v>
      </c>
      <c r="BJ87" s="59">
        <f t="shared" si="92"/>
        <v>340.02906159605971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190.89632890414521</v>
      </c>
      <c r="BQ87" s="21">
        <f>EXP(-LN(2)/25)*BQ86+(1-EXP(-LN(2)/25))/(LN(2)/25)*Calculateur!BL87*Calculateur!BN87*VLOOKUP('Données projet'!$B$11,Paramètres!$A$1:$I$89,3,0)*0.475*44/12</f>
        <v>64.348653160668235</v>
      </c>
      <c r="BR87" s="21">
        <f>EXP(-LN(2)/2)*BR86+(1-EXP(-LN(2)/2))/(LN(2)/2)*BL87*BO87*VLOOKUP('Données projet'!$B$11,Paramètres!$A$1:$I$89,3,0)*0.475*44/12</f>
        <v>19.650972792081337</v>
      </c>
      <c r="BS87" s="22">
        <f t="shared" si="63"/>
        <v>274.89595485689478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9.546999999999997</v>
      </c>
      <c r="BX87" s="12">
        <f t="array" ref="BX87">INDEX(BW:BW,MIN(IF(ISNUMBER(BW87:BW283),ROW(BW87:BW283),"")))</f>
        <v>9.546999999999997</v>
      </c>
      <c r="BY87" s="12">
        <f>IF('Données projet'!$A$114&gt;35,BY86+BX87-CG86,IF(A87&lt;'Données projet'!$A$114,$BV$205^A87,IF(A87='Données projet'!$A$114,'Données projet'!$B$114,BY86+BX87-CG86)))</f>
        <v>355.09000000000049</v>
      </c>
      <c r="BZ87" s="13">
        <f>BY87*VLOOKUP('Données projet'!$B$12,Paramètres!$A$1:$I$89,3,0)*VLOOKUP('Données projet'!$B$12,Paramètres!$A$1:$I$89,5,0)</f>
        <v>238.19437200000033</v>
      </c>
      <c r="CA87" s="13">
        <f t="shared" si="93"/>
        <v>58.050870237994474</v>
      </c>
      <c r="CB87" s="20">
        <f t="shared" si="64"/>
        <v>515.96046356450768</v>
      </c>
      <c r="CC87" s="59">
        <f t="shared" si="65"/>
        <v>804.23543622373313</v>
      </c>
      <c r="CD87" s="59">
        <f ca="1">AVERAGE(OFFSET($CC$3,0,0,'Données projet'!$E$12+1,1))-AVERAGE(OFFSET($H$3,0,0,'Données projet'!$E$12+1,1))</f>
        <v>493.98227954109774</v>
      </c>
      <c r="CE87" s="59">
        <f t="shared" si="94"/>
        <v>224.32736097997289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66.69</v>
      </c>
      <c r="CH87" s="16">
        <f>IF(ISNA(VLOOKUP(A87,'Données projet'!$A$113:$I$133,5,0)),0%,VLOOKUP(A87,'Données projet'!$A$113:$I$133,5,0)*VLOOKUP('Données projet'!$B$12,Paramètres!$A$1:$I$89,7,0))</f>
        <v>0.1855</v>
      </c>
      <c r="CI87" s="16">
        <f>IF(ISNA(VLOOKUP(A87,'Données projet'!$A$113:$I$133,6,0)),0%,VLOOKUP(A87,'Données projet'!$A$113:$I$133,6,0)*VLOOKUP('Données projet'!$B$12,Paramètres!$A$1:$I$89,7,0))</f>
        <v>0.10600000000000001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20.136965244362642</v>
      </c>
      <c r="CL87" s="21">
        <f>EXP(-LN(2)/25)*CL86+(1-EXP(-LN(2)/25))/(LN(2)/25)*Calculateur!CG87*Calculateur!CI87*VLOOKUP('Données projet'!$B$12,Paramètres!$A$1:$I$89,3,0)*0.475*44/12</f>
        <v>27.028654269778599</v>
      </c>
      <c r="CM87" s="21">
        <f>EXP(-LN(2)/2)*CM86+(1-EXP(-LN(2)/2))/(LN(2)/2)*CG87*CJ87*VLOOKUP('Données projet'!$B$12,Paramètres!$A$1:$I$89,3,0)*0.475*44/12</f>
        <v>4.3298860735861275</v>
      </c>
      <c r="CN87" s="22">
        <f t="shared" si="66"/>
        <v>51.495505587727365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9.546999999999997</v>
      </c>
      <c r="CS87" s="12">
        <f t="array" ref="CS87">INDEX(CR:CR,MIN(IF(ISNUMBER(CR87:CR283),ROW(CR87:CR283),"")))</f>
        <v>9.546999999999997</v>
      </c>
      <c r="CT87" s="12">
        <f>IF('Données projet'!$A$140&gt;35,CT86+CS87-DB86,IF(A87&lt;'Données projet'!$A$140,$CQ$205^A87,IF(A87='Données projet'!$A$140,'Données projet'!$B$140,CT86+CS87-DB86)))</f>
        <v>355.09000000000049</v>
      </c>
      <c r="CU87" s="17">
        <f>CT87*VLOOKUP('Données projet'!$B$13,Paramètres!$A$1:$I$89,3,0)*VLOOKUP('Données projet'!$B$13,Paramètres!$A$1:$I$89,5,0)</f>
        <v>337.9036440000005</v>
      </c>
      <c r="CV87" s="13">
        <f t="shared" si="95"/>
        <v>79.066670217764312</v>
      </c>
      <c r="CW87" s="20">
        <f t="shared" si="67"/>
        <v>726.22329726260705</v>
      </c>
      <c r="CX87" s="59">
        <f t="shared" si="68"/>
        <v>1014.4982699218324</v>
      </c>
      <c r="CY87" s="59">
        <f ca="1">AVERAGE(OFFSET($CX$3,0,0,'Données projet'!$E$13+1,1))-AVERAGE(OFFSET($H$3,0,0,'Données projet'!$E$13+1,1))</f>
        <v>677.13548994240728</v>
      </c>
      <c r="CZ87" s="59">
        <f t="shared" si="96"/>
        <v>298.72429542440534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66.69</v>
      </c>
      <c r="DC87" s="16">
        <f>IF(ISNA(VLOOKUP(A87,'Données projet'!$A$139:$I$159,5,0)),0%,VLOOKUP(A87,'Données projet'!$A$139:$I$159,5,0)*VLOOKUP('Données projet'!$B$13,Paramètres!$A$1:$I$89,7,0))</f>
        <v>0.15049999999999999</v>
      </c>
      <c r="DD87" s="16">
        <f>IF(ISNA(VLOOKUP(A87,'Données projet'!$A$139:$I$159,6,0)),0%,VLOOKUP(A87,'Données projet'!$A$139:$I$159,6,0)*VLOOKUP('Données projet'!$B$13,Paramètres!$A$1:$I$89,7,0))</f>
        <v>8.6000000000000007E-2</v>
      </c>
      <c r="DE87" s="16">
        <f>IF(ISNA(VLOOKUP(A87,'Données projet'!$A$139:$I$159,7,0)),0%,VLOOKUP(A87,'Données projet'!$A$139:$I$159,7,0))</f>
        <v>0.1</v>
      </c>
      <c r="DF87" s="21">
        <f>EXP(-LN(2)/35)*DF86+(1-EXP(-LN(2)/35))/(LN(2)/35)*DB87*DC87*VLOOKUP('Données projet'!$B$13,Paramètres!$A$1:$I$89,3,0)*0.475*44/12</f>
        <v>23.176507168040022</v>
      </c>
      <c r="DG87" s="21">
        <f>EXP(-LN(2)/25)*DG86+(1-EXP(-LN(2)/25))/(LN(2)/25)*Calculateur!DB87*Calculateur!DD87*VLOOKUP('Données projet'!$B$13,Paramètres!$A$1:$I$89,3,0)*0.475*44/12</f>
        <v>31.108451140688576</v>
      </c>
      <c r="DH87" s="21">
        <f>EXP(-LN(2)/2)*DH86+(1-EXP(-LN(2)/2))/(LN(2)/2)*DB87*DE87*VLOOKUP('Données projet'!$B$13,Paramètres!$A$1:$I$89,3,0)*0.475*44/12</f>
        <v>6.1423965229942743</v>
      </c>
      <c r="DI87" s="22">
        <f t="shared" si="69"/>
        <v>60.427354831722873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68.620447088879658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1.2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4.3999999999999995</v>
      </c>
      <c r="H88" s="67">
        <f t="shared" si="56"/>
        <v>239.06666666666669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869.96245844380746</v>
      </c>
      <c r="S88" s="59">
        <f ca="1">AVERAGE(OFFSET($R$3,0,0,'Données projet'!$E$9+1,1))-AVERAGE(OFFSET($H$3,0,0,'Données projet'!$E$9+1,1))</f>
        <v>646.69588445509589</v>
      </c>
      <c r="T88" s="59">
        <f t="shared" si="88"/>
        <v>286.36346771084698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5.6843418860808015E-13</v>
      </c>
      <c r="AJ88" s="13">
        <f>AI88*VLOOKUP('Données projet'!$B$10,Paramètres!$A$1:$I$89,3,0)*VLOOKUP('Données projet'!$B$10,Paramètres!$A$1:$I$89,5,0)</f>
        <v>3.177547114319168E-13</v>
      </c>
      <c r="AK88" s="13">
        <f t="shared" si="89"/>
        <v>4.1725404435445377E-12</v>
      </c>
      <c r="AL88" s="20">
        <f t="shared" si="58"/>
        <v>7.820597394917325E-12</v>
      </c>
      <c r="AM88" s="59">
        <f t="shared" si="59"/>
        <v>288.36272390812877</v>
      </c>
      <c r="AN88" s="59">
        <f ca="1">AVERAGE(OFFSET($AM$3,0,0,'Données projet'!$E$10+1,1))-AVERAGE(OFFSET($H$3,0,0,'Données projet'!$E$10+1,1))</f>
        <v>391.55758836264408</v>
      </c>
      <c r="AO88" s="59">
        <f t="shared" si="90"/>
        <v>360.80727659978777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171.4456383924468</v>
      </c>
      <c r="AV88" s="21">
        <f>EXP(-LN(2)/25)*AV87+(1-EXP(-LN(2)/25))/(LN(2)/25)*Calculateur!AQ88*Calculateur!AS88*VLOOKUP('Données projet'!$B$10,Paramètres!$A$1:$I$89,3,0)*0.475*44/12</f>
        <v>50.640962120061452</v>
      </c>
      <c r="AW88" s="21">
        <f>EXP(-LN(2)/2)*AW87+(1-EXP(-LN(2)/2))/(LN(2)/2)*AQ88*AT88*VLOOKUP('Données projet'!$B$10,Paramètres!$A$1:$I$89,3,0)*0.475*44/12</f>
        <v>0.41711303332587313</v>
      </c>
      <c r="AX88" s="21">
        <f t="shared" si="60"/>
        <v>222.50371354583413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5.0249582272954292E-14</v>
      </c>
      <c r="BF88" s="13">
        <f t="shared" si="91"/>
        <v>8.1784820119191593E-13</v>
      </c>
      <c r="BG88" s="20">
        <f t="shared" si="61"/>
        <v>1.5119369728679821E-12</v>
      </c>
      <c r="BH88" s="59">
        <f t="shared" si="62"/>
        <v>288.36272390812246</v>
      </c>
      <c r="BI88" s="59">
        <f ca="1">AVERAGE(OFFSET($BH$3,0,0,'Données projet'!$E$11+1,1))-AVERAGE(OFFSET($H$3,0,0,'Données projet'!$E$11+1,1))</f>
        <v>400.11184625063709</v>
      </c>
      <c r="BJ88" s="59">
        <f t="shared" si="92"/>
        <v>340.02906159605971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187.15296832959854</v>
      </c>
      <c r="BQ88" s="21">
        <f>EXP(-LN(2)/25)*BQ87+(1-EXP(-LN(2)/25))/(LN(2)/25)*Calculateur!BL88*Calculateur!BN88*VLOOKUP('Données projet'!$B$11,Paramètres!$A$1:$I$89,3,0)*0.475*44/12</f>
        <v>62.589035856041164</v>
      </c>
      <c r="BR88" s="21">
        <f>EXP(-LN(2)/2)*BR87+(1-EXP(-LN(2)/2))/(LN(2)/2)*BL88*BO88*VLOOKUP('Données projet'!$B$11,Paramètres!$A$1:$I$89,3,0)*0.475*44/12</f>
        <v>13.895336118193057</v>
      </c>
      <c r="BS88" s="22">
        <f t="shared" si="63"/>
        <v>263.63734030383273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9.1730000000000018</v>
      </c>
      <c r="BY88" s="12">
        <f>IF('Données projet'!$A$114&gt;35,BY87+BX88-CG87,IF(A88&lt;'Données projet'!$A$114,$BV$205^A88,IF(A88='Données projet'!$A$114,'Données projet'!$B$114,BY87+BX88-CG87)))</f>
        <v>297.57300000000049</v>
      </c>
      <c r="BZ88" s="13">
        <f>BY88*VLOOKUP('Données projet'!$B$12,Paramètres!$A$1:$I$89,3,0)*VLOOKUP('Données projet'!$B$12,Paramètres!$A$1:$I$89,5,0)</f>
        <v>199.61196840000034</v>
      </c>
      <c r="CA88" s="13">
        <f t="shared" si="93"/>
        <v>49.658880487984469</v>
      </c>
      <c r="CB88" s="20">
        <f t="shared" si="64"/>
        <v>434.14672847990687</v>
      </c>
      <c r="CC88" s="59">
        <f t="shared" si="65"/>
        <v>722.50945238802774</v>
      </c>
      <c r="CD88" s="59">
        <f ca="1">AVERAGE(OFFSET($CC$3,0,0,'Données projet'!$E$12+1,1))-AVERAGE(OFFSET($H$3,0,0,'Données projet'!$E$12+1,1))</f>
        <v>493.98227954109774</v>
      </c>
      <c r="CE88" s="59">
        <f t="shared" si="94"/>
        <v>224.32736097997289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19.74209163825671</v>
      </c>
      <c r="CL88" s="21">
        <f>EXP(-LN(2)/25)*CL87+(1-EXP(-LN(2)/25))/(LN(2)/25)*Calculateur!CG88*Calculateur!CI88*VLOOKUP('Données projet'!$B$12,Paramètres!$A$1:$I$89,3,0)*0.475*44/12</f>
        <v>26.28955429739635</v>
      </c>
      <c r="CM88" s="21">
        <f>EXP(-LN(2)/2)*CM87+(1-EXP(-LN(2)/2))/(LN(2)/2)*CG88*CJ88*VLOOKUP('Données projet'!$B$12,Paramètres!$A$1:$I$89,3,0)*0.475*44/12</f>
        <v>3.0616918043979453</v>
      </c>
      <c r="CN88" s="22">
        <f t="shared" si="66"/>
        <v>49.093337740051005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9.1730000000000018</v>
      </c>
      <c r="CT88" s="12">
        <f>IF('Données projet'!$A$140&gt;35,CT87+CS88-DB87,IF(A88&lt;'Données projet'!$A$140,$CQ$205^A88,IF(A88='Données projet'!$A$140,'Données projet'!$B$140,CT87+CS88-DB87)))</f>
        <v>297.57300000000049</v>
      </c>
      <c r="CU88" s="17">
        <f>CT88*VLOOKUP('Données projet'!$B$13,Paramètres!$A$1:$I$89,3,0)*VLOOKUP('Données projet'!$B$13,Paramètres!$A$1:$I$89,5,0)</f>
        <v>283.17046680000044</v>
      </c>
      <c r="CV88" s="13">
        <f t="shared" si="95"/>
        <v>67.63657996563542</v>
      </c>
      <c r="CW88" s="20">
        <f t="shared" si="67"/>
        <v>610.98893978348235</v>
      </c>
      <c r="CX88" s="59">
        <f t="shared" si="68"/>
        <v>899.35166369160333</v>
      </c>
      <c r="CY88" s="59">
        <f ca="1">AVERAGE(OFFSET($CX$3,0,0,'Données projet'!$E$13+1,1))-AVERAGE(OFFSET($H$3,0,0,'Données projet'!$E$13+1,1))</f>
        <v>677.13548994240728</v>
      </c>
      <c r="CZ88" s="59">
        <f t="shared" si="96"/>
        <v>298.72429542440534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22.722029998748287</v>
      </c>
      <c r="DG88" s="21">
        <f>EXP(-LN(2)/25)*DG87+(1-EXP(-LN(2)/25))/(LN(2)/25)*Calculateur!DB88*Calculateur!DD88*VLOOKUP('Données projet'!$B$13,Paramètres!$A$1:$I$89,3,0)*0.475*44/12</f>
        <v>30.257788908324102</v>
      </c>
      <c r="DH88" s="21">
        <f>EXP(-LN(2)/2)*DH87+(1-EXP(-LN(2)/2))/(LN(2)/2)*DB88*DE88*VLOOKUP('Données projet'!$B$13,Paramètres!$A$1:$I$89,3,0)*0.475*44/12</f>
        <v>4.343330234145923</v>
      </c>
      <c r="DI88" s="22">
        <f t="shared" si="69"/>
        <v>57.323149141218309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68.644379247669335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1.2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4.3999999999999995</v>
      </c>
      <c r="H89" s="67">
        <f t="shared" si="56"/>
        <v>239.06666666666669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887.56740205802646</v>
      </c>
      <c r="S89" s="59">
        <f ca="1">AVERAGE(OFFSET($R$3,0,0,'Données projet'!$E$9+1,1))-AVERAGE(OFFSET($H$3,0,0,'Données projet'!$E$9+1,1))</f>
        <v>646.69588445509589</v>
      </c>
      <c r="T89" s="59">
        <f t="shared" si="88"/>
        <v>286.36346771084698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5.6843418860808015E-13</v>
      </c>
      <c r="AJ89" s="13">
        <f>AI89*VLOOKUP('Données projet'!$B$10,Paramètres!$A$1:$I$89,3,0)*VLOOKUP('Données projet'!$B$10,Paramètres!$A$1:$I$89,5,0)</f>
        <v>3.177547114319168E-13</v>
      </c>
      <c r="AK89" s="13">
        <f t="shared" si="89"/>
        <v>4.1725404435445377E-12</v>
      </c>
      <c r="AL89" s="20">
        <f t="shared" si="58"/>
        <v>7.820597394917325E-12</v>
      </c>
      <c r="AM89" s="59">
        <f t="shared" si="59"/>
        <v>288.44895286903829</v>
      </c>
      <c r="AN89" s="59">
        <f ca="1">AVERAGE(OFFSET($AM$3,0,0,'Données projet'!$E$10+1,1))-AVERAGE(OFFSET($H$3,0,0,'Données projet'!$E$10+1,1))</f>
        <v>391.55758836264408</v>
      </c>
      <c r="AO89" s="59">
        <f t="shared" si="90"/>
        <v>360.80727659978777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168.08369399508476</v>
      </c>
      <c r="AV89" s="21">
        <f>EXP(-LN(2)/25)*AV88+(1-EXP(-LN(2)/25))/(LN(2)/25)*Calculateur!AQ89*Calculateur!AS89*VLOOKUP('Données projet'!$B$10,Paramètres!$A$1:$I$89,3,0)*0.475*44/12</f>
        <v>49.256182347795914</v>
      </c>
      <c r="AW89" s="21">
        <f>EXP(-LN(2)/2)*AW88+(1-EXP(-LN(2)/2))/(LN(2)/2)*AQ89*AT89*VLOOKUP('Données projet'!$B$10,Paramètres!$A$1:$I$89,3,0)*0.475*44/12</f>
        <v>0.29494345438601527</v>
      </c>
      <c r="AX89" s="21">
        <f t="shared" si="60"/>
        <v>217.63481979726669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5.0249582272954292E-14</v>
      </c>
      <c r="BF89" s="13">
        <f t="shared" si="91"/>
        <v>8.1784820119191593E-13</v>
      </c>
      <c r="BG89" s="20">
        <f t="shared" si="61"/>
        <v>1.5119369728679821E-12</v>
      </c>
      <c r="BH89" s="59">
        <f t="shared" si="62"/>
        <v>288.44895286903198</v>
      </c>
      <c r="BI89" s="59">
        <f ca="1">AVERAGE(OFFSET($BH$3,0,0,'Données projet'!$E$11+1,1))-AVERAGE(OFFSET($H$3,0,0,'Données projet'!$E$11+1,1))</f>
        <v>400.11184625063709</v>
      </c>
      <c r="BJ89" s="59">
        <f t="shared" si="92"/>
        <v>340.02906159605971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183.48301277269422</v>
      </c>
      <c r="BQ89" s="21">
        <f>EXP(-LN(2)/25)*BQ88+(1-EXP(-LN(2)/25))/(LN(2)/25)*Calculateur!BL89*Calculateur!BN89*VLOOKUP('Données projet'!$B$11,Paramètres!$A$1:$I$89,3,0)*0.475*44/12</f>
        <v>60.877535379143374</v>
      </c>
      <c r="BR89" s="21">
        <f>EXP(-LN(2)/2)*BR88+(1-EXP(-LN(2)/2))/(LN(2)/2)*BL89*BO89*VLOOKUP('Données projet'!$B$11,Paramètres!$A$1:$I$89,3,0)*0.475*44/12</f>
        <v>9.8254863960406702</v>
      </c>
      <c r="BS89" s="22">
        <f t="shared" si="63"/>
        <v>254.18603454787828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9.1730000000000018</v>
      </c>
      <c r="BY89" s="12">
        <f>IF('Données projet'!$A$114&gt;35,BY88+BX89-CG88,IF(A89&lt;'Données projet'!$A$114,$BV$205^A89,IF(A89='Données projet'!$A$114,'Données projet'!$B$114,BY88+BX89-CG88)))</f>
        <v>306.74600000000049</v>
      </c>
      <c r="BZ89" s="13">
        <f>BY89*VLOOKUP('Données projet'!$B$12,Paramètres!$A$1:$I$89,3,0)*VLOOKUP('Données projet'!$B$12,Paramètres!$A$1:$I$89,5,0)</f>
        <v>205.7652168000003</v>
      </c>
      <c r="CA89" s="13">
        <f t="shared" si="93"/>
        <v>51.009084690844652</v>
      </c>
      <c r="CB89" s="20">
        <f t="shared" si="64"/>
        <v>447.21524176322163</v>
      </c>
      <c r="CC89" s="59">
        <f t="shared" si="65"/>
        <v>735.66419463225202</v>
      </c>
      <c r="CD89" s="59">
        <f ca="1">AVERAGE(OFFSET($CC$3,0,0,'Données projet'!$E$12+1,1))-AVERAGE(OFFSET($H$3,0,0,'Données projet'!$E$12+1,1))</f>
        <v>493.98227954109774</v>
      </c>
      <c r="CE89" s="59">
        <f t="shared" si="94"/>
        <v>224.32736097997289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19.354961262717396</v>
      </c>
      <c r="CL89" s="21">
        <f>EXP(-LN(2)/25)*CL88+(1-EXP(-LN(2)/25))/(LN(2)/25)*Calculateur!CG89*Calculateur!CI89*VLOOKUP('Données projet'!$B$12,Paramètres!$A$1:$I$89,3,0)*0.475*44/12</f>
        <v>25.57066505262647</v>
      </c>
      <c r="CM89" s="21">
        <f>EXP(-LN(2)/2)*CM88+(1-EXP(-LN(2)/2))/(LN(2)/2)*CG89*CJ89*VLOOKUP('Données projet'!$B$12,Paramètres!$A$1:$I$89,3,0)*0.475*44/12</f>
        <v>2.1649430367930638</v>
      </c>
      <c r="CN89" s="22">
        <f t="shared" si="66"/>
        <v>47.090569352136924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9.1730000000000018</v>
      </c>
      <c r="CT89" s="12">
        <f>IF('Données projet'!$A$140&gt;35,CT88+CS89-DB88,IF(A89&lt;'Données projet'!$A$140,$CQ$205^A89,IF(A89='Données projet'!$A$140,'Données projet'!$B$140,CT88+CS89-DB88)))</f>
        <v>306.74600000000049</v>
      </c>
      <c r="CU89" s="17">
        <f>CT89*VLOOKUP('Données projet'!$B$13,Paramètres!$A$1:$I$89,3,0)*VLOOKUP('Données projet'!$B$13,Paramètres!$A$1:$I$89,5,0)</f>
        <v>291.89949360000043</v>
      </c>
      <c r="CV89" s="13">
        <f t="shared" si="95"/>
        <v>69.475590302543566</v>
      </c>
      <c r="CW89" s="20">
        <f t="shared" si="67"/>
        <v>629.39493779693078</v>
      </c>
      <c r="CX89" s="59">
        <f t="shared" si="68"/>
        <v>917.84389066596123</v>
      </c>
      <c r="CY89" s="59">
        <f ca="1">AVERAGE(OFFSET($CX$3,0,0,'Données projet'!$E$13+1,1))-AVERAGE(OFFSET($H$3,0,0,'Données projet'!$E$13+1,1))</f>
        <v>677.13548994240728</v>
      </c>
      <c r="CZ89" s="59">
        <f t="shared" si="96"/>
        <v>298.72429542440534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22.276464849542663</v>
      </c>
      <c r="DG89" s="21">
        <f>EXP(-LN(2)/25)*DG88+(1-EXP(-LN(2)/25))/(LN(2)/25)*Calculateur!DB89*Calculateur!DD89*VLOOKUP('Données projet'!$B$13,Paramètres!$A$1:$I$89,3,0)*0.475*44/12</f>
        <v>29.430388079438014</v>
      </c>
      <c r="DH89" s="21">
        <f>EXP(-LN(2)/2)*DH88+(1-EXP(-LN(2)/2))/(LN(2)/2)*DB89*DE89*VLOOKUP('Données projet'!$B$13,Paramètres!$A$1:$I$89,3,0)*0.475*44/12</f>
        <v>3.0711982614971376</v>
      </c>
      <c r="DI89" s="22">
        <f t="shared" si="69"/>
        <v>54.778051190477818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68.667896237008307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1.2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4.3999999999999995</v>
      </c>
      <c r="H90" s="67">
        <f t="shared" si="56"/>
        <v>239.06666666666669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905.16020358403296</v>
      </c>
      <c r="S90" s="59">
        <f ca="1">AVERAGE(OFFSET($R$3,0,0,'Données projet'!$E$9+1,1))-AVERAGE(OFFSET($H$3,0,0,'Données projet'!$E$9+1,1))</f>
        <v>646.69588445509589</v>
      </c>
      <c r="T90" s="59">
        <f t="shared" si="88"/>
        <v>286.36346771084698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5.6843418860808015E-13</v>
      </c>
      <c r="AJ90" s="13">
        <f>AI90*VLOOKUP('Données projet'!$B$10,Paramètres!$A$1:$I$89,3,0)*VLOOKUP('Données projet'!$B$10,Paramètres!$A$1:$I$89,5,0)</f>
        <v>3.177547114319168E-13</v>
      </c>
      <c r="AK90" s="13">
        <f t="shared" si="89"/>
        <v>4.1725404435445377E-12</v>
      </c>
      <c r="AL90" s="20">
        <f t="shared" si="58"/>
        <v>7.820597394917325E-12</v>
      </c>
      <c r="AM90" s="59">
        <f t="shared" si="59"/>
        <v>288.53368595025518</v>
      </c>
      <c r="AN90" s="59">
        <f ca="1">AVERAGE(OFFSET($AM$3,0,0,'Données projet'!$E$10+1,1))-AVERAGE(OFFSET($H$3,0,0,'Données projet'!$E$10+1,1))</f>
        <v>391.55758836264408</v>
      </c>
      <c r="AO90" s="59">
        <f t="shared" si="90"/>
        <v>360.80727659978777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164.78767527677138</v>
      </c>
      <c r="AV90" s="21">
        <f>EXP(-LN(2)/25)*AV89+(1-EXP(-LN(2)/25))/(LN(2)/25)*Calculateur!AQ90*Calculateur!AS90*VLOOKUP('Données projet'!$B$10,Paramètres!$A$1:$I$89,3,0)*0.475*44/12</f>
        <v>47.909269451225384</v>
      </c>
      <c r="AW90" s="21">
        <f>EXP(-LN(2)/2)*AW89+(1-EXP(-LN(2)/2))/(LN(2)/2)*AQ90*AT90*VLOOKUP('Données projet'!$B$10,Paramètres!$A$1:$I$89,3,0)*0.475*44/12</f>
        <v>0.20855651666293656</v>
      </c>
      <c r="AX90" s="21">
        <f t="shared" si="60"/>
        <v>212.90550124465969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5.0249582272954292E-14</v>
      </c>
      <c r="BF90" s="13">
        <f t="shared" si="91"/>
        <v>8.1784820119191593E-13</v>
      </c>
      <c r="BG90" s="20">
        <f t="shared" si="61"/>
        <v>1.5119369728679821E-12</v>
      </c>
      <c r="BH90" s="59">
        <f t="shared" si="62"/>
        <v>288.53368595024887</v>
      </c>
      <c r="BI90" s="59">
        <f ca="1">AVERAGE(OFFSET($BH$3,0,0,'Données projet'!$E$11+1,1))-AVERAGE(OFFSET($H$3,0,0,'Données projet'!$E$11+1,1))</f>
        <v>400.11184625063709</v>
      </c>
      <c r="BJ90" s="59">
        <f t="shared" si="92"/>
        <v>340.02906159605971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179.88502280580894</v>
      </c>
      <c r="BQ90" s="21">
        <f>EXP(-LN(2)/25)*BQ89+(1-EXP(-LN(2)/25))/(LN(2)/25)*Calculateur!BL90*Calculateur!BN90*VLOOKUP('Données projet'!$B$11,Paramètres!$A$1:$I$89,3,0)*0.475*44/12</f>
        <v>59.212835972790252</v>
      </c>
      <c r="BR90" s="21">
        <f>EXP(-LN(2)/2)*BR89+(1-EXP(-LN(2)/2))/(LN(2)/2)*BL90*BO90*VLOOKUP('Données projet'!$B$11,Paramètres!$A$1:$I$89,3,0)*0.475*44/12</f>
        <v>6.9476680590965305</v>
      </c>
      <c r="BS90" s="22">
        <f t="shared" si="63"/>
        <v>246.04552683769575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9.1730000000000018</v>
      </c>
      <c r="BY90" s="12">
        <f>IF('Données projet'!$A$114&gt;35,BY89+BX90-CG89,IF(A90&lt;'Données projet'!$A$114,$BV$205^A90,IF(A90='Données projet'!$A$114,'Données projet'!$B$114,BY89+BX90-CG89)))</f>
        <v>315.91900000000049</v>
      </c>
      <c r="BZ90" s="13">
        <f>BY90*VLOOKUP('Données projet'!$B$12,Paramètres!$A$1:$I$89,3,0)*VLOOKUP('Données projet'!$B$12,Paramètres!$A$1:$I$89,5,0)</f>
        <v>211.91846520000036</v>
      </c>
      <c r="CA90" s="13">
        <f t="shared" si="93"/>
        <v>52.354596465027214</v>
      </c>
      <c r="CB90" s="20">
        <f t="shared" si="64"/>
        <v>460.275582399923</v>
      </c>
      <c r="CC90" s="59">
        <f t="shared" si="65"/>
        <v>748.80926835017033</v>
      </c>
      <c r="CD90" s="59">
        <f ca="1">AVERAGE(OFFSET($CC$3,0,0,'Données projet'!$E$12+1,1))-AVERAGE(OFFSET($H$3,0,0,'Données projet'!$E$12+1,1))</f>
        <v>493.98227954109774</v>
      </c>
      <c r="CE90" s="59">
        <f t="shared" si="94"/>
        <v>224.32736097997289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18.975422277716195</v>
      </c>
      <c r="CL90" s="21">
        <f>EXP(-LN(2)/25)*CL89+(1-EXP(-LN(2)/25))/(LN(2)/25)*Calculateur!CG90*Calculateur!CI90*VLOOKUP('Données projet'!$B$12,Paramètres!$A$1:$I$89,3,0)*0.475*44/12</f>
        <v>24.871433872059566</v>
      </c>
      <c r="CM90" s="21">
        <f>EXP(-LN(2)/2)*CM89+(1-EXP(-LN(2)/2))/(LN(2)/2)*CG90*CJ90*VLOOKUP('Données projet'!$B$12,Paramètres!$A$1:$I$89,3,0)*0.475*44/12</f>
        <v>1.5308459021989727</v>
      </c>
      <c r="CN90" s="22">
        <f t="shared" si="66"/>
        <v>45.377702051974737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9.1730000000000018</v>
      </c>
      <c r="CT90" s="12">
        <f>IF('Données projet'!$A$140&gt;35,CT89+CS90-DB89,IF(A90&lt;'Données projet'!$A$140,$CQ$205^A90,IF(A90='Données projet'!$A$140,'Données projet'!$B$140,CT89+CS90-DB89)))</f>
        <v>315.91900000000049</v>
      </c>
      <c r="CU90" s="17">
        <f>CT90*VLOOKUP('Données projet'!$B$13,Paramètres!$A$1:$I$89,3,0)*VLOOKUP('Données projet'!$B$13,Paramètres!$A$1:$I$89,5,0)</f>
        <v>300.62852040000047</v>
      </c>
      <c r="CV90" s="13">
        <f t="shared" si="95"/>
        <v>71.308209439642781</v>
      </c>
      <c r="CW90" s="20">
        <f t="shared" si="67"/>
        <v>647.78980447071194</v>
      </c>
      <c r="CX90" s="59">
        <f t="shared" si="68"/>
        <v>936.32349042095927</v>
      </c>
      <c r="CY90" s="59">
        <f ca="1">AVERAGE(OFFSET($CX$3,0,0,'Données projet'!$E$13+1,1))-AVERAGE(OFFSET($H$3,0,0,'Données projet'!$E$13+1,1))</f>
        <v>677.13548994240728</v>
      </c>
      <c r="CZ90" s="59">
        <f t="shared" si="96"/>
        <v>298.72429542440534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21.839636961145054</v>
      </c>
      <c r="DG90" s="21">
        <f>EXP(-LN(2)/25)*DG89+(1-EXP(-LN(2)/25))/(LN(2)/25)*Calculateur!DB90*Calculateur!DD90*VLOOKUP('Données projet'!$B$13,Paramètres!$A$1:$I$89,3,0)*0.475*44/12</f>
        <v>28.625612569728936</v>
      </c>
      <c r="DH90" s="21">
        <f>EXP(-LN(2)/2)*DH89+(1-EXP(-LN(2)/2))/(LN(2)/2)*DB90*DE90*VLOOKUP('Données projet'!$B$13,Paramètres!$A$1:$I$89,3,0)*0.475*44/12</f>
        <v>2.1716651170729619</v>
      </c>
      <c r="DI90" s="22">
        <f t="shared" si="69"/>
        <v>52.636914647946952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68.691005259158359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1.2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4.3999999999999995</v>
      </c>
      <c r="H91" s="67">
        <f t="shared" si="56"/>
        <v>239.06666666666669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922.74123359197347</v>
      </c>
      <c r="S91" s="59">
        <f ca="1">AVERAGE(OFFSET($R$3,0,0,'Données projet'!$E$9+1,1))-AVERAGE(OFFSET($H$3,0,0,'Données projet'!$E$9+1,1))</f>
        <v>646.69588445509589</v>
      </c>
      <c r="T91" s="59">
        <f t="shared" si="88"/>
        <v>286.36346771084698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5.6843418860808015E-13</v>
      </c>
      <c r="AJ91" s="13">
        <f>AI91*VLOOKUP('Données projet'!$B$10,Paramètres!$A$1:$I$89,3,0)*VLOOKUP('Données projet'!$B$10,Paramètres!$A$1:$I$89,5,0)</f>
        <v>3.177547114319168E-13</v>
      </c>
      <c r="AK91" s="13">
        <f t="shared" si="89"/>
        <v>4.1725404435445377E-12</v>
      </c>
      <c r="AL91" s="20">
        <f t="shared" si="58"/>
        <v>7.820597394917325E-12</v>
      </c>
      <c r="AM91" s="59">
        <f t="shared" si="59"/>
        <v>288.61694910194768</v>
      </c>
      <c r="AN91" s="59">
        <f ca="1">AVERAGE(OFFSET($AM$3,0,0,'Données projet'!$E$10+1,1))-AVERAGE(OFFSET($H$3,0,0,'Données projet'!$E$10+1,1))</f>
        <v>391.55758836264408</v>
      </c>
      <c r="AO91" s="59">
        <f t="shared" si="90"/>
        <v>360.80727659978777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161.55628947515123</v>
      </c>
      <c r="AV91" s="21">
        <f>EXP(-LN(2)/25)*AV90+(1-EXP(-LN(2)/25))/(LN(2)/25)*Calculateur!AQ91*Calculateur!AS91*VLOOKUP('Données projet'!$B$10,Paramètres!$A$1:$I$89,3,0)*0.475*44/12</f>
        <v>46.599187958642645</v>
      </c>
      <c r="AW91" s="21">
        <f>EXP(-LN(2)/2)*AW90+(1-EXP(-LN(2)/2))/(LN(2)/2)*AQ91*AT91*VLOOKUP('Données projet'!$B$10,Paramètres!$A$1:$I$89,3,0)*0.475*44/12</f>
        <v>0.14747172719300763</v>
      </c>
      <c r="AX91" s="21">
        <f t="shared" si="60"/>
        <v>208.30294916098688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5.0249582272954292E-14</v>
      </c>
      <c r="BF91" s="13">
        <f t="shared" si="91"/>
        <v>8.1784820119191593E-13</v>
      </c>
      <c r="BG91" s="20">
        <f t="shared" si="61"/>
        <v>1.5119369728679821E-12</v>
      </c>
      <c r="BH91" s="59">
        <f t="shared" si="62"/>
        <v>288.61694910194137</v>
      </c>
      <c r="BI91" s="59">
        <f ca="1">AVERAGE(OFFSET($BH$3,0,0,'Données projet'!$E$11+1,1))-AVERAGE(OFFSET($H$3,0,0,'Données projet'!$E$11+1,1))</f>
        <v>400.11184625063709</v>
      </c>
      <c r="BJ91" s="59">
        <f t="shared" si="92"/>
        <v>340.02906159605971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176.35758722761707</v>
      </c>
      <c r="BQ91" s="21">
        <f>EXP(-LN(2)/25)*BQ90+(1-EXP(-LN(2)/25))/(LN(2)/25)*Calculateur!BL91*Calculateur!BN91*VLOOKUP('Données projet'!$B$11,Paramètres!$A$1:$I$89,3,0)*0.475*44/12</f>
        <v>57.593657859246591</v>
      </c>
      <c r="BR91" s="21">
        <f>EXP(-LN(2)/2)*BR90+(1-EXP(-LN(2)/2))/(LN(2)/2)*BL91*BO91*VLOOKUP('Données projet'!$B$11,Paramètres!$A$1:$I$89,3,0)*0.475*44/12</f>
        <v>4.912743198020336</v>
      </c>
      <c r="BS91" s="22">
        <f t="shared" si="63"/>
        <v>238.86398828488399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9.1730000000000018</v>
      </c>
      <c r="BY91" s="12">
        <f>IF('Données projet'!$A$114&gt;35,BY90+BX91-CG90,IF(A91&lt;'Données projet'!$A$114,$BV$205^A91,IF(A91='Données projet'!$A$114,'Données projet'!$B$114,BY90+BX91-CG90)))</f>
        <v>325.0920000000005</v>
      </c>
      <c r="BZ91" s="13">
        <f>BY91*VLOOKUP('Données projet'!$B$12,Paramètres!$A$1:$I$89,3,0)*VLOOKUP('Données projet'!$B$12,Paramètres!$A$1:$I$89,5,0)</f>
        <v>218.07171360000035</v>
      </c>
      <c r="CA91" s="13">
        <f t="shared" si="93"/>
        <v>53.695567705421489</v>
      </c>
      <c r="CB91" s="20">
        <f t="shared" si="64"/>
        <v>473.32801494027632</v>
      </c>
      <c r="CC91" s="59">
        <f t="shared" si="65"/>
        <v>761.94496404221616</v>
      </c>
      <c r="CD91" s="59">
        <f ca="1">AVERAGE(OFFSET($CC$3,0,0,'Données projet'!$E$12+1,1))-AVERAGE(OFFSET($H$3,0,0,'Données projet'!$E$12+1,1))</f>
        <v>493.98227954109774</v>
      </c>
      <c r="CE91" s="59">
        <f t="shared" si="94"/>
        <v>224.32736097997289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18.603325820714947</v>
      </c>
      <c r="CL91" s="21">
        <f>EXP(-LN(2)/25)*CL90+(1-EXP(-LN(2)/25))/(LN(2)/25)*Calculateur!CG91*Calculateur!CI91*VLOOKUP('Données projet'!$B$12,Paramètres!$A$1:$I$89,3,0)*0.475*44/12</f>
        <v>24.191323204896232</v>
      </c>
      <c r="CM91" s="21">
        <f>EXP(-LN(2)/2)*CM90+(1-EXP(-LN(2)/2))/(LN(2)/2)*CG91*CJ91*VLOOKUP('Données projet'!$B$12,Paramètres!$A$1:$I$89,3,0)*0.475*44/12</f>
        <v>1.0824715183965319</v>
      </c>
      <c r="CN91" s="22">
        <f t="shared" si="66"/>
        <v>43.87712054400771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9.1730000000000018</v>
      </c>
      <c r="CT91" s="12">
        <f>IF('Données projet'!$A$140&gt;35,CT90+CS91-DB90,IF(A91&lt;'Données projet'!$A$140,$CQ$205^A91,IF(A91='Données projet'!$A$140,'Données projet'!$B$140,CT90+CS91-DB90)))</f>
        <v>325.0920000000005</v>
      </c>
      <c r="CU91" s="17">
        <f>CT91*VLOOKUP('Données projet'!$B$13,Paramètres!$A$1:$I$89,3,0)*VLOOKUP('Données projet'!$B$13,Paramètres!$A$1:$I$89,5,0)</f>
        <v>309.35754720000051</v>
      </c>
      <c r="CV91" s="13">
        <f t="shared" si="95"/>
        <v>73.134644261396232</v>
      </c>
      <c r="CW91" s="20">
        <f t="shared" si="67"/>
        <v>666.17390012859926</v>
      </c>
      <c r="CX91" s="59">
        <f t="shared" si="68"/>
        <v>954.79084923053915</v>
      </c>
      <c r="CY91" s="59">
        <f ca="1">AVERAGE(OFFSET($CX$3,0,0,'Données projet'!$E$13+1,1))-AVERAGE(OFFSET($H$3,0,0,'Données projet'!$E$13+1,1))</f>
        <v>677.13548994240728</v>
      </c>
      <c r="CZ91" s="59">
        <f t="shared" si="96"/>
        <v>298.72429542440534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21.41137500120022</v>
      </c>
      <c r="DG91" s="21">
        <f>EXP(-LN(2)/25)*DG90+(1-EXP(-LN(2)/25))/(LN(2)/25)*Calculateur!DB91*Calculateur!DD91*VLOOKUP('Données projet'!$B$13,Paramètres!$A$1:$I$89,3,0)*0.475*44/12</f>
        <v>27.84284368865416</v>
      </c>
      <c r="DH91" s="21">
        <f>EXP(-LN(2)/2)*DH90+(1-EXP(-LN(2)/2))/(LN(2)/2)*DB91*DE91*VLOOKUP('Données projet'!$B$13,Paramètres!$A$1:$I$89,3,0)*0.475*44/12</f>
        <v>1.535599130748569</v>
      </c>
      <c r="DI91" s="22">
        <f t="shared" si="69"/>
        <v>50.789817820602956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68.713713391438134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1.2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4.3999999999999995</v>
      </c>
      <c r="H92" s="67">
        <f t="shared" si="56"/>
        <v>239.06666666666669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940.31084164742356</v>
      </c>
      <c r="S92" s="59">
        <f ca="1">AVERAGE(OFFSET($R$3,0,0,'Données projet'!$E$9+1,1))-AVERAGE(OFFSET($H$3,0,0,'Données projet'!$E$9+1,1))</f>
        <v>646.69588445509589</v>
      </c>
      <c r="T92" s="59">
        <f t="shared" si="88"/>
        <v>286.36346771084698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5.6843418860808015E-13</v>
      </c>
      <c r="AJ92" s="13">
        <f>AI92*VLOOKUP('Données projet'!$B$10,Paramètres!$A$1:$I$89,3,0)*VLOOKUP('Données projet'!$B$10,Paramètres!$A$1:$I$89,5,0)</f>
        <v>3.177547114319168E-13</v>
      </c>
      <c r="AK92" s="13">
        <f t="shared" si="89"/>
        <v>4.1725404435445377E-12</v>
      </c>
      <c r="AL92" s="20">
        <f t="shared" si="58"/>
        <v>7.820597394917325E-12</v>
      </c>
      <c r="AM92" s="59">
        <f t="shared" si="59"/>
        <v>288.69876782410682</v>
      </c>
      <c r="AN92" s="59">
        <f ca="1">AVERAGE(OFFSET($AM$3,0,0,'Données projet'!$E$10+1,1))-AVERAGE(OFFSET($H$3,0,0,'Données projet'!$E$10+1,1))</f>
        <v>391.55758836264408</v>
      </c>
      <c r="AO92" s="59">
        <f t="shared" si="90"/>
        <v>360.80727659978777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158.38826917815013</v>
      </c>
      <c r="AV92" s="21">
        <f>EXP(-LN(2)/25)*AV91+(1-EXP(-LN(2)/25))/(LN(2)/25)*Calculateur!AQ92*Calculateur!AS92*VLOOKUP('Données projet'!$B$10,Paramètres!$A$1:$I$89,3,0)*0.475*44/12</f>
        <v>45.324930713368772</v>
      </c>
      <c r="AW92" s="21">
        <f>EXP(-LN(2)/2)*AW91+(1-EXP(-LN(2)/2))/(LN(2)/2)*AQ92*AT92*VLOOKUP('Données projet'!$B$10,Paramètres!$A$1:$I$89,3,0)*0.475*44/12</f>
        <v>0.10427825833146828</v>
      </c>
      <c r="AX92" s="21">
        <f t="shared" si="60"/>
        <v>203.81747814985039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5.0249582272954292E-14</v>
      </c>
      <c r="BF92" s="13">
        <f t="shared" si="91"/>
        <v>8.1784820119191593E-13</v>
      </c>
      <c r="BG92" s="20">
        <f t="shared" si="61"/>
        <v>1.5119369728679821E-12</v>
      </c>
      <c r="BH92" s="59">
        <f t="shared" si="62"/>
        <v>288.69876782410051</v>
      </c>
      <c r="BI92" s="59">
        <f ca="1">AVERAGE(OFFSET($BH$3,0,0,'Données projet'!$E$11+1,1))-AVERAGE(OFFSET($H$3,0,0,'Données projet'!$E$11+1,1))</f>
        <v>400.11184625063709</v>
      </c>
      <c r="BJ92" s="59">
        <f t="shared" si="92"/>
        <v>340.02906159605971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172.89932250959029</v>
      </c>
      <c r="BQ92" s="21">
        <f>EXP(-LN(2)/25)*BQ91+(1-EXP(-LN(2)/25))/(LN(2)/25)*Calculateur!BL92*Calculateur!BN92*VLOOKUP('Données projet'!$B$11,Paramètres!$A$1:$I$89,3,0)*0.475*44/12</f>
        <v>56.018756256366657</v>
      </c>
      <c r="BR92" s="21">
        <f>EXP(-LN(2)/2)*BR91+(1-EXP(-LN(2)/2))/(LN(2)/2)*BL92*BO92*VLOOKUP('Données projet'!$B$11,Paramètres!$A$1:$I$89,3,0)*0.475*44/12</f>
        <v>3.4738340295482657</v>
      </c>
      <c r="BS92" s="22">
        <f t="shared" si="63"/>
        <v>232.39191279550522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9.1730000000000018</v>
      </c>
      <c r="BY92" s="12">
        <f>IF('Données projet'!$A$114&gt;35,BY91+BX92-CG91,IF(A92&lt;'Données projet'!$A$114,$BV$205^A92,IF(A92='Données projet'!$A$114,'Données projet'!$B$114,BY91+BX92-CG91)))</f>
        <v>334.2650000000005</v>
      </c>
      <c r="BZ92" s="13">
        <f>BY92*VLOOKUP('Données projet'!$B$12,Paramètres!$A$1:$I$89,3,0)*VLOOKUP('Données projet'!$B$12,Paramètres!$A$1:$I$89,5,0)</f>
        <v>224.22496200000035</v>
      </c>
      <c r="CA92" s="13">
        <f t="shared" si="93"/>
        <v>55.032141247351703</v>
      </c>
      <c r="CB92" s="20">
        <f t="shared" si="64"/>
        <v>486.37278815580493</v>
      </c>
      <c r="CC92" s="59">
        <f t="shared" si="65"/>
        <v>775.07155597990391</v>
      </c>
      <c r="CD92" s="59">
        <f ca="1">AVERAGE(OFFSET($CC$3,0,0,'Données projet'!$E$12+1,1))-AVERAGE(OFFSET($H$3,0,0,'Données projet'!$E$12+1,1))</f>
        <v>493.98227954109774</v>
      </c>
      <c r="CE92" s="59">
        <f t="shared" si="94"/>
        <v>224.32736097997289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18.238525948279062</v>
      </c>
      <c r="CL92" s="21">
        <f>EXP(-LN(2)/25)*CL91+(1-EXP(-LN(2)/25))/(LN(2)/25)*Calculateur!CG92*Calculateur!CI92*VLOOKUP('Données projet'!$B$12,Paramètres!$A$1:$I$89,3,0)*0.475*44/12</f>
        <v>23.529810199691948</v>
      </c>
      <c r="CM92" s="21">
        <f>EXP(-LN(2)/2)*CM91+(1-EXP(-LN(2)/2))/(LN(2)/2)*CG92*CJ92*VLOOKUP('Données projet'!$B$12,Paramètres!$A$1:$I$89,3,0)*0.475*44/12</f>
        <v>0.76542295109948633</v>
      </c>
      <c r="CN92" s="22">
        <f t="shared" si="66"/>
        <v>42.533759099070501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9.1730000000000018</v>
      </c>
      <c r="CT92" s="12">
        <f>IF('Données projet'!$A$140&gt;35,CT91+CS92-DB91,IF(A92&lt;'Données projet'!$A$140,$CQ$205^A92,IF(A92='Données projet'!$A$140,'Données projet'!$B$140,CT91+CS92-DB91)))</f>
        <v>334.2650000000005</v>
      </c>
      <c r="CU92" s="17">
        <f>CT92*VLOOKUP('Données projet'!$B$13,Paramètres!$A$1:$I$89,3,0)*VLOOKUP('Données projet'!$B$13,Paramètres!$A$1:$I$89,5,0)</f>
        <v>318.0865740000005</v>
      </c>
      <c r="CV92" s="13">
        <f t="shared" si="95"/>
        <v>74.955089312923036</v>
      </c>
      <c r="CW92" s="20">
        <f t="shared" si="67"/>
        <v>684.5475636033417</v>
      </c>
      <c r="CX92" s="59">
        <f t="shared" si="68"/>
        <v>973.24633142744074</v>
      </c>
      <c r="CY92" s="59">
        <f ca="1">AVERAGE(OFFSET($CX$3,0,0,'Données projet'!$E$13+1,1))-AVERAGE(OFFSET($H$3,0,0,'Données projet'!$E$13+1,1))</f>
        <v>677.13548994240728</v>
      </c>
      <c r="CZ92" s="59">
        <f t="shared" si="96"/>
        <v>298.72429542440534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20.991510997075903</v>
      </c>
      <c r="DG92" s="21">
        <f>EXP(-LN(2)/25)*DG91+(1-EXP(-LN(2)/25))/(LN(2)/25)*Calculateur!DB92*Calculateur!DD92*VLOOKUP('Données projet'!$B$13,Paramètres!$A$1:$I$89,3,0)*0.475*44/12</f>
        <v>27.081479663796397</v>
      </c>
      <c r="DH92" s="21">
        <f>EXP(-LN(2)/2)*DH91+(1-EXP(-LN(2)/2))/(LN(2)/2)*DB92*DE92*VLOOKUP('Données projet'!$B$13,Paramètres!$A$1:$I$89,3,0)*0.475*44/12</f>
        <v>1.085832558536481</v>
      </c>
      <c r="DI92" s="22">
        <f t="shared" si="69"/>
        <v>49.158823219408781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68.736027588390641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1.2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4.3999999999999995</v>
      </c>
      <c r="H93" s="67">
        <f t="shared" si="56"/>
        <v>239.06666666666669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957.86935807512191</v>
      </c>
      <c r="S93" s="59">
        <f ca="1">AVERAGE(OFFSET($R$3,0,0,'Données projet'!$E$9+1,1))-AVERAGE(OFFSET($H$3,0,0,'Données projet'!$E$9+1,1))</f>
        <v>646.69588445509589</v>
      </c>
      <c r="T93" s="59">
        <f t="shared" si="88"/>
        <v>286.36346771084698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5.6843418860808015E-13</v>
      </c>
      <c r="AJ93" s="13">
        <f>AI93*VLOOKUP('Données projet'!$B$10,Paramètres!$A$1:$I$89,3,0)*VLOOKUP('Données projet'!$B$10,Paramètres!$A$1:$I$89,5,0)</f>
        <v>3.177547114319168E-13</v>
      </c>
      <c r="AK93" s="13">
        <f t="shared" si="89"/>
        <v>4.1725404435445377E-12</v>
      </c>
      <c r="AL93" s="20">
        <f t="shared" si="58"/>
        <v>7.820597394917325E-12</v>
      </c>
      <c r="AM93" s="59">
        <f t="shared" si="59"/>
        <v>288.77916717435579</v>
      </c>
      <c r="AN93" s="59">
        <f ca="1">AVERAGE(OFFSET($AM$3,0,0,'Données projet'!$E$10+1,1))-AVERAGE(OFFSET($H$3,0,0,'Données projet'!$E$10+1,1))</f>
        <v>391.55758836264408</v>
      </c>
      <c r="AO93" s="59">
        <f t="shared" si="90"/>
        <v>360.80727659978777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155.28237182687161</v>
      </c>
      <c r="AV93" s="21">
        <f>EXP(-LN(2)/25)*AV92+(1-EXP(-LN(2)/25))/(LN(2)/25)*Calculateur!AQ93*Calculateur!AS93*VLOOKUP('Données projet'!$B$10,Paramètres!$A$1:$I$89,3,0)*0.475*44/12</f>
        <v>44.085518099477191</v>
      </c>
      <c r="AW93" s="21">
        <f>EXP(-LN(2)/2)*AW92+(1-EXP(-LN(2)/2))/(LN(2)/2)*AQ93*AT93*VLOOKUP('Données projet'!$B$10,Paramètres!$A$1:$I$89,3,0)*0.475*44/12</f>
        <v>7.3735863596503817E-2</v>
      </c>
      <c r="AX93" s="21">
        <f t="shared" si="60"/>
        <v>199.44162578994531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5.0249582272954292E-14</v>
      </c>
      <c r="BF93" s="13">
        <f t="shared" si="91"/>
        <v>8.1784820119191593E-13</v>
      </c>
      <c r="BG93" s="20">
        <f t="shared" si="61"/>
        <v>1.5119369728679821E-12</v>
      </c>
      <c r="BH93" s="59">
        <f t="shared" si="62"/>
        <v>288.77916717434948</v>
      </c>
      <c r="BI93" s="59">
        <f ca="1">AVERAGE(OFFSET($BH$3,0,0,'Données projet'!$E$11+1,1))-AVERAGE(OFFSET($H$3,0,0,'Données projet'!$E$11+1,1))</f>
        <v>400.11184625063709</v>
      </c>
      <c r="BJ93" s="59">
        <f t="shared" si="92"/>
        <v>340.02906159605971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169.50887225335083</v>
      </c>
      <c r="BQ93" s="21">
        <f>EXP(-LN(2)/25)*BQ92+(1-EXP(-LN(2)/25))/(LN(2)/25)*Calculateur!BL93*Calculateur!BN93*VLOOKUP('Données projet'!$B$11,Paramètres!$A$1:$I$89,3,0)*0.475*44/12</f>
        <v>54.486920420637951</v>
      </c>
      <c r="BR93" s="21">
        <f>EXP(-LN(2)/2)*BR92+(1-EXP(-LN(2)/2))/(LN(2)/2)*BL93*BO93*VLOOKUP('Données projet'!$B$11,Paramètres!$A$1:$I$89,3,0)*0.475*44/12</f>
        <v>2.4563715990101684</v>
      </c>
      <c r="BS93" s="22">
        <f t="shared" si="63"/>
        <v>226.45216427299894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9.1730000000000018</v>
      </c>
      <c r="BY93" s="12">
        <f>IF('Données projet'!$A$114&gt;35,BY92+BX93-CG92,IF(A93&lt;'Données projet'!$A$114,$BV$205^A93,IF(A93='Données projet'!$A$114,'Données projet'!$B$114,BY92+BX93-CG92)))</f>
        <v>343.4380000000005</v>
      </c>
      <c r="BZ93" s="13">
        <f>BY93*VLOOKUP('Données projet'!$B$12,Paramètres!$A$1:$I$89,3,0)*VLOOKUP('Données projet'!$B$12,Paramètres!$A$1:$I$89,5,0)</f>
        <v>230.37821040000034</v>
      </c>
      <c r="CA93" s="13">
        <f t="shared" si="93"/>
        <v>56.364451640518283</v>
      </c>
      <c r="CB93" s="20">
        <f t="shared" si="64"/>
        <v>499.41013638723661</v>
      </c>
      <c r="CC93" s="59">
        <f t="shared" si="65"/>
        <v>788.18930356158455</v>
      </c>
      <c r="CD93" s="59">
        <f ca="1">AVERAGE(OFFSET($CC$3,0,0,'Données projet'!$E$12+1,1))-AVERAGE(OFFSET($H$3,0,0,'Données projet'!$E$12+1,1))</f>
        <v>493.98227954109774</v>
      </c>
      <c r="CE93" s="59">
        <f t="shared" si="94"/>
        <v>224.32736097997289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17.880879578835692</v>
      </c>
      <c r="CL93" s="21">
        <f>EXP(-LN(2)/25)*CL92+(1-EXP(-LN(2)/25))/(LN(2)/25)*Calculateur!CG93*Calculateur!CI93*VLOOKUP('Données projet'!$B$12,Paramètres!$A$1:$I$89,3,0)*0.475*44/12</f>
        <v>22.886386302402432</v>
      </c>
      <c r="CM93" s="21">
        <f>EXP(-LN(2)/2)*CM92+(1-EXP(-LN(2)/2))/(LN(2)/2)*CG93*CJ93*VLOOKUP('Données projet'!$B$12,Paramètres!$A$1:$I$89,3,0)*0.475*44/12</f>
        <v>0.54123575919826594</v>
      </c>
      <c r="CN93" s="22">
        <f t="shared" si="66"/>
        <v>41.30850164043639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9.1730000000000018</v>
      </c>
      <c r="CT93" s="12">
        <f>IF('Données projet'!$A$140&gt;35,CT92+CS93-DB92,IF(A93&lt;'Données projet'!$A$140,$CQ$205^A93,IF(A93='Données projet'!$A$140,'Données projet'!$B$140,CT92+CS93-DB92)))</f>
        <v>343.4380000000005</v>
      </c>
      <c r="CU93" s="17">
        <f>CT93*VLOOKUP('Données projet'!$B$13,Paramètres!$A$1:$I$89,3,0)*VLOOKUP('Données projet'!$B$13,Paramètres!$A$1:$I$89,5,0)</f>
        <v>326.81560080000048</v>
      </c>
      <c r="CV93" s="13">
        <f t="shared" si="95"/>
        <v>76.769727854125406</v>
      </c>
      <c r="CW93" s="20">
        <f t="shared" si="67"/>
        <v>702.91111407260257</v>
      </c>
      <c r="CX93" s="59">
        <f t="shared" si="68"/>
        <v>991.69028124695046</v>
      </c>
      <c r="CY93" s="59">
        <f ca="1">AVERAGE(OFFSET($CX$3,0,0,'Données projet'!$E$13+1,1))-AVERAGE(OFFSET($H$3,0,0,'Données projet'!$E$13+1,1))</f>
        <v>677.13548994240728</v>
      </c>
      <c r="CZ93" s="59">
        <f t="shared" si="96"/>
        <v>298.72429542440534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20.579880269980706</v>
      </c>
      <c r="DG93" s="21">
        <f>EXP(-LN(2)/25)*DG92+(1-EXP(-LN(2)/25))/(LN(2)/25)*Calculateur!DB93*Calculateur!DD93*VLOOKUP('Données projet'!$B$13,Paramètres!$A$1:$I$89,3,0)*0.475*44/12</f>
        <v>26.340935178236766</v>
      </c>
      <c r="DH93" s="21">
        <f>EXP(-LN(2)/2)*DH92+(1-EXP(-LN(2)/2))/(LN(2)/2)*DB93*DE93*VLOOKUP('Données projet'!$B$13,Paramètres!$A$1:$I$89,3,0)*0.475*44/12</f>
        <v>0.76779956537428451</v>
      </c>
      <c r="DI93" s="22">
        <f t="shared" si="69"/>
        <v>47.68861501359175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68.757954683913084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1.2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4.3999999999999995</v>
      </c>
      <c r="H94" s="67">
        <f t="shared" si="56"/>
        <v>239.06666666666669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975.41709552969473</v>
      </c>
      <c r="S94" s="59">
        <f ca="1">AVERAGE(OFFSET($R$3,0,0,'Données projet'!$E$9+1,1))-AVERAGE(OFFSET($H$3,0,0,'Données projet'!$E$9+1,1))</f>
        <v>646.69588445509589</v>
      </c>
      <c r="T94" s="59">
        <f t="shared" si="88"/>
        <v>286.36346771084698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5.6843418860808015E-13</v>
      </c>
      <c r="AJ94" s="13">
        <f>AI94*VLOOKUP('Données projet'!$B$10,Paramètres!$A$1:$I$89,3,0)*VLOOKUP('Données projet'!$B$10,Paramètres!$A$1:$I$89,5,0)</f>
        <v>3.177547114319168E-13</v>
      </c>
      <c r="AK94" s="13">
        <f t="shared" si="89"/>
        <v>4.1725404435445377E-12</v>
      </c>
      <c r="AL94" s="20">
        <f t="shared" si="58"/>
        <v>7.820597394917325E-12</v>
      </c>
      <c r="AM94" s="59">
        <f t="shared" si="59"/>
        <v>288.85817177562399</v>
      </c>
      <c r="AN94" s="59">
        <f ca="1">AVERAGE(OFFSET($AM$3,0,0,'Données projet'!$E$10+1,1))-AVERAGE(OFFSET($H$3,0,0,'Données projet'!$E$10+1,1))</f>
        <v>391.55758836264408</v>
      </c>
      <c r="AO94" s="59">
        <f t="shared" si="90"/>
        <v>360.80727659978777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152.23737922824134</v>
      </c>
      <c r="AV94" s="21">
        <f>EXP(-LN(2)/25)*AV93+(1-EXP(-LN(2)/25))/(LN(2)/25)*Calculateur!AQ94*Calculateur!AS94*VLOOKUP('Données projet'!$B$10,Paramètres!$A$1:$I$89,3,0)*0.475*44/12</f>
        <v>42.879997288690348</v>
      </c>
      <c r="AW94" s="21">
        <f>EXP(-LN(2)/2)*AW93+(1-EXP(-LN(2)/2))/(LN(2)/2)*AQ94*AT94*VLOOKUP('Données projet'!$B$10,Paramètres!$A$1:$I$89,3,0)*0.475*44/12</f>
        <v>5.2139129165734141E-2</v>
      </c>
      <c r="AX94" s="21">
        <f t="shared" si="60"/>
        <v>195.16951564609744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5.0249582272954292E-14</v>
      </c>
      <c r="BF94" s="13">
        <f t="shared" si="91"/>
        <v>8.1784820119191593E-13</v>
      </c>
      <c r="BG94" s="20">
        <f t="shared" si="61"/>
        <v>1.5119369728679821E-12</v>
      </c>
      <c r="BH94" s="59">
        <f t="shared" si="62"/>
        <v>288.85817177561768</v>
      </c>
      <c r="BI94" s="59">
        <f ca="1">AVERAGE(OFFSET($BH$3,0,0,'Données projet'!$E$11+1,1))-AVERAGE(OFFSET($H$3,0,0,'Données projet'!$E$11+1,1))</f>
        <v>400.11184625063709</v>
      </c>
      <c r="BJ94" s="59">
        <f t="shared" si="92"/>
        <v>340.02906159605971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166.18490665866577</v>
      </c>
      <c r="BQ94" s="21">
        <f>EXP(-LN(2)/25)*BQ93+(1-EXP(-LN(2)/25))/(LN(2)/25)*Calculateur!BL94*Calculateur!BN94*VLOOKUP('Données projet'!$B$11,Paramètres!$A$1:$I$89,3,0)*0.475*44/12</f>
        <v>52.996972716392996</v>
      </c>
      <c r="BR94" s="21">
        <f>EXP(-LN(2)/2)*BR93+(1-EXP(-LN(2)/2))/(LN(2)/2)*BL94*BO94*VLOOKUP('Données projet'!$B$11,Paramètres!$A$1:$I$89,3,0)*0.475*44/12</f>
        <v>1.7369170147741331</v>
      </c>
      <c r="BS94" s="22">
        <f t="shared" si="63"/>
        <v>220.91879638983289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9.1730000000000018</v>
      </c>
      <c r="BY94" s="12">
        <f>IF('Données projet'!$A$114&gt;35,BY93+BX94-CG93,IF(A94&lt;'Données projet'!$A$114,$BV$205^A94,IF(A94='Données projet'!$A$114,'Données projet'!$B$114,BY93+BX94-CG93)))</f>
        <v>352.6110000000005</v>
      </c>
      <c r="BZ94" s="13">
        <f>BY94*VLOOKUP('Données projet'!$B$12,Paramètres!$A$1:$I$89,3,0)*VLOOKUP('Données projet'!$B$12,Paramètres!$A$1:$I$89,5,0)</f>
        <v>236.53145880000034</v>
      </c>
      <c r="CA94" s="13">
        <f t="shared" si="93"/>
        <v>57.692625837928958</v>
      </c>
      <c r="CB94" s="20">
        <f t="shared" si="64"/>
        <v>512.44028074439348</v>
      </c>
      <c r="CC94" s="59">
        <f t="shared" si="65"/>
        <v>801.29845252000962</v>
      </c>
      <c r="CD94" s="59">
        <f ca="1">AVERAGE(OFFSET($CC$3,0,0,'Données projet'!$E$12+1,1))-AVERAGE(OFFSET($H$3,0,0,'Données projet'!$E$12+1,1))</f>
        <v>493.98227954109774</v>
      </c>
      <c r="CE94" s="59">
        <f t="shared" si="94"/>
        <v>224.32736097997289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17.530246436554364</v>
      </c>
      <c r="CL94" s="21">
        <f>EXP(-LN(2)/25)*CL93+(1-EXP(-LN(2)/25))/(LN(2)/25)*Calculateur!CG94*Calculateur!CI94*VLOOKUP('Données projet'!$B$12,Paramètres!$A$1:$I$89,3,0)*0.475*44/12</f>
        <v>22.26055686542049</v>
      </c>
      <c r="CM94" s="21">
        <f>EXP(-LN(2)/2)*CM93+(1-EXP(-LN(2)/2))/(LN(2)/2)*CG94*CJ94*VLOOKUP('Données projet'!$B$12,Paramètres!$A$1:$I$89,3,0)*0.475*44/12</f>
        <v>0.38271147554974316</v>
      </c>
      <c r="CN94" s="22">
        <f t="shared" si="66"/>
        <v>40.173514777524595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9.1730000000000018</v>
      </c>
      <c r="CT94" s="12">
        <f>IF('Données projet'!$A$140&gt;35,CT93+CS94-DB93,IF(A94&lt;'Données projet'!$A$140,$CQ$205^A94,IF(A94='Données projet'!$A$140,'Données projet'!$B$140,CT93+CS94-DB93)))</f>
        <v>352.6110000000005</v>
      </c>
      <c r="CU94" s="17">
        <f>CT94*VLOOKUP('Données projet'!$B$13,Paramètres!$A$1:$I$89,3,0)*VLOOKUP('Données projet'!$B$13,Paramètres!$A$1:$I$89,5,0)</f>
        <v>335.54462760000047</v>
      </c>
      <c r="CV94" s="13">
        <f t="shared" si="95"/>
        <v>78.578732798028639</v>
      </c>
      <c r="CW94" s="20">
        <f t="shared" si="67"/>
        <v>721.26485269323393</v>
      </c>
      <c r="CX94" s="59">
        <f t="shared" si="68"/>
        <v>1010.1230244688501</v>
      </c>
      <c r="CY94" s="59">
        <f ca="1">AVERAGE(OFFSET($CX$3,0,0,'Données projet'!$E$13+1,1))-AVERAGE(OFFSET($H$3,0,0,'Données projet'!$E$13+1,1))</f>
        <v>677.13548994240728</v>
      </c>
      <c r="CZ94" s="59">
        <f t="shared" si="96"/>
        <v>298.72429542440534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20.176321370373895</v>
      </c>
      <c r="DG94" s="21">
        <f>EXP(-LN(2)/25)*DG93+(1-EXP(-LN(2)/25))/(LN(2)/25)*Calculateur!DB94*Calculateur!DD94*VLOOKUP('Données projet'!$B$13,Paramètres!$A$1:$I$89,3,0)*0.475*44/12</f>
        <v>25.620640920578303</v>
      </c>
      <c r="DH94" s="21">
        <f>EXP(-LN(2)/2)*DH93+(1-EXP(-LN(2)/2))/(LN(2)/2)*DB94*DE94*VLOOKUP('Données projet'!$B$13,Paramètres!$A$1:$I$89,3,0)*0.475*44/12</f>
        <v>0.54291627926824049</v>
      </c>
      <c r="DI94" s="22">
        <f t="shared" si="69"/>
        <v>46.339878570220435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68.779501393349861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1.2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4.3999999999999995</v>
      </c>
      <c r="H95" s="67">
        <f t="shared" si="56"/>
        <v>239.06666666666669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992.95435039902054</v>
      </c>
      <c r="S95" s="59">
        <f ca="1">AVERAGE(OFFSET($R$3,0,0,'Données projet'!$E$9+1,1))-AVERAGE(OFFSET($H$3,0,0,'Données projet'!$E$9+1,1))</f>
        <v>646.69588445509589</v>
      </c>
      <c r="T95" s="59">
        <f t="shared" si="88"/>
        <v>286.36346771084698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5.6843418860808015E-13</v>
      </c>
      <c r="AJ95" s="13">
        <f>AI95*VLOOKUP('Données projet'!$B$10,Paramètres!$A$1:$I$89,3,0)*VLOOKUP('Données projet'!$B$10,Paramètres!$A$1:$I$89,5,0)</f>
        <v>3.177547114319168E-13</v>
      </c>
      <c r="AK95" s="13">
        <f t="shared" si="89"/>
        <v>4.1725404435445377E-12</v>
      </c>
      <c r="AL95" s="20">
        <f t="shared" si="58"/>
        <v>7.820597394917325E-12</v>
      </c>
      <c r="AM95" s="59">
        <f t="shared" si="59"/>
        <v>288.93580582368799</v>
      </c>
      <c r="AN95" s="59">
        <f ca="1">AVERAGE(OFFSET($AM$3,0,0,'Données projet'!$E$10+1,1))-AVERAGE(OFFSET($H$3,0,0,'Données projet'!$E$10+1,1))</f>
        <v>391.55758836264408</v>
      </c>
      <c r="AO95" s="59">
        <f t="shared" si="90"/>
        <v>360.80727659978777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149.25209707720813</v>
      </c>
      <c r="AV95" s="21">
        <f>EXP(-LN(2)/25)*AV94+(1-EXP(-LN(2)/25))/(LN(2)/25)*Calculateur!AQ95*Calculateur!AS95*VLOOKUP('Données projet'!$B$10,Paramètres!$A$1:$I$89,3,0)*0.475*44/12</f>
        <v>41.707441507870058</v>
      </c>
      <c r="AW95" s="21">
        <f>EXP(-LN(2)/2)*AW94+(1-EXP(-LN(2)/2))/(LN(2)/2)*AQ95*AT95*VLOOKUP('Données projet'!$B$10,Paramètres!$A$1:$I$89,3,0)*0.475*44/12</f>
        <v>3.6867931798251909E-2</v>
      </c>
      <c r="AX95" s="21">
        <f t="shared" si="60"/>
        <v>190.99640651687642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5.0249582272954292E-14</v>
      </c>
      <c r="BF95" s="13">
        <f t="shared" si="91"/>
        <v>8.1784820119191593E-13</v>
      </c>
      <c r="BG95" s="20">
        <f t="shared" si="61"/>
        <v>1.5119369728679821E-12</v>
      </c>
      <c r="BH95" s="59">
        <f t="shared" si="62"/>
        <v>288.93580582368168</v>
      </c>
      <c r="BI95" s="59">
        <f ca="1">AVERAGE(OFFSET($BH$3,0,0,'Données projet'!$E$11+1,1))-AVERAGE(OFFSET($H$3,0,0,'Données projet'!$E$11+1,1))</f>
        <v>400.11184625063709</v>
      </c>
      <c r="BJ95" s="59">
        <f t="shared" si="92"/>
        <v>340.02906159605971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162.92612200187364</v>
      </c>
      <c r="BQ95" s="21">
        <f>EXP(-LN(2)/25)*BQ94+(1-EXP(-LN(2)/25))/(LN(2)/25)*Calculateur!BL95*Calculateur!BN95*VLOOKUP('Données projet'!$B$11,Paramètres!$A$1:$I$89,3,0)*0.475*44/12</f>
        <v>51.547767710473558</v>
      </c>
      <c r="BR95" s="21">
        <f>EXP(-LN(2)/2)*BR94+(1-EXP(-LN(2)/2))/(LN(2)/2)*BL95*BO95*VLOOKUP('Données projet'!$B$11,Paramètres!$A$1:$I$89,3,0)*0.475*44/12</f>
        <v>1.2281857995050844</v>
      </c>
      <c r="BS95" s="22">
        <f t="shared" si="63"/>
        <v>215.70207551185229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9.1730000000000018</v>
      </c>
      <c r="BY95" s="12">
        <f>IF('Données projet'!$A$114&gt;35,BY94+BX95-CG94,IF(A95&lt;'Données projet'!$A$114,$BV$205^A95,IF(A95='Données projet'!$A$114,'Données projet'!$B$114,BY94+BX95-CG94)))</f>
        <v>361.7840000000005</v>
      </c>
      <c r="BZ95" s="13">
        <f>BY95*VLOOKUP('Données projet'!$B$12,Paramètres!$A$1:$I$89,3,0)*VLOOKUP('Données projet'!$B$12,Paramètres!$A$1:$I$89,5,0)</f>
        <v>242.68470720000033</v>
      </c>
      <c r="CA95" s="13">
        <f t="shared" si="93"/>
        <v>59.016783811123055</v>
      </c>
      <c r="CB95" s="20">
        <f t="shared" si="64"/>
        <v>525.46343017770653</v>
      </c>
      <c r="CC95" s="59">
        <f t="shared" si="65"/>
        <v>814.39923600138673</v>
      </c>
      <c r="CD95" s="59">
        <f ca="1">AVERAGE(OFFSET($CC$3,0,0,'Données projet'!$E$12+1,1))-AVERAGE(OFFSET($H$3,0,0,'Données projet'!$E$12+1,1))</f>
        <v>493.98227954109774</v>
      </c>
      <c r="CE95" s="59">
        <f t="shared" si="94"/>
        <v>224.32736097997289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17.186488996328073</v>
      </c>
      <c r="CL95" s="21">
        <f>EXP(-LN(2)/25)*CL94+(1-EXP(-LN(2)/25))/(LN(2)/25)*Calculateur!CG95*Calculateur!CI95*VLOOKUP('Données projet'!$B$12,Paramètres!$A$1:$I$89,3,0)*0.475*44/12</f>
        <v>21.65184076730376</v>
      </c>
      <c r="CM95" s="21">
        <f>EXP(-LN(2)/2)*CM94+(1-EXP(-LN(2)/2))/(LN(2)/2)*CG95*CJ95*VLOOKUP('Données projet'!$B$12,Paramètres!$A$1:$I$89,3,0)*0.475*44/12</f>
        <v>0.27061787959913297</v>
      </c>
      <c r="CN95" s="22">
        <f t="shared" si="66"/>
        <v>39.10894764323097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9.1730000000000018</v>
      </c>
      <c r="CT95" s="12">
        <f>IF('Données projet'!$A$140&gt;35,CT94+CS95-DB94,IF(A95&lt;'Données projet'!$A$140,$CQ$205^A95,IF(A95='Données projet'!$A$140,'Données projet'!$B$140,CT94+CS95-DB94)))</f>
        <v>361.7840000000005</v>
      </c>
      <c r="CU95" s="17">
        <f>CT95*VLOOKUP('Données projet'!$B$13,Paramètres!$A$1:$I$89,3,0)*VLOOKUP('Données projet'!$B$13,Paramètres!$A$1:$I$89,5,0)</f>
        <v>344.27365440000045</v>
      </c>
      <c r="CV95" s="13">
        <f t="shared" si="95"/>
        <v>80.382267548731363</v>
      </c>
      <c r="CW95" s="20">
        <f t="shared" si="67"/>
        <v>739.60906406070796</v>
      </c>
      <c r="CX95" s="59">
        <f t="shared" si="68"/>
        <v>1028.5448698843882</v>
      </c>
      <c r="CY95" s="59">
        <f ca="1">AVERAGE(OFFSET($CX$3,0,0,'Données projet'!$E$13+1,1))-AVERAGE(OFFSET($H$3,0,0,'Données projet'!$E$13+1,1))</f>
        <v>677.13548994240728</v>
      </c>
      <c r="CZ95" s="59">
        <f t="shared" si="96"/>
        <v>298.72429542440534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19.780676014641749</v>
      </c>
      <c r="DG95" s="21">
        <f>EXP(-LN(2)/25)*DG94+(1-EXP(-LN(2)/25))/(LN(2)/25)*Calculateur!DB95*Calculateur!DD95*VLOOKUP('Données projet'!$B$13,Paramètres!$A$1:$I$89,3,0)*0.475*44/12</f>
        <v>24.920043147274139</v>
      </c>
      <c r="DH95" s="21">
        <f>EXP(-LN(2)/2)*DH94+(1-EXP(-LN(2)/2))/(LN(2)/2)*DB95*DE95*VLOOKUP('Données projet'!$B$13,Paramètres!$A$1:$I$89,3,0)*0.475*44/12</f>
        <v>0.38389978268714225</v>
      </c>
      <c r="DI95" s="22">
        <f t="shared" si="69"/>
        <v>45.084618944603029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68.800674315549131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1.2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4.3999999999999995</v>
      </c>
      <c r="H96" s="67">
        <f t="shared" si="56"/>
        <v>239.06666666666669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1010.4814040619179</v>
      </c>
      <c r="S96" s="59">
        <f ca="1">AVERAGE(OFFSET($R$3,0,0,'Données projet'!$E$9+1,1))-AVERAGE(OFFSET($H$3,0,0,'Données projet'!$E$9+1,1))</f>
        <v>646.69588445509589</v>
      </c>
      <c r="T96" s="59">
        <f t="shared" si="88"/>
        <v>286.36346771084698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5.6843418860808015E-13</v>
      </c>
      <c r="AJ96" s="13">
        <f>AI96*VLOOKUP('Données projet'!$B$10,Paramètres!$A$1:$I$89,3,0)*VLOOKUP('Données projet'!$B$10,Paramètres!$A$1:$I$89,5,0)</f>
        <v>3.177547114319168E-13</v>
      </c>
      <c r="AK96" s="13">
        <f t="shared" si="89"/>
        <v>4.1725404435445377E-12</v>
      </c>
      <c r="AL96" s="20">
        <f t="shared" si="58"/>
        <v>7.820597394917325E-12</v>
      </c>
      <c r="AM96" s="59">
        <f t="shared" si="59"/>
        <v>289.01209309458181</v>
      </c>
      <c r="AN96" s="59">
        <f ca="1">AVERAGE(OFFSET($AM$3,0,0,'Données projet'!$E$10+1,1))-AVERAGE(OFFSET($H$3,0,0,'Données projet'!$E$10+1,1))</f>
        <v>391.55758836264408</v>
      </c>
      <c r="AO96" s="59">
        <f t="shared" si="90"/>
        <v>360.80727659978777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146.32535448831436</v>
      </c>
      <c r="AV96" s="21">
        <f>EXP(-LN(2)/25)*AV95+(1-EXP(-LN(2)/25))/(LN(2)/25)*Calculateur!AQ96*Calculateur!AS96*VLOOKUP('Données projet'!$B$10,Paramètres!$A$1:$I$89,3,0)*0.475*44/12</f>
        <v>40.566949326538328</v>
      </c>
      <c r="AW96" s="21">
        <f>EXP(-LN(2)/2)*AW95+(1-EXP(-LN(2)/2))/(LN(2)/2)*AQ96*AT96*VLOOKUP('Données projet'!$B$10,Paramètres!$A$1:$I$89,3,0)*0.475*44/12</f>
        <v>2.6069564582867071E-2</v>
      </c>
      <c r="AX96" s="21">
        <f t="shared" si="60"/>
        <v>186.91837337943554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5.0249582272954292E-14</v>
      </c>
      <c r="BF96" s="13">
        <f t="shared" si="91"/>
        <v>8.1784820119191593E-13</v>
      </c>
      <c r="BG96" s="20">
        <f t="shared" si="61"/>
        <v>1.5119369728679821E-12</v>
      </c>
      <c r="BH96" s="59">
        <f t="shared" si="62"/>
        <v>289.0120930945755</v>
      </c>
      <c r="BI96" s="59">
        <f ca="1">AVERAGE(OFFSET($BH$3,0,0,'Données projet'!$E$11+1,1))-AVERAGE(OFFSET($H$3,0,0,'Données projet'!$E$11+1,1))</f>
        <v>400.11184625063709</v>
      </c>
      <c r="BJ96" s="59">
        <f t="shared" si="92"/>
        <v>340.02906159605971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159.73124012453883</v>
      </c>
      <c r="BQ96" s="21">
        <f>EXP(-LN(2)/25)*BQ95+(1-EXP(-LN(2)/25))/(LN(2)/25)*Calculateur!BL96*Calculateur!BN96*VLOOKUP('Données projet'!$B$11,Paramètres!$A$1:$I$89,3,0)*0.475*44/12</f>
        <v>50.138191291651367</v>
      </c>
      <c r="BR96" s="21">
        <f>EXP(-LN(2)/2)*BR95+(1-EXP(-LN(2)/2))/(LN(2)/2)*BL96*BO96*VLOOKUP('Données projet'!$B$11,Paramètres!$A$1:$I$89,3,0)*0.475*44/12</f>
        <v>0.86845850738706676</v>
      </c>
      <c r="BS96" s="22">
        <f t="shared" si="63"/>
        <v>210.73788992357726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9.1730000000000018</v>
      </c>
      <c r="BY96" s="12">
        <f>IF('Données projet'!$A$114&gt;35,BY95+BX96-CG95,IF(A96&lt;'Données projet'!$A$114,$BV$205^A96,IF(A96='Données projet'!$A$114,'Données projet'!$B$114,BY95+BX96-CG95)))</f>
        <v>370.95700000000051</v>
      </c>
      <c r="BZ96" s="13">
        <f>BY96*VLOOKUP('Données projet'!$B$12,Paramètres!$A$1:$I$89,3,0)*VLOOKUP('Données projet'!$B$12,Paramètres!$A$1:$I$89,5,0)</f>
        <v>248.83795560000036</v>
      </c>
      <c r="CA96" s="13">
        <f t="shared" si="93"/>
        <v>60.337039101244834</v>
      </c>
      <c r="CB96" s="20">
        <f t="shared" si="64"/>
        <v>538.47978243800196</v>
      </c>
      <c r="CC96" s="59">
        <f t="shared" si="65"/>
        <v>827.49187553257593</v>
      </c>
      <c r="CD96" s="59">
        <f ca="1">AVERAGE(OFFSET($CC$3,0,0,'Données projet'!$E$12+1,1))-AVERAGE(OFFSET($H$3,0,0,'Données projet'!$E$12+1,1))</f>
        <v>493.98227954109774</v>
      </c>
      <c r="CE96" s="59">
        <f t="shared" si="94"/>
        <v>224.32736097997289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16.849472429833284</v>
      </c>
      <c r="CL96" s="21">
        <f>EXP(-LN(2)/25)*CL95+(1-EXP(-LN(2)/25))/(LN(2)/25)*Calculateur!CG96*Calculateur!CI96*VLOOKUP('Données projet'!$B$12,Paramètres!$A$1:$I$89,3,0)*0.475*44/12</f>
        <v>21.059770042901018</v>
      </c>
      <c r="CM96" s="21">
        <f>EXP(-LN(2)/2)*CM95+(1-EXP(-LN(2)/2))/(LN(2)/2)*CG96*CJ96*VLOOKUP('Données projet'!$B$12,Paramètres!$A$1:$I$89,3,0)*0.475*44/12</f>
        <v>0.19135573777487158</v>
      </c>
      <c r="CN96" s="22">
        <f t="shared" si="66"/>
        <v>38.100598210509176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9.1730000000000018</v>
      </c>
      <c r="CT96" s="12">
        <f>IF('Données projet'!$A$140&gt;35,CT95+CS96-DB95,IF(A96&lt;'Données projet'!$A$140,$CQ$205^A96,IF(A96='Données projet'!$A$140,'Données projet'!$B$140,CT95+CS96-DB95)))</f>
        <v>370.95700000000051</v>
      </c>
      <c r="CU96" s="17">
        <f>CT96*VLOOKUP('Données projet'!$B$13,Paramètres!$A$1:$I$89,3,0)*VLOOKUP('Données projet'!$B$13,Paramètres!$A$1:$I$89,5,0)</f>
        <v>353.0026812000005</v>
      </c>
      <c r="CV96" s="13">
        <f t="shared" si="95"/>
        <v>82.180486751981036</v>
      </c>
      <c r="CW96" s="20">
        <f t="shared" si="67"/>
        <v>757.94401751636781</v>
      </c>
      <c r="CX96" s="59">
        <f t="shared" si="68"/>
        <v>1046.9561106109418</v>
      </c>
      <c r="CY96" s="59">
        <f ca="1">AVERAGE(OFFSET($CX$3,0,0,'Données projet'!$E$13+1,1))-AVERAGE(OFFSET($H$3,0,0,'Données projet'!$E$13+1,1))</f>
        <v>677.13548994240728</v>
      </c>
      <c r="CZ96" s="59">
        <f t="shared" si="96"/>
        <v>298.72429542440534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19.39278902301567</v>
      </c>
      <c r="DG96" s="21">
        <f>EXP(-LN(2)/25)*DG95+(1-EXP(-LN(2)/25))/(LN(2)/25)*Calculateur!DB96*Calculateur!DD96*VLOOKUP('Données projet'!$B$13,Paramètres!$A$1:$I$89,3,0)*0.475*44/12</f>
        <v>24.238603256923813</v>
      </c>
      <c r="DH96" s="21">
        <f>EXP(-LN(2)/2)*DH95+(1-EXP(-LN(2)/2))/(LN(2)/2)*DB96*DE96*VLOOKUP('Données projet'!$B$13,Paramètres!$A$1:$I$89,3,0)*0.475*44/12</f>
        <v>0.27145813963412024</v>
      </c>
      <c r="DI96" s="22">
        <f t="shared" si="69"/>
        <v>43.902850419573603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68.821479934883811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1.2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4.3999999999999995</v>
      </c>
      <c r="H97" s="67">
        <f t="shared" si="56"/>
        <v>239.06666666666669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1027.9985240185576</v>
      </c>
      <c r="S97" s="59">
        <f ca="1">AVERAGE(OFFSET($R$3,0,0,'Données projet'!$E$9+1,1))-AVERAGE(OFFSET($H$3,0,0,'Données projet'!$E$9+1,1))</f>
        <v>646.69588445509589</v>
      </c>
      <c r="T97" s="59">
        <f t="shared" si="88"/>
        <v>286.36346771084698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5.6843418860808015E-13</v>
      </c>
      <c r="AJ97" s="13">
        <f>AI97*VLOOKUP('Données projet'!$B$10,Paramètres!$A$1:$I$89,3,0)*VLOOKUP('Données projet'!$B$10,Paramètres!$A$1:$I$89,5,0)</f>
        <v>3.177547114319168E-13</v>
      </c>
      <c r="AK97" s="13">
        <f t="shared" si="89"/>
        <v>4.1725404435445377E-12</v>
      </c>
      <c r="AL97" s="20">
        <f t="shared" si="58"/>
        <v>7.820597394917325E-12</v>
      </c>
      <c r="AM97" s="59">
        <f t="shared" si="59"/>
        <v>289.08705695187842</v>
      </c>
      <c r="AN97" s="59">
        <f ca="1">AVERAGE(OFFSET($AM$3,0,0,'Données projet'!$E$10+1,1))-AVERAGE(OFFSET($H$3,0,0,'Données projet'!$E$10+1,1))</f>
        <v>391.55758836264408</v>
      </c>
      <c r="AO97" s="59">
        <f t="shared" si="90"/>
        <v>360.80727659978777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143.45600353645207</v>
      </c>
      <c r="AV97" s="21">
        <f>EXP(-LN(2)/25)*AV96+(1-EXP(-LN(2)/25))/(LN(2)/25)*Calculateur!AQ97*Calculateur!AS97*VLOOKUP('Données projet'!$B$10,Paramètres!$A$1:$I$89,3,0)*0.475*44/12</f>
        <v>39.45764396388099</v>
      </c>
      <c r="AW97" s="21">
        <f>EXP(-LN(2)/2)*AW96+(1-EXP(-LN(2)/2))/(LN(2)/2)*AQ97*AT97*VLOOKUP('Données projet'!$B$10,Paramètres!$A$1:$I$89,3,0)*0.475*44/12</f>
        <v>1.8433965899125954E-2</v>
      </c>
      <c r="AX97" s="21">
        <f t="shared" si="60"/>
        <v>182.93208146623221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5.0249582272954292E-14</v>
      </c>
      <c r="BF97" s="13">
        <f t="shared" si="91"/>
        <v>8.1784820119191593E-13</v>
      </c>
      <c r="BG97" s="20">
        <f t="shared" si="61"/>
        <v>1.5119369728679821E-12</v>
      </c>
      <c r="BH97" s="59">
        <f t="shared" si="62"/>
        <v>289.08705695187211</v>
      </c>
      <c r="BI97" s="59">
        <f ca="1">AVERAGE(OFFSET($BH$3,0,0,'Données projet'!$E$11+1,1))-AVERAGE(OFFSET($H$3,0,0,'Données projet'!$E$11+1,1))</f>
        <v>400.11184625063709</v>
      </c>
      <c r="BJ97" s="59">
        <f t="shared" si="92"/>
        <v>340.02906159605971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156.59900793213305</v>
      </c>
      <c r="BQ97" s="21">
        <f>EXP(-LN(2)/25)*BQ96+(1-EXP(-LN(2)/25))/(LN(2)/25)*Calculateur!BL97*Calculateur!BN97*VLOOKUP('Données projet'!$B$11,Paramètres!$A$1:$I$89,3,0)*0.475*44/12</f>
        <v>48.76715981412827</v>
      </c>
      <c r="BR97" s="21">
        <f>EXP(-LN(2)/2)*BR96+(1-EXP(-LN(2)/2))/(LN(2)/2)*BL97*BO97*VLOOKUP('Données projet'!$B$11,Paramètres!$A$1:$I$89,3,0)*0.475*44/12</f>
        <v>0.61409289975254233</v>
      </c>
      <c r="BS97" s="22">
        <f t="shared" si="63"/>
        <v>205.98026064601385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9.1730000000000018</v>
      </c>
      <c r="BX97" s="12">
        <f t="array" ref="BX97">INDEX(BW:BW,MIN(IF(ISNUMBER(BW97:BW293),ROW(BW97:BW293),"")))</f>
        <v>9.1730000000000018</v>
      </c>
      <c r="BY97" s="12">
        <f>IF('Données projet'!$A$114&gt;35,BY96+BX97-CG96,IF(A97&lt;'Données projet'!$A$114,$BV$205^A97,IF(A97='Données projet'!$A$114,'Données projet'!$B$114,BY96+BX97-CG96)))</f>
        <v>380.13000000000051</v>
      </c>
      <c r="BZ97" s="13">
        <f>BY97*VLOOKUP('Données projet'!$B$12,Paramètres!$A$1:$I$89,3,0)*VLOOKUP('Données projet'!$B$12,Paramètres!$A$1:$I$89,5,0)</f>
        <v>254.99120400000035</v>
      </c>
      <c r="CA97" s="13">
        <f t="shared" si="93"/>
        <v>61.653499314074082</v>
      </c>
      <c r="CB97" s="20">
        <f t="shared" si="64"/>
        <v>551.48952493867966</v>
      </c>
      <c r="CC97" s="59">
        <f t="shared" si="65"/>
        <v>840.57658189055019</v>
      </c>
      <c r="CD97" s="59">
        <f ca="1">AVERAGE(OFFSET($CC$3,0,0,'Données projet'!$E$12+1,1))-AVERAGE(OFFSET($H$3,0,0,'Données projet'!$E$12+1,1))</f>
        <v>493.98227954109774</v>
      </c>
      <c r="CE97" s="59">
        <f t="shared" si="94"/>
        <v>224.32736097997289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67.350000000000023</v>
      </c>
      <c r="CH97" s="16">
        <f>IF(ISNA(VLOOKUP(A97,'Données projet'!$A$113:$I$133,5,0)),0%,VLOOKUP(A97,'Données projet'!$A$113:$I$133,5,0)*VLOOKUP('Données projet'!$B$12,Paramètres!$A$1:$I$89,7,0))</f>
        <v>0.1855</v>
      </c>
      <c r="CI97" s="16">
        <f>IF(ISNA(VLOOKUP(A97,'Données projet'!$A$113:$I$133,6,0)),0%,VLOOKUP(A97,'Données projet'!$A$113:$I$133,6,0)*VLOOKUP('Données projet'!$B$12,Paramètres!$A$1:$I$89,7,0))</f>
        <v>0.10600000000000001</v>
      </c>
      <c r="CJ97" s="16">
        <f>IF(ISNA(VLOOKUP(A97,'Données projet'!$A$113:$I$133,7,0)),0%,VLOOKUP(A97,'Données projet'!$A$113:$I$133,7,0))</f>
        <v>0.1</v>
      </c>
      <c r="CK97" s="21">
        <f>EXP(-LN(2)/35)*CK96+(1-EXP(-LN(2)/35))/(LN(2)/35)*CG97*CH97*VLOOKUP('Données projet'!$B$12,Paramètres!$A$1:$I$89,3,0)*0.475*44/12</f>
        <v>25.783557996867806</v>
      </c>
      <c r="CL97" s="21">
        <f>EXP(-LN(2)/25)*CL96+(1-EXP(-LN(2)/25))/(LN(2)/25)*Calculateur!CG97*Calculateur!CI97*VLOOKUP('Données projet'!$B$12,Paramètres!$A$1:$I$89,3,0)*0.475*44/12</f>
        <v>25.757041297010723</v>
      </c>
      <c r="CM97" s="21">
        <f>EXP(-LN(2)/2)*CM96+(1-EXP(-LN(2)/2))/(LN(2)/2)*CG97*CJ97*VLOOKUP('Données projet'!$B$12,Paramètres!$A$1:$I$89,3,0)*0.475*44/12</f>
        <v>4.3980106886265462</v>
      </c>
      <c r="CN97" s="22">
        <f t="shared" si="66"/>
        <v>55.938609982505078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9.1730000000000018</v>
      </c>
      <c r="CS97" s="12">
        <f t="array" ref="CS97">INDEX(CR:CR,MIN(IF(ISNUMBER(CR97:CR293),ROW(CR97:CR293),"")))</f>
        <v>9.1730000000000018</v>
      </c>
      <c r="CT97" s="12">
        <f>IF('Données projet'!$A$140&gt;35,CT96+CS97-DB96,IF(A97&lt;'Données projet'!$A$140,$CQ$205^A97,IF(A97='Données projet'!$A$140,'Données projet'!$B$140,CT96+CS97-DB96)))</f>
        <v>380.13000000000051</v>
      </c>
      <c r="CU97" s="17">
        <f>CT97*VLOOKUP('Données projet'!$B$13,Paramètres!$A$1:$I$89,3,0)*VLOOKUP('Données projet'!$B$13,Paramètres!$A$1:$I$89,5,0)</f>
        <v>361.73170800000048</v>
      </c>
      <c r="CV97" s="13">
        <f t="shared" si="95"/>
        <v>83.973536969416998</v>
      </c>
      <c r="CW97" s="20">
        <f t="shared" si="67"/>
        <v>776.26996832173552</v>
      </c>
      <c r="CX97" s="59">
        <f t="shared" si="68"/>
        <v>1065.357025273606</v>
      </c>
      <c r="CY97" s="59">
        <f ca="1">AVERAGE(OFFSET($CX$3,0,0,'Données projet'!$E$13+1,1))-AVERAGE(OFFSET($H$3,0,0,'Données projet'!$E$13+1,1))</f>
        <v>677.13548994240728</v>
      </c>
      <c r="CZ97" s="59">
        <f t="shared" si="96"/>
        <v>298.72429542440534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67.350000000000023</v>
      </c>
      <c r="DC97" s="16">
        <f>IF(ISNA(VLOOKUP(A97,'Données projet'!$A$139:$I$159,5,0)),0%,VLOOKUP(A97,'Données projet'!$A$139:$I$159,5,0)*VLOOKUP('Données projet'!$B$13,Paramètres!$A$1:$I$89,7,0))</f>
        <v>0.15049999999999999</v>
      </c>
      <c r="DD97" s="16">
        <f>IF(ISNA(VLOOKUP(A97,'Données projet'!$A$139:$I$159,6,0)),0%,VLOOKUP(A97,'Données projet'!$A$139:$I$159,6,0)*VLOOKUP('Données projet'!$B$13,Paramètres!$A$1:$I$89,7,0))</f>
        <v>8.6000000000000007E-2</v>
      </c>
      <c r="DE97" s="16">
        <f>IF(ISNA(VLOOKUP(A97,'Données projet'!$A$139:$I$159,7,0)),0%,VLOOKUP(A97,'Données projet'!$A$139:$I$159,7,0))</f>
        <v>0.1</v>
      </c>
      <c r="DF97" s="21">
        <f>EXP(-LN(2)/35)*DF96+(1-EXP(-LN(2)/35))/(LN(2)/35)*DB97*DC97*VLOOKUP('Données projet'!$B$13,Paramètres!$A$1:$I$89,3,0)*0.475*44/12</f>
        <v>29.67541580771578</v>
      </c>
      <c r="DG97" s="21">
        <f>EXP(-LN(2)/25)*DG96+(1-EXP(-LN(2)/25))/(LN(2)/25)*Calculateur!DB97*Calculateur!DD97*VLOOKUP('Données projet'!$B$13,Paramètres!$A$1:$I$89,3,0)*0.475*44/12</f>
        <v>29.644896587125547</v>
      </c>
      <c r="DH97" s="21">
        <f>EXP(-LN(2)/2)*DH96+(1-EXP(-LN(2)/2))/(LN(2)/2)*DB97*DE97*VLOOKUP('Données projet'!$B$13,Paramètres!$A$1:$I$89,3,0)*0.475*44/12</f>
        <v>6.2390384187492867</v>
      </c>
      <c r="DI97" s="22">
        <f t="shared" si="69"/>
        <v>65.559350813590612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68.841924623237432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1.2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4.3999999999999995</v>
      </c>
      <c r="H98" s="67">
        <f t="shared" si="56"/>
        <v>239.06666666666669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916.85780707922618</v>
      </c>
      <c r="S98" s="59">
        <f ca="1">AVERAGE(OFFSET($R$3,0,0,'Données projet'!$E$9+1,1))-AVERAGE(OFFSET($H$3,0,0,'Données projet'!$E$9+1,1))</f>
        <v>646.69588445509589</v>
      </c>
      <c r="T98" s="59">
        <f t="shared" si="88"/>
        <v>286.36346771084698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5.6843418860808015E-13</v>
      </c>
      <c r="AJ98" s="13">
        <f>AI98*VLOOKUP('Données projet'!$B$10,Paramètres!$A$1:$I$89,3,0)*VLOOKUP('Données projet'!$B$10,Paramètres!$A$1:$I$89,5,0)</f>
        <v>3.177547114319168E-13</v>
      </c>
      <c r="AK98" s="13">
        <f t="shared" si="89"/>
        <v>4.1725404435445377E-12</v>
      </c>
      <c r="AL98" s="20">
        <f t="shared" si="58"/>
        <v>7.820597394917325E-12</v>
      </c>
      <c r="AM98" s="59">
        <f t="shared" si="59"/>
        <v>289.16072035384502</v>
      </c>
      <c r="AN98" s="59">
        <f ca="1">AVERAGE(OFFSET($AM$3,0,0,'Données projet'!$E$10+1,1))-AVERAGE(OFFSET($H$3,0,0,'Données projet'!$E$10+1,1))</f>
        <v>391.55758836264408</v>
      </c>
      <c r="AO98" s="59">
        <f t="shared" si="90"/>
        <v>360.80727659978777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140.64291880662455</v>
      </c>
      <c r="AV98" s="21">
        <f>EXP(-LN(2)/25)*AV97+(1-EXP(-LN(2)/25))/(LN(2)/25)*Calculateur!AQ98*Calculateur!AS98*VLOOKUP('Données projet'!$B$10,Paramètres!$A$1:$I$89,3,0)*0.475*44/12</f>
        <v>38.378672614701351</v>
      </c>
      <c r="AW98" s="21">
        <f>EXP(-LN(2)/2)*AW97+(1-EXP(-LN(2)/2))/(LN(2)/2)*AQ98*AT98*VLOOKUP('Données projet'!$B$10,Paramètres!$A$1:$I$89,3,0)*0.475*44/12</f>
        <v>1.3034782291433535E-2</v>
      </c>
      <c r="AX98" s="21">
        <f t="shared" si="60"/>
        <v>179.03462620361734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5.0249582272954292E-14</v>
      </c>
      <c r="BF98" s="13">
        <f t="shared" si="91"/>
        <v>8.1784820119191593E-13</v>
      </c>
      <c r="BG98" s="20">
        <f t="shared" si="61"/>
        <v>1.5119369728679821E-12</v>
      </c>
      <c r="BH98" s="59">
        <f t="shared" si="62"/>
        <v>289.16072035383871</v>
      </c>
      <c r="BI98" s="59">
        <f ca="1">AVERAGE(OFFSET($BH$3,0,0,'Données projet'!$E$11+1,1))-AVERAGE(OFFSET($H$3,0,0,'Données projet'!$E$11+1,1))</f>
        <v>400.11184625063709</v>
      </c>
      <c r="BJ98" s="59">
        <f t="shared" si="92"/>
        <v>340.02906159605971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153.52819690254734</v>
      </c>
      <c r="BQ98" s="21">
        <f>EXP(-LN(2)/25)*BQ97+(1-EXP(-LN(2)/25))/(LN(2)/25)*Calculateur!BL98*Calculateur!BN98*VLOOKUP('Données projet'!$B$11,Paramètres!$A$1:$I$89,3,0)*0.475*44/12</f>
        <v>47.433619264457455</v>
      </c>
      <c r="BR98" s="21">
        <f>EXP(-LN(2)/2)*BR97+(1-EXP(-LN(2)/2))/(LN(2)/2)*BL98*BO98*VLOOKUP('Données projet'!$B$11,Paramètres!$A$1:$I$89,3,0)*0.475*44/12</f>
        <v>0.43422925369353343</v>
      </c>
      <c r="BS98" s="22">
        <f t="shared" si="63"/>
        <v>201.39604542069833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8.9420000000000019</v>
      </c>
      <c r="BY98" s="12">
        <f>IF('Données projet'!$A$114&gt;35,BY97+BX98-CG97,IF(A98&lt;'Données projet'!$A$114,$BV$205^A98,IF(A98='Données projet'!$A$114,'Données projet'!$B$114,BY97+BX98-CG97)))</f>
        <v>321.72200000000049</v>
      </c>
      <c r="BZ98" s="13">
        <f>BY98*VLOOKUP('Données projet'!$B$12,Paramètres!$A$1:$I$89,3,0)*VLOOKUP('Données projet'!$B$12,Paramètres!$A$1:$I$89,5,0)</f>
        <v>215.81111760000033</v>
      </c>
      <c r="CA98" s="13">
        <f t="shared" si="93"/>
        <v>53.203436709909298</v>
      </c>
      <c r="CB98" s="20">
        <f t="shared" si="64"/>
        <v>468.53368208975917</v>
      </c>
      <c r="CC98" s="59">
        <f t="shared" si="65"/>
        <v>757.69440244359635</v>
      </c>
      <c r="CD98" s="59">
        <f ca="1">AVERAGE(OFFSET($CC$3,0,0,'Données projet'!$E$12+1,1))-AVERAGE(OFFSET($H$3,0,0,'Données projet'!$E$12+1,1))</f>
        <v>493.98227954109774</v>
      </c>
      <c r="CE98" s="59">
        <f t="shared" si="94"/>
        <v>224.32736097997289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25.27795815096675</v>
      </c>
      <c r="CL98" s="21">
        <f>EXP(-LN(2)/25)*CL97+(1-EXP(-LN(2)/25))/(LN(2)/25)*Calculateur!CG98*Calculateur!CI98*VLOOKUP('Données projet'!$B$12,Paramètres!$A$1:$I$89,3,0)*0.475*44/12</f>
        <v>25.052713648240033</v>
      </c>
      <c r="CM98" s="21">
        <f>EXP(-LN(2)/2)*CM97+(1-EXP(-LN(2)/2))/(LN(2)/2)*CG98*CJ98*VLOOKUP('Données projet'!$B$12,Paramètres!$A$1:$I$89,3,0)*0.475*44/12</f>
        <v>3.1098631816587488</v>
      </c>
      <c r="CN98" s="22">
        <f t="shared" si="66"/>
        <v>53.440534980865529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8.9420000000000019</v>
      </c>
      <c r="CT98" s="12">
        <f>IF('Données projet'!$A$140&gt;35,CT97+CS98-DB97,IF(A98&lt;'Données projet'!$A$140,$CQ$205^A98,IF(A98='Données projet'!$A$140,'Données projet'!$B$140,CT97+CS98-DB97)))</f>
        <v>321.72200000000049</v>
      </c>
      <c r="CU98" s="17">
        <f>CT98*VLOOKUP('Données projet'!$B$13,Paramètres!$A$1:$I$89,3,0)*VLOOKUP('Données projet'!$B$13,Paramètres!$A$1:$I$89,5,0)</f>
        <v>306.15065520000047</v>
      </c>
      <c r="CV98" s="13">
        <f t="shared" si="95"/>
        <v>72.464350104451199</v>
      </c>
      <c r="CW98" s="20">
        <f t="shared" si="67"/>
        <v>659.42113423858666</v>
      </c>
      <c r="CX98" s="59">
        <f t="shared" si="68"/>
        <v>948.58185459242384</v>
      </c>
      <c r="CY98" s="59">
        <f ca="1">AVERAGE(OFFSET($CX$3,0,0,'Données projet'!$E$13+1,1))-AVERAGE(OFFSET($H$3,0,0,'Données projet'!$E$13+1,1))</f>
        <v>677.13548994240728</v>
      </c>
      <c r="CZ98" s="59">
        <f t="shared" si="96"/>
        <v>298.72429542440534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29.093499003942867</v>
      </c>
      <c r="DG98" s="21">
        <f>EXP(-LN(2)/25)*DG97+(1-EXP(-LN(2)/25))/(LN(2)/25)*Calculateur!DB98*Calculateur!DD98*VLOOKUP('Données projet'!$B$13,Paramètres!$A$1:$I$89,3,0)*0.475*44/12</f>
        <v>28.834255330993241</v>
      </c>
      <c r="DH98" s="21">
        <f>EXP(-LN(2)/2)*DH97+(1-EXP(-LN(2)/2))/(LN(2)/2)*DB98*DE98*VLOOKUP('Données projet'!$B$13,Paramètres!$A$1:$I$89,3,0)*0.475*44/12</f>
        <v>4.4116663739810154</v>
      </c>
      <c r="DI98" s="22">
        <f t="shared" si="69"/>
        <v>62.339420708917125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68.862014641955597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1.2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4.3999999999999995</v>
      </c>
      <c r="H99" s="67">
        <f t="shared" si="56"/>
        <v>239.06666666666669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933.98125297953425</v>
      </c>
      <c r="S99" s="59">
        <f ca="1">AVERAGE(OFFSET($R$3,0,0,'Données projet'!$E$9+1,1))-AVERAGE(OFFSET($H$3,0,0,'Données projet'!$E$9+1,1))</f>
        <v>646.69588445509589</v>
      </c>
      <c r="T99" s="59">
        <f t="shared" si="88"/>
        <v>286.36346771084698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5.6843418860808015E-13</v>
      </c>
      <c r="AJ99" s="13">
        <f>AI99*VLOOKUP('Données projet'!$B$10,Paramètres!$A$1:$I$89,3,0)*VLOOKUP('Données projet'!$B$10,Paramètres!$A$1:$I$89,5,0)</f>
        <v>3.177547114319168E-13</v>
      </c>
      <c r="AK99" s="13">
        <f t="shared" si="89"/>
        <v>4.1725404435445377E-12</v>
      </c>
      <c r="AL99" s="20">
        <f t="shared" si="58"/>
        <v>7.820597394917325E-12</v>
      </c>
      <c r="AM99" s="59">
        <f t="shared" si="59"/>
        <v>289.23310586047415</v>
      </c>
      <c r="AN99" s="59">
        <f ca="1">AVERAGE(OFFSET($AM$3,0,0,'Données projet'!$E$10+1,1))-AVERAGE(OFFSET($H$3,0,0,'Données projet'!$E$10+1,1))</f>
        <v>391.55758836264408</v>
      </c>
      <c r="AO99" s="59">
        <f t="shared" si="90"/>
        <v>360.80727659978777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137.88499695253668</v>
      </c>
      <c r="AV99" s="21">
        <f>EXP(-LN(2)/25)*AV98+(1-EXP(-LN(2)/25))/(LN(2)/25)*Calculateur!AQ99*Calculateur!AS99*VLOOKUP('Données projet'!$B$10,Paramètres!$A$1:$I$89,3,0)*0.475*44/12</f>
        <v>37.329205793805663</v>
      </c>
      <c r="AW99" s="21">
        <f>EXP(-LN(2)/2)*AW98+(1-EXP(-LN(2)/2))/(LN(2)/2)*AQ99*AT99*VLOOKUP('Données projet'!$B$10,Paramètres!$A$1:$I$89,3,0)*0.475*44/12</f>
        <v>9.2169829495629772E-3</v>
      </c>
      <c r="AX99" s="21">
        <f t="shared" si="60"/>
        <v>175.22341972929192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5.0249582272954292E-14</v>
      </c>
      <c r="BF99" s="13">
        <f t="shared" si="91"/>
        <v>8.1784820119191593E-13</v>
      </c>
      <c r="BG99" s="20">
        <f t="shared" si="61"/>
        <v>1.5119369728679821E-12</v>
      </c>
      <c r="BH99" s="59">
        <f t="shared" si="62"/>
        <v>289.23310586046784</v>
      </c>
      <c r="BI99" s="59">
        <f ca="1">AVERAGE(OFFSET($BH$3,0,0,'Données projet'!$E$11+1,1))-AVERAGE(OFFSET($H$3,0,0,'Données projet'!$E$11+1,1))</f>
        <v>400.11184625063709</v>
      </c>
      <c r="BJ99" s="59">
        <f t="shared" si="92"/>
        <v>340.02906159605971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150.51760260424203</v>
      </c>
      <c r="BQ99" s="21">
        <f>EXP(-LN(2)/25)*BQ98+(1-EXP(-LN(2)/25))/(LN(2)/25)*Calculateur!BL99*Calculateur!BN99*VLOOKUP('Données projet'!$B$11,Paramètres!$A$1:$I$89,3,0)*0.475*44/12</f>
        <v>46.136544451245243</v>
      </c>
      <c r="BR99" s="21">
        <f>EXP(-LN(2)/2)*BR98+(1-EXP(-LN(2)/2))/(LN(2)/2)*BL99*BO99*VLOOKUP('Données projet'!$B$11,Paramètres!$A$1:$I$89,3,0)*0.475*44/12</f>
        <v>0.30704644987627122</v>
      </c>
      <c r="BS99" s="22">
        <f t="shared" si="63"/>
        <v>196.96119350536355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8.9420000000000019</v>
      </c>
      <c r="BY99" s="12">
        <f>IF('Données projet'!$A$114&gt;35,BY98+BX99-CG98,IF(A99&lt;'Données projet'!$A$114,$BV$205^A99,IF(A99='Données projet'!$A$114,'Données projet'!$B$114,BY98+BX99-CG98)))</f>
        <v>330.6640000000005</v>
      </c>
      <c r="BZ99" s="13">
        <f>BY99*VLOOKUP('Données projet'!$B$12,Paramètres!$A$1:$I$89,3,0)*VLOOKUP('Données projet'!$B$12,Paramètres!$A$1:$I$89,5,0)</f>
        <v>221.80941120000037</v>
      </c>
      <c r="CA99" s="13">
        <f t="shared" si="93"/>
        <v>54.507964633116046</v>
      </c>
      <c r="CB99" s="20">
        <f t="shared" si="64"/>
        <v>481.25276290934448</v>
      </c>
      <c r="CC99" s="59">
        <f t="shared" si="65"/>
        <v>770.48586876981085</v>
      </c>
      <c r="CD99" s="59">
        <f ca="1">AVERAGE(OFFSET($CC$3,0,0,'Données projet'!$E$12+1,1))-AVERAGE(OFFSET($H$3,0,0,'Données projet'!$E$12+1,1))</f>
        <v>493.98227954109774</v>
      </c>
      <c r="CE99" s="59">
        <f t="shared" si="94"/>
        <v>224.32736097997289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24.782272809658359</v>
      </c>
      <c r="CL99" s="21">
        <f>EXP(-LN(2)/25)*CL98+(1-EXP(-LN(2)/25))/(LN(2)/25)*Calculateur!CG99*Calculateur!CI99*VLOOKUP('Données projet'!$B$12,Paramètres!$A$1:$I$89,3,0)*0.475*44/12</f>
        <v>24.367645876063957</v>
      </c>
      <c r="CM99" s="21">
        <f>EXP(-LN(2)/2)*CM98+(1-EXP(-LN(2)/2))/(LN(2)/2)*CG99*CJ99*VLOOKUP('Données projet'!$B$12,Paramètres!$A$1:$I$89,3,0)*0.475*44/12</f>
        <v>2.1990053443132735</v>
      </c>
      <c r="CN99" s="22">
        <f t="shared" si="66"/>
        <v>51.348924030035583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8.9420000000000019</v>
      </c>
      <c r="CT99" s="12">
        <f>IF('Données projet'!$A$140&gt;35,CT98+CS99-DB98,IF(A99&lt;'Données projet'!$A$140,$CQ$205^A99,IF(A99='Données projet'!$A$140,'Données projet'!$B$140,CT98+CS99-DB98)))</f>
        <v>330.6640000000005</v>
      </c>
      <c r="CU99" s="17">
        <f>CT99*VLOOKUP('Données projet'!$B$13,Paramètres!$A$1:$I$89,3,0)*VLOOKUP('Données projet'!$B$13,Paramètres!$A$1:$I$89,5,0)</f>
        <v>314.65986240000052</v>
      </c>
      <c r="CV99" s="13">
        <f t="shared" si="95"/>
        <v>74.241148258745596</v>
      </c>
      <c r="CW99" s="20">
        <f t="shared" si="67"/>
        <v>677.3359268973162</v>
      </c>
      <c r="CX99" s="59">
        <f t="shared" si="68"/>
        <v>966.56903275778245</v>
      </c>
      <c r="CY99" s="59">
        <f ca="1">AVERAGE(OFFSET($CX$3,0,0,'Données projet'!$E$13+1,1))-AVERAGE(OFFSET($H$3,0,0,'Données projet'!$E$13+1,1))</f>
        <v>677.13548994240728</v>
      </c>
      <c r="CZ99" s="59">
        <f t="shared" si="96"/>
        <v>298.72429542440534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28.522993233757738</v>
      </c>
      <c r="DG99" s="21">
        <f>EXP(-LN(2)/25)*DG98+(1-EXP(-LN(2)/25))/(LN(2)/25)*Calculateur!DB99*Calculateur!DD99*VLOOKUP('Données projet'!$B$13,Paramètres!$A$1:$I$89,3,0)*0.475*44/12</f>
        <v>28.045781102639644</v>
      </c>
      <c r="DH99" s="21">
        <f>EXP(-LN(2)/2)*DH98+(1-EXP(-LN(2)/2))/(LN(2)/2)*DB99*DE99*VLOOKUP('Données projet'!$B$13,Paramètres!$A$1:$I$89,3,0)*0.475*44/12</f>
        <v>3.1195192093746438</v>
      </c>
      <c r="DI99" s="22">
        <f t="shared" si="69"/>
        <v>59.688293545772027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68.881756143763539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1.2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4.3999999999999995</v>
      </c>
      <c r="H100" s="67">
        <f t="shared" si="56"/>
        <v>239.06666666666669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951.09414013235664</v>
      </c>
      <c r="S100" s="59">
        <f ca="1">AVERAGE(OFFSET($R$3,0,0,'Données projet'!$E$9+1,1))-AVERAGE(OFFSET($H$3,0,0,'Données projet'!$E$9+1,1))</f>
        <v>646.69588445509589</v>
      </c>
      <c r="T100" s="59">
        <f t="shared" si="88"/>
        <v>286.36346771084698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5.6843418860808015E-13</v>
      </c>
      <c r="AJ100" s="13">
        <f>AI100*VLOOKUP('Données projet'!$B$10,Paramètres!$A$1:$I$89,3,0)*VLOOKUP('Données projet'!$B$10,Paramètres!$A$1:$I$89,5,0)</f>
        <v>3.177547114319168E-13</v>
      </c>
      <c r="AK100" s="13">
        <f t="shared" si="89"/>
        <v>4.1725404435445377E-12</v>
      </c>
      <c r="AL100" s="20">
        <f t="shared" si="58"/>
        <v>7.820597394917325E-12</v>
      </c>
      <c r="AM100" s="59">
        <f t="shared" si="59"/>
        <v>289.30423564039307</v>
      </c>
      <c r="AN100" s="59">
        <f ca="1">AVERAGE(OFFSET($AM$3,0,0,'Données projet'!$E$10+1,1))-AVERAGE(OFFSET($H$3,0,0,'Données projet'!$E$10+1,1))</f>
        <v>391.55758836264408</v>
      </c>
      <c r="AO100" s="59">
        <f t="shared" si="90"/>
        <v>360.80727659978777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135.18115626384125</v>
      </c>
      <c r="AV100" s="21">
        <f>EXP(-LN(2)/25)*AV99+(1-EXP(-LN(2)/25))/(LN(2)/25)*Calculateur!AQ100*Calculateur!AS100*VLOOKUP('Données projet'!$B$10,Paramètres!$A$1:$I$89,3,0)*0.475*44/12</f>
        <v>36.308436698316434</v>
      </c>
      <c r="AW100" s="21">
        <f>EXP(-LN(2)/2)*AW99+(1-EXP(-LN(2)/2))/(LN(2)/2)*AQ100*AT100*VLOOKUP('Données projet'!$B$10,Paramètres!$A$1:$I$89,3,0)*0.475*44/12</f>
        <v>6.5173911457167676E-3</v>
      </c>
      <c r="AX100" s="21">
        <f t="shared" si="60"/>
        <v>171.49611035330338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5.0249582272954292E-14</v>
      </c>
      <c r="BF100" s="13">
        <f t="shared" si="91"/>
        <v>8.1784820119191593E-13</v>
      </c>
      <c r="BG100" s="20">
        <f t="shared" si="61"/>
        <v>1.5119369728679821E-12</v>
      </c>
      <c r="BH100" s="59">
        <f t="shared" si="62"/>
        <v>289.30423564038676</v>
      </c>
      <c r="BI100" s="59">
        <f ca="1">AVERAGE(OFFSET($BH$3,0,0,'Données projet'!$E$11+1,1))-AVERAGE(OFFSET($H$3,0,0,'Données projet'!$E$11+1,1))</f>
        <v>400.11184625063709</v>
      </c>
      <c r="BJ100" s="59">
        <f t="shared" si="92"/>
        <v>340.02906159605971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147.56604422384527</v>
      </c>
      <c r="BQ100" s="21">
        <f>EXP(-LN(2)/25)*BQ99+(1-EXP(-LN(2)/25))/(LN(2)/25)*Calculateur!BL100*Calculateur!BN100*VLOOKUP('Données projet'!$B$11,Paramètres!$A$1:$I$89,3,0)*0.475*44/12</f>
        <v>44.874938217010516</v>
      </c>
      <c r="BR100" s="21">
        <f>EXP(-LN(2)/2)*BR99+(1-EXP(-LN(2)/2))/(LN(2)/2)*BL100*BO100*VLOOKUP('Données projet'!$B$11,Paramètres!$A$1:$I$89,3,0)*0.475*44/12</f>
        <v>0.21711462684676677</v>
      </c>
      <c r="BS100" s="22">
        <f t="shared" si="63"/>
        <v>192.65809706770256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8.9420000000000019</v>
      </c>
      <c r="BY100" s="12">
        <f>IF('Données projet'!$A$114&gt;35,BY99+BX100-CG99,IF(A100&lt;'Données projet'!$A$114,$BV$205^A100,IF(A100='Données projet'!$A$114,'Données projet'!$B$114,BY99+BX100-CG99)))</f>
        <v>339.60600000000051</v>
      </c>
      <c r="BZ100" s="13">
        <f>BY100*VLOOKUP('Données projet'!$B$12,Paramètres!$A$1:$I$89,3,0)*VLOOKUP('Données projet'!$B$12,Paramètres!$A$1:$I$89,5,0)</f>
        <v>227.80770480000035</v>
      </c>
      <c r="CA100" s="13">
        <f t="shared" si="93"/>
        <v>55.808392151808334</v>
      </c>
      <c r="CB100" s="20">
        <f t="shared" si="64"/>
        <v>493.96470219106681</v>
      </c>
      <c r="CC100" s="59">
        <f t="shared" si="65"/>
        <v>783.26893783145204</v>
      </c>
      <c r="CD100" s="59">
        <f ca="1">AVERAGE(OFFSET($CC$3,0,0,'Données projet'!$E$12+1,1))-AVERAGE(OFFSET($H$3,0,0,'Données projet'!$E$12+1,1))</f>
        <v>493.98227954109774</v>
      </c>
      <c r="CE100" s="59">
        <f t="shared" si="94"/>
        <v>224.32736097997289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24.296307555554822</v>
      </c>
      <c r="CL100" s="21">
        <f>EXP(-LN(2)/25)*CL99+(1-EXP(-LN(2)/25))/(LN(2)/25)*Calculateur!CG100*Calculateur!CI100*VLOOKUP('Données projet'!$B$12,Paramètres!$A$1:$I$89,3,0)*0.475*44/12</f>
        <v>23.701311318144185</v>
      </c>
      <c r="CM100" s="21">
        <f>EXP(-LN(2)/2)*CM99+(1-EXP(-LN(2)/2))/(LN(2)/2)*CG100*CJ100*VLOOKUP('Données projet'!$B$12,Paramètres!$A$1:$I$89,3,0)*0.475*44/12</f>
        <v>1.5549315908293746</v>
      </c>
      <c r="CN100" s="22">
        <f t="shared" si="66"/>
        <v>49.552550464528387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8.9420000000000019</v>
      </c>
      <c r="CT100" s="12">
        <f>IF('Données projet'!$A$140&gt;35,CT99+CS100-DB99,IF(A100&lt;'Données projet'!$A$140,$CQ$205^A100,IF(A100='Données projet'!$A$140,'Données projet'!$B$140,CT99+CS100-DB99)))</f>
        <v>339.60600000000051</v>
      </c>
      <c r="CU100" s="17">
        <f>CT100*VLOOKUP('Données projet'!$B$13,Paramètres!$A$1:$I$89,3,0)*VLOOKUP('Données projet'!$B$13,Paramètres!$A$1:$I$89,5,0)</f>
        <v>323.16906960000051</v>
      </c>
      <c r="CV100" s="13">
        <f t="shared" si="95"/>
        <v>76.012361564265504</v>
      </c>
      <c r="CW100" s="20">
        <f t="shared" si="67"/>
        <v>695.24099261109666</v>
      </c>
      <c r="CX100" s="59">
        <f t="shared" si="68"/>
        <v>984.54522825148183</v>
      </c>
      <c r="CY100" s="59">
        <f ca="1">AVERAGE(OFFSET($CX$3,0,0,'Données projet'!$E$13+1,1))-AVERAGE(OFFSET($H$3,0,0,'Données projet'!$E$13+1,1))</f>
        <v>677.13548994240728</v>
      </c>
      <c r="CZ100" s="59">
        <f t="shared" si="96"/>
        <v>298.72429542440534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27.96367473375178</v>
      </c>
      <c r="DG100" s="21">
        <f>EXP(-LN(2)/25)*DG99+(1-EXP(-LN(2)/25))/(LN(2)/25)*Calculateur!DB100*Calculateur!DD100*VLOOKUP('Données projet'!$B$13,Paramètres!$A$1:$I$89,3,0)*0.475*44/12</f>
        <v>27.278867743524433</v>
      </c>
      <c r="DH100" s="21">
        <f>EXP(-LN(2)/2)*DH99+(1-EXP(-LN(2)/2))/(LN(2)/2)*DB100*DE100*VLOOKUP('Données projet'!$B$13,Paramètres!$A$1:$I$89,3,0)*0.475*44/12</f>
        <v>2.2058331869905081</v>
      </c>
      <c r="DI100" s="22">
        <f t="shared" si="69"/>
        <v>57.448375664266727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68.901155174650512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1.2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4.3999999999999995</v>
      </c>
      <c r="H101" s="67">
        <f t="shared" si="56"/>
        <v>239.06666666666669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968.19676343285437</v>
      </c>
      <c r="S101" s="59">
        <f ca="1">AVERAGE(OFFSET($R$3,0,0,'Données projet'!$E$9+1,1))-AVERAGE(OFFSET($H$3,0,0,'Données projet'!$E$9+1,1))</f>
        <v>646.69588445509589</v>
      </c>
      <c r="T101" s="59">
        <f t="shared" si="88"/>
        <v>286.36346771084698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5.6843418860808015E-13</v>
      </c>
      <c r="AJ101" s="13">
        <f>AI101*VLOOKUP('Données projet'!$B$10,Paramètres!$A$1:$I$89,3,0)*VLOOKUP('Données projet'!$B$10,Paramètres!$A$1:$I$89,5,0)</f>
        <v>3.177547114319168E-13</v>
      </c>
      <c r="AK101" s="13">
        <f t="shared" si="89"/>
        <v>4.1725404435445377E-12</v>
      </c>
      <c r="AL101" s="20">
        <f t="shared" si="58"/>
        <v>7.820597394917325E-12</v>
      </c>
      <c r="AM101" s="59">
        <f t="shared" si="59"/>
        <v>289.37413147765272</v>
      </c>
      <c r="AN101" s="59">
        <f ca="1">AVERAGE(OFFSET($AM$3,0,0,'Données projet'!$E$10+1,1))-AVERAGE(OFFSET($H$3,0,0,'Données projet'!$E$10+1,1))</f>
        <v>391.55758836264408</v>
      </c>
      <c r="AO101" s="59">
        <f t="shared" si="90"/>
        <v>360.80727659978777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132.53033624187114</v>
      </c>
      <c r="AV101" s="21">
        <f>EXP(-LN(2)/25)*AV100+(1-EXP(-LN(2)/25))/(LN(2)/25)*Calculateur!AQ101*Calculateur!AS101*VLOOKUP('Données projet'!$B$10,Paramètres!$A$1:$I$89,3,0)*0.475*44/12</f>
        <v>35.31558058742327</v>
      </c>
      <c r="AW101" s="21">
        <f>EXP(-LN(2)/2)*AW100+(1-EXP(-LN(2)/2))/(LN(2)/2)*AQ101*AT101*VLOOKUP('Données projet'!$B$10,Paramètres!$A$1:$I$89,3,0)*0.475*44/12</f>
        <v>4.6084914747814886E-3</v>
      </c>
      <c r="AX101" s="21">
        <f t="shared" si="60"/>
        <v>167.85052532076921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5.0249582272954292E-14</v>
      </c>
      <c r="BF101" s="13">
        <f t="shared" si="91"/>
        <v>8.1784820119191593E-13</v>
      </c>
      <c r="BG101" s="20">
        <f t="shared" si="61"/>
        <v>1.5119369728679821E-12</v>
      </c>
      <c r="BH101" s="59">
        <f t="shared" si="62"/>
        <v>289.37413147764642</v>
      </c>
      <c r="BI101" s="59">
        <f ca="1">AVERAGE(OFFSET($BH$3,0,0,'Données projet'!$E$11+1,1))-AVERAGE(OFFSET($H$3,0,0,'Données projet'!$E$11+1,1))</f>
        <v>400.11184625063709</v>
      </c>
      <c r="BJ101" s="59">
        <f t="shared" si="92"/>
        <v>340.02906159605971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144.67236410301524</v>
      </c>
      <c r="BQ101" s="21">
        <f>EXP(-LN(2)/25)*BQ100+(1-EXP(-LN(2)/25))/(LN(2)/25)*Calculateur!BL101*Calculateur!BN101*VLOOKUP('Données projet'!$B$11,Paramètres!$A$1:$I$89,3,0)*0.475*44/12</f>
        <v>43.647830671595926</v>
      </c>
      <c r="BR101" s="21">
        <f>EXP(-LN(2)/2)*BR100+(1-EXP(-LN(2)/2))/(LN(2)/2)*BL101*BO101*VLOOKUP('Données projet'!$B$11,Paramètres!$A$1:$I$89,3,0)*0.475*44/12</f>
        <v>0.15352322493813564</v>
      </c>
      <c r="BS101" s="22">
        <f t="shared" si="63"/>
        <v>188.47371799954931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8.9420000000000019</v>
      </c>
      <c r="BY101" s="12">
        <f>IF('Données projet'!$A$114&gt;35,BY100+BX101-CG100,IF(A101&lt;'Données projet'!$A$114,$BV$205^A101,IF(A101='Données projet'!$A$114,'Données projet'!$B$114,BY100+BX101-CG100)))</f>
        <v>348.54800000000051</v>
      </c>
      <c r="BZ101" s="13">
        <f>BY101*VLOOKUP('Données projet'!$B$12,Paramètres!$A$1:$I$89,3,0)*VLOOKUP('Données projet'!$B$12,Paramètres!$A$1:$I$89,5,0)</f>
        <v>233.80599840000036</v>
      </c>
      <c r="CA101" s="13">
        <f t="shared" si="93"/>
        <v>57.104839642588111</v>
      </c>
      <c r="CB101" s="20">
        <f t="shared" si="64"/>
        <v>506.66970959084148</v>
      </c>
      <c r="CC101" s="59">
        <f t="shared" si="65"/>
        <v>796.04384106848636</v>
      </c>
      <c r="CD101" s="59">
        <f ca="1">AVERAGE(OFFSET($CC$3,0,0,'Données projet'!$E$12+1,1))-AVERAGE(OFFSET($H$3,0,0,'Données projet'!$E$12+1,1))</f>
        <v>493.98227954109774</v>
      </c>
      <c r="CE101" s="59">
        <f t="shared" si="94"/>
        <v>224.32736097997289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23.819871783674717</v>
      </c>
      <c r="CL101" s="21">
        <f>EXP(-LN(2)/25)*CL100+(1-EXP(-LN(2)/25))/(LN(2)/25)*Calculateur!CG101*Calculateur!CI101*VLOOKUP('Données projet'!$B$12,Paramètres!$A$1:$I$89,3,0)*0.475*44/12</f>
        <v>23.053197713751739</v>
      </c>
      <c r="CM101" s="21">
        <f>EXP(-LN(2)/2)*CM100+(1-EXP(-LN(2)/2))/(LN(2)/2)*CG101*CJ101*VLOOKUP('Données projet'!$B$12,Paramètres!$A$1:$I$89,3,0)*0.475*44/12</f>
        <v>1.099502672156637</v>
      </c>
      <c r="CN101" s="22">
        <f t="shared" si="66"/>
        <v>47.972572169583096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8.9420000000000019</v>
      </c>
      <c r="CT101" s="12">
        <f>IF('Données projet'!$A$140&gt;35,CT100+CS101-DB100,IF(A101&lt;'Données projet'!$A$140,$CQ$205^A101,IF(A101='Données projet'!$A$140,'Données projet'!$B$140,CT100+CS101-DB100)))</f>
        <v>348.54800000000051</v>
      </c>
      <c r="CU101" s="17">
        <f>CT101*VLOOKUP('Données projet'!$B$13,Paramètres!$A$1:$I$89,3,0)*VLOOKUP('Données projet'!$B$13,Paramètres!$A$1:$I$89,5,0)</f>
        <v>331.6782768000005</v>
      </c>
      <c r="CV101" s="13">
        <f t="shared" si="95"/>
        <v>77.778153976814764</v>
      </c>
      <c r="CW101" s="20">
        <f t="shared" si="67"/>
        <v>713.13661693628671</v>
      </c>
      <c r="CX101" s="59">
        <f t="shared" si="68"/>
        <v>1002.5107484139317</v>
      </c>
      <c r="CY101" s="59">
        <f ca="1">AVERAGE(OFFSET($CX$3,0,0,'Données projet'!$E$13+1,1))-AVERAGE(OFFSET($H$3,0,0,'Données projet'!$E$13+1,1))</f>
        <v>677.13548994240728</v>
      </c>
      <c r="CZ101" s="59">
        <f t="shared" si="96"/>
        <v>298.72429542440534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27.415324128380341</v>
      </c>
      <c r="DG101" s="21">
        <f>EXP(-LN(2)/25)*DG100+(1-EXP(-LN(2)/25))/(LN(2)/25)*Calculateur!DB101*Calculateur!DD101*VLOOKUP('Données projet'!$B$13,Paramètres!$A$1:$I$89,3,0)*0.475*44/12</f>
        <v>26.532925670544451</v>
      </c>
      <c r="DH101" s="21">
        <f>EXP(-LN(2)/2)*DH100+(1-EXP(-LN(2)/2))/(LN(2)/2)*DB101*DE101*VLOOKUP('Données projet'!$B$13,Paramètres!$A$1:$I$89,3,0)*0.475*44/12</f>
        <v>1.5597596046873221</v>
      </c>
      <c r="DI101" s="22">
        <f t="shared" si="69"/>
        <v>55.508009403612114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68.920217675721332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1.2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4.3999999999999995</v>
      </c>
      <c r="H102" s="67">
        <f t="shared" si="56"/>
        <v>239.06666666666669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985.28940258659304</v>
      </c>
      <c r="S102" s="59">
        <f ca="1">AVERAGE(OFFSET($R$3,0,0,'Données projet'!$E$9+1,1))-AVERAGE(OFFSET($H$3,0,0,'Données projet'!$E$9+1,1))</f>
        <v>646.69588445509589</v>
      </c>
      <c r="T102" s="59">
        <f t="shared" si="88"/>
        <v>286.36346771084698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5.6843418860808015E-13</v>
      </c>
      <c r="AJ102" s="13">
        <f>AI102*VLOOKUP('Données projet'!$B$10,Paramètres!$A$1:$I$89,3,0)*VLOOKUP('Données projet'!$B$10,Paramètres!$A$1:$I$89,5,0)</f>
        <v>3.177547114319168E-13</v>
      </c>
      <c r="AK102" s="13">
        <f t="shared" si="89"/>
        <v>4.1725404435445377E-12</v>
      </c>
      <c r="AL102" s="20">
        <f t="shared" si="58"/>
        <v>7.820597394917325E-12</v>
      </c>
      <c r="AM102" s="59">
        <f t="shared" si="59"/>
        <v>289.44281477839962</v>
      </c>
      <c r="AN102" s="59">
        <f ca="1">AVERAGE(OFFSET($AM$3,0,0,'Données projet'!$E$10+1,1))-AVERAGE(OFFSET($H$3,0,0,'Données projet'!$E$10+1,1))</f>
        <v>391.55758836264408</v>
      </c>
      <c r="AO102" s="59">
        <f t="shared" si="90"/>
        <v>360.80727659978777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129.93149718369131</v>
      </c>
      <c r="AV102" s="21">
        <f>EXP(-LN(2)/25)*AV101+(1-EXP(-LN(2)/25))/(LN(2)/25)*Calculateur!AQ102*Calculateur!AS102*VLOOKUP('Données projet'!$B$10,Paramètres!$A$1:$I$89,3,0)*0.475*44/12</f>
        <v>34.349874179094513</v>
      </c>
      <c r="AW102" s="21">
        <f>EXP(-LN(2)/2)*AW101+(1-EXP(-LN(2)/2))/(LN(2)/2)*AQ102*AT102*VLOOKUP('Données projet'!$B$10,Paramètres!$A$1:$I$89,3,0)*0.475*44/12</f>
        <v>3.2586955728583838E-3</v>
      </c>
      <c r="AX102" s="21">
        <f t="shared" si="60"/>
        <v>164.28463005835869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5.0249582272954292E-14</v>
      </c>
      <c r="BF102" s="13">
        <f t="shared" si="91"/>
        <v>8.1784820119191593E-13</v>
      </c>
      <c r="BG102" s="20">
        <f t="shared" si="61"/>
        <v>1.5119369728679821E-12</v>
      </c>
      <c r="BH102" s="59">
        <f t="shared" si="62"/>
        <v>289.44281477839331</v>
      </c>
      <c r="BI102" s="59">
        <f ca="1">AVERAGE(OFFSET($BH$3,0,0,'Données projet'!$E$11+1,1))-AVERAGE(OFFSET($H$3,0,0,'Données projet'!$E$11+1,1))</f>
        <v>400.11184625063709</v>
      </c>
      <c r="BJ102" s="59">
        <f t="shared" si="92"/>
        <v>340.02906159605971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141.83542728438411</v>
      </c>
      <c r="BQ102" s="21">
        <f>EXP(-LN(2)/25)*BQ101+(1-EXP(-LN(2)/25))/(LN(2)/25)*Calculateur!BL102*Calculateur!BN102*VLOOKUP('Données projet'!$B$11,Paramètres!$A$1:$I$89,3,0)*0.475*44/12</f>
        <v>42.45427844654148</v>
      </c>
      <c r="BR102" s="21">
        <f>EXP(-LN(2)/2)*BR101+(1-EXP(-LN(2)/2))/(LN(2)/2)*BL102*BO102*VLOOKUP('Données projet'!$B$11,Paramètres!$A$1:$I$89,3,0)*0.475*44/12</f>
        <v>0.1085573134233834</v>
      </c>
      <c r="BS102" s="22">
        <f t="shared" si="63"/>
        <v>184.39826304434897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8.9420000000000019</v>
      </c>
      <c r="BY102" s="12">
        <f>IF('Données projet'!$A$114&gt;35,BY101+BX102-CG101,IF(A102&lt;'Données projet'!$A$114,$BV$205^A102,IF(A102='Données projet'!$A$114,'Données projet'!$B$114,BY101+BX102-CG101)))</f>
        <v>357.49000000000052</v>
      </c>
      <c r="BZ102" s="13">
        <f>BY102*VLOOKUP('Données projet'!$B$12,Paramètres!$A$1:$I$89,3,0)*VLOOKUP('Données projet'!$B$12,Paramètres!$A$1:$I$89,5,0)</f>
        <v>239.80429200000034</v>
      </c>
      <c r="CA102" s="13">
        <f t="shared" si="93"/>
        <v>58.397420953648293</v>
      </c>
      <c r="CB102" s="20">
        <f t="shared" si="64"/>
        <v>519.36798339427139</v>
      </c>
      <c r="CC102" s="59">
        <f t="shared" si="65"/>
        <v>808.81079817266323</v>
      </c>
      <c r="CD102" s="59">
        <f ca="1">AVERAGE(OFFSET($CC$3,0,0,'Données projet'!$E$12+1,1))-AVERAGE(OFFSET($H$3,0,0,'Données projet'!$E$12+1,1))</f>
        <v>493.98227954109774</v>
      </c>
      <c r="CE102" s="59">
        <f t="shared" si="94"/>
        <v>224.32736097997289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23.352778626684056</v>
      </c>
      <c r="CL102" s="21">
        <f>EXP(-LN(2)/25)*CL101+(1-EXP(-LN(2)/25))/(LN(2)/25)*Calculateur!CG102*Calculateur!CI102*VLOOKUP('Données projet'!$B$12,Paramètres!$A$1:$I$89,3,0)*0.475*44/12</f>
        <v>22.422806809954221</v>
      </c>
      <c r="CM102" s="21">
        <f>EXP(-LN(2)/2)*CM101+(1-EXP(-LN(2)/2))/(LN(2)/2)*CG102*CJ102*VLOOKUP('Données projet'!$B$12,Paramètres!$A$1:$I$89,3,0)*0.475*44/12</f>
        <v>0.77746579541468752</v>
      </c>
      <c r="CN102" s="22">
        <f t="shared" si="66"/>
        <v>46.553051232052965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8.9420000000000019</v>
      </c>
      <c r="CT102" s="12">
        <f>IF('Données projet'!$A$140&gt;35,CT101+CS102-DB101,IF(A102&lt;'Données projet'!$A$140,$CQ$205^A102,IF(A102='Données projet'!$A$140,'Données projet'!$B$140,CT101+CS102-DB101)))</f>
        <v>357.49000000000052</v>
      </c>
      <c r="CU102" s="17">
        <f>CT102*VLOOKUP('Données projet'!$B$13,Paramètres!$A$1:$I$89,3,0)*VLOOKUP('Données projet'!$B$13,Paramètres!$A$1:$I$89,5,0)</f>
        <v>340.1874840000005</v>
      </c>
      <c r="CV102" s="13">
        <f t="shared" si="95"/>
        <v>79.538680560348226</v>
      </c>
      <c r="CW102" s="20">
        <f t="shared" si="67"/>
        <v>731.02306994260732</v>
      </c>
      <c r="CX102" s="59">
        <f t="shared" si="68"/>
        <v>1020.4658847209992</v>
      </c>
      <c r="CY102" s="59">
        <f ca="1">AVERAGE(OFFSET($CX$3,0,0,'Données projet'!$E$13+1,1))-AVERAGE(OFFSET($H$3,0,0,'Données projet'!$E$13+1,1))</f>
        <v>677.13548994240728</v>
      </c>
      <c r="CZ102" s="59">
        <f t="shared" si="96"/>
        <v>298.72429542440534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26.877726343919392</v>
      </c>
      <c r="DG102" s="21">
        <f>EXP(-LN(2)/25)*DG101+(1-EXP(-LN(2)/25))/(LN(2)/25)*Calculateur!DB102*Calculateur!DD102*VLOOKUP('Données projet'!$B$13,Paramètres!$A$1:$I$89,3,0)*0.475*44/12</f>
        <v>25.807381422777492</v>
      </c>
      <c r="DH102" s="21">
        <f>EXP(-LN(2)/2)*DH101+(1-EXP(-LN(2)/2))/(LN(2)/2)*DB102*DE102*VLOOKUP('Données projet'!$B$13,Paramètres!$A$1:$I$89,3,0)*0.475*44/12</f>
        <v>1.1029165934952543</v>
      </c>
      <c r="DI102" s="22">
        <f t="shared" si="69"/>
        <v>53.788024360192139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68.938949485015939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1.2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4.3999999999999995</v>
      </c>
      <c r="H103" s="67">
        <f t="shared" si="56"/>
        <v>239.06666666666669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1002.3723232694967</v>
      </c>
      <c r="S103" s="59">
        <f ca="1">AVERAGE(OFFSET($R$3,0,0,'Données projet'!$E$9+1,1))-AVERAGE(OFFSET($H$3,0,0,'Données projet'!$E$9+1,1))</f>
        <v>646.69588445509589</v>
      </c>
      <c r="T103" s="59">
        <f t="shared" si="88"/>
        <v>286.36346771084698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5.6843418860808015E-13</v>
      </c>
      <c r="AJ103" s="13">
        <f>AI103*VLOOKUP('Données projet'!$B$10,Paramètres!$A$1:$I$89,3,0)*VLOOKUP('Données projet'!$B$10,Paramètres!$A$1:$I$89,5,0)</f>
        <v>3.177547114319168E-13</v>
      </c>
      <c r="AK103" s="13">
        <f t="shared" si="89"/>
        <v>4.1725404435445377E-12</v>
      </c>
      <c r="AL103" s="20">
        <f t="shared" si="58"/>
        <v>7.820597394917325E-12</v>
      </c>
      <c r="AM103" s="59">
        <f t="shared" si="59"/>
        <v>289.51030657743144</v>
      </c>
      <c r="AN103" s="59">
        <f ca="1">AVERAGE(OFFSET($AM$3,0,0,'Données projet'!$E$10+1,1))-AVERAGE(OFFSET($H$3,0,0,'Données projet'!$E$10+1,1))</f>
        <v>391.55758836264408</v>
      </c>
      <c r="AO103" s="59">
        <f t="shared" si="90"/>
        <v>360.80727659978777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127.38361977430708</v>
      </c>
      <c r="AV103" s="21">
        <f>EXP(-LN(2)/25)*AV102+(1-EXP(-LN(2)/25))/(LN(2)/25)*Calculateur!AQ103*Calculateur!AS103*VLOOKUP('Données projet'!$B$10,Paramètres!$A$1:$I$89,3,0)*0.475*44/12</f>
        <v>33.410575063285798</v>
      </c>
      <c r="AW103" s="21">
        <f>EXP(-LN(2)/2)*AW102+(1-EXP(-LN(2)/2))/(LN(2)/2)*AQ103*AT103*VLOOKUP('Données projet'!$B$10,Paramètres!$A$1:$I$89,3,0)*0.475*44/12</f>
        <v>2.3042457373907443E-3</v>
      </c>
      <c r="AX103" s="21">
        <f t="shared" si="60"/>
        <v>160.79649908333025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5.0249582272954292E-14</v>
      </c>
      <c r="BF103" s="13">
        <f t="shared" si="91"/>
        <v>8.1784820119191593E-13</v>
      </c>
      <c r="BG103" s="20">
        <f t="shared" si="61"/>
        <v>1.5119369728679821E-12</v>
      </c>
      <c r="BH103" s="59">
        <f t="shared" si="62"/>
        <v>289.51030657742513</v>
      </c>
      <c r="BI103" s="59">
        <f ca="1">AVERAGE(OFFSET($BH$3,0,0,'Données projet'!$E$11+1,1))-AVERAGE(OFFSET($H$3,0,0,'Données projet'!$E$11+1,1))</f>
        <v>400.11184625063709</v>
      </c>
      <c r="BJ103" s="59">
        <f t="shared" si="92"/>
        <v>340.02906159605971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139.05412106640571</v>
      </c>
      <c r="BQ103" s="21">
        <f>EXP(-LN(2)/25)*BQ102+(1-EXP(-LN(2)/25))/(LN(2)/25)*Calculateur!BL103*Calculateur!BN103*VLOOKUP('Données projet'!$B$11,Paramètres!$A$1:$I$89,3,0)*0.475*44/12</f>
        <v>41.293363969847327</v>
      </c>
      <c r="BR103" s="21">
        <f>EXP(-LN(2)/2)*BR102+(1-EXP(-LN(2)/2))/(LN(2)/2)*BL103*BO103*VLOOKUP('Données projet'!$B$11,Paramètres!$A$1:$I$89,3,0)*0.475*44/12</f>
        <v>7.6761612469067833E-2</v>
      </c>
      <c r="BS103" s="22">
        <f t="shared" si="63"/>
        <v>180.42424664872209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8.9420000000000019</v>
      </c>
      <c r="BY103" s="12">
        <f>IF('Données projet'!$A$114&gt;35,BY102+BX103-CG102,IF(A103&lt;'Données projet'!$A$114,$BV$205^A103,IF(A103='Données projet'!$A$114,'Données projet'!$B$114,BY102+BX103-CG102)))</f>
        <v>366.43200000000053</v>
      </c>
      <c r="BZ103" s="13">
        <f>BY103*VLOOKUP('Données projet'!$B$12,Paramètres!$A$1:$I$89,3,0)*VLOOKUP('Données projet'!$B$12,Paramètres!$A$1:$I$89,5,0)</f>
        <v>245.80258560000033</v>
      </c>
      <c r="CA103" s="13">
        <f t="shared" si="93"/>
        <v>59.686243913145297</v>
      </c>
      <c r="CB103" s="20">
        <f t="shared" si="64"/>
        <v>532.05971140206191</v>
      </c>
      <c r="CC103" s="59">
        <f t="shared" si="65"/>
        <v>821.57001797948556</v>
      </c>
      <c r="CD103" s="59">
        <f ca="1">AVERAGE(OFFSET($CC$3,0,0,'Données projet'!$E$12+1,1))-AVERAGE(OFFSET($H$3,0,0,'Données projet'!$E$12+1,1))</f>
        <v>493.98227954109774</v>
      </c>
      <c r="CE103" s="59">
        <f t="shared" si="94"/>
        <v>224.32736097997289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22.894844881603287</v>
      </c>
      <c r="CL103" s="21">
        <f>EXP(-LN(2)/25)*CL102+(1-EXP(-LN(2)/25))/(LN(2)/25)*Calculateur!CG103*Calculateur!CI103*VLOOKUP('Données projet'!$B$12,Paramètres!$A$1:$I$89,3,0)*0.475*44/12</f>
        <v>21.809653978571859</v>
      </c>
      <c r="CM103" s="21">
        <f>EXP(-LN(2)/2)*CM102+(1-EXP(-LN(2)/2))/(LN(2)/2)*CG103*CJ103*VLOOKUP('Données projet'!$B$12,Paramètres!$A$1:$I$89,3,0)*0.475*44/12</f>
        <v>0.54975133607831861</v>
      </c>
      <c r="CN103" s="22">
        <f t="shared" si="66"/>
        <v>45.254250196253466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8.9420000000000019</v>
      </c>
      <c r="CT103" s="12">
        <f>IF('Données projet'!$A$140&gt;35,CT102+CS103-DB102,IF(A103&lt;'Données projet'!$A$140,$CQ$205^A103,IF(A103='Données projet'!$A$140,'Données projet'!$B$140,CT102+CS103-DB102)))</f>
        <v>366.43200000000053</v>
      </c>
      <c r="CU103" s="17">
        <f>CT103*VLOOKUP('Données projet'!$B$13,Paramètres!$A$1:$I$89,3,0)*VLOOKUP('Données projet'!$B$13,Paramètres!$A$1:$I$89,5,0)</f>
        <v>348.69669120000049</v>
      </c>
      <c r="CV103" s="13">
        <f t="shared" si="95"/>
        <v>81.294088179387458</v>
      </c>
      <c r="CW103" s="20">
        <f t="shared" si="67"/>
        <v>748.90060741910065</v>
      </c>
      <c r="CX103" s="59">
        <f t="shared" si="68"/>
        <v>1038.4109139965242</v>
      </c>
      <c r="CY103" s="59">
        <f ca="1">AVERAGE(OFFSET($CX$3,0,0,'Données projet'!$E$13+1,1))-AVERAGE(OFFSET($H$3,0,0,'Données projet'!$E$13+1,1))</f>
        <v>677.13548994240728</v>
      </c>
      <c r="CZ103" s="59">
        <f t="shared" si="96"/>
        <v>298.72429542440534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26.35067052410945</v>
      </c>
      <c r="DG103" s="21">
        <f>EXP(-LN(2)/25)*DG102+(1-EXP(-LN(2)/25))/(LN(2)/25)*Calculateur!DB103*Calculateur!DD103*VLOOKUP('Données projet'!$B$13,Paramètres!$A$1:$I$89,3,0)*0.475*44/12</f>
        <v>25.101677220620438</v>
      </c>
      <c r="DH103" s="21">
        <f>EXP(-LN(2)/2)*DH102+(1-EXP(-LN(2)/2))/(LN(2)/2)*DB103*DE103*VLOOKUP('Données projet'!$B$13,Paramètres!$A$1:$I$89,3,0)*0.475*44/12</f>
        <v>0.77987980234366117</v>
      </c>
      <c r="DI103" s="22">
        <f t="shared" si="69"/>
        <v>52.232227547073556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68.957356339297334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1.2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4.3999999999999995</v>
      </c>
      <c r="H104" s="67">
        <f t="shared" si="56"/>
        <v>239.06666666666669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1019.4457781719334</v>
      </c>
      <c r="S104" s="59">
        <f ca="1">AVERAGE(OFFSET($R$3,0,0,'Données projet'!$E$9+1,1))-AVERAGE(OFFSET($H$3,0,0,'Données projet'!$E$9+1,1))</f>
        <v>646.69588445509589</v>
      </c>
      <c r="T104" s="59">
        <f t="shared" si="88"/>
        <v>286.36346771084698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5.6843418860808015E-13</v>
      </c>
      <c r="AJ104" s="13">
        <f>AI104*VLOOKUP('Données projet'!$B$10,Paramètres!$A$1:$I$89,3,0)*VLOOKUP('Données projet'!$B$10,Paramètres!$A$1:$I$89,5,0)</f>
        <v>3.177547114319168E-13</v>
      </c>
      <c r="AK104" s="13">
        <f t="shared" si="89"/>
        <v>4.1725404435445377E-12</v>
      </c>
      <c r="AL104" s="20">
        <f t="shared" si="58"/>
        <v>7.820597394917325E-12</v>
      </c>
      <c r="AM104" s="59">
        <f t="shared" si="59"/>
        <v>289.57662754463905</v>
      </c>
      <c r="AN104" s="59">
        <f ca="1">AVERAGE(OFFSET($AM$3,0,0,'Données projet'!$E$10+1,1))-AVERAGE(OFFSET($H$3,0,0,'Données projet'!$E$10+1,1))</f>
        <v>391.55758836264408</v>
      </c>
      <c r="AO104" s="59">
        <f t="shared" si="90"/>
        <v>360.80727659978777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124.8857046868691</v>
      </c>
      <c r="AV104" s="21">
        <f>EXP(-LN(2)/25)*AV103+(1-EXP(-LN(2)/25))/(LN(2)/25)*Calculateur!AQ104*Calculateur!AS104*VLOOKUP('Données projet'!$B$10,Paramètres!$A$1:$I$89,3,0)*0.475*44/12</f>
        <v>32.496961131194467</v>
      </c>
      <c r="AW104" s="21">
        <f>EXP(-LN(2)/2)*AW103+(1-EXP(-LN(2)/2))/(LN(2)/2)*AQ104*AT104*VLOOKUP('Données projet'!$B$10,Paramètres!$A$1:$I$89,3,0)*0.475*44/12</f>
        <v>1.6293477864291919E-3</v>
      </c>
      <c r="AX104" s="21">
        <f t="shared" si="60"/>
        <v>157.38429516585001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5.0249582272954292E-14</v>
      </c>
      <c r="BF104" s="13">
        <f t="shared" si="91"/>
        <v>8.1784820119191593E-13</v>
      </c>
      <c r="BG104" s="20">
        <f t="shared" si="61"/>
        <v>1.5119369728679821E-12</v>
      </c>
      <c r="BH104" s="59">
        <f t="shared" si="62"/>
        <v>289.57662754463274</v>
      </c>
      <c r="BI104" s="59">
        <f ca="1">AVERAGE(OFFSET($BH$3,0,0,'Données projet'!$E$11+1,1))-AVERAGE(OFFSET($H$3,0,0,'Données projet'!$E$11+1,1))</f>
        <v>400.11184625063709</v>
      </c>
      <c r="BJ104" s="59">
        <f t="shared" si="92"/>
        <v>340.02906159605971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136.3273545669326</v>
      </c>
      <c r="BQ104" s="21">
        <f>EXP(-LN(2)/25)*BQ103+(1-EXP(-LN(2)/25))/(LN(2)/25)*Calculateur!BL104*Calculateur!BN104*VLOOKUP('Données projet'!$B$11,Paramètres!$A$1:$I$89,3,0)*0.475*44/12</f>
        <v>40.164194760568215</v>
      </c>
      <c r="BR104" s="21">
        <f>EXP(-LN(2)/2)*BR103+(1-EXP(-LN(2)/2))/(LN(2)/2)*BL104*BO104*VLOOKUP('Données projet'!$B$11,Paramètres!$A$1:$I$89,3,0)*0.475*44/12</f>
        <v>5.4278656711691707E-2</v>
      </c>
      <c r="BS104" s="22">
        <f t="shared" si="63"/>
        <v>176.54582798421251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8.9420000000000019</v>
      </c>
      <c r="BY104" s="12">
        <f>IF('Données projet'!$A$114&gt;35,BY103+BX104-CG103,IF(A104&lt;'Données projet'!$A$114,$BV$205^A104,IF(A104='Données projet'!$A$114,'Données projet'!$B$114,BY103+BX104-CG103)))</f>
        <v>375.37400000000054</v>
      </c>
      <c r="BZ104" s="13">
        <f>BY104*VLOOKUP('Données projet'!$B$12,Paramètres!$A$1:$I$89,3,0)*VLOOKUP('Données projet'!$B$12,Paramètres!$A$1:$I$89,5,0)</f>
        <v>251.80087920000037</v>
      </c>
      <c r="CA104" s="13">
        <f t="shared" si="93"/>
        <v>60.971410786550926</v>
      </c>
      <c r="CB104" s="20">
        <f t="shared" si="64"/>
        <v>544.74507172657684</v>
      </c>
      <c r="CC104" s="59">
        <f t="shared" si="65"/>
        <v>834.32169927120799</v>
      </c>
      <c r="CD104" s="59">
        <f ca="1">AVERAGE(OFFSET($CC$3,0,0,'Données projet'!$E$12+1,1))-AVERAGE(OFFSET($H$3,0,0,'Données projet'!$E$12+1,1))</f>
        <v>493.98227954109774</v>
      </c>
      <c r="CE104" s="59">
        <f t="shared" si="94"/>
        <v>224.32736097997289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22.445890937951546</v>
      </c>
      <c r="CL104" s="21">
        <f>EXP(-LN(2)/25)*CL103+(1-EXP(-LN(2)/25))/(LN(2)/25)*Calculateur!CG104*Calculateur!CI104*VLOOKUP('Données projet'!$B$12,Paramètres!$A$1:$I$89,3,0)*0.475*44/12</f>
        <v>21.213267843607955</v>
      </c>
      <c r="CM104" s="21">
        <f>EXP(-LN(2)/2)*CM103+(1-EXP(-LN(2)/2))/(LN(2)/2)*CG104*CJ104*VLOOKUP('Données projet'!$B$12,Paramètres!$A$1:$I$89,3,0)*0.475*44/12</f>
        <v>0.38873289770734382</v>
      </c>
      <c r="CN104" s="22">
        <f t="shared" si="66"/>
        <v>44.04789167926684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8.9420000000000019</v>
      </c>
      <c r="CT104" s="12">
        <f>IF('Données projet'!$A$140&gt;35,CT103+CS104-DB103,IF(A104&lt;'Données projet'!$A$140,$CQ$205^A104,IF(A104='Données projet'!$A$140,'Données projet'!$B$140,CT103+CS104-DB103)))</f>
        <v>375.37400000000054</v>
      </c>
      <c r="CU104" s="17">
        <f>CT104*VLOOKUP('Données projet'!$B$13,Paramètres!$A$1:$I$89,3,0)*VLOOKUP('Données projet'!$B$13,Paramètres!$A$1:$I$89,5,0)</f>
        <v>357.20589840000048</v>
      </c>
      <c r="CV104" s="13">
        <f t="shared" si="95"/>
        <v>83.044516121944824</v>
      </c>
      <c r="CW104" s="20">
        <f t="shared" si="67"/>
        <v>766.76947195905461</v>
      </c>
      <c r="CX104" s="59">
        <f t="shared" si="68"/>
        <v>1056.3460995036858</v>
      </c>
      <c r="CY104" s="59">
        <f ca="1">AVERAGE(OFFSET($CX$3,0,0,'Données projet'!$E$13+1,1))-AVERAGE(OFFSET($H$3,0,0,'Données projet'!$E$13+1,1))</f>
        <v>677.13548994240728</v>
      </c>
      <c r="CZ104" s="59">
        <f t="shared" si="96"/>
        <v>298.72429542440534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25.833949947453675</v>
      </c>
      <c r="DG104" s="21">
        <f>EXP(-LN(2)/25)*DG103+(1-EXP(-LN(2)/25))/(LN(2)/25)*Calculateur!DB104*Calculateur!DD104*VLOOKUP('Données projet'!$B$13,Paramètres!$A$1:$I$89,3,0)*0.475*44/12</f>
        <v>24.415270536982739</v>
      </c>
      <c r="DH104" s="21">
        <f>EXP(-LN(2)/2)*DH103+(1-EXP(-LN(2)/2))/(LN(2)/2)*DB104*DE104*VLOOKUP('Données projet'!$B$13,Paramètres!$A$1:$I$89,3,0)*0.475*44/12</f>
        <v>0.55145829674762714</v>
      </c>
      <c r="DI104" s="22">
        <f t="shared" si="69"/>
        <v>50.80067878118404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68.975443875808509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1.2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4.3999999999999995</v>
      </c>
      <c r="H105" s="67">
        <f t="shared" si="56"/>
        <v>239.06666666666669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1036.5100079410277</v>
      </c>
      <c r="S105" s="59">
        <f ca="1">AVERAGE(OFFSET($R$3,0,0,'Données projet'!$E$9+1,1))-AVERAGE(OFFSET($H$3,0,0,'Données projet'!$E$9+1,1))</f>
        <v>646.69588445509589</v>
      </c>
      <c r="T105" s="59">
        <f t="shared" si="88"/>
        <v>286.36346771084698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5.6843418860808015E-13</v>
      </c>
      <c r="AJ105" s="13">
        <f>AI105*VLOOKUP('Données projet'!$B$10,Paramètres!$A$1:$I$89,3,0)*VLOOKUP('Données projet'!$B$10,Paramètres!$A$1:$I$89,5,0)</f>
        <v>3.177547114319168E-13</v>
      </c>
      <c r="AK105" s="13">
        <f t="shared" si="89"/>
        <v>4.1725404435445377E-12</v>
      </c>
      <c r="AL105" s="20">
        <f t="shared" si="58"/>
        <v>7.820597394917325E-12</v>
      </c>
      <c r="AM105" s="59">
        <f t="shared" si="59"/>
        <v>289.64179799133706</v>
      </c>
      <c r="AN105" s="59">
        <f ca="1">AVERAGE(OFFSET($AM$3,0,0,'Données projet'!$E$10+1,1))-AVERAGE(OFFSET($H$3,0,0,'Données projet'!$E$10+1,1))</f>
        <v>391.55758836264408</v>
      </c>
      <c r="AO105" s="59">
        <f t="shared" si="90"/>
        <v>360.80727659978777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122.43677219071803</v>
      </c>
      <c r="AV105" s="21">
        <f>EXP(-LN(2)/25)*AV104+(1-EXP(-LN(2)/25))/(LN(2)/25)*Calculateur!AQ105*Calculateur!AS105*VLOOKUP('Données projet'!$B$10,Paramètres!$A$1:$I$89,3,0)*0.475*44/12</f>
        <v>31.608330020121041</v>
      </c>
      <c r="AW105" s="21">
        <f>EXP(-LN(2)/2)*AW104+(1-EXP(-LN(2)/2))/(LN(2)/2)*AQ105*AT105*VLOOKUP('Données projet'!$B$10,Paramètres!$A$1:$I$89,3,0)*0.475*44/12</f>
        <v>1.1521228686953721E-3</v>
      </c>
      <c r="AX105" s="21">
        <f t="shared" si="60"/>
        <v>154.04625433370776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5.0249582272954292E-14</v>
      </c>
      <c r="BF105" s="13">
        <f t="shared" si="91"/>
        <v>8.1784820119191593E-13</v>
      </c>
      <c r="BG105" s="20">
        <f t="shared" si="61"/>
        <v>1.5119369728679821E-12</v>
      </c>
      <c r="BH105" s="59">
        <f t="shared" si="62"/>
        <v>289.64179799133075</v>
      </c>
      <c r="BI105" s="59">
        <f ca="1">AVERAGE(OFFSET($BH$3,0,0,'Données projet'!$E$11+1,1))-AVERAGE(OFFSET($H$3,0,0,'Données projet'!$E$11+1,1))</f>
        <v>400.11184625063709</v>
      </c>
      <c r="BJ105" s="59">
        <f t="shared" si="92"/>
        <v>340.02906159605971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133.65405829535081</v>
      </c>
      <c r="BQ105" s="21">
        <f>EXP(-LN(2)/25)*BQ104+(1-EXP(-LN(2)/25))/(LN(2)/25)*Calculateur!BL105*Calculateur!BN105*VLOOKUP('Données projet'!$B$11,Paramètres!$A$1:$I$89,3,0)*0.475*44/12</f>
        <v>39.065902742697268</v>
      </c>
      <c r="BR105" s="21">
        <f>EXP(-LN(2)/2)*BR104+(1-EXP(-LN(2)/2))/(LN(2)/2)*BL105*BO105*VLOOKUP('Données projet'!$B$11,Paramètres!$A$1:$I$89,3,0)*0.475*44/12</f>
        <v>3.8380806234533917E-2</v>
      </c>
      <c r="BS105" s="22">
        <f t="shared" si="63"/>
        <v>172.7583418442826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8.9420000000000019</v>
      </c>
      <c r="BY105" s="12">
        <f>IF('Données projet'!$A$114&gt;35,BY104+BX105-CG104,IF(A105&lt;'Données projet'!$A$114,$BV$205^A105,IF(A105='Données projet'!$A$114,'Données projet'!$B$114,BY104+BX105-CG104)))</f>
        <v>384.31600000000054</v>
      </c>
      <c r="BZ105" s="13">
        <f>BY105*VLOOKUP('Données projet'!$B$12,Paramètres!$A$1:$I$89,3,0)*VLOOKUP('Données projet'!$B$12,Paramètres!$A$1:$I$89,5,0)</f>
        <v>257.79917280000035</v>
      </c>
      <c r="CA105" s="13">
        <f t="shared" si="93"/>
        <v>62.253018689197752</v>
      </c>
      <c r="CB105" s="20">
        <f t="shared" si="64"/>
        <v>557.42423351035325</v>
      </c>
      <c r="CC105" s="59">
        <f t="shared" si="65"/>
        <v>847.06603150168246</v>
      </c>
      <c r="CD105" s="59">
        <f ca="1">AVERAGE(OFFSET($CC$3,0,0,'Données projet'!$E$12+1,1))-AVERAGE(OFFSET($H$3,0,0,'Données projet'!$E$12+1,1))</f>
        <v>493.98227954109774</v>
      </c>
      <c r="CE105" s="59">
        <f t="shared" si="94"/>
        <v>224.32736097997289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22.00574070729995</v>
      </c>
      <c r="CL105" s="21">
        <f>EXP(-LN(2)/25)*CL104+(1-EXP(-LN(2)/25))/(LN(2)/25)*Calculateur!CG105*Calculateur!CI105*VLOOKUP('Données projet'!$B$12,Paramètres!$A$1:$I$89,3,0)*0.475*44/12</f>
        <v>20.633189918867224</v>
      </c>
      <c r="CM105" s="21">
        <f>EXP(-LN(2)/2)*CM104+(1-EXP(-LN(2)/2))/(LN(2)/2)*CG105*CJ105*VLOOKUP('Données projet'!$B$12,Paramètres!$A$1:$I$89,3,0)*0.475*44/12</f>
        <v>0.27487566803915936</v>
      </c>
      <c r="CN105" s="22">
        <f t="shared" si="66"/>
        <v>42.913806294206331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8.9420000000000019</v>
      </c>
      <c r="CT105" s="12">
        <f>IF('Données projet'!$A$140&gt;35,CT104+CS105-DB104,IF(A105&lt;'Données projet'!$A$140,$CQ$205^A105,IF(A105='Données projet'!$A$140,'Données projet'!$B$140,CT104+CS105-DB104)))</f>
        <v>384.31600000000054</v>
      </c>
      <c r="CU105" s="17">
        <f>CT105*VLOOKUP('Données projet'!$B$13,Paramètres!$A$1:$I$89,3,0)*VLOOKUP('Données projet'!$B$13,Paramètres!$A$1:$I$89,5,0)</f>
        <v>365.71510560000053</v>
      </c>
      <c r="CV105" s="13">
        <f t="shared" si="95"/>
        <v>84.790096661420279</v>
      </c>
      <c r="CW105" s="20">
        <f t="shared" si="67"/>
        <v>784.62989393864109</v>
      </c>
      <c r="CX105" s="59">
        <f t="shared" si="68"/>
        <v>1074.2716919299703</v>
      </c>
      <c r="CY105" s="59">
        <f ca="1">AVERAGE(OFFSET($CX$3,0,0,'Données projet'!$E$13+1,1))-AVERAGE(OFFSET($H$3,0,0,'Données projet'!$E$13+1,1))</f>
        <v>677.13548994240728</v>
      </c>
      <c r="CZ105" s="59">
        <f t="shared" si="96"/>
        <v>298.72429542440534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25.327361946137685</v>
      </c>
      <c r="DG105" s="21">
        <f>EXP(-LN(2)/25)*DG104+(1-EXP(-LN(2)/25))/(LN(2)/25)*Calculateur!DB105*Calculateur!DD105*VLOOKUP('Données projet'!$B$13,Paramètres!$A$1:$I$89,3,0)*0.475*44/12</f>
        <v>23.74763368020567</v>
      </c>
      <c r="DH105" s="21">
        <f>EXP(-LN(2)/2)*DH104+(1-EXP(-LN(2)/2))/(LN(2)/2)*DB105*DE105*VLOOKUP('Données projet'!$B$13,Paramètres!$A$1:$I$89,3,0)*0.475*44/12</f>
        <v>0.38993990117183058</v>
      </c>
      <c r="DI105" s="22">
        <f t="shared" si="69"/>
        <v>49.464935527515181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68.993217633998881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1.2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4.3999999999999995</v>
      </c>
      <c r="H106" s="67">
        <f t="shared" si="56"/>
        <v>239.06666666666669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1053.5652420333054</v>
      </c>
      <c r="S106" s="59">
        <f ca="1">AVERAGE(OFFSET($R$3,0,0,'Données projet'!$E$9+1,1))-AVERAGE(OFFSET($H$3,0,0,'Données projet'!$E$9+1,1))</f>
        <v>646.69588445509589</v>
      </c>
      <c r="T106" s="59">
        <f t="shared" si="88"/>
        <v>286.36346771084698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5.6843418860808015E-13</v>
      </c>
      <c r="AJ106" s="13">
        <f>AI106*VLOOKUP('Données projet'!$B$10,Paramètres!$A$1:$I$89,3,0)*VLOOKUP('Données projet'!$B$10,Paramètres!$A$1:$I$89,5,0)</f>
        <v>3.177547114319168E-13</v>
      </c>
      <c r="AK106" s="13">
        <f t="shared" si="89"/>
        <v>4.1725404435445377E-12</v>
      </c>
      <c r="AL106" s="20">
        <f t="shared" si="58"/>
        <v>7.820597394917325E-12</v>
      </c>
      <c r="AM106" s="59">
        <f t="shared" si="59"/>
        <v>289.70583787648422</v>
      </c>
      <c r="AN106" s="59">
        <f ca="1">AVERAGE(OFFSET($AM$3,0,0,'Données projet'!$E$10+1,1))-AVERAGE(OFFSET($H$3,0,0,'Données projet'!$E$10+1,1))</f>
        <v>391.55758836264408</v>
      </c>
      <c r="AO106" s="59">
        <f t="shared" si="90"/>
        <v>360.80727659978777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120.03586176711514</v>
      </c>
      <c r="AV106" s="21">
        <f>EXP(-LN(2)/25)*AV105+(1-EXP(-LN(2)/25))/(LN(2)/25)*Calculateur!AQ106*Calculateur!AS106*VLOOKUP('Données projet'!$B$10,Paramètres!$A$1:$I$89,3,0)*0.475*44/12</f>
        <v>30.743998573510996</v>
      </c>
      <c r="AW106" s="21">
        <f>EXP(-LN(2)/2)*AW105+(1-EXP(-LN(2)/2))/(LN(2)/2)*AQ106*AT106*VLOOKUP('Données projet'!$B$10,Paramètres!$A$1:$I$89,3,0)*0.475*44/12</f>
        <v>8.1467389321459595E-4</v>
      </c>
      <c r="AX106" s="21">
        <f t="shared" si="60"/>
        <v>150.78067501451935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5.0249582272954292E-14</v>
      </c>
      <c r="BF106" s="13">
        <f t="shared" si="91"/>
        <v>8.1784820119191593E-13</v>
      </c>
      <c r="BG106" s="20">
        <f t="shared" si="61"/>
        <v>1.5119369728679821E-12</v>
      </c>
      <c r="BH106" s="59">
        <f t="shared" si="62"/>
        <v>289.70583787647791</v>
      </c>
      <c r="BI106" s="59">
        <f ca="1">AVERAGE(OFFSET($BH$3,0,0,'Données projet'!$E$11+1,1))-AVERAGE(OFFSET($H$3,0,0,'Données projet'!$E$11+1,1))</f>
        <v>400.11184625063709</v>
      </c>
      <c r="BJ106" s="59">
        <f t="shared" si="92"/>
        <v>340.02906159605971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131.03318373310501</v>
      </c>
      <c r="BQ106" s="21">
        <f>EXP(-LN(2)/25)*BQ105+(1-EXP(-LN(2)/25))/(LN(2)/25)*Calculateur!BL106*Calculateur!BN106*VLOOKUP('Données projet'!$B$11,Paramètres!$A$1:$I$89,3,0)*0.475*44/12</f>
        <v>37.997643577811672</v>
      </c>
      <c r="BR106" s="21">
        <f>EXP(-LN(2)/2)*BR105+(1-EXP(-LN(2)/2))/(LN(2)/2)*BL106*BO106*VLOOKUP('Données projet'!$B$11,Paramètres!$A$1:$I$89,3,0)*0.475*44/12</f>
        <v>2.7139328355845854E-2</v>
      </c>
      <c r="BS106" s="22">
        <f t="shared" si="63"/>
        <v>169.05796663927251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8.9420000000000019</v>
      </c>
      <c r="BY106" s="12">
        <f>IF('Données projet'!$A$114&gt;35,BY105+BX106-CG105,IF(A106&lt;'Données projet'!$A$114,$BV$205^A106,IF(A106='Données projet'!$A$114,'Données projet'!$B$114,BY105+BX106-CG105)))</f>
        <v>393.25800000000055</v>
      </c>
      <c r="BZ106" s="13">
        <f>BY106*VLOOKUP('Données projet'!$B$12,Paramètres!$A$1:$I$89,3,0)*VLOOKUP('Données projet'!$B$12,Paramètres!$A$1:$I$89,5,0)</f>
        <v>263.79746640000036</v>
      </c>
      <c r="CA106" s="13">
        <f t="shared" si="93"/>
        <v>63.531159959346972</v>
      </c>
      <c r="CB106" s="20">
        <f t="shared" si="64"/>
        <v>570.09735757586316</v>
      </c>
      <c r="CC106" s="59">
        <f t="shared" si="65"/>
        <v>859.80319545233954</v>
      </c>
      <c r="CD106" s="59">
        <f ca="1">AVERAGE(OFFSET($CC$3,0,0,'Données projet'!$E$12+1,1))-AVERAGE(OFFSET($H$3,0,0,'Données projet'!$E$12+1,1))</f>
        <v>493.98227954109774</v>
      </c>
      <c r="CE106" s="59">
        <f t="shared" si="94"/>
        <v>224.32736097997289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21.5742215542063</v>
      </c>
      <c r="CL106" s="21">
        <f>EXP(-LN(2)/25)*CL105+(1-EXP(-LN(2)/25))/(LN(2)/25)*Calculateur!CG106*Calculateur!CI106*VLOOKUP('Données projet'!$B$12,Paramètres!$A$1:$I$89,3,0)*0.475*44/12</f>
        <v>20.0689742554835</v>
      </c>
      <c r="CM106" s="21">
        <f>EXP(-LN(2)/2)*CM105+(1-EXP(-LN(2)/2))/(LN(2)/2)*CG106*CJ106*VLOOKUP('Données projet'!$B$12,Paramètres!$A$1:$I$89,3,0)*0.475*44/12</f>
        <v>0.19436644885367194</v>
      </c>
      <c r="CN106" s="22">
        <f t="shared" si="66"/>
        <v>41.837562258543471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8.9420000000000019</v>
      </c>
      <c r="CT106" s="12">
        <f>IF('Données projet'!$A$140&gt;35,CT105+CS106-DB105,IF(A106&lt;'Données projet'!$A$140,$CQ$205^A106,IF(A106='Données projet'!$A$140,'Données projet'!$B$140,CT105+CS106-DB105)))</f>
        <v>393.25800000000055</v>
      </c>
      <c r="CU106" s="17">
        <f>CT106*VLOOKUP('Données projet'!$B$13,Paramètres!$A$1:$I$89,3,0)*VLOOKUP('Données projet'!$B$13,Paramètres!$A$1:$I$89,5,0)</f>
        <v>374.22431280000052</v>
      </c>
      <c r="CV106" s="13">
        <f t="shared" si="95"/>
        <v>86.530955564728501</v>
      </c>
      <c r="CW106" s="20">
        <f t="shared" si="67"/>
        <v>802.48209240190306</v>
      </c>
      <c r="CX106" s="59">
        <f t="shared" si="68"/>
        <v>1092.1879302783796</v>
      </c>
      <c r="CY106" s="59">
        <f ca="1">AVERAGE(OFFSET($CX$3,0,0,'Données projet'!$E$13+1,1))-AVERAGE(OFFSET($H$3,0,0,'Données projet'!$E$13+1,1))</f>
        <v>677.13548994240728</v>
      </c>
      <c r="CZ106" s="59">
        <f t="shared" si="96"/>
        <v>298.72429542440534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24.830707826539332</v>
      </c>
      <c r="DG106" s="21">
        <f>EXP(-LN(2)/25)*DG105+(1-EXP(-LN(2)/25))/(LN(2)/25)*Calculateur!DB106*Calculateur!DD106*VLOOKUP('Données projet'!$B$13,Paramètres!$A$1:$I$89,3,0)*0.475*44/12</f>
        <v>23.098253388386667</v>
      </c>
      <c r="DH106" s="21">
        <f>EXP(-LN(2)/2)*DH105+(1-EXP(-LN(2)/2))/(LN(2)/2)*DB106*DE106*VLOOKUP('Données projet'!$B$13,Paramètres!$A$1:$I$89,3,0)*0.475*44/12</f>
        <v>0.27572914837381357</v>
      </c>
      <c r="DI106" s="22">
        <f t="shared" si="69"/>
        <v>48.204690363299811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69.010683057220831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1.2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4.3999999999999995</v>
      </c>
      <c r="H107" s="67">
        <f t="shared" si="56"/>
        <v>239.06666666666669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1070.6116994880636</v>
      </c>
      <c r="S107" s="59">
        <f ca="1">AVERAGE(OFFSET($R$3,0,0,'Données projet'!$E$9+1,1))-AVERAGE(OFFSET($H$3,0,0,'Données projet'!$E$9+1,1))</f>
        <v>646.69588445509589</v>
      </c>
      <c r="T107" s="59">
        <f t="shared" si="88"/>
        <v>286.36346771084698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5.6843418860808015E-13</v>
      </c>
      <c r="AJ107" s="13">
        <f>AI107*VLOOKUP('Données projet'!$B$10,Paramètres!$A$1:$I$89,3,0)*VLOOKUP('Données projet'!$B$10,Paramètres!$A$1:$I$89,5,0)</f>
        <v>3.177547114319168E-13</v>
      </c>
      <c r="AK107" s="13">
        <f t="shared" si="89"/>
        <v>4.1725404435445377E-12</v>
      </c>
      <c r="AL107" s="20">
        <f t="shared" si="58"/>
        <v>7.820597394917325E-12</v>
      </c>
      <c r="AM107" s="59">
        <f t="shared" si="59"/>
        <v>289.76876681279583</v>
      </c>
      <c r="AN107" s="59">
        <f ca="1">AVERAGE(OFFSET($AM$3,0,0,'Données projet'!$E$10+1,1))-AVERAGE(OFFSET($H$3,0,0,'Données projet'!$E$10+1,1))</f>
        <v>391.55758836264408</v>
      </c>
      <c r="AO107" s="59">
        <f t="shared" si="90"/>
        <v>360.80727659978777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117.68203173250834</v>
      </c>
      <c r="AV107" s="21">
        <f>EXP(-LN(2)/25)*AV106+(1-EXP(-LN(2)/25))/(LN(2)/25)*Calculateur!AQ107*Calculateur!AS107*VLOOKUP('Données projet'!$B$10,Paramètres!$A$1:$I$89,3,0)*0.475*44/12</f>
        <v>29.903302315761721</v>
      </c>
      <c r="AW107" s="21">
        <f>EXP(-LN(2)/2)*AW106+(1-EXP(-LN(2)/2))/(LN(2)/2)*AQ107*AT107*VLOOKUP('Données projet'!$B$10,Paramètres!$A$1:$I$89,3,0)*0.475*44/12</f>
        <v>5.7606143434768607E-4</v>
      </c>
      <c r="AX107" s="21">
        <f t="shared" si="60"/>
        <v>147.5859101097044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5.0249582272954292E-14</v>
      </c>
      <c r="BF107" s="13">
        <f t="shared" si="91"/>
        <v>8.1784820119191593E-13</v>
      </c>
      <c r="BG107" s="20">
        <f t="shared" si="61"/>
        <v>1.5119369728679821E-12</v>
      </c>
      <c r="BH107" s="59">
        <f t="shared" si="62"/>
        <v>289.76876681278952</v>
      </c>
      <c r="BI107" s="59">
        <f ca="1">AVERAGE(OFFSET($BH$3,0,0,'Données projet'!$E$11+1,1))-AVERAGE(OFFSET($H$3,0,0,'Données projet'!$E$11+1,1))</f>
        <v>400.11184625063709</v>
      </c>
      <c r="BJ107" s="59">
        <f t="shared" si="92"/>
        <v>340.02906159605971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128.46370292244922</v>
      </c>
      <c r="BQ107" s="21">
        <f>EXP(-LN(2)/25)*BQ106+(1-EXP(-LN(2)/25))/(LN(2)/25)*Calculateur!BL107*Calculateur!BN107*VLOOKUP('Données projet'!$B$11,Paramètres!$A$1:$I$89,3,0)*0.475*44/12</f>
        <v>36.958596015967181</v>
      </c>
      <c r="BR107" s="21">
        <f>EXP(-LN(2)/2)*BR106+(1-EXP(-LN(2)/2))/(LN(2)/2)*BL107*BO107*VLOOKUP('Données projet'!$B$11,Paramètres!$A$1:$I$89,3,0)*0.475*44/12</f>
        <v>1.9190403117266958E-2</v>
      </c>
      <c r="BS107" s="22">
        <f t="shared" si="63"/>
        <v>165.44148934153367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8.9420000000000019</v>
      </c>
      <c r="BX107" s="12">
        <f t="array" ref="BX107">INDEX(BW:BW,MIN(IF(ISNUMBER(BW107:BW303),ROW(BW107:BW303),"")))</f>
        <v>8.9420000000000019</v>
      </c>
      <c r="BY107" s="12">
        <f>IF('Données projet'!$A$114&gt;35,BY106+BX107-CG106,IF(A107&lt;'Données projet'!$A$114,$BV$205^A107,IF(A107='Données projet'!$A$114,'Données projet'!$B$114,BY106+BX107-CG106)))</f>
        <v>402.20000000000056</v>
      </c>
      <c r="BZ107" s="13">
        <f>BY107*VLOOKUP('Données projet'!$B$12,Paramètres!$A$1:$I$89,3,0)*VLOOKUP('Données projet'!$B$12,Paramètres!$A$1:$I$89,5,0)</f>
        <v>269.79576000000037</v>
      </c>
      <c r="CA107" s="13">
        <f t="shared" si="93"/>
        <v>64.805922496368368</v>
      </c>
      <c r="CB107" s="20">
        <f t="shared" si="64"/>
        <v>582.76459701450892</v>
      </c>
      <c r="CC107" s="59">
        <f t="shared" si="65"/>
        <v>872.53336382729685</v>
      </c>
      <c r="CD107" s="59">
        <f ca="1">AVERAGE(OFFSET($CC$3,0,0,'Données projet'!$E$12+1,1))-AVERAGE(OFFSET($H$3,0,0,'Données projet'!$E$12+1,1))</f>
        <v>493.98227954109774</v>
      </c>
      <c r="CE107" s="59">
        <f t="shared" si="94"/>
        <v>224.32736097997289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66.089999999999975</v>
      </c>
      <c r="CH107" s="16">
        <f>IF(ISNA(VLOOKUP(A107,'Données projet'!$A$113:$I$133,5,0)),0%,VLOOKUP(A107,'Données projet'!$A$113:$I$133,5,0)*VLOOKUP('Données projet'!$B$12,Paramètres!$A$1:$I$89,7,0))</f>
        <v>0.1855</v>
      </c>
      <c r="CI107" s="16">
        <f>IF(ISNA(VLOOKUP(A107,'Données projet'!$A$113:$I$133,6,0)),0%,VLOOKUP(A107,'Données projet'!$A$113:$I$133,6,0)*VLOOKUP('Données projet'!$B$12,Paramètres!$A$1:$I$89,7,0))</f>
        <v>0.10600000000000001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30.242335300939306</v>
      </c>
      <c r="CL107" s="21">
        <f>EXP(-LN(2)/25)*CL106+(1-EXP(-LN(2)/25))/(LN(2)/25)*Calculateur!CG107*Calculateur!CI107*VLOOKUP('Données projet'!$B$12,Paramètres!$A$1:$I$89,3,0)*0.475*44/12</f>
        <v>24.694687480751675</v>
      </c>
      <c r="CM107" s="21">
        <f>EXP(-LN(2)/2)*CM106+(1-EXP(-LN(2)/2))/(LN(2)/2)*CG107*CJ107*VLOOKUP('Données projet'!$B$12,Paramètres!$A$1:$I$89,3,0)*0.475*44/12</f>
        <v>4.3203919332025773</v>
      </c>
      <c r="CN107" s="22">
        <f t="shared" si="66"/>
        <v>59.257414714893564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8.9420000000000019</v>
      </c>
      <c r="CS107" s="12">
        <f t="array" ref="CS107">INDEX(CR:CR,MIN(IF(ISNUMBER(CR107:CR303),ROW(CR107:CR303),"")))</f>
        <v>8.9420000000000019</v>
      </c>
      <c r="CT107" s="12">
        <f>IF('Données projet'!$A$140&gt;35,CT106+CS107-DB106,IF(A107&lt;'Données projet'!$A$140,$CQ$205^A107,IF(A107='Données projet'!$A$140,'Données projet'!$B$140,CT106+CS107-DB106)))</f>
        <v>402.20000000000056</v>
      </c>
      <c r="CU107" s="17">
        <f>CT107*VLOOKUP('Données projet'!$B$13,Paramètres!$A$1:$I$89,3,0)*VLOOKUP('Données projet'!$B$13,Paramètres!$A$1:$I$89,5,0)</f>
        <v>382.73352000000051</v>
      </c>
      <c r="CV107" s="13">
        <f t="shared" si="95"/>
        <v>88.267212552908205</v>
      </c>
      <c r="CW107" s="20">
        <f t="shared" si="67"/>
        <v>820.3262758629827</v>
      </c>
      <c r="CX107" s="59">
        <f t="shared" si="68"/>
        <v>1110.0950426757706</v>
      </c>
      <c r="CY107" s="59">
        <f ca="1">AVERAGE(OFFSET($CX$3,0,0,'Données projet'!$E$13+1,1))-AVERAGE(OFFSET($H$3,0,0,'Données projet'!$E$13+1,1))</f>
        <v>677.13548994240728</v>
      </c>
      <c r="CZ107" s="59">
        <f t="shared" si="96"/>
        <v>298.72429542440534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66.089999999999975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34.807216101081096</v>
      </c>
      <c r="DG107" s="21">
        <f>EXP(-LN(2)/25)*DG106+(1-EXP(-LN(2)/25))/(LN(2)/25)*Calculateur!DB107*Calculateur!DD107*VLOOKUP('Données projet'!$B$13,Paramètres!$A$1:$I$89,3,0)*0.475*44/12</f>
        <v>28.422187477846265</v>
      </c>
      <c r="DH107" s="21">
        <f>EXP(-LN(2)/2)*DH106+(1-EXP(-LN(2)/2))/(LN(2)/2)*DB107*DE107*VLOOKUP('Données projet'!$B$13,Paramètres!$A$1:$I$89,3,0)*0.475*44/12</f>
        <v>6.128928091287376</v>
      </c>
      <c r="DI107" s="22">
        <f t="shared" si="69"/>
        <v>69.358331670214739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69.027845494396715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1.2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4.3999999999999995</v>
      </c>
      <c r="H108" s="67">
        <f t="shared" si="56"/>
        <v>239.06666666666669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961.81035562684497</v>
      </c>
      <c r="S108" s="59">
        <f ca="1">AVERAGE(OFFSET($R$3,0,0,'Données projet'!$E$9+1,1))-AVERAGE(OFFSET($H$3,0,0,'Données projet'!$E$9+1,1))</f>
        <v>646.69588445509589</v>
      </c>
      <c r="T108" s="59">
        <f t="shared" si="88"/>
        <v>286.36346771084698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5.6843418860808015E-13</v>
      </c>
      <c r="AJ108" s="13">
        <f>AI108*VLOOKUP('Données projet'!$B$10,Paramètres!$A$1:$I$89,3,0)*VLOOKUP('Données projet'!$B$10,Paramètres!$A$1:$I$89,5,0)</f>
        <v>3.177547114319168E-13</v>
      </c>
      <c r="AK108" s="13">
        <f t="shared" si="89"/>
        <v>4.1725404435445377E-12</v>
      </c>
      <c r="AL108" s="20">
        <f t="shared" si="58"/>
        <v>7.820597394917325E-12</v>
      </c>
      <c r="AM108" s="59">
        <f t="shared" si="59"/>
        <v>289.83060407275042</v>
      </c>
      <c r="AN108" s="59">
        <f ca="1">AVERAGE(OFFSET($AM$3,0,0,'Données projet'!$E$10+1,1))-AVERAGE(OFFSET($H$3,0,0,'Données projet'!$E$10+1,1))</f>
        <v>391.55758836264408</v>
      </c>
      <c r="AO108" s="59">
        <f t="shared" si="90"/>
        <v>360.80727659978777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115.37435886918563</v>
      </c>
      <c r="AV108" s="21">
        <f>EXP(-LN(2)/25)*AV107+(1-EXP(-LN(2)/25))/(LN(2)/25)*Calculateur!AQ108*Calculateur!AS108*VLOOKUP('Données projet'!$B$10,Paramètres!$A$1:$I$89,3,0)*0.475*44/12</f>
        <v>29.085594941390891</v>
      </c>
      <c r="AW108" s="21">
        <f>EXP(-LN(2)/2)*AW107+(1-EXP(-LN(2)/2))/(LN(2)/2)*AQ108*AT108*VLOOKUP('Données projet'!$B$10,Paramètres!$A$1:$I$89,3,0)*0.475*44/12</f>
        <v>4.0733694660729798E-4</v>
      </c>
      <c r="AX108" s="21">
        <f t="shared" si="60"/>
        <v>144.46036114752312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5.0249582272954292E-14</v>
      </c>
      <c r="BF108" s="13">
        <f t="shared" si="91"/>
        <v>8.1784820119191593E-13</v>
      </c>
      <c r="BG108" s="20">
        <f t="shared" si="61"/>
        <v>1.5119369728679821E-12</v>
      </c>
      <c r="BH108" s="59">
        <f t="shared" si="62"/>
        <v>289.83060407274411</v>
      </c>
      <c r="BI108" s="59">
        <f ca="1">AVERAGE(OFFSET($BH$3,0,0,'Données projet'!$E$11+1,1))-AVERAGE(OFFSET($H$3,0,0,'Données projet'!$E$11+1,1))</f>
        <v>400.11184625063709</v>
      </c>
      <c r="BJ108" s="59">
        <f t="shared" si="92"/>
        <v>340.02906159605971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125.94460806326184</v>
      </c>
      <c r="BQ108" s="21">
        <f>EXP(-LN(2)/25)*BQ107+(1-EXP(-LN(2)/25))/(LN(2)/25)*Calculateur!BL108*Calculateur!BN108*VLOOKUP('Données projet'!$B$11,Paramètres!$A$1:$I$89,3,0)*0.475*44/12</f>
        <v>35.947961264342467</v>
      </c>
      <c r="BR108" s="21">
        <f>EXP(-LN(2)/2)*BR107+(1-EXP(-LN(2)/2))/(LN(2)/2)*BL108*BO108*VLOOKUP('Données projet'!$B$11,Paramètres!$A$1:$I$89,3,0)*0.475*44/12</f>
        <v>1.3569664177922927E-2</v>
      </c>
      <c r="BS108" s="22">
        <f t="shared" si="63"/>
        <v>161.90613899178223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8.8449999999999989</v>
      </c>
      <c r="BY108" s="12">
        <f>IF('Données projet'!$A$114&gt;35,BY107+BX108-CG107,IF(A108&lt;'Données projet'!$A$114,$BV$205^A108,IF(A108='Données projet'!$A$114,'Données projet'!$B$114,BY107+BX108-CG107)))</f>
        <v>344.95500000000055</v>
      </c>
      <c r="BZ108" s="13">
        <f>BY108*VLOOKUP('Données projet'!$B$12,Paramètres!$A$1:$I$89,3,0)*VLOOKUP('Données projet'!$B$12,Paramètres!$A$1:$I$89,5,0)</f>
        <v>231.3958140000004</v>
      </c>
      <c r="CA108" s="13">
        <f t="shared" si="93"/>
        <v>56.584382793105945</v>
      </c>
      <c r="CB108" s="20">
        <f t="shared" si="64"/>
        <v>501.56550941466026</v>
      </c>
      <c r="CC108" s="59">
        <f t="shared" si="65"/>
        <v>791.39611348740277</v>
      </c>
      <c r="CD108" s="59">
        <f ca="1">AVERAGE(OFFSET($CC$3,0,0,'Données projet'!$E$12+1,1))-AVERAGE(OFFSET($H$3,0,0,'Données projet'!$E$12+1,1))</f>
        <v>493.98227954109774</v>
      </c>
      <c r="CE108" s="59">
        <f t="shared" si="94"/>
        <v>224.32736097997289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29.649301551691028</v>
      </c>
      <c r="CL108" s="21">
        <f>EXP(-LN(2)/25)*CL107+(1-EXP(-LN(2)/25))/(LN(2)/25)*Calculateur!CG108*Calculateur!CI108*VLOOKUP('Données projet'!$B$12,Paramètres!$A$1:$I$89,3,0)*0.475*44/12</f>
        <v>24.019409952953346</v>
      </c>
      <c r="CM108" s="21">
        <f>EXP(-LN(2)/2)*CM107+(1-EXP(-LN(2)/2))/(LN(2)/2)*CG108*CJ108*VLOOKUP('Données projet'!$B$12,Paramètres!$A$1:$I$89,3,0)*0.475*44/12</f>
        <v>3.0549784333512</v>
      </c>
      <c r="CN108" s="22">
        <f t="shared" si="66"/>
        <v>56.72368993799558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8.8449999999999989</v>
      </c>
      <c r="CT108" s="12">
        <f>IF('Données projet'!$A$140&gt;35,CT107+CS108-DB107,IF(A108&lt;'Données projet'!$A$140,$CQ$205^A108,IF(A108='Données projet'!$A$140,'Données projet'!$B$140,CT107+CS108-DB107)))</f>
        <v>344.95500000000055</v>
      </c>
      <c r="CU108" s="17">
        <f>CT108*VLOOKUP('Données projet'!$B$13,Paramètres!$A$1:$I$89,3,0)*VLOOKUP('Données projet'!$B$13,Paramètres!$A$1:$I$89,5,0)</f>
        <v>328.25917800000053</v>
      </c>
      <c r="CV108" s="13">
        <f t="shared" si="95"/>
        <v>77.069279330976201</v>
      </c>
      <c r="CW108" s="20">
        <f t="shared" si="67"/>
        <v>705.94706318478438</v>
      </c>
      <c r="CX108" s="59">
        <f t="shared" si="68"/>
        <v>995.7776672575269</v>
      </c>
      <c r="CY108" s="59">
        <f ca="1">AVERAGE(OFFSET($CX$3,0,0,'Données projet'!$E$13+1,1))-AVERAGE(OFFSET($H$3,0,0,'Données projet'!$E$13+1,1))</f>
        <v>677.13548994240728</v>
      </c>
      <c r="CZ108" s="59">
        <f t="shared" si="96"/>
        <v>298.72429542440534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34.124667823644401</v>
      </c>
      <c r="DG108" s="21">
        <f>EXP(-LN(2)/25)*DG107+(1-EXP(-LN(2)/25))/(LN(2)/25)*Calculateur!DB108*Calculateur!DD108*VLOOKUP('Données projet'!$B$13,Paramètres!$A$1:$I$89,3,0)*0.475*44/12</f>
        <v>27.644981266606678</v>
      </c>
      <c r="DH108" s="21">
        <f>EXP(-LN(2)/2)*DH107+(1-EXP(-LN(2)/2))/(LN(2)/2)*DB108*DE108*VLOOKUP('Données projet'!$B$13,Paramètres!$A$1:$I$89,3,0)*0.475*44/12</f>
        <v>4.3338066147540273</v>
      </c>
      <c r="DI108" s="22">
        <f t="shared" si="69"/>
        <v>66.103455705005103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69.044710201657068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1.2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4.3999999999999995</v>
      </c>
      <c r="H109" s="67">
        <f t="shared" si="56"/>
        <v>239.06666666666669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978.7139086816253</v>
      </c>
      <c r="S109" s="59">
        <f ca="1">AVERAGE(OFFSET($R$3,0,0,'Données projet'!$E$9+1,1))-AVERAGE(OFFSET($H$3,0,0,'Données projet'!$E$9+1,1))</f>
        <v>646.69588445509589</v>
      </c>
      <c r="T109" s="59">
        <f t="shared" si="88"/>
        <v>286.36346771084698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5.6843418860808015E-13</v>
      </c>
      <c r="AJ109" s="13">
        <f>AI109*VLOOKUP('Données projet'!$B$10,Paramètres!$A$1:$I$89,3,0)*VLOOKUP('Données projet'!$B$10,Paramètres!$A$1:$I$89,5,0)</f>
        <v>3.177547114319168E-13</v>
      </c>
      <c r="AK109" s="13">
        <f t="shared" si="89"/>
        <v>4.1725404435445377E-12</v>
      </c>
      <c r="AL109" s="20">
        <f t="shared" si="58"/>
        <v>7.820597394917325E-12</v>
      </c>
      <c r="AM109" s="59">
        <f t="shared" si="59"/>
        <v>289.89136859449212</v>
      </c>
      <c r="AN109" s="59">
        <f ca="1">AVERAGE(OFFSET($AM$3,0,0,'Données projet'!$E$10+1,1))-AVERAGE(OFFSET($H$3,0,0,'Données projet'!$E$10+1,1))</f>
        <v>391.55758836264408</v>
      </c>
      <c r="AO109" s="59">
        <f t="shared" si="90"/>
        <v>360.80727659978777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113.11193806317121</v>
      </c>
      <c r="AV109" s="21">
        <f>EXP(-LN(2)/25)*AV108+(1-EXP(-LN(2)/25))/(LN(2)/25)*Calculateur!AQ109*Calculateur!AS109*VLOOKUP('Données projet'!$B$10,Paramètres!$A$1:$I$89,3,0)*0.475*44/12</f>
        <v>28.290247818173594</v>
      </c>
      <c r="AW109" s="21">
        <f>EXP(-LN(2)/2)*AW108+(1-EXP(-LN(2)/2))/(LN(2)/2)*AQ109*AT109*VLOOKUP('Données projet'!$B$10,Paramètres!$A$1:$I$89,3,0)*0.475*44/12</f>
        <v>2.8803071717384304E-4</v>
      </c>
      <c r="AX109" s="21">
        <f t="shared" si="60"/>
        <v>141.40247391206196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5.0249582272954292E-14</v>
      </c>
      <c r="BF109" s="13">
        <f t="shared" si="91"/>
        <v>8.1784820119191593E-13</v>
      </c>
      <c r="BG109" s="20">
        <f t="shared" si="61"/>
        <v>1.5119369728679821E-12</v>
      </c>
      <c r="BH109" s="59">
        <f t="shared" si="62"/>
        <v>289.89136859448581</v>
      </c>
      <c r="BI109" s="59">
        <f ca="1">AVERAGE(OFFSET($BH$3,0,0,'Données projet'!$E$11+1,1))-AVERAGE(OFFSET($H$3,0,0,'Données projet'!$E$11+1,1))</f>
        <v>400.11184625063709</v>
      </c>
      <c r="BJ109" s="59">
        <f t="shared" si="92"/>
        <v>340.02906159605971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123.47491111776698</v>
      </c>
      <c r="BQ109" s="21">
        <f>EXP(-LN(2)/25)*BQ108+(1-EXP(-LN(2)/25))/(LN(2)/25)*Calculateur!BL109*Calculateur!BN109*VLOOKUP('Données projet'!$B$11,Paramètres!$A$1:$I$89,3,0)*0.475*44/12</f>
        <v>34.964962373147898</v>
      </c>
      <c r="BR109" s="21">
        <f>EXP(-LN(2)/2)*BR108+(1-EXP(-LN(2)/2))/(LN(2)/2)*BL109*BO109*VLOOKUP('Données projet'!$B$11,Paramètres!$A$1:$I$89,3,0)*0.475*44/12</f>
        <v>9.5952015586334791E-3</v>
      </c>
      <c r="BS109" s="22">
        <f t="shared" si="63"/>
        <v>158.44946869247349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8.8449999999999989</v>
      </c>
      <c r="BY109" s="12">
        <f>IF('Données projet'!$A$114&gt;35,BY108+BX109-CG108,IF(A109&lt;'Données projet'!$A$114,$BV$205^A109,IF(A109='Données projet'!$A$114,'Données projet'!$B$114,BY108+BX109-CG108)))</f>
        <v>353.80000000000052</v>
      </c>
      <c r="BZ109" s="13">
        <f>BY109*VLOOKUP('Données projet'!$B$12,Paramètres!$A$1:$I$89,3,0)*VLOOKUP('Données projet'!$B$12,Paramètres!$A$1:$I$89,5,0)</f>
        <v>237.32904000000033</v>
      </c>
      <c r="CA109" s="13">
        <f t="shared" si="93"/>
        <v>57.864486657972051</v>
      </c>
      <c r="CB109" s="20">
        <f t="shared" si="64"/>
        <v>514.1287255959686</v>
      </c>
      <c r="CC109" s="59">
        <f t="shared" si="65"/>
        <v>804.02009419045294</v>
      </c>
      <c r="CD109" s="59">
        <f ca="1">AVERAGE(OFFSET($CC$3,0,0,'Données projet'!$E$12+1,1))-AVERAGE(OFFSET($H$3,0,0,'Données projet'!$E$12+1,1))</f>
        <v>493.98227954109774</v>
      </c>
      <c r="CE109" s="59">
        <f t="shared" si="94"/>
        <v>224.32736097997289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29.067896832550637</v>
      </c>
      <c r="CL109" s="21">
        <f>EXP(-LN(2)/25)*CL108+(1-EXP(-LN(2)/25))/(LN(2)/25)*Calculateur!CG109*Calculateur!CI109*VLOOKUP('Données projet'!$B$12,Paramètres!$A$1:$I$89,3,0)*0.475*44/12</f>
        <v>23.362597924663966</v>
      </c>
      <c r="CM109" s="21">
        <f>EXP(-LN(2)/2)*CM108+(1-EXP(-LN(2)/2))/(LN(2)/2)*CG109*CJ109*VLOOKUP('Données projet'!$B$12,Paramètres!$A$1:$I$89,3,0)*0.475*44/12</f>
        <v>2.1601959666012891</v>
      </c>
      <c r="CN109" s="22">
        <f t="shared" si="66"/>
        <v>54.590690723815889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8.8449999999999989</v>
      </c>
      <c r="CT109" s="12">
        <f>IF('Données projet'!$A$140&gt;35,CT108+CS109-DB108,IF(A109&lt;'Données projet'!$A$140,$CQ$205^A109,IF(A109='Données projet'!$A$140,'Données projet'!$B$140,CT108+CS109-DB108)))</f>
        <v>353.80000000000052</v>
      </c>
      <c r="CU109" s="17">
        <f>CT109*VLOOKUP('Données projet'!$B$13,Paramètres!$A$1:$I$89,3,0)*VLOOKUP('Données projet'!$B$13,Paramètres!$A$1:$I$89,5,0)</f>
        <v>336.67608000000052</v>
      </c>
      <c r="CV109" s="13">
        <f t="shared" si="95"/>
        <v>78.81281133511159</v>
      </c>
      <c r="CW109" s="20">
        <f t="shared" si="67"/>
        <v>723.64315240865346</v>
      </c>
      <c r="CX109" s="59">
        <f t="shared" si="68"/>
        <v>1013.5345210031378</v>
      </c>
      <c r="CY109" s="59">
        <f ca="1">AVERAGE(OFFSET($CX$3,0,0,'Données projet'!$E$13+1,1))-AVERAGE(OFFSET($H$3,0,0,'Données projet'!$E$13+1,1))</f>
        <v>677.13548994240728</v>
      </c>
      <c r="CZ109" s="59">
        <f t="shared" si="96"/>
        <v>298.72429542440534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33.455503901614897</v>
      </c>
      <c r="DG109" s="21">
        <f>EXP(-LN(2)/25)*DG108+(1-EXP(-LN(2)/25))/(LN(2)/25)*Calculateur!DB109*Calculateur!DD109*VLOOKUP('Données projet'!$B$13,Paramètres!$A$1:$I$89,3,0)*0.475*44/12</f>
        <v>26.889027800084936</v>
      </c>
      <c r="DH109" s="21">
        <f>EXP(-LN(2)/2)*DH108+(1-EXP(-LN(2)/2))/(LN(2)/2)*DB109*DE109*VLOOKUP('Données projet'!$B$13,Paramètres!$A$1:$I$89,3,0)*0.475*44/12</f>
        <v>3.0644640456436885</v>
      </c>
      <c r="DI109" s="22">
        <f t="shared" si="69"/>
        <v>63.408995747343525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69.061282343950268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1.2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4.3999999999999995</v>
      </c>
      <c r="H110" s="67">
        <f t="shared" si="56"/>
        <v>239.06666666666669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995.60796743083779</v>
      </c>
      <c r="S110" s="59">
        <f ca="1">AVERAGE(OFFSET($R$3,0,0,'Données projet'!$E$9+1,1))-AVERAGE(OFFSET($H$3,0,0,'Données projet'!$E$9+1,1))</f>
        <v>646.69588445509589</v>
      </c>
      <c r="T110" s="59">
        <f t="shared" si="88"/>
        <v>286.36346771084698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5.6843418860808015E-13</v>
      </c>
      <c r="AJ110" s="13">
        <f>AI110*VLOOKUP('Données projet'!$B$10,Paramètres!$A$1:$I$89,3,0)*VLOOKUP('Données projet'!$B$10,Paramètres!$A$1:$I$89,5,0)</f>
        <v>3.177547114319168E-13</v>
      </c>
      <c r="AK110" s="13">
        <f t="shared" si="89"/>
        <v>4.1725404435445377E-12</v>
      </c>
      <c r="AL110" s="20">
        <f t="shared" si="58"/>
        <v>7.820597394917325E-12</v>
      </c>
      <c r="AM110" s="59">
        <f t="shared" si="59"/>
        <v>289.95107898763086</v>
      </c>
      <c r="AN110" s="59">
        <f ca="1">AVERAGE(OFFSET($AM$3,0,0,'Données projet'!$E$10+1,1))-AVERAGE(OFFSET($H$3,0,0,'Données projet'!$E$10+1,1))</f>
        <v>391.55758836264408</v>
      </c>
      <c r="AO110" s="59">
        <f t="shared" si="90"/>
        <v>360.80727659978777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110.8938819492223</v>
      </c>
      <c r="AV110" s="21">
        <f>EXP(-LN(2)/25)*AV109+(1-EXP(-LN(2)/25))/(LN(2)/25)*Calculateur!AQ110*Calculateur!AS110*VLOOKUP('Données projet'!$B$10,Paramètres!$A$1:$I$89,3,0)*0.475*44/12</f>
        <v>27.516649503866162</v>
      </c>
      <c r="AW110" s="21">
        <f>EXP(-LN(2)/2)*AW109+(1-EXP(-LN(2)/2))/(LN(2)/2)*AQ110*AT110*VLOOKUP('Données projet'!$B$10,Paramètres!$A$1:$I$89,3,0)*0.475*44/12</f>
        <v>2.0366847330364899E-4</v>
      </c>
      <c r="AX110" s="21">
        <f t="shared" si="60"/>
        <v>138.41073512156177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5.0249582272954292E-14</v>
      </c>
      <c r="BF110" s="13">
        <f t="shared" si="91"/>
        <v>8.1784820119191593E-13</v>
      </c>
      <c r="BG110" s="20">
        <f t="shared" si="61"/>
        <v>1.5119369728679821E-12</v>
      </c>
      <c r="BH110" s="59">
        <f t="shared" si="62"/>
        <v>289.95107898762456</v>
      </c>
      <c r="BI110" s="59">
        <f ca="1">AVERAGE(OFFSET($BH$3,0,0,'Données projet'!$E$11+1,1))-AVERAGE(OFFSET($H$3,0,0,'Données projet'!$E$11+1,1))</f>
        <v>400.11184625063709</v>
      </c>
      <c r="BJ110" s="59">
        <f t="shared" si="92"/>
        <v>340.02906159605971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121.05364342300689</v>
      </c>
      <c r="BQ110" s="21">
        <f>EXP(-LN(2)/25)*BQ109+(1-EXP(-LN(2)/25))/(LN(2)/25)*Calculateur!BL110*Calculateur!BN110*VLOOKUP('Données projet'!$B$11,Paramètres!$A$1:$I$89,3,0)*0.475*44/12</f>
        <v>34.008843638326709</v>
      </c>
      <c r="BR110" s="21">
        <f>EXP(-LN(2)/2)*BR109+(1-EXP(-LN(2)/2))/(LN(2)/2)*BL110*BO110*VLOOKUP('Données projet'!$B$11,Paramètres!$A$1:$I$89,3,0)*0.475*44/12</f>
        <v>6.7848320889614634E-3</v>
      </c>
      <c r="BS110" s="22">
        <f t="shared" si="63"/>
        <v>155.06927189342255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8.8449999999999989</v>
      </c>
      <c r="BY110" s="12">
        <f>IF('Données projet'!$A$114&gt;35,BY109+BX110-CG109,IF(A110&lt;'Données projet'!$A$114,$BV$205^A110,IF(A110='Données projet'!$A$114,'Données projet'!$B$114,BY109+BX110-CG109)))</f>
        <v>362.64500000000055</v>
      </c>
      <c r="BZ110" s="13">
        <f>BY110*VLOOKUP('Données projet'!$B$12,Paramètres!$A$1:$I$89,3,0)*VLOOKUP('Données projet'!$B$12,Paramètres!$A$1:$I$89,5,0)</f>
        <v>243.26226600000038</v>
      </c>
      <c r="CA110" s="13">
        <f t="shared" si="93"/>
        <v>59.140870425832752</v>
      </c>
      <c r="CB110" s="20">
        <f t="shared" si="64"/>
        <v>526.68546260832591</v>
      </c>
      <c r="CC110" s="59">
        <f t="shared" si="65"/>
        <v>816.63654159594898</v>
      </c>
      <c r="CD110" s="59">
        <f ca="1">AVERAGE(OFFSET($CC$3,0,0,'Données projet'!$E$12+1,1))-AVERAGE(OFFSET($H$3,0,0,'Données projet'!$E$12+1,1))</f>
        <v>493.98227954109774</v>
      </c>
      <c r="CE110" s="59">
        <f t="shared" si="94"/>
        <v>224.32736097997289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28.497893105330729</v>
      </c>
      <c r="CL110" s="21">
        <f>EXP(-LN(2)/25)*CL109+(1-EXP(-LN(2)/25))/(LN(2)/25)*Calculateur!CG110*Calculateur!CI110*VLOOKUP('Données projet'!$B$12,Paramètres!$A$1:$I$89,3,0)*0.475*44/12</f>
        <v>22.723746455828401</v>
      </c>
      <c r="CM110" s="21">
        <f>EXP(-LN(2)/2)*CM109+(1-EXP(-LN(2)/2))/(LN(2)/2)*CG110*CJ110*VLOOKUP('Données projet'!$B$12,Paramètres!$A$1:$I$89,3,0)*0.475*44/12</f>
        <v>1.5274892166756004</v>
      </c>
      <c r="CN110" s="22">
        <f t="shared" si="66"/>
        <v>52.749128777834727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8.8449999999999989</v>
      </c>
      <c r="CT110" s="12">
        <f>IF('Données projet'!$A$140&gt;35,CT109+CS110-DB109,IF(A110&lt;'Données projet'!$A$140,$CQ$205^A110,IF(A110='Données projet'!$A$140,'Données projet'!$B$140,CT109+CS110-DB109)))</f>
        <v>362.64500000000055</v>
      </c>
      <c r="CU110" s="17">
        <f>CT110*VLOOKUP('Données projet'!$B$13,Paramètres!$A$1:$I$89,3,0)*VLOOKUP('Données projet'!$B$13,Paramètres!$A$1:$I$89,5,0)</f>
        <v>345.09298200000052</v>
      </c>
      <c r="CV110" s="13">
        <f t="shared" si="95"/>
        <v>80.551276478373012</v>
      </c>
      <c r="CW110" s="20">
        <f t="shared" si="67"/>
        <v>741.33041684983391</v>
      </c>
      <c r="CX110" s="59">
        <f t="shared" si="68"/>
        <v>1031.281495837457</v>
      </c>
      <c r="CY110" s="59">
        <f ca="1">AVERAGE(OFFSET($CX$3,0,0,'Données projet'!$E$13+1,1))-AVERAGE(OFFSET($H$3,0,0,'Données projet'!$E$13+1,1))</f>
        <v>677.13548994240728</v>
      </c>
      <c r="CZ110" s="59">
        <f t="shared" si="96"/>
        <v>298.72429542440534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32.799461875946697</v>
      </c>
      <c r="DG110" s="21">
        <f>EXP(-LN(2)/25)*DG109+(1-EXP(-LN(2)/25))/(LN(2)/25)*Calculateur!DB110*Calculateur!DD110*VLOOKUP('Données projet'!$B$13,Paramètres!$A$1:$I$89,3,0)*0.475*44/12</f>
        <v>26.153745920859098</v>
      </c>
      <c r="DH110" s="21">
        <f>EXP(-LN(2)/2)*DH109+(1-EXP(-LN(2)/2))/(LN(2)/2)*DB110*DE110*VLOOKUP('Données projet'!$B$13,Paramètres!$A$1:$I$89,3,0)*0.475*44/12</f>
        <v>2.1669033073770141</v>
      </c>
      <c r="DI110" s="22">
        <f t="shared" si="69"/>
        <v>61.120111104182811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69.077566996624455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1.2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4.3999999999999995</v>
      </c>
      <c r="H111" s="67">
        <f t="shared" si="56"/>
        <v>239.06666666666669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1012.4927797012041</v>
      </c>
      <c r="S111" s="59">
        <f ca="1">AVERAGE(OFFSET($R$3,0,0,'Données projet'!$E$9+1,1))-AVERAGE(OFFSET($H$3,0,0,'Données projet'!$E$9+1,1))</f>
        <v>646.69588445509589</v>
      </c>
      <c r="T111" s="59">
        <f t="shared" si="88"/>
        <v>286.36346771084698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5.6843418860808015E-13</v>
      </c>
      <c r="AJ111" s="13">
        <f>AI111*VLOOKUP('Données projet'!$B$10,Paramètres!$A$1:$I$89,3,0)*VLOOKUP('Données projet'!$B$10,Paramètres!$A$1:$I$89,5,0)</f>
        <v>3.177547114319168E-13</v>
      </c>
      <c r="AK111" s="13">
        <f t="shared" si="89"/>
        <v>4.1725404435445377E-12</v>
      </c>
      <c r="AL111" s="20">
        <f t="shared" si="58"/>
        <v>7.820597394917325E-12</v>
      </c>
      <c r="AM111" s="59">
        <f t="shared" si="59"/>
        <v>290.00975353894103</v>
      </c>
      <c r="AN111" s="59">
        <f ca="1">AVERAGE(OFFSET($AM$3,0,0,'Données projet'!$E$10+1,1))-AVERAGE(OFFSET($H$3,0,0,'Données projet'!$E$10+1,1))</f>
        <v>391.55758836264408</v>
      </c>
      <c r="AO111" s="59">
        <f t="shared" si="90"/>
        <v>360.80727659978777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108.71932056278729</v>
      </c>
      <c r="AV111" s="21">
        <f>EXP(-LN(2)/25)*AV110+(1-EXP(-LN(2)/25))/(LN(2)/25)*Calculateur!AQ111*Calculateur!AS111*VLOOKUP('Données projet'!$B$10,Paramètres!$A$1:$I$89,3,0)*0.475*44/12</f>
        <v>26.764205276145233</v>
      </c>
      <c r="AW111" s="21">
        <f>EXP(-LN(2)/2)*AW110+(1-EXP(-LN(2)/2))/(LN(2)/2)*AQ111*AT111*VLOOKUP('Données projet'!$B$10,Paramètres!$A$1:$I$89,3,0)*0.475*44/12</f>
        <v>1.4401535858692152E-4</v>
      </c>
      <c r="AX111" s="21">
        <f t="shared" si="60"/>
        <v>135.48366985429109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5.0249582272954292E-14</v>
      </c>
      <c r="BF111" s="13">
        <f t="shared" si="91"/>
        <v>8.1784820119191593E-13</v>
      </c>
      <c r="BG111" s="20">
        <f t="shared" si="61"/>
        <v>1.5119369728679821E-12</v>
      </c>
      <c r="BH111" s="59">
        <f t="shared" si="62"/>
        <v>290.00975353893472</v>
      </c>
      <c r="BI111" s="59">
        <f ca="1">AVERAGE(OFFSET($BH$3,0,0,'Données projet'!$E$11+1,1))-AVERAGE(OFFSET($H$3,0,0,'Données projet'!$E$11+1,1))</f>
        <v>400.11184625063709</v>
      </c>
      <c r="BJ111" s="59">
        <f t="shared" si="92"/>
        <v>340.02906159605971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118.67985531091357</v>
      </c>
      <c r="BQ111" s="21">
        <f>EXP(-LN(2)/25)*BQ110+(1-EXP(-LN(2)/25))/(LN(2)/25)*Calculateur!BL111*Calculateur!BN111*VLOOKUP('Données projet'!$B$11,Paramètres!$A$1:$I$89,3,0)*0.475*44/12</f>
        <v>33.078870020589306</v>
      </c>
      <c r="BR111" s="21">
        <f>EXP(-LN(2)/2)*BR110+(1-EXP(-LN(2)/2))/(LN(2)/2)*BL111*BO111*VLOOKUP('Données projet'!$B$11,Paramètres!$A$1:$I$89,3,0)*0.475*44/12</f>
        <v>4.7976007793167396E-3</v>
      </c>
      <c r="BS111" s="22">
        <f t="shared" si="63"/>
        <v>151.7635229322822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8.8449999999999989</v>
      </c>
      <c r="BY111" s="12">
        <f>IF('Données projet'!$A$114&gt;35,BY110+BX111-CG110,IF(A111&lt;'Données projet'!$A$114,$BV$205^A111,IF(A111='Données projet'!$A$114,'Données projet'!$B$114,BY110+BX111-CG110)))</f>
        <v>371.49000000000058</v>
      </c>
      <c r="BZ111" s="13">
        <f>BY111*VLOOKUP('Données projet'!$B$12,Paramètres!$A$1:$I$89,3,0)*VLOOKUP('Données projet'!$B$12,Paramètres!$A$1:$I$89,5,0)</f>
        <v>249.1954920000004</v>
      </c>
      <c r="CA111" s="13">
        <f t="shared" si="93"/>
        <v>60.413635268839982</v>
      </c>
      <c r="CB111" s="20">
        <f t="shared" si="64"/>
        <v>539.23589665989698</v>
      </c>
      <c r="CC111" s="59">
        <f t="shared" si="65"/>
        <v>829.24565019883016</v>
      </c>
      <c r="CD111" s="59">
        <f ca="1">AVERAGE(OFFSET($CC$3,0,0,'Données projet'!$E$12+1,1))-AVERAGE(OFFSET($H$3,0,0,'Données projet'!$E$12+1,1))</f>
        <v>493.98227954109774</v>
      </c>
      <c r="CE111" s="59">
        <f t="shared" si="94"/>
        <v>224.32736097997289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27.939066803533656</v>
      </c>
      <c r="CL111" s="21">
        <f>EXP(-LN(2)/25)*CL110+(1-EXP(-LN(2)/25))/(LN(2)/25)*Calculateur!CG111*Calculateur!CI111*VLOOKUP('Données projet'!$B$12,Paramètres!$A$1:$I$89,3,0)*0.475*44/12</f>
        <v>22.102364414003883</v>
      </c>
      <c r="CM111" s="21">
        <f>EXP(-LN(2)/2)*CM110+(1-EXP(-LN(2)/2))/(LN(2)/2)*CG111*CJ111*VLOOKUP('Données projet'!$B$12,Paramètres!$A$1:$I$89,3,0)*0.475*44/12</f>
        <v>1.0800979833006448</v>
      </c>
      <c r="CN111" s="22">
        <f t="shared" si="66"/>
        <v>51.121529200838182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8.8449999999999989</v>
      </c>
      <c r="CT111" s="12">
        <f>IF('Données projet'!$A$140&gt;35,CT110+CS111-DB110,IF(A111&lt;'Données projet'!$A$140,$CQ$205^A111,IF(A111='Données projet'!$A$140,'Données projet'!$B$140,CT110+CS111-DB110)))</f>
        <v>371.49000000000058</v>
      </c>
      <c r="CU111" s="17">
        <f>CT111*VLOOKUP('Données projet'!$B$13,Paramètres!$A$1:$I$89,3,0)*VLOOKUP('Données projet'!$B$13,Paramètres!$A$1:$I$89,5,0)</f>
        <v>353.50988400000057</v>
      </c>
      <c r="CV111" s="13">
        <f t="shared" si="95"/>
        <v>82.284812559645275</v>
      </c>
      <c r="CW111" s="20">
        <f t="shared" si="67"/>
        <v>759.00909650804977</v>
      </c>
      <c r="CX111" s="59">
        <f t="shared" si="68"/>
        <v>1049.0188500469831</v>
      </c>
      <c r="CY111" s="59">
        <f ca="1">AVERAGE(OFFSET($CX$3,0,0,'Données projet'!$E$13+1,1))-AVERAGE(OFFSET($H$3,0,0,'Données projet'!$E$13+1,1))</f>
        <v>677.13548994240728</v>
      </c>
      <c r="CZ111" s="59">
        <f t="shared" si="96"/>
        <v>298.72429542440534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32.156284434255731</v>
      </c>
      <c r="DG111" s="21">
        <f>EXP(-LN(2)/25)*DG110+(1-EXP(-LN(2)/25))/(LN(2)/25)*Calculateur!DB111*Calculateur!DD111*VLOOKUP('Données projet'!$B$13,Paramètres!$A$1:$I$89,3,0)*0.475*44/12</f>
        <v>25.438570363287482</v>
      </c>
      <c r="DH111" s="21">
        <f>EXP(-LN(2)/2)*DH110+(1-EXP(-LN(2)/2))/(LN(2)/2)*DB111*DE111*VLOOKUP('Données projet'!$B$13,Paramètres!$A$1:$I$89,3,0)*0.475*44/12</f>
        <v>1.5322320228218445</v>
      </c>
      <c r="DI111" s="22">
        <f t="shared" si="69"/>
        <v>59.127086820365058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69.093569146981778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1.2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4.3999999999999995</v>
      </c>
      <c r="H112" s="67">
        <f t="shared" si="56"/>
        <v>239.06666666666669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1029.368581448309</v>
      </c>
      <c r="S112" s="59">
        <f ca="1">AVERAGE(OFFSET($R$3,0,0,'Données projet'!$E$9+1,1))-AVERAGE(OFFSET($H$3,0,0,'Données projet'!$E$9+1,1))</f>
        <v>646.69588445509589</v>
      </c>
      <c r="T112" s="59">
        <f t="shared" si="88"/>
        <v>286.36346771084698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5.6843418860808015E-13</v>
      </c>
      <c r="AJ112" s="13">
        <f>AI112*VLOOKUP('Données projet'!$B$10,Paramètres!$A$1:$I$89,3,0)*VLOOKUP('Données projet'!$B$10,Paramètres!$A$1:$I$89,5,0)</f>
        <v>3.177547114319168E-13</v>
      </c>
      <c r="AK112" s="13">
        <f t="shared" si="89"/>
        <v>4.1725404435445377E-12</v>
      </c>
      <c r="AL112" s="20">
        <f t="shared" si="58"/>
        <v>7.820597394917325E-12</v>
      </c>
      <c r="AM112" s="59">
        <f t="shared" si="59"/>
        <v>290.06741021796262</v>
      </c>
      <c r="AN112" s="59">
        <f ca="1">AVERAGE(OFFSET($AM$3,0,0,'Données projet'!$E$10+1,1))-AVERAGE(OFFSET($H$3,0,0,'Données projet'!$E$10+1,1))</f>
        <v>391.55758836264408</v>
      </c>
      <c r="AO112" s="59">
        <f t="shared" si="90"/>
        <v>360.80727659978777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106.58740099878878</v>
      </c>
      <c r="AV112" s="21">
        <f>EXP(-LN(2)/25)*AV111+(1-EXP(-LN(2)/25))/(LN(2)/25)*Calculateur!AQ112*Calculateur!AS112*VLOOKUP('Données projet'!$B$10,Paramètres!$A$1:$I$89,3,0)*0.475*44/12</f>
        <v>26.032336675400657</v>
      </c>
      <c r="AW112" s="21">
        <f>EXP(-LN(2)/2)*AW111+(1-EXP(-LN(2)/2))/(LN(2)/2)*AQ112*AT112*VLOOKUP('Données projet'!$B$10,Paramètres!$A$1:$I$89,3,0)*0.475*44/12</f>
        <v>1.0183423665182449E-4</v>
      </c>
      <c r="AX112" s="21">
        <f t="shared" si="60"/>
        <v>132.61983950842608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5.0249582272954292E-14</v>
      </c>
      <c r="BF112" s="13">
        <f t="shared" si="91"/>
        <v>8.1784820119191593E-13</v>
      </c>
      <c r="BG112" s="20">
        <f t="shared" si="61"/>
        <v>1.5119369728679821E-12</v>
      </c>
      <c r="BH112" s="59">
        <f t="shared" si="62"/>
        <v>290.06741021795631</v>
      </c>
      <c r="BI112" s="59">
        <f ca="1">AVERAGE(OFFSET($BH$3,0,0,'Données projet'!$E$11+1,1))-AVERAGE(OFFSET($H$3,0,0,'Données projet'!$E$11+1,1))</f>
        <v>400.11184625063709</v>
      </c>
      <c r="BJ112" s="59">
        <f t="shared" si="92"/>
        <v>340.02906159605971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116.35261573583061</v>
      </c>
      <c r="BQ112" s="21">
        <f>EXP(-LN(2)/25)*BQ111+(1-EXP(-LN(2)/25))/(LN(2)/25)*Calculateur!BL112*Calculateur!BN112*VLOOKUP('Données projet'!$B$11,Paramètres!$A$1:$I$89,3,0)*0.475*44/12</f>
        <v>32.174326580334117</v>
      </c>
      <c r="BR112" s="21">
        <f>EXP(-LN(2)/2)*BR111+(1-EXP(-LN(2)/2))/(LN(2)/2)*BL112*BO112*VLOOKUP('Données projet'!$B$11,Paramètres!$A$1:$I$89,3,0)*0.475*44/12</f>
        <v>3.3924160444807317E-3</v>
      </c>
      <c r="BS112" s="22">
        <f t="shared" si="63"/>
        <v>148.53033473220921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8.8449999999999989</v>
      </c>
      <c r="BY112" s="12">
        <f>IF('Données projet'!$A$114&gt;35,BY111+BX112-CG111,IF(A112&lt;'Données projet'!$A$114,$BV$205^A112,IF(A112='Données projet'!$A$114,'Données projet'!$B$114,BY111+BX112-CG111)))</f>
        <v>380.3350000000006</v>
      </c>
      <c r="BZ112" s="13">
        <f>BY112*VLOOKUP('Données projet'!$B$12,Paramètres!$A$1:$I$89,3,0)*VLOOKUP('Données projet'!$B$12,Paramètres!$A$1:$I$89,5,0)</f>
        <v>255.12871800000042</v>
      </c>
      <c r="CA112" s="13">
        <f t="shared" si="93"/>
        <v>61.682877266642279</v>
      </c>
      <c r="CB112" s="20">
        <f t="shared" si="64"/>
        <v>551.7801950894027</v>
      </c>
      <c r="CC112" s="59">
        <f t="shared" si="65"/>
        <v>841.84760530735753</v>
      </c>
      <c r="CD112" s="59">
        <f ca="1">AVERAGE(OFFSET($CC$3,0,0,'Données projet'!$E$12+1,1))-AVERAGE(OFFSET($H$3,0,0,'Données projet'!$E$12+1,1))</f>
        <v>493.98227954109774</v>
      </c>
      <c r="CE112" s="59">
        <f t="shared" si="94"/>
        <v>224.32736097997289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27.391198744664436</v>
      </c>
      <c r="CL112" s="21">
        <f>EXP(-LN(2)/25)*CL111+(1-EXP(-LN(2)/25))/(LN(2)/25)*Calculateur!CG112*Calculateur!CI112*VLOOKUP('Données projet'!$B$12,Paramètres!$A$1:$I$89,3,0)*0.475*44/12</f>
        <v>21.497974096790117</v>
      </c>
      <c r="CM112" s="21">
        <f>EXP(-LN(2)/2)*CM111+(1-EXP(-LN(2)/2))/(LN(2)/2)*CG112*CJ112*VLOOKUP('Données projet'!$B$12,Paramètres!$A$1:$I$89,3,0)*0.475*44/12</f>
        <v>0.76374460833780033</v>
      </c>
      <c r="CN112" s="22">
        <f t="shared" si="66"/>
        <v>49.652917449792355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8.8449999999999989</v>
      </c>
      <c r="CT112" s="12">
        <f>IF('Données projet'!$A$140&gt;35,CT111+CS112-DB111,IF(A112&lt;'Données projet'!$A$140,$CQ$205^A112,IF(A112='Données projet'!$A$140,'Données projet'!$B$140,CT111+CS112-DB111)))</f>
        <v>380.3350000000006</v>
      </c>
      <c r="CU112" s="17">
        <f>CT112*VLOOKUP('Données projet'!$B$13,Paramètres!$A$1:$I$89,3,0)*VLOOKUP('Données projet'!$B$13,Paramètres!$A$1:$I$89,5,0)</f>
        <v>361.92678600000056</v>
      </c>
      <c r="CV112" s="13">
        <f t="shared" si="95"/>
        <v>84.013550441701824</v>
      </c>
      <c r="CW112" s="20">
        <f t="shared" si="67"/>
        <v>776.67941930263157</v>
      </c>
      <c r="CX112" s="59">
        <f t="shared" si="68"/>
        <v>1066.7468295205863</v>
      </c>
      <c r="CY112" s="59">
        <f ca="1">AVERAGE(OFFSET($CX$3,0,0,'Données projet'!$E$13+1,1))-AVERAGE(OFFSET($H$3,0,0,'Données projet'!$E$13+1,1))</f>
        <v>677.13548994240728</v>
      </c>
      <c r="CZ112" s="59">
        <f t="shared" si="96"/>
        <v>298.72429542440534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31.525719309896818</v>
      </c>
      <c r="DG112" s="21">
        <f>EXP(-LN(2)/25)*DG111+(1-EXP(-LN(2)/25))/(LN(2)/25)*Calculateur!DB112*Calculateur!DD112*VLOOKUP('Données projet'!$B$13,Paramètres!$A$1:$I$89,3,0)*0.475*44/12</f>
        <v>24.74295131894711</v>
      </c>
      <c r="DH112" s="21">
        <f>EXP(-LN(2)/2)*DH111+(1-EXP(-LN(2)/2))/(LN(2)/2)*DB112*DE112*VLOOKUP('Données projet'!$B$13,Paramètres!$A$1:$I$89,3,0)*0.475*44/12</f>
        <v>1.083451653688507</v>
      </c>
      <c r="DI112" s="22">
        <f t="shared" si="69"/>
        <v>57.352122282532434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69.109293695805846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1.2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4.3999999999999995</v>
      </c>
      <c r="H113" s="67">
        <f t="shared" si="56"/>
        <v>239.06666666666669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1046.2355975986391</v>
      </c>
      <c r="S113" s="59">
        <f ca="1">AVERAGE(OFFSET($R$3,0,0,'Données projet'!$E$9+1,1))-AVERAGE(OFFSET($H$3,0,0,'Données projet'!$E$9+1,1))</f>
        <v>646.69588445509589</v>
      </c>
      <c r="T113" s="59">
        <f t="shared" si="88"/>
        <v>286.36346771084698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5.6843418860808015E-13</v>
      </c>
      <c r="AJ113" s="13">
        <f>AI113*VLOOKUP('Données projet'!$B$10,Paramètres!$A$1:$I$89,3,0)*VLOOKUP('Données projet'!$B$10,Paramètres!$A$1:$I$89,5,0)</f>
        <v>3.177547114319168E-13</v>
      </c>
      <c r="AK113" s="13">
        <f t="shared" si="89"/>
        <v>4.1725404435445377E-12</v>
      </c>
      <c r="AL113" s="20">
        <f t="shared" si="58"/>
        <v>7.820597394917325E-12</v>
      </c>
      <c r="AM113" s="59">
        <f t="shared" si="59"/>
        <v>290.12406668250418</v>
      </c>
      <c r="AN113" s="59">
        <f ca="1">AVERAGE(OFFSET($AM$3,0,0,'Données projet'!$E$10+1,1))-AVERAGE(OFFSET($H$3,0,0,'Données projet'!$E$10+1,1))</f>
        <v>391.55758836264408</v>
      </c>
      <c r="AO113" s="59">
        <f t="shared" si="90"/>
        <v>360.80727659978777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104.49728707709775</v>
      </c>
      <c r="AV113" s="21">
        <f>EXP(-LN(2)/25)*AV112+(1-EXP(-LN(2)/25))/(LN(2)/25)*Calculateur!AQ113*Calculateur!AS113*VLOOKUP('Données projet'!$B$10,Paramètres!$A$1:$I$89,3,0)*0.475*44/12</f>
        <v>25.320481060030737</v>
      </c>
      <c r="AW113" s="21">
        <f>EXP(-LN(2)/2)*AW112+(1-EXP(-LN(2)/2))/(LN(2)/2)*AQ113*AT113*VLOOKUP('Données projet'!$B$10,Paramètres!$A$1:$I$89,3,0)*0.475*44/12</f>
        <v>7.2007679293460759E-5</v>
      </c>
      <c r="AX113" s="21">
        <f t="shared" si="60"/>
        <v>129.8178401448078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5.0249582272954292E-14</v>
      </c>
      <c r="BF113" s="13">
        <f t="shared" si="91"/>
        <v>8.1784820119191593E-13</v>
      </c>
      <c r="BG113" s="20">
        <f t="shared" si="61"/>
        <v>1.5119369728679821E-12</v>
      </c>
      <c r="BH113" s="59">
        <f t="shared" si="62"/>
        <v>290.12406668249787</v>
      </c>
      <c r="BI113" s="59">
        <f ca="1">AVERAGE(OFFSET($BH$3,0,0,'Données projet'!$E$11+1,1))-AVERAGE(OFFSET($H$3,0,0,'Données projet'!$E$11+1,1))</f>
        <v>400.11184625063709</v>
      </c>
      <c r="BJ113" s="59">
        <f t="shared" si="92"/>
        <v>340.02906159605971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114.07101190933905</v>
      </c>
      <c r="BQ113" s="21">
        <f>EXP(-LN(2)/25)*BQ112+(1-EXP(-LN(2)/25))/(LN(2)/25)*Calculateur!BL113*Calculateur!BN113*VLOOKUP('Données projet'!$B$11,Paramètres!$A$1:$I$89,3,0)*0.475*44/12</f>
        <v>31.294517928020582</v>
      </c>
      <c r="BR113" s="21">
        <f>EXP(-LN(2)/2)*BR112+(1-EXP(-LN(2)/2))/(LN(2)/2)*BL113*BO113*VLOOKUP('Données projet'!$B$11,Paramètres!$A$1:$I$89,3,0)*0.475*44/12</f>
        <v>2.3988003896583698E-3</v>
      </c>
      <c r="BS113" s="22">
        <f t="shared" si="63"/>
        <v>145.36792863774932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8.8449999999999989</v>
      </c>
      <c r="BY113" s="12">
        <f>IF('Données projet'!$A$114&gt;35,BY112+BX113-CG112,IF(A113&lt;'Données projet'!$A$114,$BV$205^A113,IF(A113='Données projet'!$A$114,'Données projet'!$B$114,BY112+BX113-CG112)))</f>
        <v>389.18000000000063</v>
      </c>
      <c r="BZ113" s="13">
        <f>BY113*VLOOKUP('Données projet'!$B$12,Paramètres!$A$1:$I$89,3,0)*VLOOKUP('Données projet'!$B$12,Paramètres!$A$1:$I$89,5,0)</f>
        <v>261.06194400000044</v>
      </c>
      <c r="CA113" s="13">
        <f t="shared" si="93"/>
        <v>62.948687775095173</v>
      </c>
      <c r="CB113" s="20">
        <f t="shared" si="64"/>
        <v>564.31851700829145</v>
      </c>
      <c r="CC113" s="59">
        <f t="shared" si="65"/>
        <v>854.44258369078784</v>
      </c>
      <c r="CD113" s="59">
        <f ca="1">AVERAGE(OFFSET($CC$3,0,0,'Données projet'!$E$12+1,1))-AVERAGE(OFFSET($H$3,0,0,'Données projet'!$E$12+1,1))</f>
        <v>493.98227954109774</v>
      </c>
      <c r="CE113" s="59">
        <f t="shared" si="94"/>
        <v>224.32736097997289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26.854074044263122</v>
      </c>
      <c r="CL113" s="21">
        <f>EXP(-LN(2)/25)*CL112+(1-EXP(-LN(2)/25))/(LN(2)/25)*Calculateur!CG113*Calculateur!CI113*VLOOKUP('Données projet'!$B$12,Paramètres!$A$1:$I$89,3,0)*0.475*44/12</f>
        <v>20.910110864584066</v>
      </c>
      <c r="CM113" s="21">
        <f>EXP(-LN(2)/2)*CM112+(1-EXP(-LN(2)/2))/(LN(2)/2)*CG113*CJ113*VLOOKUP('Données projet'!$B$12,Paramètres!$A$1:$I$89,3,0)*0.475*44/12</f>
        <v>0.5400489916503225</v>
      </c>
      <c r="CN113" s="22">
        <f t="shared" si="66"/>
        <v>48.304233900497508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8.8449999999999989</v>
      </c>
      <c r="CT113" s="12">
        <f>IF('Données projet'!$A$140&gt;35,CT112+CS113-DB112,IF(A113&lt;'Données projet'!$A$140,$CQ$205^A113,IF(A113='Données projet'!$A$140,'Données projet'!$B$140,CT112+CS113-DB112)))</f>
        <v>389.18000000000063</v>
      </c>
      <c r="CU113" s="17">
        <f>CT113*VLOOKUP('Données projet'!$B$13,Paramètres!$A$1:$I$89,3,0)*VLOOKUP('Données projet'!$B$13,Paramètres!$A$1:$I$89,5,0)</f>
        <v>370.34368800000061</v>
      </c>
      <c r="CV113" s="13">
        <f t="shared" si="95"/>
        <v>85.737614553397449</v>
      </c>
      <c r="CW113" s="20">
        <f t="shared" si="67"/>
        <v>794.34160194716833</v>
      </c>
      <c r="CX113" s="59">
        <f t="shared" si="68"/>
        <v>1084.4656686296646</v>
      </c>
      <c r="CY113" s="59">
        <f ca="1">AVERAGE(OFFSET($CX$3,0,0,'Données projet'!$E$13+1,1))-AVERAGE(OFFSET($H$3,0,0,'Données projet'!$E$13+1,1))</f>
        <v>677.13548994240728</v>
      </c>
      <c r="CZ113" s="59">
        <f t="shared" si="96"/>
        <v>298.72429542440534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30.907519183019836</v>
      </c>
      <c r="DG113" s="21">
        <f>EXP(-LN(2)/25)*DG112+(1-EXP(-LN(2)/25))/(LN(2)/25)*Calculateur!DB113*Calculateur!DD113*VLOOKUP('Données projet'!$B$13,Paramètres!$A$1:$I$89,3,0)*0.475*44/12</f>
        <v>24.066354013955241</v>
      </c>
      <c r="DH113" s="21">
        <f>EXP(-LN(2)/2)*DH112+(1-EXP(-LN(2)/2))/(LN(2)/2)*DB113*DE113*VLOOKUP('Données projet'!$B$13,Paramètres!$A$1:$I$89,3,0)*0.475*44/12</f>
        <v>0.76611601141092223</v>
      </c>
      <c r="DI113" s="22">
        <f t="shared" si="69"/>
        <v>55.739989208386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69.124745458862634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1.2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4.3999999999999995</v>
      </c>
      <c r="H114" s="67">
        <f t="shared" si="56"/>
        <v>239.06666666666669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1063.0940428133308</v>
      </c>
      <c r="S114" s="59">
        <f ca="1">AVERAGE(OFFSET($R$3,0,0,'Données projet'!$E$9+1,1))-AVERAGE(OFFSET($H$3,0,0,'Données projet'!$E$9+1,1))</f>
        <v>646.69588445509589</v>
      </c>
      <c r="T114" s="59">
        <f t="shared" si="88"/>
        <v>286.36346771084698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5.6843418860808015E-13</v>
      </c>
      <c r="AJ114" s="13">
        <f>AI114*VLOOKUP('Données projet'!$B$10,Paramètres!$A$1:$I$89,3,0)*VLOOKUP('Données projet'!$B$10,Paramètres!$A$1:$I$89,5,0)</f>
        <v>3.177547114319168E-13</v>
      </c>
      <c r="AK114" s="13">
        <f t="shared" si="89"/>
        <v>4.1725404435445377E-12</v>
      </c>
      <c r="AL114" s="20">
        <f t="shared" si="58"/>
        <v>7.820597394917325E-12</v>
      </c>
      <c r="AM114" s="59">
        <f t="shared" si="59"/>
        <v>290.17974028405087</v>
      </c>
      <c r="AN114" s="59">
        <f ca="1">AVERAGE(OFFSET($AM$3,0,0,'Données projet'!$E$10+1,1))-AVERAGE(OFFSET($H$3,0,0,'Données projet'!$E$10+1,1))</f>
        <v>391.55758836264408</v>
      </c>
      <c r="AO114" s="59">
        <f t="shared" si="90"/>
        <v>360.80727659978777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102.44815901456747</v>
      </c>
      <c r="AV114" s="21">
        <f>EXP(-LN(2)/25)*AV113+(1-EXP(-LN(2)/25))/(LN(2)/25)*Calculateur!AQ114*Calculateur!AS114*VLOOKUP('Données projet'!$B$10,Paramètres!$A$1:$I$89,3,0)*0.475*44/12</f>
        <v>24.628091173897968</v>
      </c>
      <c r="AW114" s="21">
        <f>EXP(-LN(2)/2)*AW113+(1-EXP(-LN(2)/2))/(LN(2)/2)*AQ114*AT114*VLOOKUP('Données projet'!$B$10,Paramètres!$A$1:$I$89,3,0)*0.475*44/12</f>
        <v>5.0917118325912247E-5</v>
      </c>
      <c r="AX114" s="21">
        <f t="shared" si="60"/>
        <v>127.07630110558377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5.0249582272954292E-14</v>
      </c>
      <c r="BF114" s="13">
        <f t="shared" si="91"/>
        <v>8.1784820119191593E-13</v>
      </c>
      <c r="BG114" s="20">
        <f t="shared" si="61"/>
        <v>1.5119369728679821E-12</v>
      </c>
      <c r="BH114" s="59">
        <f t="shared" si="62"/>
        <v>290.17974028404456</v>
      </c>
      <c r="BI114" s="59">
        <f ca="1">AVERAGE(OFFSET($BH$3,0,0,'Données projet'!$E$11+1,1))-AVERAGE(OFFSET($H$3,0,0,'Données projet'!$E$11+1,1))</f>
        <v>400.11184625063709</v>
      </c>
      <c r="BJ114" s="59">
        <f t="shared" si="92"/>
        <v>340.02906159605971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111.83414894224407</v>
      </c>
      <c r="BQ114" s="21">
        <f>EXP(-LN(2)/25)*BQ113+(1-EXP(-LN(2)/25))/(LN(2)/25)*Calculateur!BL114*Calculateur!BN114*VLOOKUP('Données projet'!$B$11,Paramètres!$A$1:$I$89,3,0)*0.475*44/12</f>
        <v>30.438767689571687</v>
      </c>
      <c r="BR114" s="21">
        <f>EXP(-LN(2)/2)*BR113+(1-EXP(-LN(2)/2))/(LN(2)/2)*BL114*BO114*VLOOKUP('Données projet'!$B$11,Paramètres!$A$1:$I$89,3,0)*0.475*44/12</f>
        <v>1.6962080222403658E-3</v>
      </c>
      <c r="BS114" s="22">
        <f t="shared" si="63"/>
        <v>142.274612839838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8.8449999999999989</v>
      </c>
      <c r="BY114" s="12">
        <f>IF('Données projet'!$A$114&gt;35,BY113+BX114-CG113,IF(A114&lt;'Données projet'!$A$114,$BV$205^A114,IF(A114='Données projet'!$A$114,'Données projet'!$B$114,BY113+BX114-CG113)))</f>
        <v>398.02500000000066</v>
      </c>
      <c r="BZ114" s="13">
        <f>BY114*VLOOKUP('Données projet'!$B$12,Paramètres!$A$1:$I$89,3,0)*VLOOKUP('Données projet'!$B$12,Paramètres!$A$1:$I$89,5,0)</f>
        <v>266.99517000000043</v>
      </c>
      <c r="CA114" s="13">
        <f t="shared" si="93"/>
        <v>64.211153760508196</v>
      </c>
      <c r="CB114" s="20">
        <f t="shared" si="64"/>
        <v>576.8510138828857</v>
      </c>
      <c r="CC114" s="59">
        <f t="shared" si="65"/>
        <v>867.03075416692877</v>
      </c>
      <c r="CD114" s="59">
        <f ca="1">AVERAGE(OFFSET($CC$3,0,0,'Données projet'!$E$12+1,1))-AVERAGE(OFFSET($H$3,0,0,'Données projet'!$E$12+1,1))</f>
        <v>493.98227954109774</v>
      </c>
      <c r="CE114" s="59">
        <f t="shared" si="94"/>
        <v>224.32736097997289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26.32748203162296</v>
      </c>
      <c r="CL114" s="21">
        <f>EXP(-LN(2)/25)*CL113+(1-EXP(-LN(2)/25))/(LN(2)/25)*Calculateur!CG114*Calculateur!CI114*VLOOKUP('Données projet'!$B$12,Paramètres!$A$1:$I$89,3,0)*0.475*44/12</f>
        <v>20.338322783377077</v>
      </c>
      <c r="CM114" s="21">
        <f>EXP(-LN(2)/2)*CM113+(1-EXP(-LN(2)/2))/(LN(2)/2)*CG114*CJ114*VLOOKUP('Données projet'!$B$12,Paramètres!$A$1:$I$89,3,0)*0.475*44/12</f>
        <v>0.38187230416890022</v>
      </c>
      <c r="CN114" s="22">
        <f t="shared" si="66"/>
        <v>47.047677119168938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8.8449999999999989</v>
      </c>
      <c r="CT114" s="12">
        <f>IF('Données projet'!$A$140&gt;35,CT113+CS114-DB113,IF(A114&lt;'Données projet'!$A$140,$CQ$205^A114,IF(A114='Données projet'!$A$140,'Données projet'!$B$140,CT113+CS114-DB113)))</f>
        <v>398.02500000000066</v>
      </c>
      <c r="CU114" s="17">
        <f>CT114*VLOOKUP('Données projet'!$B$13,Paramètres!$A$1:$I$89,3,0)*VLOOKUP('Données projet'!$B$13,Paramètres!$A$1:$I$89,5,0)</f>
        <v>378.76059000000066</v>
      </c>
      <c r="CV114" s="13">
        <f t="shared" si="95"/>
        <v>87.457123344920589</v>
      </c>
      <c r="CW114" s="20">
        <f t="shared" si="67"/>
        <v>811.9958507424044</v>
      </c>
      <c r="CX114" s="59">
        <f t="shared" si="68"/>
        <v>1102.1755910264474</v>
      </c>
      <c r="CY114" s="59">
        <f ca="1">AVERAGE(OFFSET($CX$3,0,0,'Données projet'!$E$13+1,1))-AVERAGE(OFFSET($H$3,0,0,'Données projet'!$E$13+1,1))</f>
        <v>677.13548994240728</v>
      </c>
      <c r="CZ114" s="59">
        <f t="shared" si="96"/>
        <v>298.72429542440534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30.301441583566067</v>
      </c>
      <c r="DG114" s="21">
        <f>EXP(-LN(2)/25)*DG113+(1-EXP(-LN(2)/25))/(LN(2)/25)*Calculateur!DB114*Calculateur!DD114*VLOOKUP('Données projet'!$B$13,Paramètres!$A$1:$I$89,3,0)*0.475*44/12</f>
        <v>23.408258297849081</v>
      </c>
      <c r="DH114" s="21">
        <f>EXP(-LN(2)/2)*DH113+(1-EXP(-LN(2)/2))/(LN(2)/2)*DB114*DE114*VLOOKUP('Données projet'!$B$13,Paramètres!$A$1:$I$89,3,0)*0.475*44/12</f>
        <v>0.54172582684425352</v>
      </c>
      <c r="DI114" s="22">
        <f t="shared" si="69"/>
        <v>54.251425708259404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69.13992916837536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1.2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4.3999999999999995</v>
      </c>
      <c r="H115" s="67">
        <f t="shared" si="56"/>
        <v>239.06666666666669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1079.9441221825164</v>
      </c>
      <c r="S115" s="59">
        <f ca="1">AVERAGE(OFFSET($R$3,0,0,'Données projet'!$E$9+1,1))-AVERAGE(OFFSET($H$3,0,0,'Données projet'!$E$9+1,1))</f>
        <v>646.69588445509589</v>
      </c>
      <c r="T115" s="59">
        <f t="shared" si="88"/>
        <v>286.36346771084698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5.6843418860808015E-13</v>
      </c>
      <c r="AJ115" s="13">
        <f>AI115*VLOOKUP('Données projet'!$B$10,Paramètres!$A$1:$I$89,3,0)*VLOOKUP('Données projet'!$B$10,Paramètres!$A$1:$I$89,5,0)</f>
        <v>3.177547114319168E-13</v>
      </c>
      <c r="AK115" s="13">
        <f t="shared" si="89"/>
        <v>4.1725404435445377E-12</v>
      </c>
      <c r="AL115" s="20">
        <f t="shared" si="58"/>
        <v>7.820597394917325E-12</v>
      </c>
      <c r="AM115" s="59">
        <f t="shared" si="59"/>
        <v>290.23444807307823</v>
      </c>
      <c r="AN115" s="59">
        <f ca="1">AVERAGE(OFFSET($AM$3,0,0,'Données projet'!$E$10+1,1))-AVERAGE(OFFSET($H$3,0,0,'Données projet'!$E$10+1,1))</f>
        <v>391.55758836264408</v>
      </c>
      <c r="AO115" s="59">
        <f t="shared" si="90"/>
        <v>360.80727659978777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100.4392131034987</v>
      </c>
      <c r="AV115" s="21">
        <f>EXP(-LN(2)/25)*AV114+(1-EXP(-LN(2)/25))/(LN(2)/25)*Calculateur!AQ115*Calculateur!AS115*VLOOKUP('Données projet'!$B$10,Paramètres!$A$1:$I$89,3,0)*0.475*44/12</f>
        <v>23.954634725612703</v>
      </c>
      <c r="AW115" s="21">
        <f>EXP(-LN(2)/2)*AW114+(1-EXP(-LN(2)/2))/(LN(2)/2)*AQ115*AT115*VLOOKUP('Données projet'!$B$10,Paramètres!$A$1:$I$89,3,0)*0.475*44/12</f>
        <v>3.600383964673038E-5</v>
      </c>
      <c r="AX115" s="21">
        <f t="shared" si="60"/>
        <v>124.39388383295106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5.0249582272954292E-14</v>
      </c>
      <c r="BF115" s="13">
        <f t="shared" si="91"/>
        <v>8.1784820119191593E-13</v>
      </c>
      <c r="BG115" s="20">
        <f t="shared" si="61"/>
        <v>1.5119369728679821E-12</v>
      </c>
      <c r="BH115" s="59">
        <f t="shared" si="62"/>
        <v>290.23444807307192</v>
      </c>
      <c r="BI115" s="59">
        <f ca="1">AVERAGE(OFFSET($BH$3,0,0,'Données projet'!$E$11+1,1))-AVERAGE(OFFSET($H$3,0,0,'Données projet'!$E$11+1,1))</f>
        <v>400.11184625063709</v>
      </c>
      <c r="BJ115" s="59">
        <f t="shared" si="92"/>
        <v>340.02906159605971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109.64114949358213</v>
      </c>
      <c r="BQ115" s="21">
        <f>EXP(-LN(2)/25)*BQ114+(1-EXP(-LN(2)/25))/(LN(2)/25)*Calculateur!BL115*Calculateur!BN115*VLOOKUP('Données projet'!$B$11,Paramètres!$A$1:$I$89,3,0)*0.475*44/12</f>
        <v>29.606417986395126</v>
      </c>
      <c r="BR115" s="21">
        <f>EXP(-LN(2)/2)*BR114+(1-EXP(-LN(2)/2))/(LN(2)/2)*BL115*BO115*VLOOKUP('Données projet'!$B$11,Paramètres!$A$1:$I$89,3,0)*0.475*44/12</f>
        <v>1.1994001948291849E-3</v>
      </c>
      <c r="BS115" s="22">
        <f t="shared" si="63"/>
        <v>139.24876688017207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8.8449999999999989</v>
      </c>
      <c r="BY115" s="12">
        <f>IF('Données projet'!$A$114&gt;35,BY114+BX115-CG114,IF(A115&lt;'Données projet'!$A$114,$BV$205^A115,IF(A115='Données projet'!$A$114,'Données projet'!$B$114,BY114+BX115-CG114)))</f>
        <v>406.87000000000069</v>
      </c>
      <c r="BZ115" s="13">
        <f>BY115*VLOOKUP('Données projet'!$B$12,Paramètres!$A$1:$I$89,3,0)*VLOOKUP('Données projet'!$B$12,Paramètres!$A$1:$I$89,5,0)</f>
        <v>272.92839600000048</v>
      </c>
      <c r="CA115" s="13">
        <f t="shared" si="93"/>
        <v>65.470358103343145</v>
      </c>
      <c r="CB115" s="20">
        <f t="shared" si="64"/>
        <v>589.37783006332347</v>
      </c>
      <c r="CC115" s="59">
        <f t="shared" si="65"/>
        <v>879.6122781363938</v>
      </c>
      <c r="CD115" s="59">
        <f ca="1">AVERAGE(OFFSET($CC$3,0,0,'Données projet'!$E$12+1,1))-AVERAGE(OFFSET($H$3,0,0,'Données projet'!$E$12+1,1))</f>
        <v>493.98227954109774</v>
      </c>
      <c r="CE115" s="59">
        <f t="shared" si="94"/>
        <v>224.32736097997289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25.811216167161259</v>
      </c>
      <c r="CL115" s="21">
        <f>EXP(-LN(2)/25)*CL114+(1-EXP(-LN(2)/25))/(LN(2)/25)*Calculateur!CG115*Calculateur!CI115*VLOOKUP('Données projet'!$B$12,Paramètres!$A$1:$I$89,3,0)*0.475*44/12</f>
        <v>19.782170277319718</v>
      </c>
      <c r="CM115" s="21">
        <f>EXP(-LN(2)/2)*CM114+(1-EXP(-LN(2)/2))/(LN(2)/2)*CG115*CJ115*VLOOKUP('Données projet'!$B$12,Paramètres!$A$1:$I$89,3,0)*0.475*44/12</f>
        <v>0.27002449582516125</v>
      </c>
      <c r="CN115" s="22">
        <f t="shared" si="66"/>
        <v>45.863410940306139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8.8449999999999989</v>
      </c>
      <c r="CT115" s="12">
        <f>IF('Données projet'!$A$140&gt;35,CT114+CS115-DB114,IF(A115&lt;'Données projet'!$A$140,$CQ$205^A115,IF(A115='Données projet'!$A$140,'Données projet'!$B$140,CT114+CS115-DB114)))</f>
        <v>406.87000000000069</v>
      </c>
      <c r="CU115" s="17">
        <f>CT115*VLOOKUP('Données projet'!$B$13,Paramètres!$A$1:$I$89,3,0)*VLOOKUP('Données projet'!$B$13,Paramètres!$A$1:$I$89,5,0)</f>
        <v>387.17749200000065</v>
      </c>
      <c r="CV115" s="13">
        <f t="shared" si="95"/>
        <v>89.172189701437333</v>
      </c>
      <c r="CW115" s="20">
        <f t="shared" si="67"/>
        <v>829.64236229667119</v>
      </c>
      <c r="CX115" s="59">
        <f t="shared" si="68"/>
        <v>1119.8768103697416</v>
      </c>
      <c r="CY115" s="59">
        <f ca="1">AVERAGE(OFFSET($CX$3,0,0,'Données projet'!$E$13+1,1))-AVERAGE(OFFSET($H$3,0,0,'Données projet'!$E$13+1,1))</f>
        <v>677.13548994240728</v>
      </c>
      <c r="CZ115" s="59">
        <f t="shared" si="96"/>
        <v>298.72429542440534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29.707248796166752</v>
      </c>
      <c r="DG115" s="21">
        <f>EXP(-LN(2)/25)*DG114+(1-EXP(-LN(2)/25))/(LN(2)/25)*Calculateur!DB115*Calculateur!DD115*VLOOKUP('Données projet'!$B$13,Paramètres!$A$1:$I$89,3,0)*0.475*44/12</f>
        <v>22.768158243707592</v>
      </c>
      <c r="DH115" s="21">
        <f>EXP(-LN(2)/2)*DH114+(1-EXP(-LN(2)/2))/(LN(2)/2)*DB115*DE115*VLOOKUP('Données projet'!$B$13,Paramètres!$A$1:$I$89,3,0)*0.475*44/12</f>
        <v>0.38305800570546111</v>
      </c>
      <c r="DI115" s="22">
        <f t="shared" si="69"/>
        <v>52.858465045579806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69.154849474473735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1.2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4.3999999999999995</v>
      </c>
      <c r="H116" s="67">
        <f t="shared" si="56"/>
        <v>239.06666666666669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1096.7860318579726</v>
      </c>
      <c r="S116" s="59">
        <f ca="1">AVERAGE(OFFSET($R$3,0,0,'Données projet'!$E$9+1,1))-AVERAGE(OFFSET($H$3,0,0,'Données projet'!$E$9+1,1))</f>
        <v>646.69588445509589</v>
      </c>
      <c r="T116" s="59">
        <f t="shared" si="88"/>
        <v>286.36346771084698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5.6843418860808015E-13</v>
      </c>
      <c r="AJ116" s="13">
        <f>AI116*VLOOKUP('Données projet'!$B$10,Paramètres!$A$1:$I$89,3,0)*VLOOKUP('Données projet'!$B$10,Paramètres!$A$1:$I$89,5,0)</f>
        <v>3.177547114319168E-13</v>
      </c>
      <c r="AK116" s="13">
        <f t="shared" si="89"/>
        <v>4.1725404435445377E-12</v>
      </c>
      <c r="AL116" s="20">
        <f t="shared" si="58"/>
        <v>7.820597394917325E-12</v>
      </c>
      <c r="AM116" s="59">
        <f t="shared" si="59"/>
        <v>290.28820680427424</v>
      </c>
      <c r="AN116" s="59">
        <f ca="1">AVERAGE(OFFSET($AM$3,0,0,'Données projet'!$E$10+1,1))-AVERAGE(OFFSET($H$3,0,0,'Données projet'!$E$10+1,1))</f>
        <v>391.55758836264408</v>
      </c>
      <c r="AO116" s="59">
        <f t="shared" si="90"/>
        <v>360.80727659978777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98.469661396409975</v>
      </c>
      <c r="AV116" s="21">
        <f>EXP(-LN(2)/25)*AV115+(1-EXP(-LN(2)/25))/(LN(2)/25)*Calculateur!AQ116*Calculateur!AS116*VLOOKUP('Données projet'!$B$10,Paramètres!$A$1:$I$89,3,0)*0.475*44/12</f>
        <v>23.299593979321333</v>
      </c>
      <c r="AW116" s="21">
        <f>EXP(-LN(2)/2)*AW115+(1-EXP(-LN(2)/2))/(LN(2)/2)*AQ116*AT116*VLOOKUP('Données projet'!$B$10,Paramètres!$A$1:$I$89,3,0)*0.475*44/12</f>
        <v>2.5458559162956124E-5</v>
      </c>
      <c r="AX116" s="21">
        <f t="shared" si="60"/>
        <v>121.76928083429047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5.0249582272954292E-14</v>
      </c>
      <c r="BF116" s="13">
        <f t="shared" si="91"/>
        <v>8.1784820119191593E-13</v>
      </c>
      <c r="BG116" s="20">
        <f t="shared" si="61"/>
        <v>1.5119369728679821E-12</v>
      </c>
      <c r="BH116" s="59">
        <f t="shared" si="62"/>
        <v>290.28820680426793</v>
      </c>
      <c r="BI116" s="59">
        <f ca="1">AVERAGE(OFFSET($BH$3,0,0,'Données projet'!$E$11+1,1))-AVERAGE(OFFSET($H$3,0,0,'Données projet'!$E$11+1,1))</f>
        <v>400.11184625063709</v>
      </c>
      <c r="BJ116" s="59">
        <f t="shared" si="92"/>
        <v>340.02906159605971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107.49115342651088</v>
      </c>
      <c r="BQ116" s="21">
        <f>EXP(-LN(2)/25)*BQ115+(1-EXP(-LN(2)/25))/(LN(2)/25)*Calculateur!BL116*Calculateur!BN116*VLOOKUP('Données projet'!$B$11,Paramètres!$A$1:$I$89,3,0)*0.475*44/12</f>
        <v>28.796828929623295</v>
      </c>
      <c r="BR116" s="21">
        <f>EXP(-LN(2)/2)*BR115+(1-EXP(-LN(2)/2))/(LN(2)/2)*BL116*BO116*VLOOKUP('Données projet'!$B$11,Paramètres!$A$1:$I$89,3,0)*0.475*44/12</f>
        <v>8.4810401112018292E-4</v>
      </c>
      <c r="BS116" s="22">
        <f t="shared" si="63"/>
        <v>136.28883046014528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8.8449999999999989</v>
      </c>
      <c r="BY116" s="12">
        <f>IF('Données projet'!$A$114&gt;35,BY115+BX116-CG115,IF(A116&lt;'Données projet'!$A$114,$BV$205^A116,IF(A116='Données projet'!$A$114,'Données projet'!$B$114,BY115+BX116-CG115)))</f>
        <v>415.71500000000071</v>
      </c>
      <c r="BZ116" s="13">
        <f>BY116*VLOOKUP('Données projet'!$B$12,Paramètres!$A$1:$I$89,3,0)*VLOOKUP('Données projet'!$B$12,Paramètres!$A$1:$I$89,5,0)</f>
        <v>278.86162200000052</v>
      </c>
      <c r="CA116" s="13">
        <f t="shared" si="93"/>
        <v>66.726379874758862</v>
      </c>
      <c r="CB116" s="20">
        <f t="shared" si="64"/>
        <v>601.89910326520578</v>
      </c>
      <c r="CC116" s="59">
        <f t="shared" si="65"/>
        <v>892.18731006947223</v>
      </c>
      <c r="CD116" s="59">
        <f ca="1">AVERAGE(OFFSET($CC$3,0,0,'Données projet'!$E$12+1,1))-AVERAGE(OFFSET($H$3,0,0,'Données projet'!$E$12+1,1))</f>
        <v>493.98227954109774</v>
      </c>
      <c r="CE116" s="59">
        <f t="shared" si="94"/>
        <v>224.32736097997289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25.305073961410567</v>
      </c>
      <c r="CL116" s="21">
        <f>EXP(-LN(2)/25)*CL115+(1-EXP(-LN(2)/25))/(LN(2)/25)*Calculateur!CG116*Calculateur!CI116*VLOOKUP('Données projet'!$B$12,Paramètres!$A$1:$I$89,3,0)*0.475*44/12</f>
        <v>19.24122579078729</v>
      </c>
      <c r="CM116" s="21">
        <f>EXP(-LN(2)/2)*CM115+(1-EXP(-LN(2)/2))/(LN(2)/2)*CG116*CJ116*VLOOKUP('Données projet'!$B$12,Paramètres!$A$1:$I$89,3,0)*0.475*44/12</f>
        <v>0.19093615208445011</v>
      </c>
      <c r="CN116" s="22">
        <f t="shared" si="66"/>
        <v>44.737235904282301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8.8449999999999989</v>
      </c>
      <c r="CT116" s="12">
        <f>IF('Données projet'!$A$140&gt;35,CT115+CS116-DB115,IF(A116&lt;'Données projet'!$A$140,$CQ$205^A116,IF(A116='Données projet'!$A$140,'Données projet'!$B$140,CT115+CS116-DB115)))</f>
        <v>415.71500000000071</v>
      </c>
      <c r="CU116" s="17">
        <f>CT116*VLOOKUP('Données projet'!$B$13,Paramètres!$A$1:$I$89,3,0)*VLOOKUP('Données projet'!$B$13,Paramètres!$A$1:$I$89,5,0)</f>
        <v>395.5943940000007</v>
      </c>
      <c r="CV116" s="13">
        <f t="shared" si="95"/>
        <v>90.882921319752683</v>
      </c>
      <c r="CW116" s="20">
        <f t="shared" si="67"/>
        <v>847.28132418190387</v>
      </c>
      <c r="CX116" s="59">
        <f t="shared" si="68"/>
        <v>1137.5695309861703</v>
      </c>
      <c r="CY116" s="59">
        <f ca="1">AVERAGE(OFFSET($CX$3,0,0,'Données projet'!$E$13+1,1))-AVERAGE(OFFSET($H$3,0,0,'Données projet'!$E$13+1,1))</f>
        <v>677.13548994240728</v>
      </c>
      <c r="CZ116" s="59">
        <f t="shared" si="96"/>
        <v>298.72429542440534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29.124707766906521</v>
      </c>
      <c r="DG116" s="21">
        <f>EXP(-LN(2)/25)*DG115+(1-EXP(-LN(2)/25))/(LN(2)/25)*Calculateur!DB116*Calculateur!DD116*VLOOKUP('Données projet'!$B$13,Paramètres!$A$1:$I$89,3,0)*0.475*44/12</f>
        <v>22.145561759208004</v>
      </c>
      <c r="DH116" s="21">
        <f>EXP(-LN(2)/2)*DH115+(1-EXP(-LN(2)/2))/(LN(2)/2)*DB116*DE116*VLOOKUP('Données projet'!$B$13,Paramètres!$A$1:$I$89,3,0)*0.475*44/12</f>
        <v>0.27086291342212676</v>
      </c>
      <c r="DI116" s="22">
        <f t="shared" si="69"/>
        <v>51.541132439536653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69.169510946618104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1.2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4.3999999999999995</v>
      </c>
      <c r="H117" s="67">
        <f t="shared" si="56"/>
        <v>239.06666666666669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1113.6199596307736</v>
      </c>
      <c r="S117" s="59">
        <f ca="1">AVERAGE(OFFSET($R$3,0,0,'Données projet'!$E$9+1,1))-AVERAGE(OFFSET($H$3,0,0,'Données projet'!$E$9+1,1))</f>
        <v>646.69588445509589</v>
      </c>
      <c r="T117" s="59">
        <f t="shared" si="88"/>
        <v>286.36346771084698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5.6843418860808015E-13</v>
      </c>
      <c r="AJ117" s="13">
        <f>AI117*VLOOKUP('Données projet'!$B$10,Paramètres!$A$1:$I$89,3,0)*VLOOKUP('Données projet'!$B$10,Paramètres!$A$1:$I$89,5,0)</f>
        <v>3.177547114319168E-13</v>
      </c>
      <c r="AK117" s="13">
        <f t="shared" si="89"/>
        <v>4.1725404435445377E-12</v>
      </c>
      <c r="AL117" s="20">
        <f t="shared" si="58"/>
        <v>7.820597394917325E-12</v>
      </c>
      <c r="AM117" s="59">
        <f t="shared" si="59"/>
        <v>290.34103294167045</v>
      </c>
      <c r="AN117" s="59">
        <f ca="1">AVERAGE(OFFSET($AM$3,0,0,'Données projet'!$E$10+1,1))-AVERAGE(OFFSET($H$3,0,0,'Données projet'!$E$10+1,1))</f>
        <v>391.55758836264408</v>
      </c>
      <c r="AO117" s="59">
        <f t="shared" si="90"/>
        <v>360.80727659978777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96.538731396989334</v>
      </c>
      <c r="AV117" s="21">
        <f>EXP(-LN(2)/25)*AV116+(1-EXP(-LN(2)/25))/(LN(2)/25)*Calculateur!AQ117*Calculateur!AS117*VLOOKUP('Données projet'!$B$10,Paramètres!$A$1:$I$89,3,0)*0.475*44/12</f>
        <v>22.662465356684397</v>
      </c>
      <c r="AW117" s="21">
        <f>EXP(-LN(2)/2)*AW116+(1-EXP(-LN(2)/2))/(LN(2)/2)*AQ117*AT117*VLOOKUP('Données projet'!$B$10,Paramètres!$A$1:$I$89,3,0)*0.475*44/12</f>
        <v>1.800191982336519E-5</v>
      </c>
      <c r="AX117" s="21">
        <f t="shared" si="60"/>
        <v>119.20121475559355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5.0249582272954292E-14</v>
      </c>
      <c r="BF117" s="13">
        <f t="shared" si="91"/>
        <v>8.1784820119191593E-13</v>
      </c>
      <c r="BG117" s="20">
        <f t="shared" si="61"/>
        <v>1.5119369728679821E-12</v>
      </c>
      <c r="BH117" s="59">
        <f t="shared" si="62"/>
        <v>290.34103294166414</v>
      </c>
      <c r="BI117" s="59">
        <f ca="1">AVERAGE(OFFSET($BH$3,0,0,'Données projet'!$E$11+1,1))-AVERAGE(OFFSET($H$3,0,0,'Données projet'!$E$11+1,1))</f>
        <v>400.11184625063709</v>
      </c>
      <c r="BJ117" s="59">
        <f t="shared" si="92"/>
        <v>340.02906159605971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105.38331747094676</v>
      </c>
      <c r="BQ117" s="21">
        <f>EXP(-LN(2)/25)*BQ116+(1-EXP(-LN(2)/25))/(LN(2)/25)*Calculateur!BL117*Calculateur!BN117*VLOOKUP('Données projet'!$B$11,Paramètres!$A$1:$I$89,3,0)*0.475*44/12</f>
        <v>28.009378128183329</v>
      </c>
      <c r="BR117" s="21">
        <f>EXP(-LN(2)/2)*BR116+(1-EXP(-LN(2)/2))/(LN(2)/2)*BL117*BO117*VLOOKUP('Données projet'!$B$11,Paramètres!$A$1:$I$89,3,0)*0.475*44/12</f>
        <v>5.9970009741459245E-4</v>
      </c>
      <c r="BS117" s="22">
        <f t="shared" si="63"/>
        <v>133.3932952992275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8.8449999999999989</v>
      </c>
      <c r="BX117" s="12">
        <f t="array" ref="BX117">INDEX(BW:BW,MIN(IF(ISNUMBER(BW117:BW313),ROW(BW117:BW313),"")))</f>
        <v>8.8449999999999989</v>
      </c>
      <c r="BY117" s="12">
        <f>IF('Données projet'!$A$114&gt;35,BY116+BX117-CG116,IF(A117&lt;'Données projet'!$A$114,$BV$205^A117,IF(A117='Données projet'!$A$114,'Données projet'!$B$114,BY116+BX117-CG116)))</f>
        <v>424.56000000000074</v>
      </c>
      <c r="BZ117" s="13">
        <f>BY117*VLOOKUP('Données projet'!$B$12,Paramètres!$A$1:$I$89,3,0)*VLOOKUP('Données projet'!$B$12,Paramètres!$A$1:$I$89,5,0)</f>
        <v>284.79484800000051</v>
      </c>
      <c r="CA117" s="13">
        <f t="shared" si="93"/>
        <v>67.979294588955938</v>
      </c>
      <c r="CB117" s="20">
        <f t="shared" si="64"/>
        <v>614.41496500909921</v>
      </c>
      <c r="CC117" s="59">
        <f t="shared" si="65"/>
        <v>904.75599795076187</v>
      </c>
      <c r="CD117" s="59">
        <f ca="1">AVERAGE(OFFSET($CC$3,0,0,'Données projet'!$E$12+1,1))-AVERAGE(OFFSET($H$3,0,0,'Données projet'!$E$12+1,1))</f>
        <v>493.98227954109774</v>
      </c>
      <c r="CE117" s="59">
        <f t="shared" si="94"/>
        <v>224.32736097997289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61.860000000000014</v>
      </c>
      <c r="CH117" s="16">
        <f>IF(ISNA(VLOOKUP(A117,'Données projet'!$A$113:$I$133,5,0)),0%,VLOOKUP(A117,'Données projet'!$A$113:$I$133,5,0)*VLOOKUP('Données projet'!$B$12,Paramètres!$A$1:$I$89,7,0))</f>
        <v>0.1855</v>
      </c>
      <c r="CI117" s="16">
        <f>IF(ISNA(VLOOKUP(A117,'Données projet'!$A$113:$I$133,6,0)),0%,VLOOKUP(A117,'Données projet'!$A$113:$I$133,6,0)*VLOOKUP('Données projet'!$B$12,Paramètres!$A$1:$I$89,7,0))</f>
        <v>0.10600000000000001</v>
      </c>
      <c r="CJ117" s="16">
        <f>IF(ISNA(VLOOKUP(A117,'Données projet'!$A$113:$I$133,7,0)),0%,VLOOKUP(A117,'Données projet'!$A$113:$I$133,7,0))</f>
        <v>0.1</v>
      </c>
      <c r="CK117" s="21">
        <f>EXP(-LN(2)/35)*CK116+(1-EXP(-LN(2)/35))/(LN(2)/35)*CG117*CH117*VLOOKUP('Données projet'!$B$12,Paramètres!$A$1:$I$89,3,0)*0.475*44/12</f>
        <v>33.318160005612626</v>
      </c>
      <c r="CL117" s="21">
        <f>EXP(-LN(2)/25)*CL116+(1-EXP(-LN(2)/25))/(LN(2)/25)*Calculateur!CG117*Calculateur!CI117*VLOOKUP('Données projet'!$B$12,Paramètres!$A$1:$I$89,3,0)*0.475*44/12</f>
        <v>23.558387026184086</v>
      </c>
      <c r="CM117" s="21">
        <f>EXP(-LN(2)/2)*CM116+(1-EXP(-LN(2)/2))/(LN(2)/2)*CG117*CJ117*VLOOKUP('Données projet'!$B$12,Paramètres!$A$1:$I$89,3,0)*0.475*44/12</f>
        <v>4.0502420947193638</v>
      </c>
      <c r="CN117" s="22">
        <f t="shared" si="66"/>
        <v>60.926789126516077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8.8449999999999989</v>
      </c>
      <c r="CS117" s="12">
        <f t="array" ref="CS117">INDEX(CR:CR,MIN(IF(ISNUMBER(CR117:CR313),ROW(CR117:CR313),"")))</f>
        <v>8.8449999999999989</v>
      </c>
      <c r="CT117" s="12">
        <f>IF('Données projet'!$A$140&gt;35,CT116+CS117-DB116,IF(A117&lt;'Données projet'!$A$140,$CQ$205^A117,IF(A117='Données projet'!$A$140,'Données projet'!$B$140,CT116+CS117-DB116)))</f>
        <v>424.56000000000074</v>
      </c>
      <c r="CU117" s="17">
        <f>CT117*VLOOKUP('Données projet'!$B$13,Paramètres!$A$1:$I$89,3,0)*VLOOKUP('Données projet'!$B$13,Paramètres!$A$1:$I$89,5,0)</f>
        <v>404.01129600000075</v>
      </c>
      <c r="CV117" s="13">
        <f t="shared" si="95"/>
        <v>92.589421052009357</v>
      </c>
      <c r="CW117" s="20">
        <f t="shared" si="67"/>
        <v>864.91291553225085</v>
      </c>
      <c r="CX117" s="59">
        <f t="shared" si="68"/>
        <v>1155.2539484739134</v>
      </c>
      <c r="CY117" s="59">
        <f ca="1">AVERAGE(OFFSET($CX$3,0,0,'Données projet'!$E$13+1,1))-AVERAGE(OFFSET($H$3,0,0,'Données projet'!$E$13+1,1))</f>
        <v>677.13548994240728</v>
      </c>
      <c r="CZ117" s="59">
        <f t="shared" si="96"/>
        <v>298.72429542440534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61.860000000000014</v>
      </c>
      <c r="DC117" s="16">
        <f>IF(ISNA(VLOOKUP(A117,'Données projet'!$A$139:$I$159,5,0)),0%,VLOOKUP(A117,'Données projet'!$A$139:$I$159,5,0)*VLOOKUP('Données projet'!$B$13,Paramètres!$A$1:$I$89,7,0))</f>
        <v>0.15049999999999999</v>
      </c>
      <c r="DD117" s="16">
        <f>IF(ISNA(VLOOKUP(A117,'Données projet'!$A$139:$I$159,6,0)),0%,VLOOKUP(A117,'Données projet'!$A$139:$I$159,6,0)*VLOOKUP('Données projet'!$B$13,Paramètres!$A$1:$I$89,7,0))</f>
        <v>8.6000000000000007E-2</v>
      </c>
      <c r="DE117" s="16">
        <f>IF(ISNA(VLOOKUP(A117,'Données projet'!$A$139:$I$159,7,0)),0%,VLOOKUP(A117,'Données projet'!$A$139:$I$159,7,0))</f>
        <v>0.1</v>
      </c>
      <c r="DF117" s="21">
        <f>EXP(-LN(2)/35)*DF116+(1-EXP(-LN(2)/35))/(LN(2)/35)*DB117*DC117*VLOOKUP('Données projet'!$B$13,Paramètres!$A$1:$I$89,3,0)*0.475*44/12</f>
        <v>38.347316232874924</v>
      </c>
      <c r="DG117" s="21">
        <f>EXP(-LN(2)/25)*DG116+(1-EXP(-LN(2)/25))/(LN(2)/25)*Calculateur!DB117*Calculateur!DD117*VLOOKUP('Données projet'!$B$13,Paramètres!$A$1:$I$89,3,0)*0.475*44/12</f>
        <v>27.114369973532618</v>
      </c>
      <c r="DH117" s="21">
        <f>EXP(-LN(2)/2)*DH116+(1-EXP(-LN(2)/2))/(LN(2)/2)*DB117*DE117*VLOOKUP('Données projet'!$B$13,Paramètres!$A$1:$I$89,3,0)*0.475*44/12</f>
        <v>5.745692273904214</v>
      </c>
      <c r="DI117" s="22">
        <f t="shared" si="69"/>
        <v>71.207378480311746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69.1839180749989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1.2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4.3999999999999995</v>
      </c>
      <c r="H118" s="67">
        <f t="shared" si="56"/>
        <v>239.06666666666669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1013.1156045729696</v>
      </c>
      <c r="S118" s="59">
        <f ca="1">AVERAGE(OFFSET($R$3,0,0,'Données projet'!$E$9+1,1))-AVERAGE(OFFSET($H$3,0,0,'Données projet'!$E$9+1,1))</f>
        <v>646.69588445509589</v>
      </c>
      <c r="T118" s="59">
        <f t="shared" si="88"/>
        <v>286.36346771084698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5.6843418860808015E-13</v>
      </c>
      <c r="AJ118" s="13">
        <f>AI118*VLOOKUP('Données projet'!$B$10,Paramètres!$A$1:$I$89,3,0)*VLOOKUP('Données projet'!$B$10,Paramètres!$A$1:$I$89,5,0)</f>
        <v>3.177547114319168E-13</v>
      </c>
      <c r="AK118" s="13">
        <f t="shared" si="89"/>
        <v>4.1725404435445377E-12</v>
      </c>
      <c r="AL118" s="20">
        <f t="shared" si="58"/>
        <v>7.820597394917325E-12</v>
      </c>
      <c r="AM118" s="59">
        <f t="shared" si="59"/>
        <v>290.39294266368449</v>
      </c>
      <c r="AN118" s="59">
        <f ca="1">AVERAGE(OFFSET($AM$3,0,0,'Données projet'!$E$10+1,1))-AVERAGE(OFFSET($H$3,0,0,'Données projet'!$E$10+1,1))</f>
        <v>391.55758836264408</v>
      </c>
      <c r="AO118" s="59">
        <f t="shared" si="90"/>
        <v>360.80727659978777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94.645665757106329</v>
      </c>
      <c r="AV118" s="21">
        <f>EXP(-LN(2)/25)*AV117+(1-EXP(-LN(2)/25))/(LN(2)/25)*Calculateur!AQ118*Calculateur!AS118*VLOOKUP('Données projet'!$B$10,Paramètres!$A$1:$I$89,3,0)*0.475*44/12</f>
        <v>22.042759049738606</v>
      </c>
      <c r="AW118" s="21">
        <f>EXP(-LN(2)/2)*AW117+(1-EXP(-LN(2)/2))/(LN(2)/2)*AQ118*AT118*VLOOKUP('Données projet'!$B$10,Paramètres!$A$1:$I$89,3,0)*0.475*44/12</f>
        <v>1.2729279581478062E-5</v>
      </c>
      <c r="AX118" s="21">
        <f t="shared" si="60"/>
        <v>116.68843753612451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5.0249582272954292E-14</v>
      </c>
      <c r="BF118" s="13">
        <f t="shared" si="91"/>
        <v>8.1784820119191593E-13</v>
      </c>
      <c r="BG118" s="20">
        <f t="shared" si="61"/>
        <v>1.5119369728679821E-12</v>
      </c>
      <c r="BH118" s="59">
        <f t="shared" si="62"/>
        <v>290.39294266367818</v>
      </c>
      <c r="BI118" s="59">
        <f ca="1">AVERAGE(OFFSET($BH$3,0,0,'Données projet'!$E$11+1,1))-AVERAGE(OFFSET($H$3,0,0,'Données projet'!$E$11+1,1))</f>
        <v>400.11184625063709</v>
      </c>
      <c r="BJ118" s="59">
        <f t="shared" si="92"/>
        <v>340.02906159605971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103.31681489281829</v>
      </c>
      <c r="BQ118" s="21">
        <f>EXP(-LN(2)/25)*BQ117+(1-EXP(-LN(2)/25))/(LN(2)/25)*Calculateur!BL118*Calculateur!BN118*VLOOKUP('Données projet'!$B$11,Paramètres!$A$1:$I$89,3,0)*0.475*44/12</f>
        <v>27.243460210318975</v>
      </c>
      <c r="BR118" s="21">
        <f>EXP(-LN(2)/2)*BR117+(1-EXP(-LN(2)/2))/(LN(2)/2)*BL118*BO118*VLOOKUP('Données projet'!$B$11,Paramètres!$A$1:$I$89,3,0)*0.475*44/12</f>
        <v>4.2405200556009146E-4</v>
      </c>
      <c r="BS118" s="22">
        <f t="shared" si="63"/>
        <v>130.56069915514283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8.9160000000000021</v>
      </c>
      <c r="BY118" s="12">
        <f>IF('Données projet'!$A$114&gt;35,BY117+BX118-CG117,IF(A118&lt;'Données projet'!$A$114,$BV$205^A118,IF(A118='Données projet'!$A$114,'Données projet'!$B$114,BY117+BX118-CG117)))</f>
        <v>371.61600000000072</v>
      </c>
      <c r="BZ118" s="13">
        <f>BY118*VLOOKUP('Données projet'!$B$12,Paramètres!$A$1:$I$89,3,0)*VLOOKUP('Données projet'!$B$12,Paramètres!$A$1:$I$89,5,0)</f>
        <v>249.28001280000049</v>
      </c>
      <c r="CA118" s="13">
        <f t="shared" si="93"/>
        <v>60.431740560363238</v>
      </c>
      <c r="CB118" s="20">
        <f t="shared" si="64"/>
        <v>539.41463710263349</v>
      </c>
      <c r="CC118" s="59">
        <f t="shared" si="65"/>
        <v>829.80757976631014</v>
      </c>
      <c r="CD118" s="59">
        <f ca="1">AVERAGE(OFFSET($CC$3,0,0,'Données projet'!$E$12+1,1))-AVERAGE(OFFSET($H$3,0,0,'Données projet'!$E$12+1,1))</f>
        <v>493.98227954109774</v>
      </c>
      <c r="CE118" s="59">
        <f t="shared" si="94"/>
        <v>224.32736097997289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32.664811209973529</v>
      </c>
      <c r="CL118" s="21">
        <f>EXP(-LN(2)/25)*CL117+(1-EXP(-LN(2)/25))/(LN(2)/25)*Calculateur!CG118*Calculateur!CI118*VLOOKUP('Données projet'!$B$12,Paramètres!$A$1:$I$89,3,0)*0.475*44/12</f>
        <v>22.914181694071353</v>
      </c>
      <c r="CM118" s="21">
        <f>EXP(-LN(2)/2)*CM117+(1-EXP(-LN(2)/2))/(LN(2)/2)*CG118*CJ118*VLOOKUP('Données projet'!$B$12,Paramètres!$A$1:$I$89,3,0)*0.475*44/12</f>
        <v>2.8639536506232695</v>
      </c>
      <c r="CN118" s="22">
        <f t="shared" si="66"/>
        <v>58.442946554668154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8.9160000000000021</v>
      </c>
      <c r="CT118" s="12">
        <f>IF('Données projet'!$A$140&gt;35,CT117+CS118-DB117,IF(A118&lt;'Données projet'!$A$140,$CQ$205^A118,IF(A118='Données projet'!$A$140,'Données projet'!$B$140,CT117+CS118-DB117)))</f>
        <v>371.61600000000072</v>
      </c>
      <c r="CU118" s="17">
        <f>CT118*VLOOKUP('Données projet'!$B$13,Paramètres!$A$1:$I$89,3,0)*VLOOKUP('Données projet'!$B$13,Paramètres!$A$1:$I$89,5,0)</f>
        <v>353.62978560000073</v>
      </c>
      <c r="CV118" s="13">
        <f t="shared" si="95"/>
        <v>82.309472398648566</v>
      </c>
      <c r="CW118" s="20">
        <f t="shared" si="67"/>
        <v>759.26087434764747</v>
      </c>
      <c r="CX118" s="59">
        <f t="shared" si="68"/>
        <v>1049.653817011324</v>
      </c>
      <c r="CY118" s="59">
        <f ca="1">AVERAGE(OFFSET($CX$3,0,0,'Données projet'!$E$13+1,1))-AVERAGE(OFFSET($H$3,0,0,'Données projet'!$E$13+1,1))</f>
        <v>677.13548994240728</v>
      </c>
      <c r="CZ118" s="59">
        <f t="shared" si="96"/>
        <v>298.72429542440534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37.595348751101625</v>
      </c>
      <c r="DG118" s="21">
        <f>EXP(-LN(2)/25)*DG117+(1-EXP(-LN(2)/25))/(LN(2)/25)*Calculateur!DB118*Calculateur!DD118*VLOOKUP('Données projet'!$B$13,Paramètres!$A$1:$I$89,3,0)*0.475*44/12</f>
        <v>26.372926100723621</v>
      </c>
      <c r="DH118" s="21">
        <f>EXP(-LN(2)/2)*DH117+(1-EXP(-LN(2)/2))/(LN(2)/2)*DB118*DE118*VLOOKUP('Données projet'!$B$13,Paramètres!$A$1:$I$89,3,0)*0.475*44/12</f>
        <v>4.0628179694888242</v>
      </c>
      <c r="DI118" s="22">
        <f t="shared" si="69"/>
        <v>68.031092821314061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69.198075271911819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1.2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4.3999999999999995</v>
      </c>
      <c r="H119" s="67">
        <f t="shared" si="56"/>
        <v>239.06666666666669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1030.1196153546571</v>
      </c>
      <c r="S119" s="59">
        <f ca="1">AVERAGE(OFFSET($R$3,0,0,'Données projet'!$E$9+1,1))-AVERAGE(OFFSET($H$3,0,0,'Données projet'!$E$9+1,1))</f>
        <v>646.69588445509589</v>
      </c>
      <c r="T119" s="59">
        <f t="shared" si="88"/>
        <v>286.36346771084698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5.6843418860808015E-13</v>
      </c>
      <c r="AJ119" s="13">
        <f>AI119*VLOOKUP('Données projet'!$B$10,Paramètres!$A$1:$I$89,3,0)*VLOOKUP('Données projet'!$B$10,Paramètres!$A$1:$I$89,5,0)</f>
        <v>3.177547114319168E-13</v>
      </c>
      <c r="AK119" s="13">
        <f t="shared" si="89"/>
        <v>4.1725404435445377E-12</v>
      </c>
      <c r="AL119" s="20">
        <f t="shared" si="58"/>
        <v>7.820597394917325E-12</v>
      </c>
      <c r="AM119" s="59">
        <f t="shared" si="59"/>
        <v>290.44395186807429</v>
      </c>
      <c r="AN119" s="59">
        <f ca="1">AVERAGE(OFFSET($AM$3,0,0,'Données projet'!$E$10+1,1))-AVERAGE(OFFSET($H$3,0,0,'Données projet'!$E$10+1,1))</f>
        <v>391.55758836264408</v>
      </c>
      <c r="AO119" s="59">
        <f t="shared" si="90"/>
        <v>360.80727659978777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92.789721979765403</v>
      </c>
      <c r="AV119" s="21">
        <f>EXP(-LN(2)/25)*AV118+(1-EXP(-LN(2)/25))/(LN(2)/25)*Calculateur!AQ119*Calculateur!AS119*VLOOKUP('Données projet'!$B$10,Paramètres!$A$1:$I$89,3,0)*0.475*44/12</f>
        <v>21.439998644345184</v>
      </c>
      <c r="AW119" s="21">
        <f>EXP(-LN(2)/2)*AW118+(1-EXP(-LN(2)/2))/(LN(2)/2)*AQ119*AT119*VLOOKUP('Données projet'!$B$10,Paramètres!$A$1:$I$89,3,0)*0.475*44/12</f>
        <v>9.0009599116825949E-6</v>
      </c>
      <c r="AX119" s="21">
        <f t="shared" si="60"/>
        <v>114.22972962507049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5.0249582272954292E-14</v>
      </c>
      <c r="BF119" s="13">
        <f t="shared" si="91"/>
        <v>8.1784820119191593E-13</v>
      </c>
      <c r="BG119" s="20">
        <f t="shared" si="61"/>
        <v>1.5119369728679821E-12</v>
      </c>
      <c r="BH119" s="59">
        <f t="shared" si="62"/>
        <v>290.44395186806798</v>
      </c>
      <c r="BI119" s="59">
        <f ca="1">AVERAGE(OFFSET($BH$3,0,0,'Données projet'!$E$11+1,1))-AVERAGE(OFFSET($H$3,0,0,'Données projet'!$E$11+1,1))</f>
        <v>400.11184625063709</v>
      </c>
      <c r="BJ119" s="59">
        <f t="shared" si="92"/>
        <v>340.02906159605971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101.29083516980479</v>
      </c>
      <c r="BQ119" s="21">
        <f>EXP(-LN(2)/25)*BQ118+(1-EXP(-LN(2)/25))/(LN(2)/25)*Calculateur!BL119*Calculateur!BN119*VLOOKUP('Données projet'!$B$11,Paramètres!$A$1:$I$89,3,0)*0.475*44/12</f>
        <v>26.498486358196498</v>
      </c>
      <c r="BR119" s="21">
        <f>EXP(-LN(2)/2)*BR118+(1-EXP(-LN(2)/2))/(LN(2)/2)*BL119*BO119*VLOOKUP('Données projet'!$B$11,Paramètres!$A$1:$I$89,3,0)*0.475*44/12</f>
        <v>2.9985004870729622E-4</v>
      </c>
      <c r="BS119" s="22">
        <f t="shared" si="63"/>
        <v>127.78962137805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8.9160000000000021</v>
      </c>
      <c r="BY119" s="12">
        <f>IF('Données projet'!$A$114&gt;35,BY118+BX119-CG118,IF(A119&lt;'Données projet'!$A$114,$BV$205^A119,IF(A119='Données projet'!$A$114,'Données projet'!$B$114,BY118+BX119-CG118)))</f>
        <v>380.53200000000072</v>
      </c>
      <c r="BZ119" s="13">
        <f>BY119*VLOOKUP('Données projet'!$B$12,Paramètres!$A$1:$I$89,3,0)*VLOOKUP('Données projet'!$B$12,Paramètres!$A$1:$I$89,5,0)</f>
        <v>255.2608656000005</v>
      </c>
      <c r="CA119" s="13">
        <f t="shared" si="93"/>
        <v>61.711107025898336</v>
      </c>
      <c r="CB119" s="20">
        <f t="shared" si="64"/>
        <v>552.05951899010711</v>
      </c>
      <c r="CC119" s="59">
        <f t="shared" si="65"/>
        <v>842.50347085817361</v>
      </c>
      <c r="CD119" s="59">
        <f ca="1">AVERAGE(OFFSET($CC$3,0,0,'Données projet'!$E$12+1,1))-AVERAGE(OFFSET($H$3,0,0,'Données projet'!$E$12+1,1))</f>
        <v>493.98227954109774</v>
      </c>
      <c r="CE119" s="59">
        <f t="shared" si="94"/>
        <v>224.32736097997289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32.024274185713494</v>
      </c>
      <c r="CL119" s="21">
        <f>EXP(-LN(2)/25)*CL118+(1-EXP(-LN(2)/25))/(LN(2)/25)*Calculateur!CG119*Calculateur!CI119*VLOOKUP('Données projet'!$B$12,Paramètres!$A$1:$I$89,3,0)*0.475*44/12</f>
        <v>22.287592190642528</v>
      </c>
      <c r="CM119" s="21">
        <f>EXP(-LN(2)/2)*CM118+(1-EXP(-LN(2)/2))/(LN(2)/2)*CG119*CJ119*VLOOKUP('Données projet'!$B$12,Paramètres!$A$1:$I$89,3,0)*0.475*44/12</f>
        <v>2.0251210473596823</v>
      </c>
      <c r="CN119" s="22">
        <f t="shared" si="66"/>
        <v>56.336987423715705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8.9160000000000021</v>
      </c>
      <c r="CT119" s="12">
        <f>IF('Données projet'!$A$140&gt;35,CT118+CS119-DB118,IF(A119&lt;'Données projet'!$A$140,$CQ$205^A119,IF(A119='Données projet'!$A$140,'Données projet'!$B$140,CT118+CS119-DB118)))</f>
        <v>380.53200000000072</v>
      </c>
      <c r="CU119" s="17">
        <f>CT119*VLOOKUP('Données projet'!$B$13,Paramètres!$A$1:$I$89,3,0)*VLOOKUP('Données projet'!$B$13,Paramètres!$A$1:$I$89,5,0)</f>
        <v>362.11425120000069</v>
      </c>
      <c r="CV119" s="13">
        <f t="shared" si="95"/>
        <v>84.052000047302485</v>
      </c>
      <c r="CW119" s="20">
        <f t="shared" si="67"/>
        <v>777.07288758905304</v>
      </c>
      <c r="CX119" s="59">
        <f t="shared" si="68"/>
        <v>1067.5168394571194</v>
      </c>
      <c r="CY119" s="59">
        <f ca="1">AVERAGE(OFFSET($CX$3,0,0,'Données projet'!$E$13+1,1))-AVERAGE(OFFSET($H$3,0,0,'Données projet'!$E$13+1,1))</f>
        <v>677.13548994240728</v>
      </c>
      <c r="CZ119" s="59">
        <f t="shared" si="96"/>
        <v>298.72429542440534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36.858126892991024</v>
      </c>
      <c r="DG119" s="21">
        <f>EXP(-LN(2)/25)*DG118+(1-EXP(-LN(2)/25))/(LN(2)/25)*Calculateur!DB119*Calculateur!DD119*VLOOKUP('Données projet'!$B$13,Paramètres!$A$1:$I$89,3,0)*0.475*44/12</f>
        <v>25.651757049607426</v>
      </c>
      <c r="DH119" s="21">
        <f>EXP(-LN(2)/2)*DH118+(1-EXP(-LN(2)/2))/(LN(2)/2)*DB119*DE119*VLOOKUP('Données projet'!$B$13,Paramètres!$A$1:$I$89,3,0)*0.475*44/12</f>
        <v>2.8728461369521074</v>
      </c>
      <c r="DI119" s="22">
        <f t="shared" si="69"/>
        <v>65.382730079550555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69.211986873109041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1.2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4.3999999999999995</v>
      </c>
      <c r="H120" s="67">
        <f t="shared" si="56"/>
        <v>239.06666666666669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1047.1148349274392</v>
      </c>
      <c r="S120" s="59">
        <f ca="1">AVERAGE(OFFSET($R$3,0,0,'Données projet'!$E$9+1,1))-AVERAGE(OFFSET($H$3,0,0,'Données projet'!$E$9+1,1))</f>
        <v>646.69588445509589</v>
      </c>
      <c r="T120" s="59">
        <f t="shared" si="88"/>
        <v>286.36346771084698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5.6843418860808015E-13</v>
      </c>
      <c r="AJ120" s="13">
        <f>AI120*VLOOKUP('Données projet'!$B$10,Paramètres!$A$1:$I$89,3,0)*VLOOKUP('Données projet'!$B$10,Paramètres!$A$1:$I$89,5,0)</f>
        <v>3.177547114319168E-13</v>
      </c>
      <c r="AK120" s="13">
        <f t="shared" si="89"/>
        <v>4.1725404435445377E-12</v>
      </c>
      <c r="AL120" s="20">
        <f t="shared" si="58"/>
        <v>7.820597394917325E-12</v>
      </c>
      <c r="AM120" s="59">
        <f t="shared" si="59"/>
        <v>290.49407617680748</v>
      </c>
      <c r="AN120" s="59">
        <f ca="1">AVERAGE(OFFSET($AM$3,0,0,'Données projet'!$E$10+1,1))-AVERAGE(OFFSET($H$3,0,0,'Données projet'!$E$10+1,1))</f>
        <v>391.55758836264408</v>
      </c>
      <c r="AO120" s="59">
        <f t="shared" si="90"/>
        <v>360.80727659978777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90.970172127884211</v>
      </c>
      <c r="AV120" s="21">
        <f>EXP(-LN(2)/25)*AV119+(1-EXP(-LN(2)/25))/(LN(2)/25)*Calculateur!AQ120*Calculateur!AS120*VLOOKUP('Données projet'!$B$10,Paramètres!$A$1:$I$89,3,0)*0.475*44/12</f>
        <v>20.85372075393504</v>
      </c>
      <c r="AW120" s="21">
        <f>EXP(-LN(2)/2)*AW119+(1-EXP(-LN(2)/2))/(LN(2)/2)*AQ120*AT120*VLOOKUP('Données projet'!$B$10,Paramètres!$A$1:$I$89,3,0)*0.475*44/12</f>
        <v>6.3646397907390309E-6</v>
      </c>
      <c r="AX120" s="21">
        <f t="shared" si="60"/>
        <v>111.82389924645904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5.0249582272954292E-14</v>
      </c>
      <c r="BF120" s="13">
        <f t="shared" si="91"/>
        <v>8.1784820119191593E-13</v>
      </c>
      <c r="BG120" s="20">
        <f t="shared" si="61"/>
        <v>1.5119369728679821E-12</v>
      </c>
      <c r="BH120" s="59">
        <f t="shared" si="62"/>
        <v>290.49407617680117</v>
      </c>
      <c r="BI120" s="59">
        <f ca="1">AVERAGE(OFFSET($BH$3,0,0,'Données projet'!$E$11+1,1))-AVERAGE(OFFSET($H$3,0,0,'Données projet'!$E$11+1,1))</f>
        <v>400.11184625063709</v>
      </c>
      <c r="BJ120" s="59">
        <f t="shared" si="92"/>
        <v>340.02906159605971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99.304583673433982</v>
      </c>
      <c r="BQ120" s="21">
        <f>EXP(-LN(2)/25)*BQ119+(1-EXP(-LN(2)/25))/(LN(2)/25)*Calculateur!BL120*Calculateur!BN120*VLOOKUP('Données projet'!$B$11,Paramètres!$A$1:$I$89,3,0)*0.475*44/12</f>
        <v>25.773883855236779</v>
      </c>
      <c r="BR120" s="21">
        <f>EXP(-LN(2)/2)*BR119+(1-EXP(-LN(2)/2))/(LN(2)/2)*BL120*BO120*VLOOKUP('Données projet'!$B$11,Paramètres!$A$1:$I$89,3,0)*0.475*44/12</f>
        <v>2.1202600278004573E-4</v>
      </c>
      <c r="BS120" s="22">
        <f t="shared" si="63"/>
        <v>125.07867955467354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8.9160000000000021</v>
      </c>
      <c r="BY120" s="12">
        <f>IF('Données projet'!$A$114&gt;35,BY119+BX120-CG119,IF(A120&lt;'Données projet'!$A$114,$BV$205^A120,IF(A120='Données projet'!$A$114,'Données projet'!$B$114,BY119+BX120-CG119)))</f>
        <v>389.44800000000072</v>
      </c>
      <c r="BZ120" s="13">
        <f>BY120*VLOOKUP('Données projet'!$B$12,Paramètres!$A$1:$I$89,3,0)*VLOOKUP('Données projet'!$B$12,Paramètres!$A$1:$I$89,5,0)</f>
        <v>261.24171840000048</v>
      </c>
      <c r="CA120" s="13">
        <f t="shared" si="93"/>
        <v>62.986988700490748</v>
      </c>
      <c r="CB120" s="20">
        <f t="shared" si="64"/>
        <v>564.69833153335549</v>
      </c>
      <c r="CC120" s="59">
        <f t="shared" si="65"/>
        <v>855.19240771015507</v>
      </c>
      <c r="CD120" s="59">
        <f ca="1">AVERAGE(OFFSET($CC$3,0,0,'Données projet'!$E$12+1,1))-AVERAGE(OFFSET($H$3,0,0,'Données projet'!$E$12+1,1))</f>
        <v>493.98227954109774</v>
      </c>
      <c r="CE120" s="59">
        <f t="shared" si="94"/>
        <v>224.32736097997289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31.396297701810195</v>
      </c>
      <c r="CL120" s="21">
        <f>EXP(-LN(2)/25)*CL119+(1-EXP(-LN(2)/25))/(LN(2)/25)*Calculateur!CG120*Calculateur!CI120*VLOOKUP('Données projet'!$B$12,Paramètres!$A$1:$I$89,3,0)*0.475*44/12</f>
        <v>21.678136810135875</v>
      </c>
      <c r="CM120" s="21">
        <f>EXP(-LN(2)/2)*CM119+(1-EXP(-LN(2)/2))/(LN(2)/2)*CG120*CJ120*VLOOKUP('Données projet'!$B$12,Paramètres!$A$1:$I$89,3,0)*0.475*44/12</f>
        <v>1.4319768253116349</v>
      </c>
      <c r="CN120" s="22">
        <f t="shared" si="66"/>
        <v>54.506411337257703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8.9160000000000021</v>
      </c>
      <c r="CT120" s="12">
        <f>IF('Données projet'!$A$140&gt;35,CT119+CS120-DB119,IF(A120&lt;'Données projet'!$A$140,$CQ$205^A120,IF(A120='Données projet'!$A$140,'Données projet'!$B$140,CT119+CS120-DB119)))</f>
        <v>389.44800000000072</v>
      </c>
      <c r="CU120" s="17">
        <f>CT120*VLOOKUP('Données projet'!$B$13,Paramètres!$A$1:$I$89,3,0)*VLOOKUP('Données projet'!$B$13,Paramètres!$A$1:$I$89,5,0)</f>
        <v>370.59871680000072</v>
      </c>
      <c r="CV120" s="13">
        <f t="shared" si="95"/>
        <v>85.78978132755384</v>
      </c>
      <c r="CW120" s="20">
        <f t="shared" si="67"/>
        <v>794.87663423882407</v>
      </c>
      <c r="CX120" s="59">
        <f t="shared" si="68"/>
        <v>1085.3707104156238</v>
      </c>
      <c r="CY120" s="59">
        <f ca="1">AVERAGE(OFFSET($CX$3,0,0,'Données projet'!$E$13+1,1))-AVERAGE(OFFSET($H$3,0,0,'Données projet'!$E$13+1,1))</f>
        <v>677.13548994240728</v>
      </c>
      <c r="CZ120" s="59">
        <f t="shared" si="96"/>
        <v>298.72429542440534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36.135361505857034</v>
      </c>
      <c r="DG120" s="21">
        <f>EXP(-LN(2)/25)*DG119+(1-EXP(-LN(2)/25))/(LN(2)/25)*Calculateur!DB120*Calculateur!DD120*VLOOKUP('Données projet'!$B$13,Paramètres!$A$1:$I$89,3,0)*0.475*44/12</f>
        <v>24.950308404118637</v>
      </c>
      <c r="DH120" s="21">
        <f>EXP(-LN(2)/2)*DH119+(1-EXP(-LN(2)/2))/(LN(2)/2)*DB120*DE120*VLOOKUP('Données projet'!$B$13,Paramètres!$A$1:$I$89,3,0)*0.475*44/12</f>
        <v>2.0314089847444121</v>
      </c>
      <c r="DI120" s="22">
        <f t="shared" si="69"/>
        <v>63.11707889472008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69.225657139127179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1.2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4.3999999999999995</v>
      </c>
      <c r="H121" s="67">
        <f t="shared" si="56"/>
        <v>239.06666666666669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1064.101480484755</v>
      </c>
      <c r="S121" s="59">
        <f ca="1">AVERAGE(OFFSET($R$3,0,0,'Données projet'!$E$9+1,1))-AVERAGE(OFFSET($H$3,0,0,'Données projet'!$E$9+1,1))</f>
        <v>646.69588445509589</v>
      </c>
      <c r="T121" s="59">
        <f t="shared" si="88"/>
        <v>286.36346771084698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5.6843418860808015E-13</v>
      </c>
      <c r="AJ121" s="13">
        <f>AI121*VLOOKUP('Données projet'!$B$10,Paramètres!$A$1:$I$89,3,0)*VLOOKUP('Données projet'!$B$10,Paramètres!$A$1:$I$89,5,0)</f>
        <v>3.177547114319168E-13</v>
      </c>
      <c r="AK121" s="13">
        <f t="shared" si="89"/>
        <v>4.1725404435445377E-12</v>
      </c>
      <c r="AL121" s="20">
        <f t="shared" si="58"/>
        <v>7.820597394917325E-12</v>
      </c>
      <c r="AM121" s="59">
        <f t="shared" si="59"/>
        <v>290.54333094084529</v>
      </c>
      <c r="AN121" s="59">
        <f ca="1">AVERAGE(OFFSET($AM$3,0,0,'Données projet'!$E$10+1,1))-AVERAGE(OFFSET($H$3,0,0,'Données projet'!$E$10+1,1))</f>
        <v>391.55758836264408</v>
      </c>
      <c r="AO121" s="59">
        <f t="shared" si="90"/>
        <v>360.80727659978777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89.186302538782584</v>
      </c>
      <c r="AV121" s="21">
        <f>EXP(-LN(2)/25)*AV120+(1-EXP(-LN(2)/25))/(LN(2)/25)*Calculateur!AQ121*Calculateur!AS121*VLOOKUP('Données projet'!$B$10,Paramètres!$A$1:$I$89,3,0)*0.475*44/12</f>
        <v>20.283474663269175</v>
      </c>
      <c r="AW121" s="21">
        <f>EXP(-LN(2)/2)*AW120+(1-EXP(-LN(2)/2))/(LN(2)/2)*AQ121*AT121*VLOOKUP('Données projet'!$B$10,Paramètres!$A$1:$I$89,3,0)*0.475*44/12</f>
        <v>4.5004799558412974E-6</v>
      </c>
      <c r="AX121" s="21">
        <f t="shared" si="60"/>
        <v>109.46978170253172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5.0249582272954292E-14</v>
      </c>
      <c r="BF121" s="13">
        <f t="shared" si="91"/>
        <v>8.1784820119191593E-13</v>
      </c>
      <c r="BG121" s="20">
        <f t="shared" si="61"/>
        <v>1.5119369728679821E-12</v>
      </c>
      <c r="BH121" s="59">
        <f t="shared" si="62"/>
        <v>290.54333094083898</v>
      </c>
      <c r="BI121" s="59">
        <f ca="1">AVERAGE(OFFSET($BH$3,0,0,'Données projet'!$E$11+1,1))-AVERAGE(OFFSET($H$3,0,0,'Données projet'!$E$11+1,1))</f>
        <v>400.11184625063709</v>
      </c>
      <c r="BJ121" s="59">
        <f t="shared" si="92"/>
        <v>340.02906159605971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97.357281357413214</v>
      </c>
      <c r="BQ121" s="21">
        <f>EXP(-LN(2)/25)*BQ120+(1-EXP(-LN(2)/25))/(LN(2)/25)*Calculateur!BL121*Calculateur!BN121*VLOOKUP('Données projet'!$B$11,Paramètres!$A$1:$I$89,3,0)*0.475*44/12</f>
        <v>25.069095645825684</v>
      </c>
      <c r="BR121" s="21">
        <f>EXP(-LN(2)/2)*BR120+(1-EXP(-LN(2)/2))/(LN(2)/2)*BL121*BO121*VLOOKUP('Données projet'!$B$11,Paramètres!$A$1:$I$89,3,0)*0.475*44/12</f>
        <v>1.4992502435364811E-4</v>
      </c>
      <c r="BS121" s="22">
        <f t="shared" si="63"/>
        <v>122.42652692826326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8.9160000000000021</v>
      </c>
      <c r="BY121" s="12">
        <f>IF('Données projet'!$A$114&gt;35,BY120+BX121-CG120,IF(A121&lt;'Données projet'!$A$114,$BV$205^A121,IF(A121='Données projet'!$A$114,'Données projet'!$B$114,BY120+BX121-CG120)))</f>
        <v>398.36400000000071</v>
      </c>
      <c r="BZ121" s="13">
        <f>BY121*VLOOKUP('Données projet'!$B$12,Paramètres!$A$1:$I$89,3,0)*VLOOKUP('Données projet'!$B$12,Paramètres!$A$1:$I$89,5,0)</f>
        <v>267.22257120000046</v>
      </c>
      <c r="CA121" s="13">
        <f t="shared" si="93"/>
        <v>64.259474548341089</v>
      </c>
      <c r="CB121" s="20">
        <f t="shared" si="64"/>
        <v>577.33122967836152</v>
      </c>
      <c r="CC121" s="59">
        <f t="shared" si="65"/>
        <v>867.87456061919897</v>
      </c>
      <c r="CD121" s="59">
        <f ca="1">AVERAGE(OFFSET($CC$3,0,0,'Données projet'!$E$12+1,1))-AVERAGE(OFFSET($H$3,0,0,'Données projet'!$E$12+1,1))</f>
        <v>493.98227954109774</v>
      </c>
      <c r="CE121" s="59">
        <f t="shared" si="94"/>
        <v>224.32736097997289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30.780635453728404</v>
      </c>
      <c r="CL121" s="21">
        <f>EXP(-LN(2)/25)*CL120+(1-EXP(-LN(2)/25))/(LN(2)/25)*Calculateur!CG121*Calculateur!CI121*VLOOKUP('Données projet'!$B$12,Paramètres!$A$1:$I$89,3,0)*0.475*44/12</f>
        <v>21.085347019059039</v>
      </c>
      <c r="CM121" s="21">
        <f>EXP(-LN(2)/2)*CM120+(1-EXP(-LN(2)/2))/(LN(2)/2)*CG121*CJ121*VLOOKUP('Données projet'!$B$12,Paramètres!$A$1:$I$89,3,0)*0.475*44/12</f>
        <v>1.0125605236798414</v>
      </c>
      <c r="CN121" s="22">
        <f t="shared" si="66"/>
        <v>52.878542996467289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8.9160000000000021</v>
      </c>
      <c r="CT121" s="12">
        <f>IF('Données projet'!$A$140&gt;35,CT120+CS121-DB120,IF(A121&lt;'Données projet'!$A$140,$CQ$205^A121,IF(A121='Données projet'!$A$140,'Données projet'!$B$140,CT120+CS121-DB120)))</f>
        <v>398.36400000000071</v>
      </c>
      <c r="CU121" s="17">
        <f>CT121*VLOOKUP('Données projet'!$B$13,Paramètres!$A$1:$I$89,3,0)*VLOOKUP('Données projet'!$B$13,Paramètres!$A$1:$I$89,5,0)</f>
        <v>379.08318240000068</v>
      </c>
      <c r="CV121" s="13">
        <f t="shared" si="95"/>
        <v>87.522937410766346</v>
      </c>
      <c r="CW121" s="20">
        <f t="shared" si="67"/>
        <v>812.67232533708591</v>
      </c>
      <c r="CX121" s="59">
        <f t="shared" si="68"/>
        <v>1103.2156562779232</v>
      </c>
      <c r="CY121" s="59">
        <f ca="1">AVERAGE(OFFSET($CX$3,0,0,'Données projet'!$E$13+1,1))-AVERAGE(OFFSET($H$3,0,0,'Données projet'!$E$13+1,1))</f>
        <v>677.13548994240728</v>
      </c>
      <c r="CZ121" s="59">
        <f t="shared" si="96"/>
        <v>298.72429542440534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35.426769107121387</v>
      </c>
      <c r="DG121" s="21">
        <f>EXP(-LN(2)/25)*DG120+(1-EXP(-LN(2)/25))/(LN(2)/25)*Calculateur!DB121*Calculateur!DD121*VLOOKUP('Données projet'!$B$13,Paramètres!$A$1:$I$89,3,0)*0.475*44/12</f>
        <v>24.26804090872832</v>
      </c>
      <c r="DH121" s="21">
        <f>EXP(-LN(2)/2)*DH120+(1-EXP(-LN(2)/2))/(LN(2)/2)*DB121*DE121*VLOOKUP('Données projet'!$B$13,Paramètres!$A$1:$I$89,3,0)*0.475*44/12</f>
        <v>1.4364230684760537</v>
      </c>
      <c r="DI121" s="22">
        <f t="shared" si="69"/>
        <v>61.131233084325764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69.239090256592036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1.2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4.3999999999999995</v>
      </c>
      <c r="H122" s="67">
        <f t="shared" si="56"/>
        <v>239.06666666666669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1081.0797594028513</v>
      </c>
      <c r="S122" s="59">
        <f ca="1">AVERAGE(OFFSET($R$3,0,0,'Données projet'!$E$9+1,1))-AVERAGE(OFFSET($H$3,0,0,'Données projet'!$E$9+1,1))</f>
        <v>646.69588445509589</v>
      </c>
      <c r="T122" s="59">
        <f t="shared" si="88"/>
        <v>286.36346771084698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5.6843418860808015E-13</v>
      </c>
      <c r="AJ122" s="13">
        <f>AI122*VLOOKUP('Données projet'!$B$10,Paramètres!$A$1:$I$89,3,0)*VLOOKUP('Données projet'!$B$10,Paramètres!$A$1:$I$89,5,0)</f>
        <v>3.177547114319168E-13</v>
      </c>
      <c r="AK122" s="13">
        <f t="shared" si="89"/>
        <v>4.1725404435445377E-12</v>
      </c>
      <c r="AL122" s="20">
        <f t="shared" si="58"/>
        <v>7.820597394917325E-12</v>
      </c>
      <c r="AM122" s="59">
        <f t="shared" si="59"/>
        <v>290.5917312448442</v>
      </c>
      <c r="AN122" s="59">
        <f ca="1">AVERAGE(OFFSET($AM$3,0,0,'Données projet'!$E$10+1,1))-AVERAGE(OFFSET($H$3,0,0,'Données projet'!$E$10+1,1))</f>
        <v>391.55758836264408</v>
      </c>
      <c r="AO122" s="59">
        <f t="shared" si="90"/>
        <v>360.80727659978777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87.437413544270228</v>
      </c>
      <c r="AV122" s="21">
        <f>EXP(-LN(2)/25)*AV121+(1-EXP(-LN(2)/25))/(LN(2)/25)*Calculateur!AQ122*Calculateur!AS122*VLOOKUP('Données projet'!$B$10,Paramètres!$A$1:$I$89,3,0)*0.475*44/12</f>
        <v>19.728821981940506</v>
      </c>
      <c r="AW122" s="21">
        <f>EXP(-LN(2)/2)*AW121+(1-EXP(-LN(2)/2))/(LN(2)/2)*AQ122*AT122*VLOOKUP('Données projet'!$B$10,Paramètres!$A$1:$I$89,3,0)*0.475*44/12</f>
        <v>3.1823198953695154E-6</v>
      </c>
      <c r="AX122" s="21">
        <f t="shared" si="60"/>
        <v>107.16623870853063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5.0249582272954292E-14</v>
      </c>
      <c r="BF122" s="13">
        <f t="shared" si="91"/>
        <v>8.1784820119191593E-13</v>
      </c>
      <c r="BG122" s="20">
        <f t="shared" si="61"/>
        <v>1.5119369728679821E-12</v>
      </c>
      <c r="BH122" s="59">
        <f t="shared" si="62"/>
        <v>290.59173124483789</v>
      </c>
      <c r="BI122" s="59">
        <f ca="1">AVERAGE(OFFSET($BH$3,0,0,'Données projet'!$E$11+1,1))-AVERAGE(OFFSET($H$3,0,0,'Données projet'!$E$11+1,1))</f>
        <v>400.11184625063709</v>
      </c>
      <c r="BJ122" s="59">
        <f t="shared" si="92"/>
        <v>340.02906159605971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95.448164452072476</v>
      </c>
      <c r="BQ122" s="21">
        <f>EXP(-LN(2)/25)*BQ121+(1-EXP(-LN(2)/25))/(LN(2)/25)*Calculateur!BL122*Calculateur!BN122*VLOOKUP('Données projet'!$B$11,Paramètres!$A$1:$I$89,3,0)*0.475*44/12</f>
        <v>24.383579907064135</v>
      </c>
      <c r="BR122" s="21">
        <f>EXP(-LN(2)/2)*BR121+(1-EXP(-LN(2)/2))/(LN(2)/2)*BL122*BO122*VLOOKUP('Données projet'!$B$11,Paramètres!$A$1:$I$89,3,0)*0.475*44/12</f>
        <v>1.0601300139002287E-4</v>
      </c>
      <c r="BS122" s="22">
        <f t="shared" si="63"/>
        <v>119.83185037213799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8.9160000000000021</v>
      </c>
      <c r="BY122" s="12">
        <f>IF('Données projet'!$A$114&gt;35,BY121+BX122-CG121,IF(A122&lt;'Données projet'!$A$114,$BV$205^A122,IF(A122='Données projet'!$A$114,'Données projet'!$B$114,BY121+BX122-CG121)))</f>
        <v>407.28000000000071</v>
      </c>
      <c r="BZ122" s="13">
        <f>BY122*VLOOKUP('Données projet'!$B$12,Paramètres!$A$1:$I$89,3,0)*VLOOKUP('Données projet'!$B$12,Paramètres!$A$1:$I$89,5,0)</f>
        <v>273.20342400000044</v>
      </c>
      <c r="CA122" s="13">
        <f t="shared" si="93"/>
        <v>65.528649323995822</v>
      </c>
      <c r="CB122" s="20">
        <f t="shared" si="64"/>
        <v>589.95836103929344</v>
      </c>
      <c r="CC122" s="59">
        <f t="shared" si="65"/>
        <v>880.55009228412973</v>
      </c>
      <c r="CD122" s="59">
        <f ca="1">AVERAGE(OFFSET($CC$3,0,0,'Données projet'!$E$12+1,1))-AVERAGE(OFFSET($H$3,0,0,'Données projet'!$E$12+1,1))</f>
        <v>493.98227954109774</v>
      </c>
      <c r="CE122" s="59">
        <f t="shared" si="94"/>
        <v>224.32736097997289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30.177045966814607</v>
      </c>
      <c r="CL122" s="21">
        <f>EXP(-LN(2)/25)*CL121+(1-EXP(-LN(2)/25))/(LN(2)/25)*Calculateur!CG122*Calculateur!CI122*VLOOKUP('Données projet'!$B$12,Paramètres!$A$1:$I$89,3,0)*0.475*44/12</f>
        <v>20.50876709599266</v>
      </c>
      <c r="CM122" s="21">
        <f>EXP(-LN(2)/2)*CM121+(1-EXP(-LN(2)/2))/(LN(2)/2)*CG122*CJ122*VLOOKUP('Données projet'!$B$12,Paramètres!$A$1:$I$89,3,0)*0.475*44/12</f>
        <v>0.71598841265581759</v>
      </c>
      <c r="CN122" s="22">
        <f t="shared" si="66"/>
        <v>51.401801475463088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8.9160000000000021</v>
      </c>
      <c r="CT122" s="12">
        <f>IF('Données projet'!$A$140&gt;35,CT121+CS122-DB121,IF(A122&lt;'Données projet'!$A$140,$CQ$205^A122,IF(A122='Données projet'!$A$140,'Données projet'!$B$140,CT121+CS122-DB121)))</f>
        <v>407.28000000000071</v>
      </c>
      <c r="CU122" s="17">
        <f>CT122*VLOOKUP('Données projet'!$B$13,Paramètres!$A$1:$I$89,3,0)*VLOOKUP('Données projet'!$B$13,Paramètres!$A$1:$I$89,5,0)</f>
        <v>387.56764800000064</v>
      </c>
      <c r="CV122" s="13">
        <f t="shared" si="95"/>
        <v>89.251583734654062</v>
      </c>
      <c r="CW122" s="20">
        <f t="shared" si="67"/>
        <v>830.46016193785681</v>
      </c>
      <c r="CX122" s="59">
        <f t="shared" si="68"/>
        <v>1121.0518931826932</v>
      </c>
      <c r="CY122" s="59">
        <f ca="1">AVERAGE(OFFSET($CX$3,0,0,'Données projet'!$E$13+1,1))-AVERAGE(OFFSET($H$3,0,0,'Données projet'!$E$13+1,1))</f>
        <v>677.13548994240728</v>
      </c>
      <c r="CZ122" s="59">
        <f t="shared" si="96"/>
        <v>298.72429542440534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34.732071773126258</v>
      </c>
      <c r="DG122" s="21">
        <f>EXP(-LN(2)/25)*DG121+(1-EXP(-LN(2)/25))/(LN(2)/25)*Calculateur!DB122*Calculateur!DD122*VLOOKUP('Données projet'!$B$13,Paramètres!$A$1:$I$89,3,0)*0.475*44/12</f>
        <v>23.604430053878339</v>
      </c>
      <c r="DH122" s="21">
        <f>EXP(-LN(2)/2)*DH121+(1-EXP(-LN(2)/2))/(LN(2)/2)*DB122*DE122*VLOOKUP('Données projet'!$B$13,Paramètres!$A$1:$I$89,3,0)*0.475*44/12</f>
        <v>1.0157044923722061</v>
      </c>
      <c r="DI122" s="22">
        <f t="shared" si="69"/>
        <v>59.352206319376805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69.252290339500817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1.2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4.3999999999999995</v>
      </c>
      <c r="H123" s="67">
        <f t="shared" si="56"/>
        <v>239.06666666666669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1098.0498698963704</v>
      </c>
      <c r="S123" s="59">
        <f ca="1">AVERAGE(OFFSET($R$3,0,0,'Données projet'!$E$9+1,1))-AVERAGE(OFFSET($H$3,0,0,'Données projet'!$E$9+1,1))</f>
        <v>646.69588445509589</v>
      </c>
      <c r="T123" s="59">
        <f t="shared" si="88"/>
        <v>286.36346771084698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5.6843418860808015E-13</v>
      </c>
      <c r="AJ123" s="13">
        <f>AI123*VLOOKUP('Données projet'!$B$10,Paramètres!$A$1:$I$89,3,0)*VLOOKUP('Données projet'!$B$10,Paramètres!$A$1:$I$89,5,0)</f>
        <v>3.177547114319168E-13</v>
      </c>
      <c r="AK123" s="13">
        <f t="shared" si="89"/>
        <v>4.1725404435445377E-12</v>
      </c>
      <c r="AL123" s="20">
        <f t="shared" si="58"/>
        <v>7.820597394917325E-12</v>
      </c>
      <c r="AM123" s="59">
        <f t="shared" si="59"/>
        <v>290.63929191177562</v>
      </c>
      <c r="AN123" s="59">
        <f ca="1">AVERAGE(OFFSET($AM$3,0,0,'Données projet'!$E$10+1,1))-AVERAGE(OFFSET($H$3,0,0,'Données projet'!$E$10+1,1))</f>
        <v>391.55758836264408</v>
      </c>
      <c r="AO123" s="59">
        <f t="shared" si="90"/>
        <v>360.80727659978777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85.722819196223298</v>
      </c>
      <c r="AV123" s="21">
        <f>EXP(-LN(2)/25)*AV122+(1-EXP(-LN(2)/25))/(LN(2)/25)*Calculateur!AQ123*Calculateur!AS123*VLOOKUP('Données projet'!$B$10,Paramètres!$A$1:$I$89,3,0)*0.475*44/12</f>
        <v>19.189336307350686</v>
      </c>
      <c r="AW123" s="21">
        <f>EXP(-LN(2)/2)*AW122+(1-EXP(-LN(2)/2))/(LN(2)/2)*AQ123*AT123*VLOOKUP('Données projet'!$B$10,Paramètres!$A$1:$I$89,3,0)*0.475*44/12</f>
        <v>2.2502399779206487E-6</v>
      </c>
      <c r="AX123" s="21">
        <f t="shared" si="60"/>
        <v>104.91215775381396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5.0249582272954292E-14</v>
      </c>
      <c r="BF123" s="13">
        <f t="shared" si="91"/>
        <v>8.1784820119191593E-13</v>
      </c>
      <c r="BG123" s="20">
        <f t="shared" si="61"/>
        <v>1.5119369728679821E-12</v>
      </c>
      <c r="BH123" s="59">
        <f t="shared" si="62"/>
        <v>290.63929191176931</v>
      </c>
      <c r="BI123" s="59">
        <f ca="1">AVERAGE(OFFSET($BH$3,0,0,'Données projet'!$E$11+1,1))-AVERAGE(OFFSET($H$3,0,0,'Données projet'!$E$11+1,1))</f>
        <v>400.11184625063709</v>
      </c>
      <c r="BJ123" s="59">
        <f t="shared" si="92"/>
        <v>340.02906159605971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93.57648416479914</v>
      </c>
      <c r="BQ123" s="21">
        <f>EXP(-LN(2)/25)*BQ122+(1-EXP(-LN(2)/25))/(LN(2)/25)*Calculateur!BL123*Calculateur!BN123*VLOOKUP('Données projet'!$B$11,Paramètres!$A$1:$I$89,3,0)*0.475*44/12</f>
        <v>23.716809632228728</v>
      </c>
      <c r="BR123" s="21">
        <f>EXP(-LN(2)/2)*BR122+(1-EXP(-LN(2)/2))/(LN(2)/2)*BL123*BO123*VLOOKUP('Données projet'!$B$11,Paramètres!$A$1:$I$89,3,0)*0.475*44/12</f>
        <v>7.4962512176824056E-5</v>
      </c>
      <c r="BS123" s="22">
        <f t="shared" si="63"/>
        <v>117.29336875954004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8.9160000000000021</v>
      </c>
      <c r="BY123" s="12">
        <f>IF('Données projet'!$A$114&gt;35,BY122+BX123-CG122,IF(A123&lt;'Données projet'!$A$114,$BV$205^A123,IF(A123='Données projet'!$A$114,'Données projet'!$B$114,BY122+BX123-CG122)))</f>
        <v>416.19600000000071</v>
      </c>
      <c r="BZ123" s="13">
        <f>BY123*VLOOKUP('Données projet'!$B$12,Paramètres!$A$1:$I$89,3,0)*VLOOKUP('Données projet'!$B$12,Paramètres!$A$1:$I$89,5,0)</f>
        <v>279.18427680000048</v>
      </c>
      <c r="CA123" s="13">
        <f t="shared" si="93"/>
        <v>66.794593859267636</v>
      </c>
      <c r="CB123" s="20">
        <f t="shared" si="64"/>
        <v>602.57986639822525</v>
      </c>
      <c r="CC123" s="59">
        <f t="shared" si="65"/>
        <v>893.21915830999296</v>
      </c>
      <c r="CD123" s="59">
        <f ca="1">AVERAGE(OFFSET($CC$3,0,0,'Données projet'!$E$12+1,1))-AVERAGE(OFFSET($H$3,0,0,'Données projet'!$E$12+1,1))</f>
        <v>493.98227954109774</v>
      </c>
      <c r="CE123" s="59">
        <f t="shared" si="94"/>
        <v>224.32736097997289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29.585292501585954</v>
      </c>
      <c r="CL123" s="21">
        <f>EXP(-LN(2)/25)*CL122+(1-EXP(-LN(2)/25))/(LN(2)/25)*Calculateur!CG123*Calculateur!CI123*VLOOKUP('Données projet'!$B$12,Paramètres!$A$1:$I$89,3,0)*0.475*44/12</f>
        <v>19.947953781243552</v>
      </c>
      <c r="CM123" s="21">
        <f>EXP(-LN(2)/2)*CM122+(1-EXP(-LN(2)/2))/(LN(2)/2)*CG123*CJ123*VLOOKUP('Données projet'!$B$12,Paramètres!$A$1:$I$89,3,0)*0.475*44/12</f>
        <v>0.5062802618399207</v>
      </c>
      <c r="CN123" s="22">
        <f t="shared" si="66"/>
        <v>50.039526544669428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8.9160000000000021</v>
      </c>
      <c r="CT123" s="12">
        <f>IF('Données projet'!$A$140&gt;35,CT122+CS123-DB122,IF(A123&lt;'Données projet'!$A$140,$CQ$205^A123,IF(A123='Données projet'!$A$140,'Données projet'!$B$140,CT122+CS123-DB122)))</f>
        <v>416.19600000000071</v>
      </c>
      <c r="CU123" s="17">
        <f>CT123*VLOOKUP('Données projet'!$B$13,Paramètres!$A$1:$I$89,3,0)*VLOOKUP('Données projet'!$B$13,Paramètres!$A$1:$I$89,5,0)</f>
        <v>396.05211360000067</v>
      </c>
      <c r="CV123" s="13">
        <f t="shared" si="95"/>
        <v>90.975830394074606</v>
      </c>
      <c r="CW123" s="20">
        <f t="shared" si="67"/>
        <v>848.24033578968101</v>
      </c>
      <c r="CX123" s="59">
        <f t="shared" si="68"/>
        <v>1138.8796277014487</v>
      </c>
      <c r="CY123" s="59">
        <f ca="1">AVERAGE(OFFSET($CX$3,0,0,'Données projet'!$E$13+1,1))-AVERAGE(OFFSET($H$3,0,0,'Données projet'!$E$13+1,1))</f>
        <v>677.13548994240728</v>
      </c>
      <c r="CZ123" s="59">
        <f t="shared" si="96"/>
        <v>298.72429542440534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34.050997030127242</v>
      </c>
      <c r="DG123" s="21">
        <f>EXP(-LN(2)/25)*DG122+(1-EXP(-LN(2)/25))/(LN(2)/25)*Calculateur!DB123*Calculateur!DD123*VLOOKUP('Données projet'!$B$13,Paramètres!$A$1:$I$89,3,0)*0.475*44/12</f>
        <v>22.958965672752008</v>
      </c>
      <c r="DH123" s="21">
        <f>EXP(-LN(2)/2)*DH122+(1-EXP(-LN(2)/2))/(LN(2)/2)*DB123*DE123*VLOOKUP('Données projet'!$B$13,Paramètres!$A$1:$I$89,3,0)*0.475*44/12</f>
        <v>0.71821153423802686</v>
      </c>
      <c r="DI123" s="22">
        <f t="shared" si="69"/>
        <v>57.72817423711728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69.265261430482113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1.2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4.3999999999999995</v>
      </c>
      <c r="H124" s="67">
        <f t="shared" si="56"/>
        <v>239.06666666666669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1115.0120016165022</v>
      </c>
      <c r="S124" s="59">
        <f ca="1">AVERAGE(OFFSET($R$3,0,0,'Données projet'!$E$9+1,1))-AVERAGE(OFFSET($H$3,0,0,'Données projet'!$E$9+1,1))</f>
        <v>646.69588445509589</v>
      </c>
      <c r="T124" s="59">
        <f t="shared" si="88"/>
        <v>286.36346771084698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5.6843418860808015E-13</v>
      </c>
      <c r="AJ124" s="13">
        <f>AI124*VLOOKUP('Données projet'!$B$10,Paramètres!$A$1:$I$89,3,0)*VLOOKUP('Données projet'!$B$10,Paramètres!$A$1:$I$89,5,0)</f>
        <v>3.177547114319168E-13</v>
      </c>
      <c r="AK124" s="13">
        <f t="shared" si="89"/>
        <v>4.1725404435445377E-12</v>
      </c>
      <c r="AL124" s="20">
        <f t="shared" si="58"/>
        <v>7.820597394917325E-12</v>
      </c>
      <c r="AM124" s="59">
        <f t="shared" si="59"/>
        <v>290.68602750746544</v>
      </c>
      <c r="AN124" s="59">
        <f ca="1">AVERAGE(OFFSET($AM$3,0,0,'Données projet'!$E$10+1,1))-AVERAGE(OFFSET($H$3,0,0,'Données projet'!$E$10+1,1))</f>
        <v>391.55758836264408</v>
      </c>
      <c r="AO124" s="59">
        <f t="shared" si="90"/>
        <v>360.80727659978777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84.041846997542279</v>
      </c>
      <c r="AV124" s="21">
        <f>EXP(-LN(2)/25)*AV123+(1-EXP(-LN(2)/25))/(LN(2)/25)*Calculateur!AQ124*Calculateur!AS124*VLOOKUP('Données projet'!$B$10,Paramètres!$A$1:$I$89,3,0)*0.475*44/12</f>
        <v>18.664602896902842</v>
      </c>
      <c r="AW124" s="21">
        <f>EXP(-LN(2)/2)*AW123+(1-EXP(-LN(2)/2))/(LN(2)/2)*AQ124*AT124*VLOOKUP('Données projet'!$B$10,Paramètres!$A$1:$I$89,3,0)*0.475*44/12</f>
        <v>1.5911599476847577E-6</v>
      </c>
      <c r="AX124" s="21">
        <f t="shared" si="60"/>
        <v>102.70645148560506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5.0249582272954292E-14</v>
      </c>
      <c r="BF124" s="13">
        <f t="shared" si="91"/>
        <v>8.1784820119191593E-13</v>
      </c>
      <c r="BG124" s="20">
        <f t="shared" si="61"/>
        <v>1.5119369728679821E-12</v>
      </c>
      <c r="BH124" s="59">
        <f t="shared" si="62"/>
        <v>290.68602750745913</v>
      </c>
      <c r="BI124" s="59">
        <f ca="1">AVERAGE(OFFSET($BH$3,0,0,'Données projet'!$E$11+1,1))-AVERAGE(OFFSET($H$3,0,0,'Données projet'!$E$11+1,1))</f>
        <v>400.11184625063709</v>
      </c>
      <c r="BJ124" s="59">
        <f t="shared" si="92"/>
        <v>340.02906159605971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91.741506386346984</v>
      </c>
      <c r="BQ124" s="21">
        <f>EXP(-LN(2)/25)*BQ123+(1-EXP(-LN(2)/25))/(LN(2)/25)*Calculateur!BL124*Calculateur!BN124*VLOOKUP('Données projet'!$B$11,Paramètres!$A$1:$I$89,3,0)*0.475*44/12</f>
        <v>23.068272225622621</v>
      </c>
      <c r="BR124" s="21">
        <f>EXP(-LN(2)/2)*BR123+(1-EXP(-LN(2)/2))/(LN(2)/2)*BL124*BO124*VLOOKUP('Données projet'!$B$11,Paramètres!$A$1:$I$89,3,0)*0.475*44/12</f>
        <v>5.3006500695011433E-5</v>
      </c>
      <c r="BS124" s="22">
        <f t="shared" si="63"/>
        <v>114.8098316184703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8.9160000000000021</v>
      </c>
      <c r="BY124" s="12">
        <f>IF('Données projet'!$A$114&gt;35,BY123+BX124-CG123,IF(A124&lt;'Données projet'!$A$114,$BV$205^A124,IF(A124='Données projet'!$A$114,'Données projet'!$B$114,BY123+BX124-CG123)))</f>
        <v>425.11200000000071</v>
      </c>
      <c r="BZ124" s="13">
        <f>BY124*VLOOKUP('Données projet'!$B$12,Paramètres!$A$1:$I$89,3,0)*VLOOKUP('Données projet'!$B$12,Paramètres!$A$1:$I$89,5,0)</f>
        <v>285.16512960000051</v>
      </c>
      <c r="CA124" s="13">
        <f t="shared" si="93"/>
        <v>68.057385324877458</v>
      </c>
      <c r="CB124" s="20">
        <f t="shared" si="64"/>
        <v>615.19588016082901</v>
      </c>
      <c r="CC124" s="59">
        <f t="shared" si="65"/>
        <v>905.88190766828666</v>
      </c>
      <c r="CD124" s="59">
        <f ca="1">AVERAGE(OFFSET($CC$3,0,0,'Données projet'!$E$12+1,1))-AVERAGE(OFFSET($H$3,0,0,'Données projet'!$E$12+1,1))</f>
        <v>493.98227954109774</v>
      </c>
      <c r="CE124" s="59">
        <f t="shared" si="94"/>
        <v>224.32736097997289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29.005142960876459</v>
      </c>
      <c r="CL124" s="21">
        <f>EXP(-LN(2)/25)*CL123+(1-EXP(-LN(2)/25))/(LN(2)/25)*Calculateur!CG124*Calculateur!CI124*VLOOKUP('Données projet'!$B$12,Paramètres!$A$1:$I$89,3,0)*0.475*44/12</f>
        <v>19.402475936078147</v>
      </c>
      <c r="CM124" s="21">
        <f>EXP(-LN(2)/2)*CM123+(1-EXP(-LN(2)/2))/(LN(2)/2)*CG124*CJ124*VLOOKUP('Données projet'!$B$12,Paramètres!$A$1:$I$89,3,0)*0.475*44/12</f>
        <v>0.35799420632790879</v>
      </c>
      <c r="CN124" s="22">
        <f t="shared" si="66"/>
        <v>48.765613103282512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8.9160000000000021</v>
      </c>
      <c r="CT124" s="12">
        <f>IF('Données projet'!$A$140&gt;35,CT123+CS124-DB123,IF(A124&lt;'Données projet'!$A$140,$CQ$205^A124,IF(A124='Données projet'!$A$140,'Données projet'!$B$140,CT123+CS124-DB123)))</f>
        <v>425.11200000000071</v>
      </c>
      <c r="CU124" s="17">
        <f>CT124*VLOOKUP('Données projet'!$B$13,Paramètres!$A$1:$I$89,3,0)*VLOOKUP('Données projet'!$B$13,Paramètres!$A$1:$I$89,5,0)</f>
        <v>404.53657920000069</v>
      </c>
      <c r="CV124" s="13">
        <f t="shared" si="95"/>
        <v>92.695782497390908</v>
      </c>
      <c r="CW124" s="20">
        <f t="shared" si="67"/>
        <v>866.01302995629032</v>
      </c>
      <c r="CX124" s="59">
        <f t="shared" si="68"/>
        <v>1156.699057463748</v>
      </c>
      <c r="CY124" s="59">
        <f ca="1">AVERAGE(OFFSET($CX$3,0,0,'Données projet'!$E$13+1,1))-AVERAGE(OFFSET($H$3,0,0,'Données projet'!$E$13+1,1))</f>
        <v>677.13548994240728</v>
      </c>
      <c r="CZ124" s="59">
        <f t="shared" si="96"/>
        <v>298.72429542440534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33.383277747423861</v>
      </c>
      <c r="DG124" s="21">
        <f>EXP(-LN(2)/25)*DG123+(1-EXP(-LN(2)/25))/(LN(2)/25)*Calculateur!DB124*Calculateur!DD124*VLOOKUP('Données projet'!$B$13,Paramètres!$A$1:$I$89,3,0)*0.475*44/12</f>
        <v>22.331151549071073</v>
      </c>
      <c r="DH124" s="21">
        <f>EXP(-LN(2)/2)*DH123+(1-EXP(-LN(2)/2))/(LN(2)/2)*DB124*DE124*VLOOKUP('Données projet'!$B$13,Paramètres!$A$1:$I$89,3,0)*0.475*44/12</f>
        <v>0.50785224618610303</v>
      </c>
      <c r="DI124" s="22">
        <f t="shared" si="69"/>
        <v>56.222281542681039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69.278007502033887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1.2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4.3999999999999995</v>
      </c>
      <c r="H125" s="67">
        <f t="shared" si="56"/>
        <v>239.06666666666669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1131.9663361978542</v>
      </c>
      <c r="S125" s="59">
        <f ca="1">AVERAGE(OFFSET($R$3,0,0,'Données projet'!$E$9+1,1))-AVERAGE(OFFSET($H$3,0,0,'Données projet'!$E$9+1,1))</f>
        <v>646.69588445509589</v>
      </c>
      <c r="T125" s="59">
        <f t="shared" si="88"/>
        <v>286.36346771084698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5.6843418860808015E-13</v>
      </c>
      <c r="AJ125" s="13">
        <f>AI125*VLOOKUP('Données projet'!$B$10,Paramètres!$A$1:$I$89,3,0)*VLOOKUP('Données projet'!$B$10,Paramètres!$A$1:$I$89,5,0)</f>
        <v>3.177547114319168E-13</v>
      </c>
      <c r="AK125" s="13">
        <f t="shared" si="89"/>
        <v>4.1725404435445377E-12</v>
      </c>
      <c r="AL125" s="20">
        <f t="shared" si="58"/>
        <v>7.820597394917325E-12</v>
      </c>
      <c r="AM125" s="59">
        <f t="shared" si="59"/>
        <v>290.73195234505522</v>
      </c>
      <c r="AN125" s="59">
        <f ca="1">AVERAGE(OFFSET($AM$3,0,0,'Données projet'!$E$10+1,1))-AVERAGE(OFFSET($H$3,0,0,'Données projet'!$E$10+1,1))</f>
        <v>391.55758836264408</v>
      </c>
      <c r="AO125" s="59">
        <f t="shared" si="90"/>
        <v>360.80727659978777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82.393837638385591</v>
      </c>
      <c r="AV125" s="21">
        <f>EXP(-LN(2)/25)*AV124+(1-EXP(-LN(2)/25))/(LN(2)/25)*Calculateur!AQ125*Calculateur!AS125*VLOOKUP('Données projet'!$B$10,Paramètres!$A$1:$I$89,3,0)*0.475*44/12</f>
        <v>18.154218349158228</v>
      </c>
      <c r="AW125" s="21">
        <f>EXP(-LN(2)/2)*AW124+(1-EXP(-LN(2)/2))/(LN(2)/2)*AQ125*AT125*VLOOKUP('Données projet'!$B$10,Paramètres!$A$1:$I$89,3,0)*0.475*44/12</f>
        <v>1.1251199889603244E-6</v>
      </c>
      <c r="AX125" s="21">
        <f t="shared" si="60"/>
        <v>100.54805711266381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5.0249582272954292E-14</v>
      </c>
      <c r="BF125" s="13">
        <f t="shared" si="91"/>
        <v>8.1784820119191593E-13</v>
      </c>
      <c r="BG125" s="20">
        <f t="shared" si="61"/>
        <v>1.5119369728679821E-12</v>
      </c>
      <c r="BH125" s="59">
        <f t="shared" si="62"/>
        <v>290.73195234504891</v>
      </c>
      <c r="BI125" s="59">
        <f ca="1">AVERAGE(OFFSET($BH$3,0,0,'Données projet'!$E$11+1,1))-AVERAGE(OFFSET($H$3,0,0,'Données projet'!$E$11+1,1))</f>
        <v>400.11184625063709</v>
      </c>
      <c r="BJ125" s="59">
        <f t="shared" si="92"/>
        <v>340.02906159605971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89.942511402904344</v>
      </c>
      <c r="BQ125" s="21">
        <f>EXP(-LN(2)/25)*BQ124+(1-EXP(-LN(2)/25))/(LN(2)/25)*Calculateur!BL125*Calculateur!BN125*VLOOKUP('Données projet'!$B$11,Paramètres!$A$1:$I$89,3,0)*0.475*44/12</f>
        <v>22.437469108505258</v>
      </c>
      <c r="BR125" s="21">
        <f>EXP(-LN(2)/2)*BR124+(1-EXP(-LN(2)/2))/(LN(2)/2)*BL125*BO125*VLOOKUP('Données projet'!$B$11,Paramètres!$A$1:$I$89,3,0)*0.475*44/12</f>
        <v>3.7481256088412028E-5</v>
      </c>
      <c r="BS125" s="22">
        <f t="shared" si="63"/>
        <v>112.38001799266569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8.9160000000000021</v>
      </c>
      <c r="BY125" s="12">
        <f>IF('Données projet'!$A$114&gt;35,BY124+BX125-CG124,IF(A125&lt;'Données projet'!$A$114,$BV$205^A125,IF(A125='Données projet'!$A$114,'Données projet'!$B$114,BY124+BX125-CG124)))</f>
        <v>434.0280000000007</v>
      </c>
      <c r="BZ125" s="13">
        <f>BY125*VLOOKUP('Données projet'!$B$12,Paramètres!$A$1:$I$89,3,0)*VLOOKUP('Données projet'!$B$12,Paramètres!$A$1:$I$89,5,0)</f>
        <v>291.14598240000049</v>
      </c>
      <c r="CA125" s="13">
        <f t="shared" si="93"/>
        <v>69.317097469525649</v>
      </c>
      <c r="CB125" s="20">
        <f t="shared" si="64"/>
        <v>627.80653077275804</v>
      </c>
      <c r="CC125" s="59">
        <f t="shared" si="65"/>
        <v>918.53848311780541</v>
      </c>
      <c r="CD125" s="59">
        <f ca="1">AVERAGE(OFFSET($CC$3,0,0,'Données projet'!$E$12+1,1))-AVERAGE(OFFSET($H$3,0,0,'Données projet'!$E$12+1,1))</f>
        <v>493.98227954109774</v>
      </c>
      <c r="CE125" s="59">
        <f t="shared" si="94"/>
        <v>224.32736097997289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28.436369798803998</v>
      </c>
      <c r="CL125" s="21">
        <f>EXP(-LN(2)/25)*CL124+(1-EXP(-LN(2)/25))/(LN(2)/25)*Calculateur!CG125*Calculateur!CI125*VLOOKUP('Données projet'!$B$12,Paramètres!$A$1:$I$89,3,0)*0.475*44/12</f>
        <v>18.871914211274227</v>
      </c>
      <c r="CM125" s="21">
        <f>EXP(-LN(2)/2)*CM124+(1-EXP(-LN(2)/2))/(LN(2)/2)*CG125*CJ125*VLOOKUP('Données projet'!$B$12,Paramètres!$A$1:$I$89,3,0)*0.475*44/12</f>
        <v>0.25314013091996035</v>
      </c>
      <c r="CN125" s="22">
        <f t="shared" si="66"/>
        <v>47.561424140998184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8.9160000000000021</v>
      </c>
      <c r="CT125" s="12">
        <f>IF('Données projet'!$A$140&gt;35,CT124+CS125-DB124,IF(A125&lt;'Données projet'!$A$140,$CQ$205^A125,IF(A125='Données projet'!$A$140,'Données projet'!$B$140,CT124+CS125-DB124)))</f>
        <v>434.0280000000007</v>
      </c>
      <c r="CU125" s="17">
        <f>CT125*VLOOKUP('Données projet'!$B$13,Paramètres!$A$1:$I$89,3,0)*VLOOKUP('Données projet'!$B$13,Paramètres!$A$1:$I$89,5,0)</f>
        <v>413.02104480000071</v>
      </c>
      <c r="CV125" s="13">
        <f t="shared" si="95"/>
        <v>94.411540492092271</v>
      </c>
      <c r="CW125" s="20">
        <f t="shared" si="67"/>
        <v>883.77841938372865</v>
      </c>
      <c r="CX125" s="59">
        <f t="shared" si="68"/>
        <v>1174.5103717287761</v>
      </c>
      <c r="CY125" s="59">
        <f ca="1">AVERAGE(OFFSET($CX$3,0,0,'Données projet'!$E$13+1,1))-AVERAGE(OFFSET($H$3,0,0,'Données projet'!$E$13+1,1))</f>
        <v>677.13548994240728</v>
      </c>
      <c r="CZ125" s="59">
        <f t="shared" si="96"/>
        <v>298.72429542440534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32.728652032585742</v>
      </c>
      <c r="DG125" s="21">
        <f>EXP(-LN(2)/25)*DG124+(1-EXP(-LN(2)/25))/(LN(2)/25)*Calculateur!DB125*Calculateur!DD125*VLOOKUP('Données projet'!$B$13,Paramètres!$A$1:$I$89,3,0)*0.475*44/12</f>
        <v>21.720505035617503</v>
      </c>
      <c r="DH125" s="21">
        <f>EXP(-LN(2)/2)*DH124+(1-EXP(-LN(2)/2))/(LN(2)/2)*DB125*DE125*VLOOKUP('Données projet'!$B$13,Paramètres!$A$1:$I$89,3,0)*0.475*44/12</f>
        <v>0.35910576711901343</v>
      </c>
      <c r="DI125" s="22">
        <f t="shared" si="69"/>
        <v>54.80826283532226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69.290532457740198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1.2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4.3999999999999995</v>
      </c>
      <c r="H126" s="67">
        <f t="shared" si="56"/>
        <v>239.06666666666669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1148.9130477594117</v>
      </c>
      <c r="S126" s="59">
        <f ca="1">AVERAGE(OFFSET($R$3,0,0,'Données projet'!$E$9+1,1))-AVERAGE(OFFSET($H$3,0,0,'Données projet'!$E$9+1,1))</f>
        <v>646.69588445509589</v>
      </c>
      <c r="T126" s="59">
        <f t="shared" si="88"/>
        <v>286.36346771084698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5.6843418860808015E-13</v>
      </c>
      <c r="AJ126" s="13">
        <f>AI126*VLOOKUP('Données projet'!$B$10,Paramètres!$A$1:$I$89,3,0)*VLOOKUP('Données projet'!$B$10,Paramètres!$A$1:$I$89,5,0)</f>
        <v>3.177547114319168E-13</v>
      </c>
      <c r="AK126" s="13">
        <f t="shared" si="89"/>
        <v>4.1725404435445377E-12</v>
      </c>
      <c r="AL126" s="20">
        <f t="shared" si="58"/>
        <v>7.820597394917325E-12</v>
      </c>
      <c r="AM126" s="59">
        <f t="shared" si="59"/>
        <v>290.77708048938536</v>
      </c>
      <c r="AN126" s="59">
        <f ca="1">AVERAGE(OFFSET($AM$3,0,0,'Données projet'!$E$10+1,1))-AVERAGE(OFFSET($H$3,0,0,'Données projet'!$E$10+1,1))</f>
        <v>391.55758836264408</v>
      </c>
      <c r="AO126" s="59">
        <f t="shared" si="90"/>
        <v>360.80727659978777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80.778144737575516</v>
      </c>
      <c r="AV126" s="21">
        <f>EXP(-LN(2)/25)*AV125+(1-EXP(-LN(2)/25))/(LN(2)/25)*Calculateur!AQ126*Calculateur!AS126*VLOOKUP('Données projet'!$B$10,Paramètres!$A$1:$I$89,3,0)*0.475*44/12</f>
        <v>17.657790293711646</v>
      </c>
      <c r="AW126" s="21">
        <f>EXP(-LN(2)/2)*AW125+(1-EXP(-LN(2)/2))/(LN(2)/2)*AQ126*AT126*VLOOKUP('Données projet'!$B$10,Paramètres!$A$1:$I$89,3,0)*0.475*44/12</f>
        <v>7.9557997384237886E-7</v>
      </c>
      <c r="AX126" s="21">
        <f t="shared" si="60"/>
        <v>98.435935826867137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5.0249582272954292E-14</v>
      </c>
      <c r="BF126" s="13">
        <f t="shared" si="91"/>
        <v>8.1784820119191593E-13</v>
      </c>
      <c r="BG126" s="20">
        <f t="shared" si="61"/>
        <v>1.5119369728679821E-12</v>
      </c>
      <c r="BH126" s="59">
        <f t="shared" si="62"/>
        <v>290.77708048937905</v>
      </c>
      <c r="BI126" s="59">
        <f ca="1">AVERAGE(OFFSET($BH$3,0,0,'Données projet'!$E$11+1,1))-AVERAGE(OFFSET($H$3,0,0,'Données projet'!$E$11+1,1))</f>
        <v>400.11184625063709</v>
      </c>
      <c r="BJ126" s="59">
        <f t="shared" si="92"/>
        <v>340.02906159605971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88.178793613808423</v>
      </c>
      <c r="BQ126" s="21">
        <f>EXP(-LN(2)/25)*BQ125+(1-EXP(-LN(2)/25))/(LN(2)/25)*Calculateur!BL126*Calculateur!BN126*VLOOKUP('Données projet'!$B$11,Paramètres!$A$1:$I$89,3,0)*0.475*44/12</f>
        <v>21.823915335797963</v>
      </c>
      <c r="BR126" s="21">
        <f>EXP(-LN(2)/2)*BR125+(1-EXP(-LN(2)/2))/(LN(2)/2)*BL126*BO126*VLOOKUP('Données projet'!$B$11,Paramètres!$A$1:$I$89,3,0)*0.475*44/12</f>
        <v>2.6503250347505716E-5</v>
      </c>
      <c r="BS126" s="22">
        <f t="shared" si="63"/>
        <v>110.00273545285674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8.9160000000000021</v>
      </c>
      <c r="BY126" s="12">
        <f>IF('Données projet'!$A$114&gt;35,BY125+BX126-CG125,IF(A126&lt;'Données projet'!$A$114,$BV$205^A126,IF(A126='Données projet'!$A$114,'Données projet'!$B$114,BY125+BX126-CG125)))</f>
        <v>442.9440000000007</v>
      </c>
      <c r="BZ126" s="13">
        <f>BY126*VLOOKUP('Données projet'!$B$12,Paramètres!$A$1:$I$89,3,0)*VLOOKUP('Données projet'!$B$12,Paramètres!$A$1:$I$89,5,0)</f>
        <v>297.12683520000047</v>
      </c>
      <c r="CA126" s="13">
        <f t="shared" si="93"/>
        <v>70.573800838764654</v>
      </c>
      <c r="CB126" s="20">
        <f t="shared" si="64"/>
        <v>640.41194110084928</v>
      </c>
      <c r="CC126" s="59">
        <f t="shared" si="65"/>
        <v>931.18902159022673</v>
      </c>
      <c r="CD126" s="59">
        <f ca="1">AVERAGE(OFFSET($CC$3,0,0,'Données projet'!$E$12+1,1))-AVERAGE(OFFSET($H$3,0,0,'Données projet'!$E$12+1,1))</f>
        <v>493.98227954109774</v>
      </c>
      <c r="CE126" s="59">
        <f t="shared" si="94"/>
        <v>224.32736097997289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27.878749931522403</v>
      </c>
      <c r="CL126" s="21">
        <f>EXP(-LN(2)/25)*CL125+(1-EXP(-LN(2)/25))/(LN(2)/25)*Calculateur!CG126*Calculateur!CI126*VLOOKUP('Données projet'!$B$12,Paramètres!$A$1:$I$89,3,0)*0.475*44/12</f>
        <v>18.355860724736097</v>
      </c>
      <c r="CM126" s="21">
        <f>EXP(-LN(2)/2)*CM125+(1-EXP(-LN(2)/2))/(LN(2)/2)*CG126*CJ126*VLOOKUP('Données projet'!$B$12,Paramètres!$A$1:$I$89,3,0)*0.475*44/12</f>
        <v>0.1789971031639544</v>
      </c>
      <c r="CN126" s="22">
        <f t="shared" si="66"/>
        <v>46.413607759422447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8.9160000000000021</v>
      </c>
      <c r="CT126" s="12">
        <f>IF('Données projet'!$A$140&gt;35,CT125+CS126-DB125,IF(A126&lt;'Données projet'!$A$140,$CQ$205^A126,IF(A126='Données projet'!$A$140,'Données projet'!$B$140,CT125+CS126-DB125)))</f>
        <v>442.9440000000007</v>
      </c>
      <c r="CU126" s="17">
        <f>CT126*VLOOKUP('Données projet'!$B$13,Paramètres!$A$1:$I$89,3,0)*VLOOKUP('Données projet'!$B$13,Paramètres!$A$1:$I$89,5,0)</f>
        <v>421.50551040000067</v>
      </c>
      <c r="CV126" s="13">
        <f t="shared" si="95"/>
        <v>96.123200462904308</v>
      </c>
      <c r="CW126" s="20">
        <f t="shared" si="67"/>
        <v>901.53667141955941</v>
      </c>
      <c r="CX126" s="59">
        <f t="shared" si="68"/>
        <v>1192.3137519089369</v>
      </c>
      <c r="CY126" s="59">
        <f ca="1">AVERAGE(OFFSET($CX$3,0,0,'Données projet'!$E$13+1,1))-AVERAGE(OFFSET($H$3,0,0,'Données projet'!$E$13+1,1))</f>
        <v>677.13548994240728</v>
      </c>
      <c r="CZ126" s="59">
        <f t="shared" si="96"/>
        <v>298.72429542440534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32.086863128733341</v>
      </c>
      <c r="DG126" s="21">
        <f>EXP(-LN(2)/25)*DG125+(1-EXP(-LN(2)/25))/(LN(2)/25)*Calculateur!DB126*Calculateur!DD126*VLOOKUP('Données projet'!$B$13,Paramètres!$A$1:$I$89,3,0)*0.475*44/12</f>
        <v>21.126556683186827</v>
      </c>
      <c r="DH126" s="21">
        <f>EXP(-LN(2)/2)*DH125+(1-EXP(-LN(2)/2))/(LN(2)/2)*DB126*DE126*VLOOKUP('Données projet'!$B$13,Paramètres!$A$1:$I$89,3,0)*0.475*44/12</f>
        <v>0.25392612309305151</v>
      </c>
      <c r="DI126" s="22">
        <f t="shared" si="69"/>
        <v>53.467345935013221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69.302840133466589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1.2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4.3999999999999995</v>
      </c>
      <c r="H127" s="67">
        <f t="shared" si="56"/>
        <v>239.06666666666669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1165.852303364315</v>
      </c>
      <c r="S127" s="59">
        <f ca="1">AVERAGE(OFFSET($R$3,0,0,'Données projet'!$E$9+1,1))-AVERAGE(OFFSET($H$3,0,0,'Données projet'!$E$9+1,1))</f>
        <v>646.69588445509589</v>
      </c>
      <c r="T127" s="59">
        <f t="shared" si="88"/>
        <v>286.36346771084698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5.6843418860808015E-13</v>
      </c>
      <c r="AJ127" s="13">
        <f>AI127*VLOOKUP('Données projet'!$B$10,Paramètres!$A$1:$I$89,3,0)*VLOOKUP('Données projet'!$B$10,Paramètres!$A$1:$I$89,5,0)</f>
        <v>3.177547114319168E-13</v>
      </c>
      <c r="AK127" s="13">
        <f t="shared" si="89"/>
        <v>4.1725404435445377E-12</v>
      </c>
      <c r="AL127" s="20">
        <f t="shared" si="58"/>
        <v>7.820597394917325E-12</v>
      </c>
      <c r="AM127" s="59">
        <f t="shared" si="59"/>
        <v>290.82142576130275</v>
      </c>
      <c r="AN127" s="59">
        <f ca="1">AVERAGE(OFFSET($AM$3,0,0,'Données projet'!$E$10+1,1))-AVERAGE(OFFSET($H$3,0,0,'Données projet'!$E$10+1,1))</f>
        <v>391.55758836264408</v>
      </c>
      <c r="AO127" s="59">
        <f t="shared" si="90"/>
        <v>360.80727659978777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79.194134589074963</v>
      </c>
      <c r="AV127" s="21">
        <f>EXP(-LN(2)/25)*AV126+(1-EXP(-LN(2)/25))/(LN(2)/25)*Calculateur!AQ127*Calculateur!AS127*VLOOKUP('Données projet'!$B$10,Paramètres!$A$1:$I$89,3,0)*0.475*44/12</f>
        <v>17.174937089547267</v>
      </c>
      <c r="AW127" s="21">
        <f>EXP(-LN(2)/2)*AW126+(1-EXP(-LN(2)/2))/(LN(2)/2)*AQ127*AT127*VLOOKUP('Données projet'!$B$10,Paramètres!$A$1:$I$89,3,0)*0.475*44/12</f>
        <v>5.6255999448016218E-7</v>
      </c>
      <c r="AX127" s="21">
        <f t="shared" si="60"/>
        <v>96.369072241182224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5.0249582272954292E-14</v>
      </c>
      <c r="BF127" s="13">
        <f t="shared" si="91"/>
        <v>8.1784820119191593E-13</v>
      </c>
      <c r="BG127" s="20">
        <f t="shared" si="61"/>
        <v>1.5119369728679821E-12</v>
      </c>
      <c r="BH127" s="59">
        <f t="shared" si="62"/>
        <v>290.82142576129644</v>
      </c>
      <c r="BI127" s="59">
        <f ca="1">AVERAGE(OFFSET($BH$3,0,0,'Données projet'!$E$11+1,1))-AVERAGE(OFFSET($H$3,0,0,'Données projet'!$E$11+1,1))</f>
        <v>400.11184625063709</v>
      </c>
      <c r="BJ127" s="59">
        <f t="shared" si="92"/>
        <v>340.02906159605971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86.449661254795046</v>
      </c>
      <c r="BQ127" s="21">
        <f>EXP(-LN(2)/25)*BQ126+(1-EXP(-LN(2)/25))/(LN(2)/25)*Calculateur!BL127*Calculateur!BN127*VLOOKUP('Données projet'!$B$11,Paramètres!$A$1:$I$89,3,0)*0.475*44/12</f>
        <v>21.22713922327074</v>
      </c>
      <c r="BR127" s="21">
        <f>EXP(-LN(2)/2)*BR126+(1-EXP(-LN(2)/2))/(LN(2)/2)*BL127*BO127*VLOOKUP('Données projet'!$B$11,Paramètres!$A$1:$I$89,3,0)*0.475*44/12</f>
        <v>1.8740628044206014E-5</v>
      </c>
      <c r="BS127" s="22">
        <f t="shared" si="63"/>
        <v>107.67681921869384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8.9160000000000021</v>
      </c>
      <c r="BX127" s="12">
        <f t="array" ref="BX127">INDEX(BW:BW,MIN(IF(ISNUMBER(BW127:BW323),ROW(BW127:BW323),"")))</f>
        <v>8.9160000000000021</v>
      </c>
      <c r="BY127" s="12">
        <f>IF('Données projet'!$A$114&gt;35,BY126+BX127-CG126,IF(A127&lt;'Données projet'!$A$114,$BV$205^A127,IF(A127='Données projet'!$A$114,'Données projet'!$B$114,BY126+BX127-CG126)))</f>
        <v>451.8600000000007</v>
      </c>
      <c r="BZ127" s="13">
        <f>BY127*VLOOKUP('Données projet'!$B$12,Paramètres!$A$1:$I$89,3,0)*VLOOKUP('Données projet'!$B$12,Paramètres!$A$1:$I$89,5,0)</f>
        <v>303.10768800000045</v>
      </c>
      <c r="CA127" s="13">
        <f t="shared" si="93"/>
        <v>71.827562975751292</v>
      </c>
      <c r="CB127" s="20">
        <f t="shared" si="64"/>
        <v>653.01222878276758</v>
      </c>
      <c r="CC127" s="59">
        <f t="shared" si="65"/>
        <v>943.83365454406248</v>
      </c>
      <c r="CD127" s="59">
        <f ca="1">AVERAGE(OFFSET($CC$3,0,0,'Données projet'!$E$12+1,1))-AVERAGE(OFFSET($H$3,0,0,'Données projet'!$E$12+1,1))</f>
        <v>493.98227954109774</v>
      </c>
      <c r="CE127" s="59">
        <f t="shared" si="94"/>
        <v>224.32736097997289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57.81</v>
      </c>
      <c r="CH127" s="16">
        <f>IF(ISNA(VLOOKUP(A127,'Données projet'!$A$113:$I$133,5,0)),0%,VLOOKUP(A127,'Données projet'!$A$113:$I$133,5,0)*VLOOKUP('Données projet'!$B$12,Paramètres!$A$1:$I$89,7,0))</f>
        <v>0.1855</v>
      </c>
      <c r="CI127" s="16">
        <f>IF(ISNA(VLOOKUP(A127,'Données projet'!$A$113:$I$133,6,0)),0%,VLOOKUP(A127,'Données projet'!$A$113:$I$133,6,0)*VLOOKUP('Données projet'!$B$12,Paramètres!$A$1:$I$89,7,0))</f>
        <v>0.10600000000000001</v>
      </c>
      <c r="CJ127" s="16">
        <f>IF(ISNA(VLOOKUP(A127,'Données projet'!$A$113:$I$133,7,0)),0%,VLOOKUP(A127,'Données projet'!$A$113:$I$133,7,0))</f>
        <v>0.1</v>
      </c>
      <c r="CK127" s="21">
        <f>EXP(-LN(2)/35)*CK126+(1-EXP(-LN(2)/35))/(LN(2)/35)*CG127*CH127*VLOOKUP('Données projet'!$B$12,Paramètres!$A$1:$I$89,3,0)*0.475*44/12</f>
        <v>35.284260136143374</v>
      </c>
      <c r="CL127" s="21">
        <f>EXP(-LN(2)/25)*CL126+(1-EXP(-LN(2)/25))/(LN(2)/25)*Calculateur!CG127*Calculateur!CI127*VLOOKUP('Données projet'!$B$12,Paramètres!$A$1:$I$89,3,0)*0.475*44/12</f>
        <v>22.380138555220078</v>
      </c>
      <c r="CM127" s="21">
        <f>EXP(-LN(2)/2)*CM126+(1-EXP(-LN(2)/2))/(LN(2)/2)*CG127*CJ127*VLOOKUP('Données projet'!$B$12,Paramètres!$A$1:$I$89,3,0)*0.475*44/12</f>
        <v>3.7854681812682593</v>
      </c>
      <c r="CN127" s="22">
        <f t="shared" si="66"/>
        <v>61.449866872631709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8.9160000000000021</v>
      </c>
      <c r="CS127" s="12">
        <f t="array" ref="CS127">INDEX(CR:CR,MIN(IF(ISNUMBER(CR127:CR323),ROW(CR127:CR323),"")))</f>
        <v>8.9160000000000021</v>
      </c>
      <c r="CT127" s="12">
        <f>IF('Données projet'!$A$140&gt;35,CT126+CS127-DB126,IF(A127&lt;'Données projet'!$A$140,$CQ$205^A127,IF(A127='Données projet'!$A$140,'Données projet'!$B$140,CT126+CS127-DB126)))</f>
        <v>451.8600000000007</v>
      </c>
      <c r="CU127" s="17">
        <f>CT127*VLOOKUP('Données projet'!$B$13,Paramètres!$A$1:$I$89,3,0)*VLOOKUP('Données projet'!$B$13,Paramètres!$A$1:$I$89,5,0)</f>
        <v>429.98997600000069</v>
      </c>
      <c r="CV127" s="13">
        <f t="shared" si="95"/>
        <v>97.830854405217835</v>
      </c>
      <c r="CW127" s="20">
        <f t="shared" si="67"/>
        <v>919.28794628908884</v>
      </c>
      <c r="CX127" s="59">
        <f t="shared" si="68"/>
        <v>1210.1093720503836</v>
      </c>
      <c r="CY127" s="59">
        <f ca="1">AVERAGE(OFFSET($CX$3,0,0,'Données projet'!$E$13+1,1))-AVERAGE(OFFSET($H$3,0,0,'Données projet'!$E$13+1,1))</f>
        <v>677.13548994240728</v>
      </c>
      <c r="CZ127" s="59">
        <f t="shared" si="96"/>
        <v>298.72429542440534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57.81</v>
      </c>
      <c r="DC127" s="16">
        <f>IF(ISNA(VLOOKUP(A127,'Données projet'!$A$139:$I$159,5,0)),0%,VLOOKUP(A127,'Données projet'!$A$139:$I$159,5,0)*VLOOKUP('Données projet'!$B$13,Paramètres!$A$1:$I$89,7,0))</f>
        <v>0.15049999999999999</v>
      </c>
      <c r="DD127" s="16">
        <f>IF(ISNA(VLOOKUP(A127,'Données projet'!$A$139:$I$159,6,0)),0%,VLOOKUP(A127,'Données projet'!$A$139:$I$159,6,0)*VLOOKUP('Données projet'!$B$13,Paramètres!$A$1:$I$89,7,0))</f>
        <v>8.6000000000000007E-2</v>
      </c>
      <c r="DE127" s="16">
        <f>IF(ISNA(VLOOKUP(A127,'Données projet'!$A$139:$I$159,7,0)),0%,VLOOKUP(A127,'Données projet'!$A$139:$I$159,7,0))</f>
        <v>0.1</v>
      </c>
      <c r="DF127" s="21">
        <f>EXP(-LN(2)/35)*DF126+(1-EXP(-LN(2)/35))/(LN(2)/35)*DB127*DC127*VLOOKUP('Données projet'!$B$13,Paramètres!$A$1:$I$89,3,0)*0.475*44/12</f>
        <v>40.610186194429176</v>
      </c>
      <c r="DG127" s="21">
        <f>EXP(-LN(2)/25)*DG126+(1-EXP(-LN(2)/25))/(LN(2)/25)*Calculateur!DB127*Calculateur!DD127*VLOOKUP('Données projet'!$B$13,Paramètres!$A$1:$I$89,3,0)*0.475*44/12</f>
        <v>25.758272676762729</v>
      </c>
      <c r="DH127" s="21">
        <f>EXP(-LN(2)/2)*DH126+(1-EXP(-LN(2)/2))/(LN(2)/2)*DB127*DE127*VLOOKUP('Données projet'!$B$13,Paramètres!$A$1:$I$89,3,0)*0.475*44/12</f>
        <v>5.3700827687759034</v>
      </c>
      <c r="DI127" s="22">
        <f t="shared" si="69"/>
        <v>71.738541639967806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69.314934298534979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1.2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4.3999999999999995</v>
      </c>
      <c r="H128" s="67">
        <f t="shared" si="56"/>
        <v>239.06666666666669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1073.3656186035892</v>
      </c>
      <c r="S128" s="59">
        <f ca="1">AVERAGE(OFFSET($R$3,0,0,'Données projet'!$E$9+1,1))-AVERAGE(OFFSET($H$3,0,0,'Données projet'!$E$9+1,1))</f>
        <v>646.69588445509589</v>
      </c>
      <c r="T128" s="59">
        <f t="shared" si="88"/>
        <v>286.36346771084698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5.6843418860808015E-13</v>
      </c>
      <c r="AJ128" s="13">
        <f>AI128*VLOOKUP('Données projet'!$B$10,Paramètres!$A$1:$I$89,3,0)*VLOOKUP('Données projet'!$B$10,Paramètres!$A$1:$I$89,5,0)</f>
        <v>3.177547114319168E-13</v>
      </c>
      <c r="AK128" s="13">
        <f t="shared" si="89"/>
        <v>4.1725404435445377E-12</v>
      </c>
      <c r="AL128" s="20">
        <f t="shared" si="58"/>
        <v>7.820597394917325E-12</v>
      </c>
      <c r="AM128" s="59">
        <f t="shared" si="59"/>
        <v>290.86500174189365</v>
      </c>
      <c r="AN128" s="59">
        <f ca="1">AVERAGE(OFFSET($AM$3,0,0,'Données projet'!$E$10+1,1))-AVERAGE(OFFSET($H$3,0,0,'Données projet'!$E$10+1,1))</f>
        <v>391.55758836264408</v>
      </c>
      <c r="AO128" s="59">
        <f t="shared" si="90"/>
        <v>360.80727659978777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77.641185913435706</v>
      </c>
      <c r="AV128" s="21">
        <f>EXP(-LN(2)/25)*AV127+(1-EXP(-LN(2)/25))/(LN(2)/25)*Calculateur!AQ128*Calculateur!AS128*VLOOKUP('Données projet'!$B$10,Paramètres!$A$1:$I$89,3,0)*0.475*44/12</f>
        <v>16.705287531642909</v>
      </c>
      <c r="AW128" s="21">
        <f>EXP(-LN(2)/2)*AW127+(1-EXP(-LN(2)/2))/(LN(2)/2)*AQ128*AT128*VLOOKUP('Données projet'!$B$10,Paramètres!$A$1:$I$89,3,0)*0.475*44/12</f>
        <v>3.9778998692118943E-7</v>
      </c>
      <c r="AX128" s="21">
        <f t="shared" si="60"/>
        <v>94.346473842868605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5.0249582272954292E-14</v>
      </c>
      <c r="BF128" s="13">
        <f t="shared" si="91"/>
        <v>8.1784820119191593E-13</v>
      </c>
      <c r="BG128" s="20">
        <f t="shared" si="61"/>
        <v>1.5119369728679821E-12</v>
      </c>
      <c r="BH128" s="59">
        <f t="shared" si="62"/>
        <v>290.86500174188734</v>
      </c>
      <c r="BI128" s="59">
        <f ca="1">AVERAGE(OFFSET($BH$3,0,0,'Données projet'!$E$11+1,1))-AVERAGE(OFFSET($H$3,0,0,'Données projet'!$E$11+1,1))</f>
        <v>400.11184625063709</v>
      </c>
      <c r="BJ128" s="59">
        <f t="shared" si="92"/>
        <v>340.02906159605971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84.754436126675316</v>
      </c>
      <c r="BQ128" s="21">
        <f>EXP(-LN(2)/25)*BQ127+(1-EXP(-LN(2)/25))/(LN(2)/25)*Calculateur!BL128*Calculateur!BN128*VLOOKUP('Données projet'!$B$11,Paramètres!$A$1:$I$89,3,0)*0.475*44/12</f>
        <v>20.646681984923664</v>
      </c>
      <c r="BR128" s="21">
        <f>EXP(-LN(2)/2)*BR127+(1-EXP(-LN(2)/2))/(LN(2)/2)*BL128*BO128*VLOOKUP('Données projet'!$B$11,Paramètres!$A$1:$I$89,3,0)*0.475*44/12</f>
        <v>1.3251625173752858E-5</v>
      </c>
      <c r="BS128" s="22">
        <f t="shared" si="63"/>
        <v>105.40113136322415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9.0229999999999961</v>
      </c>
      <c r="BY128" s="12">
        <f>IF('Données projet'!$A$114&gt;35,BY127+BX128-CG127,IF(A128&lt;'Données projet'!$A$114,$BV$205^A128,IF(A128='Données projet'!$A$114,'Données projet'!$B$114,BY127+BX128-CG127)))</f>
        <v>403.07300000000072</v>
      </c>
      <c r="BZ128" s="13">
        <f>BY128*VLOOKUP('Données projet'!$B$12,Paramètres!$A$1:$I$89,3,0)*VLOOKUP('Données projet'!$B$12,Paramètres!$A$1:$I$89,5,0)</f>
        <v>270.38136840000044</v>
      </c>
      <c r="CA128" s="13">
        <f t="shared" si="93"/>
        <v>64.930198637474902</v>
      </c>
      <c r="CB128" s="20">
        <f t="shared" si="64"/>
        <v>584.00097925693615</v>
      </c>
      <c r="CC128" s="59">
        <f t="shared" si="65"/>
        <v>874.8659809988219</v>
      </c>
      <c r="CD128" s="59">
        <f ca="1">AVERAGE(OFFSET($CC$3,0,0,'Données projet'!$E$12+1,1))-AVERAGE(OFFSET($H$3,0,0,'Données projet'!$E$12+1,1))</f>
        <v>493.98227954109774</v>
      </c>
      <c r="CE128" s="59">
        <f t="shared" si="94"/>
        <v>224.32736097997289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34.592357316147236</v>
      </c>
      <c r="CL128" s="21">
        <f>EXP(-LN(2)/25)*CL127+(1-EXP(-LN(2)/25))/(LN(2)/25)*Calculateur!CG128*Calculateur!CI128*VLOOKUP('Données projet'!$B$12,Paramètres!$A$1:$I$89,3,0)*0.475*44/12</f>
        <v>21.768152489507248</v>
      </c>
      <c r="CM128" s="21">
        <f>EXP(-LN(2)/2)*CM127+(1-EXP(-LN(2)/2))/(LN(2)/2)*CG128*CJ128*VLOOKUP('Données projet'!$B$12,Paramètres!$A$1:$I$89,3,0)*0.475*44/12</f>
        <v>2.6767302209406933</v>
      </c>
      <c r="CN128" s="22">
        <f t="shared" si="66"/>
        <v>59.037240026595178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9.0229999999999961</v>
      </c>
      <c r="CT128" s="12">
        <f>IF('Données projet'!$A$140&gt;35,CT127+CS128-DB127,IF(A128&lt;'Données projet'!$A$140,$CQ$205^A128,IF(A128='Données projet'!$A$140,'Données projet'!$B$140,CT127+CS128-DB127)))</f>
        <v>403.07300000000072</v>
      </c>
      <c r="CU128" s="17">
        <f>CT128*VLOOKUP('Données projet'!$B$13,Paramètres!$A$1:$I$89,3,0)*VLOOKUP('Données projet'!$B$13,Paramètres!$A$1:$I$89,5,0)</f>
        <v>383.56426680000067</v>
      </c>
      <c r="CV128" s="13">
        <f t="shared" si="95"/>
        <v>88.436479622024081</v>
      </c>
      <c r="CW128" s="20">
        <f t="shared" si="67"/>
        <v>822.06796668502648</v>
      </c>
      <c r="CX128" s="59">
        <f t="shared" si="68"/>
        <v>1112.9329684269123</v>
      </c>
      <c r="CY128" s="59">
        <f ca="1">AVERAGE(OFFSET($CX$3,0,0,'Données projet'!$E$13+1,1))-AVERAGE(OFFSET($H$3,0,0,'Données projet'!$E$13+1,1))</f>
        <v>677.13548994240728</v>
      </c>
      <c r="CZ128" s="59">
        <f t="shared" si="96"/>
        <v>298.72429542440534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39.813845212924186</v>
      </c>
      <c r="DG128" s="21">
        <f>EXP(-LN(2)/25)*DG127+(1-EXP(-LN(2)/25))/(LN(2)/25)*Calculateur!DB128*Calculateur!DD128*VLOOKUP('Données projet'!$B$13,Paramètres!$A$1:$I$89,3,0)*0.475*44/12</f>
        <v>25.053911355847962</v>
      </c>
      <c r="DH128" s="21">
        <f>EXP(-LN(2)/2)*DH127+(1-EXP(-LN(2)/2))/(LN(2)/2)*DB128*DE128*VLOOKUP('Données projet'!$B$13,Paramètres!$A$1:$I$89,3,0)*0.475*44/12</f>
        <v>3.7972219413344721</v>
      </c>
      <c r="DI128" s="22">
        <f t="shared" si="69"/>
        <v>68.664978510106621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69.326818656877947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1.2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4.3999999999999995</v>
      </c>
      <c r="H129" s="67">
        <f t="shared" si="56"/>
        <v>239.06666666666669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1090.5375069589052</v>
      </c>
      <c r="S129" s="59">
        <f ca="1">AVERAGE(OFFSET($R$3,0,0,'Données projet'!$E$9+1,1))-AVERAGE(OFFSET($H$3,0,0,'Données projet'!$E$9+1,1))</f>
        <v>646.69588445509589</v>
      </c>
      <c r="T129" s="59">
        <f t="shared" si="88"/>
        <v>286.36346771084698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5.6843418860808015E-13</v>
      </c>
      <c r="AJ129" s="13">
        <f>AI129*VLOOKUP('Données projet'!$B$10,Paramètres!$A$1:$I$89,3,0)*VLOOKUP('Données projet'!$B$10,Paramètres!$A$1:$I$89,5,0)</f>
        <v>3.177547114319168E-13</v>
      </c>
      <c r="AK129" s="13">
        <f t="shared" si="89"/>
        <v>4.1725404435445377E-12</v>
      </c>
      <c r="AL129" s="20">
        <f t="shared" si="58"/>
        <v>7.820597394917325E-12</v>
      </c>
      <c r="AM129" s="59">
        <f t="shared" si="59"/>
        <v>290.90782177664249</v>
      </c>
      <c r="AN129" s="59">
        <f ca="1">AVERAGE(OFFSET($AM$3,0,0,'Données projet'!$E$10+1,1))-AVERAGE(OFFSET($H$3,0,0,'Données projet'!$E$10+1,1))</f>
        <v>391.55758836264408</v>
      </c>
      <c r="AO129" s="59">
        <f t="shared" si="90"/>
        <v>360.80727659978777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76.118689614120584</v>
      </c>
      <c r="AV129" s="21">
        <f>EXP(-LN(2)/25)*AV128+(1-EXP(-LN(2)/25))/(LN(2)/25)*Calculateur!AQ129*Calculateur!AS129*VLOOKUP('Données projet'!$B$10,Paramètres!$A$1:$I$89,3,0)*0.475*44/12</f>
        <v>16.248480565597244</v>
      </c>
      <c r="AW129" s="21">
        <f>EXP(-LN(2)/2)*AW128+(1-EXP(-LN(2)/2))/(LN(2)/2)*AQ129*AT129*VLOOKUP('Données projet'!$B$10,Paramètres!$A$1:$I$89,3,0)*0.475*44/12</f>
        <v>2.8127999724008109E-7</v>
      </c>
      <c r="AX129" s="21">
        <f t="shared" si="60"/>
        <v>92.367170460997826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5.0249582272954292E-14</v>
      </c>
      <c r="BF129" s="13">
        <f t="shared" si="91"/>
        <v>8.1784820119191593E-13</v>
      </c>
      <c r="BG129" s="20">
        <f t="shared" si="61"/>
        <v>1.5119369728679821E-12</v>
      </c>
      <c r="BH129" s="59">
        <f t="shared" si="62"/>
        <v>290.90782177663618</v>
      </c>
      <c r="BI129" s="59">
        <f ca="1">AVERAGE(OFFSET($BH$3,0,0,'Données projet'!$E$11+1,1))-AVERAGE(OFFSET($H$3,0,0,'Données projet'!$E$11+1,1))</f>
        <v>400.11184625063709</v>
      </c>
      <c r="BJ129" s="59">
        <f t="shared" si="92"/>
        <v>340.02906159605971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83.092453329332784</v>
      </c>
      <c r="BQ129" s="21">
        <f>EXP(-LN(2)/25)*BQ128+(1-EXP(-LN(2)/25))/(LN(2)/25)*Calculateur!BL129*Calculateur!BN129*VLOOKUP('Données projet'!$B$11,Paramètres!$A$1:$I$89,3,0)*0.475*44/12</f>
        <v>20.082097380284107</v>
      </c>
      <c r="BR129" s="21">
        <f>EXP(-LN(2)/2)*BR128+(1-EXP(-LN(2)/2))/(LN(2)/2)*BL129*BO129*VLOOKUP('Données projet'!$B$11,Paramètres!$A$1:$I$89,3,0)*0.475*44/12</f>
        <v>9.370314022103007E-6</v>
      </c>
      <c r="BS129" s="22">
        <f t="shared" si="63"/>
        <v>103.17456007993091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9.0229999999999961</v>
      </c>
      <c r="BY129" s="12">
        <f>IF('Données projet'!$A$114&gt;35,BY128+BX129-CG128,IF(A129&lt;'Données projet'!$A$114,$BV$205^A129,IF(A129='Données projet'!$A$114,'Données projet'!$B$114,BY128+BX129-CG128)))</f>
        <v>412.09600000000069</v>
      </c>
      <c r="BZ129" s="13">
        <f>BY129*VLOOKUP('Données projet'!$B$12,Paramètres!$A$1:$I$89,3,0)*VLOOKUP('Données projet'!$B$12,Paramètres!$A$1:$I$89,5,0)</f>
        <v>276.43399680000044</v>
      </c>
      <c r="CA129" s="13">
        <f t="shared" si="93"/>
        <v>66.212848647104224</v>
      </c>
      <c r="CB129" s="20">
        <f t="shared" si="64"/>
        <v>596.77658915370728</v>
      </c>
      <c r="CC129" s="59">
        <f t="shared" si="65"/>
        <v>887.68441093034198</v>
      </c>
      <c r="CD129" s="59">
        <f ca="1">AVERAGE(OFFSET($CC$3,0,0,'Données projet'!$E$12+1,1))-AVERAGE(OFFSET($H$3,0,0,'Données projet'!$E$12+1,1))</f>
        <v>493.98227954109774</v>
      </c>
      <c r="CE129" s="59">
        <f t="shared" si="94"/>
        <v>224.32736097997289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33.914022288432172</v>
      </c>
      <c r="CL129" s="21">
        <f>EXP(-LN(2)/25)*CL128+(1-EXP(-LN(2)/25))/(LN(2)/25)*Calculateur!CG129*Calculateur!CI129*VLOOKUP('Données projet'!$B$12,Paramètres!$A$1:$I$89,3,0)*0.475*44/12</f>
        <v>21.172901214944286</v>
      </c>
      <c r="CM129" s="21">
        <f>EXP(-LN(2)/2)*CM128+(1-EXP(-LN(2)/2))/(LN(2)/2)*CG129*CJ129*VLOOKUP('Données projet'!$B$12,Paramètres!$A$1:$I$89,3,0)*0.475*44/12</f>
        <v>1.8927340906341299</v>
      </c>
      <c r="CN129" s="22">
        <f t="shared" si="66"/>
        <v>56.979657594010582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9.0229999999999961</v>
      </c>
      <c r="CT129" s="12">
        <f>IF('Données projet'!$A$140&gt;35,CT128+CS129-DB128,IF(A129&lt;'Données projet'!$A$140,$CQ$205^A129,IF(A129='Données projet'!$A$140,'Données projet'!$B$140,CT128+CS129-DB128)))</f>
        <v>412.09600000000069</v>
      </c>
      <c r="CU129" s="17">
        <f>CT129*VLOOKUP('Données projet'!$B$13,Paramètres!$A$1:$I$89,3,0)*VLOOKUP('Données projet'!$B$13,Paramètres!$A$1:$I$89,5,0)</f>
        <v>392.15055360000065</v>
      </c>
      <c r="CV129" s="13">
        <f t="shared" si="95"/>
        <v>90.183479536071829</v>
      </c>
      <c r="CW129" s="20">
        <f t="shared" si="67"/>
        <v>840.06510771199294</v>
      </c>
      <c r="CX129" s="59">
        <f t="shared" si="68"/>
        <v>1130.9729294886276</v>
      </c>
      <c r="CY129" s="59">
        <f ca="1">AVERAGE(OFFSET($CX$3,0,0,'Données projet'!$E$13+1,1))-AVERAGE(OFFSET($H$3,0,0,'Données projet'!$E$13+1,1))</f>
        <v>677.13548994240728</v>
      </c>
      <c r="CZ129" s="59">
        <f t="shared" si="96"/>
        <v>298.72429542440534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39.033119992346471</v>
      </c>
      <c r="DG129" s="21">
        <f>EXP(-LN(2)/25)*DG128+(1-EXP(-LN(2)/25))/(LN(2)/25)*Calculateur!DB129*Calculateur!DD129*VLOOKUP('Données projet'!$B$13,Paramètres!$A$1:$I$89,3,0)*0.475*44/12</f>
        <v>24.368810832294361</v>
      </c>
      <c r="DH129" s="21">
        <f>EXP(-LN(2)/2)*DH128+(1-EXP(-LN(2)/2))/(LN(2)/2)*DB129*DE129*VLOOKUP('Données projet'!$B$13,Paramètres!$A$1:$I$89,3,0)*0.475*44/12</f>
        <v>2.6850413843879521</v>
      </c>
      <c r="DI129" s="22">
        <f t="shared" si="69"/>
        <v>66.086972209028787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69.338496848173094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1.2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4.3999999999999995</v>
      </c>
      <c r="H130" s="67">
        <f t="shared" si="56"/>
        <v>239.06666666666669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1107.7012445950654</v>
      </c>
      <c r="S130" s="59">
        <f ca="1">AVERAGE(OFFSET($R$3,0,0,'Données projet'!$E$9+1,1))-AVERAGE(OFFSET($H$3,0,0,'Données projet'!$E$9+1,1))</f>
        <v>646.69588445509589</v>
      </c>
      <c r="T130" s="59">
        <f t="shared" si="88"/>
        <v>286.36346771084698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5.6843418860808015E-13</v>
      </c>
      <c r="AJ130" s="13">
        <f>AI130*VLOOKUP('Données projet'!$B$10,Paramètres!$A$1:$I$89,3,0)*VLOOKUP('Données projet'!$B$10,Paramètres!$A$1:$I$89,5,0)</f>
        <v>3.177547114319168E-13</v>
      </c>
      <c r="AK130" s="13">
        <f t="shared" si="89"/>
        <v>4.1725404435445377E-12</v>
      </c>
      <c r="AL130" s="20">
        <f t="shared" si="58"/>
        <v>7.820597394917325E-12</v>
      </c>
      <c r="AM130" s="59">
        <f t="shared" si="59"/>
        <v>290.94989897951979</v>
      </c>
      <c r="AN130" s="59">
        <f ca="1">AVERAGE(OFFSET($AM$3,0,0,'Données projet'!$E$10+1,1))-AVERAGE(OFFSET($H$3,0,0,'Données projet'!$E$10+1,1))</f>
        <v>391.55758836264408</v>
      </c>
      <c r="AO130" s="59">
        <f t="shared" si="90"/>
        <v>360.80727659978777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74.626048538603982</v>
      </c>
      <c r="AV130" s="21">
        <f>EXP(-LN(2)/25)*AV129+(1-EXP(-LN(2)/25))/(LN(2)/25)*Calculateur!AQ130*Calculateur!AS130*VLOOKUP('Données projet'!$B$10,Paramètres!$A$1:$I$89,3,0)*0.475*44/12</f>
        <v>15.804165010060531</v>
      </c>
      <c r="AW130" s="21">
        <f>EXP(-LN(2)/2)*AW129+(1-EXP(-LN(2)/2))/(LN(2)/2)*AQ130*AT130*VLOOKUP('Données projet'!$B$10,Paramètres!$A$1:$I$89,3,0)*0.475*44/12</f>
        <v>1.9889499346059472E-7</v>
      </c>
      <c r="AX130" s="21">
        <f t="shared" si="60"/>
        <v>90.430213747559506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5.0249582272954292E-14</v>
      </c>
      <c r="BF130" s="13">
        <f t="shared" si="91"/>
        <v>8.1784820119191593E-13</v>
      </c>
      <c r="BG130" s="20">
        <f t="shared" si="61"/>
        <v>1.5119369728679821E-12</v>
      </c>
      <c r="BH130" s="59">
        <f t="shared" si="62"/>
        <v>290.94989897951348</v>
      </c>
      <c r="BI130" s="59">
        <f ca="1">AVERAGE(OFFSET($BH$3,0,0,'Données projet'!$E$11+1,1))-AVERAGE(OFFSET($H$3,0,0,'Données projet'!$E$11+1,1))</f>
        <v>400.11184625063709</v>
      </c>
      <c r="BJ130" s="59">
        <f t="shared" si="92"/>
        <v>340.02906159605971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81.463061000936733</v>
      </c>
      <c r="BQ130" s="21">
        <f>EXP(-LN(2)/25)*BQ129+(1-EXP(-LN(2)/25))/(LN(2)/25)*Calculateur!BL130*Calculateur!BN130*VLOOKUP('Données projet'!$B$11,Paramètres!$A$1:$I$89,3,0)*0.475*44/12</f>
        <v>19.532951371348634</v>
      </c>
      <c r="BR130" s="21">
        <f>EXP(-LN(2)/2)*BR129+(1-EXP(-LN(2)/2))/(LN(2)/2)*BL130*BO130*VLOOKUP('Données projet'!$B$11,Paramètres!$A$1:$I$89,3,0)*0.475*44/12</f>
        <v>6.6258125868764291E-6</v>
      </c>
      <c r="BS130" s="22">
        <f t="shared" si="63"/>
        <v>100.99601899809795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9.0229999999999961</v>
      </c>
      <c r="BY130" s="12">
        <f>IF('Données projet'!$A$114&gt;35,BY129+BX130-CG129,IF(A130&lt;'Données projet'!$A$114,$BV$205^A130,IF(A130='Données projet'!$A$114,'Données projet'!$B$114,BY129+BX130-CG129)))</f>
        <v>421.11900000000071</v>
      </c>
      <c r="BZ130" s="13">
        <f>BY130*VLOOKUP('Données projet'!$B$12,Paramètres!$A$1:$I$89,3,0)*VLOOKUP('Données projet'!$B$12,Paramètres!$A$1:$I$89,5,0)</f>
        <v>282.4866252000005</v>
      </c>
      <c r="CA130" s="13">
        <f t="shared" si="93"/>
        <v>67.492233552290998</v>
      </c>
      <c r="CB130" s="20">
        <f t="shared" si="64"/>
        <v>609.54651232690765</v>
      </c>
      <c r="CC130" s="59">
        <f t="shared" si="65"/>
        <v>900.49641130641953</v>
      </c>
      <c r="CD130" s="59">
        <f ca="1">AVERAGE(OFFSET($CC$3,0,0,'Données projet'!$E$12+1,1))-AVERAGE(OFFSET($H$3,0,0,'Données projet'!$E$12+1,1))</f>
        <v>493.98227954109774</v>
      </c>
      <c r="CE130" s="59">
        <f t="shared" si="94"/>
        <v>224.32736097997289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33.248988996867091</v>
      </c>
      <c r="CL130" s="21">
        <f>EXP(-LN(2)/25)*CL129+(1-EXP(-LN(2)/25))/(LN(2)/25)*Calculateur!CG130*Calculateur!CI130*VLOOKUP('Données projet'!$B$12,Paramètres!$A$1:$I$89,3,0)*0.475*44/12</f>
        <v>20.59392711778715</v>
      </c>
      <c r="CM130" s="21">
        <f>EXP(-LN(2)/2)*CM129+(1-EXP(-LN(2)/2))/(LN(2)/2)*CG130*CJ130*VLOOKUP('Données projet'!$B$12,Paramètres!$A$1:$I$89,3,0)*0.475*44/12</f>
        <v>1.3383651104703469</v>
      </c>
      <c r="CN130" s="22">
        <f t="shared" si="66"/>
        <v>55.181281225124593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9.0229999999999961</v>
      </c>
      <c r="CT130" s="12">
        <f>IF('Données projet'!$A$140&gt;35,CT129+CS130-DB129,IF(A130&lt;'Données projet'!$A$140,$CQ$205^A130,IF(A130='Données projet'!$A$140,'Données projet'!$B$140,CT129+CS130-DB129)))</f>
        <v>421.11900000000071</v>
      </c>
      <c r="CU130" s="17">
        <f>CT130*VLOOKUP('Données projet'!$B$13,Paramètres!$A$1:$I$89,3,0)*VLOOKUP('Données projet'!$B$13,Paramètres!$A$1:$I$89,5,0)</f>
        <v>400.73684040000069</v>
      </c>
      <c r="CV130" s="13">
        <f t="shared" si="95"/>
        <v>91.92603229997124</v>
      </c>
      <c r="CW130" s="20">
        <f t="shared" si="67"/>
        <v>858.05450328578445</v>
      </c>
      <c r="CX130" s="59">
        <f t="shared" si="68"/>
        <v>1149.0044022652964</v>
      </c>
      <c r="CY130" s="59">
        <f ca="1">AVERAGE(OFFSET($CX$3,0,0,'Données projet'!$E$13+1,1))-AVERAGE(OFFSET($H$3,0,0,'Données projet'!$E$13+1,1))</f>
        <v>677.13548994240728</v>
      </c>
      <c r="CZ130" s="59">
        <f t="shared" si="96"/>
        <v>298.72429542440534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38.267704317148919</v>
      </c>
      <c r="DG130" s="21">
        <f>EXP(-LN(2)/25)*DG129+(1-EXP(-LN(2)/25))/(LN(2)/25)*Calculateur!DB130*Calculateur!DD130*VLOOKUP('Données projet'!$B$13,Paramètres!$A$1:$I$89,3,0)*0.475*44/12</f>
        <v>23.702444418585205</v>
      </c>
      <c r="DH130" s="21">
        <f>EXP(-LN(2)/2)*DH129+(1-EXP(-LN(2)/2))/(LN(2)/2)*DB130*DE130*VLOOKUP('Données projet'!$B$13,Paramètres!$A$1:$I$89,3,0)*0.475*44/12</f>
        <v>1.8986109706672365</v>
      </c>
      <c r="DI130" s="22">
        <f t="shared" si="69"/>
        <v>63.868759706401363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69.3499724489578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1.2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4.3999999999999995</v>
      </c>
      <c r="H131" s="67">
        <f t="shared" si="56"/>
        <v>239.06666666666669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1124.8570214037213</v>
      </c>
      <c r="S131" s="59">
        <f ca="1">AVERAGE(OFFSET($R$3,0,0,'Données projet'!$E$9+1,1))-AVERAGE(OFFSET($H$3,0,0,'Données projet'!$E$9+1,1))</f>
        <v>646.69588445509589</v>
      </c>
      <c r="T131" s="59">
        <f t="shared" si="88"/>
        <v>286.36346771084698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5.6843418860808015E-13</v>
      </c>
      <c r="AJ131" s="13">
        <f>AI131*VLOOKUP('Données projet'!$B$10,Paramètres!$A$1:$I$89,3,0)*VLOOKUP('Données projet'!$B$10,Paramètres!$A$1:$I$89,5,0)</f>
        <v>3.177547114319168E-13</v>
      </c>
      <c r="AK131" s="13">
        <f t="shared" si="89"/>
        <v>4.1725404435445377E-12</v>
      </c>
      <c r="AL131" s="20">
        <f t="shared" si="58"/>
        <v>7.820597394917325E-12</v>
      </c>
      <c r="AM131" s="59">
        <f t="shared" si="59"/>
        <v>290.9912462369976</v>
      </c>
      <c r="AN131" s="59">
        <f ca="1">AVERAGE(OFFSET($AM$3,0,0,'Données projet'!$E$10+1,1))-AVERAGE(OFFSET($H$3,0,0,'Données projet'!$E$10+1,1))</f>
        <v>391.55758836264408</v>
      </c>
      <c r="AO131" s="59">
        <f t="shared" si="90"/>
        <v>360.80727659978777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73.162677244157095</v>
      </c>
      <c r="AV131" s="21">
        <f>EXP(-LN(2)/25)*AV130+(1-EXP(-LN(2)/25))/(LN(2)/25)*Calculateur!AQ131*Calculateur!AS131*VLOOKUP('Données projet'!$B$10,Paramètres!$A$1:$I$89,3,0)*0.475*44/12</f>
        <v>15.371999286755509</v>
      </c>
      <c r="AW131" s="21">
        <f>EXP(-LN(2)/2)*AW130+(1-EXP(-LN(2)/2))/(LN(2)/2)*AQ131*AT131*VLOOKUP('Données projet'!$B$10,Paramètres!$A$1:$I$89,3,0)*0.475*44/12</f>
        <v>1.4063999862004055E-7</v>
      </c>
      <c r="AX131" s="21">
        <f t="shared" si="60"/>
        <v>88.534676671552603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5.0249582272954292E-14</v>
      </c>
      <c r="BF131" s="13">
        <f t="shared" si="91"/>
        <v>8.1784820119191593E-13</v>
      </c>
      <c r="BG131" s="20">
        <f t="shared" si="61"/>
        <v>1.5119369728679821E-12</v>
      </c>
      <c r="BH131" s="59">
        <f t="shared" si="62"/>
        <v>290.99124623699129</v>
      </c>
      <c r="BI131" s="59">
        <f ca="1">AVERAGE(OFFSET($BH$3,0,0,'Données projet'!$E$11+1,1))-AVERAGE(OFFSET($H$3,0,0,'Données projet'!$E$11+1,1))</f>
        <v>400.11184625063709</v>
      </c>
      <c r="BJ131" s="59">
        <f t="shared" si="92"/>
        <v>340.02906159605971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79.865620062269329</v>
      </c>
      <c r="BQ131" s="21">
        <f>EXP(-LN(2)/25)*BQ130+(1-EXP(-LN(2)/25))/(LN(2)/25)*Calculateur!BL131*Calculateur!BN131*VLOOKUP('Données projet'!$B$11,Paramètres!$A$1:$I$89,3,0)*0.475*44/12</f>
        <v>18.998821788905836</v>
      </c>
      <c r="BR131" s="21">
        <f>EXP(-LN(2)/2)*BR130+(1-EXP(-LN(2)/2))/(LN(2)/2)*BL131*BO131*VLOOKUP('Données projet'!$B$11,Paramètres!$A$1:$I$89,3,0)*0.475*44/12</f>
        <v>4.6851570110515035E-6</v>
      </c>
      <c r="BS131" s="22">
        <f t="shared" si="63"/>
        <v>98.864446536332181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9.0229999999999961</v>
      </c>
      <c r="BY131" s="12">
        <f>IF('Données projet'!$A$114&gt;35,BY130+BX131-CG130,IF(A131&lt;'Données projet'!$A$114,$BV$205^A131,IF(A131='Données projet'!$A$114,'Données projet'!$B$114,BY130+BX131-CG130)))</f>
        <v>430.14200000000073</v>
      </c>
      <c r="BZ131" s="13">
        <f>BY131*VLOOKUP('Données projet'!$B$12,Paramètres!$A$1:$I$89,3,0)*VLOOKUP('Données projet'!$B$12,Paramètres!$A$1:$I$89,5,0)</f>
        <v>288.53925360000051</v>
      </c>
      <c r="CA131" s="13">
        <f t="shared" si="93"/>
        <v>68.768431369934589</v>
      </c>
      <c r="CB131" s="20">
        <f t="shared" si="64"/>
        <v>622.31088465597031</v>
      </c>
      <c r="CC131" s="59">
        <f t="shared" si="65"/>
        <v>913.30213089296012</v>
      </c>
      <c r="CD131" s="59">
        <f ca="1">AVERAGE(OFFSET($CC$3,0,0,'Données projet'!$E$12+1,1))-AVERAGE(OFFSET($H$3,0,0,'Données projet'!$E$12+1,1))</f>
        <v>493.98227954109774</v>
      </c>
      <c r="CE131" s="59">
        <f t="shared" si="94"/>
        <v>224.32736097997289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32.59699660251934</v>
      </c>
      <c r="CL131" s="21">
        <f>EXP(-LN(2)/25)*CL130+(1-EXP(-LN(2)/25))/(LN(2)/25)*Calculateur!CG131*Calculateur!CI131*VLOOKUP('Données projet'!$B$12,Paramètres!$A$1:$I$89,3,0)*0.475*44/12</f>
        <v>20.030785097763701</v>
      </c>
      <c r="CM131" s="21">
        <f>EXP(-LN(2)/2)*CM130+(1-EXP(-LN(2)/2))/(LN(2)/2)*CG131*CJ131*VLOOKUP('Données projet'!$B$12,Paramètres!$A$1:$I$89,3,0)*0.475*44/12</f>
        <v>0.94636704531706517</v>
      </c>
      <c r="CN131" s="22">
        <f t="shared" si="66"/>
        <v>53.574148745600105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9.0229999999999961</v>
      </c>
      <c r="CT131" s="12">
        <f>IF('Données projet'!$A$140&gt;35,CT130+CS131-DB130,IF(A131&lt;'Données projet'!$A$140,$CQ$205^A131,IF(A131='Données projet'!$A$140,'Données projet'!$B$140,CT130+CS131-DB130)))</f>
        <v>430.14200000000073</v>
      </c>
      <c r="CU131" s="17">
        <f>CT131*VLOOKUP('Données projet'!$B$13,Paramètres!$A$1:$I$89,3,0)*VLOOKUP('Données projet'!$B$13,Paramètres!$A$1:$I$89,5,0)</f>
        <v>409.32312720000073</v>
      </c>
      <c r="CV131" s="13">
        <f t="shared" si="95"/>
        <v>93.66424417460081</v>
      </c>
      <c r="CW131" s="20">
        <f t="shared" si="67"/>
        <v>876.03633847743095</v>
      </c>
      <c r="CX131" s="59">
        <f t="shared" si="68"/>
        <v>1167.0275847144208</v>
      </c>
      <c r="CY131" s="59">
        <f ca="1">AVERAGE(OFFSET($CX$3,0,0,'Données projet'!$E$13+1,1))-AVERAGE(OFFSET($H$3,0,0,'Données projet'!$E$13+1,1))</f>
        <v>677.13548994240728</v>
      </c>
      <c r="CZ131" s="59">
        <f t="shared" si="96"/>
        <v>298.72429542440534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37.517297976484528</v>
      </c>
      <c r="DG131" s="21">
        <f>EXP(-LN(2)/25)*DG130+(1-EXP(-LN(2)/25))/(LN(2)/25)*Calculateur!DB131*Calculateur!DD131*VLOOKUP('Données projet'!$B$13,Paramètres!$A$1:$I$89,3,0)*0.475*44/12</f>
        <v>23.054299829501613</v>
      </c>
      <c r="DH131" s="21">
        <f>EXP(-LN(2)/2)*DH130+(1-EXP(-LN(2)/2))/(LN(2)/2)*DB131*DE131*VLOOKUP('Données projet'!$B$13,Paramètres!$A$1:$I$89,3,0)*0.475*44/12</f>
        <v>1.3425206921939763</v>
      </c>
      <c r="DI131" s="22">
        <f t="shared" si="69"/>
        <v>61.914118498180123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69.361248973724486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1.2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4.3999999999999995</v>
      </c>
      <c r="H132" s="67">
        <f t="shared" ref="H132:H195" si="110">(B132+E132+F132)*44/12+(C132+D132)*0.475*44/12</f>
        <v>239.06666666666669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1142.0050192026347</v>
      </c>
      <c r="S132" s="59">
        <f ca="1">AVERAGE(OFFSET($R$3,0,0,'Données projet'!$E$9+1,1))-AVERAGE(OFFSET($H$3,0,0,'Données projet'!$E$9+1,1))</f>
        <v>646.69588445509589</v>
      </c>
      <c r="T132" s="59">
        <f t="shared" si="88"/>
        <v>286.36346771084698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5.6843418860808015E-13</v>
      </c>
      <c r="AJ132" s="13">
        <f>AI132*VLOOKUP('Données projet'!$B$10,Paramètres!$A$1:$I$89,3,0)*VLOOKUP('Données projet'!$B$10,Paramètres!$A$1:$I$89,5,0)</f>
        <v>3.177547114319168E-13</v>
      </c>
      <c r="AK132" s="13">
        <f t="shared" si="89"/>
        <v>4.1725404435445377E-12</v>
      </c>
      <c r="AL132" s="20">
        <f t="shared" ref="AL132:AL153" si="112">(AJ132+AK132)*0.475*44/12</f>
        <v>7.820597394917325E-12</v>
      </c>
      <c r="AM132" s="59">
        <f t="shared" ref="AM132:AM195" si="113">AL132+(AD132+AE132)*44/12</f>
        <v>291.03187621199692</v>
      </c>
      <c r="AN132" s="59">
        <f ca="1">AVERAGE(OFFSET($AM$3,0,0,'Données projet'!$E$10+1,1))-AVERAGE(OFFSET($H$3,0,0,'Données projet'!$E$10+1,1))</f>
        <v>391.55758836264408</v>
      </c>
      <c r="AO132" s="59">
        <f t="shared" si="90"/>
        <v>360.80727659978777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71.728001768225951</v>
      </c>
      <c r="AV132" s="21">
        <f>EXP(-LN(2)/25)*AV131+(1-EXP(-LN(2)/25))/(LN(2)/25)*Calculateur!AQ132*Calculateur!AS132*VLOOKUP('Données projet'!$B$10,Paramètres!$A$1:$I$89,3,0)*0.475*44/12</f>
        <v>14.951651157880869</v>
      </c>
      <c r="AW132" s="21">
        <f>EXP(-LN(2)/2)*AW131+(1-EXP(-LN(2)/2))/(LN(2)/2)*AQ132*AT132*VLOOKUP('Données projet'!$B$10,Paramètres!$A$1:$I$89,3,0)*0.475*44/12</f>
        <v>9.9447496730297358E-8</v>
      </c>
      <c r="AX132" s="21">
        <f t="shared" ref="AX132:AX153" si="114">SUM(AU132:AW132)</f>
        <v>86.679653025554316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5.0249582272954292E-14</v>
      </c>
      <c r="BF132" s="13">
        <f t="shared" si="91"/>
        <v>8.1784820119191593E-13</v>
      </c>
      <c r="BG132" s="20">
        <f t="shared" ref="BG132:BG153" si="115">(BE132+BF132)*0.475*44/12</f>
        <v>1.5119369728679821E-12</v>
      </c>
      <c r="BH132" s="59">
        <f t="shared" ref="BH132:BH195" si="116">BG132+(AY132+AZ132)*44/12</f>
        <v>291.03187621199061</v>
      </c>
      <c r="BI132" s="59">
        <f ca="1">AVERAGE(OFFSET($BH$3,0,0,'Données projet'!$E$11+1,1))-AVERAGE(OFFSET($H$3,0,0,'Données projet'!$E$11+1,1))</f>
        <v>400.11184625063709</v>
      </c>
      <c r="BJ132" s="59">
        <f t="shared" si="92"/>
        <v>340.02906159605971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78.299503966066439</v>
      </c>
      <c r="BQ132" s="21">
        <f>EXP(-LN(2)/25)*BQ131+(1-EXP(-LN(2)/25))/(LN(2)/25)*Calculateur!BL132*Calculateur!BN132*VLOOKUP('Données projet'!$B$11,Paramètres!$A$1:$I$89,3,0)*0.475*44/12</f>
        <v>18.479298007983591</v>
      </c>
      <c r="BR132" s="21">
        <f>EXP(-LN(2)/2)*BR131+(1-EXP(-LN(2)/2))/(LN(2)/2)*BL132*BO132*VLOOKUP('Données projet'!$B$11,Paramètres!$A$1:$I$89,3,0)*0.475*44/12</f>
        <v>3.3129062934382145E-6</v>
      </c>
      <c r="BS132" s="22">
        <f t="shared" ref="BS132:BS153" si="117">SUM(BP132:BR132)</f>
        <v>96.778805286956313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9.0229999999999961</v>
      </c>
      <c r="BY132" s="12">
        <f>IF('Données projet'!$A$114&gt;35,BY131+BX132-CG131,IF(A132&lt;'Données projet'!$A$114,$BV$205^A132,IF(A132='Données projet'!$A$114,'Données projet'!$B$114,BY131+BX132-CG131)))</f>
        <v>439.16500000000076</v>
      </c>
      <c r="BZ132" s="13">
        <f>BY132*VLOOKUP('Données projet'!$B$12,Paramètres!$A$1:$I$89,3,0)*VLOOKUP('Données projet'!$B$12,Paramètres!$A$1:$I$89,5,0)</f>
        <v>294.59188200000051</v>
      </c>
      <c r="CA132" s="13">
        <f t="shared" si="93"/>
        <v>70.041516656815105</v>
      </c>
      <c r="CB132" s="20">
        <f t="shared" ref="CB132:CB153" si="118">(BZ132+CA132)*0.475*44/12</f>
        <v>635.06983599395392</v>
      </c>
      <c r="CC132" s="59">
        <f t="shared" ref="CC132:CC195" si="119">CB132+(BT132+BU132)*44/12</f>
        <v>926.10171220594293</v>
      </c>
      <c r="CD132" s="59">
        <f ca="1">AVERAGE(OFFSET($CC$3,0,0,'Données projet'!$E$12+1,1))-AVERAGE(OFFSET($H$3,0,0,'Données projet'!$E$12+1,1))</f>
        <v>493.98227954109774</v>
      </c>
      <c r="CE132" s="59">
        <f t="shared" si="94"/>
        <v>224.32736097997289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31.957789381348658</v>
      </c>
      <c r="CL132" s="21">
        <f>EXP(-LN(2)/25)*CL131+(1-EXP(-LN(2)/25))/(LN(2)/25)*Calculateur!CG132*Calculateur!CI132*VLOOKUP('Données projet'!$B$12,Paramètres!$A$1:$I$89,3,0)*0.475*44/12</f>
        <v>19.483042225892145</v>
      </c>
      <c r="CM132" s="21">
        <f>EXP(-LN(2)/2)*CM131+(1-EXP(-LN(2)/2))/(LN(2)/2)*CG132*CJ132*VLOOKUP('Données projet'!$B$12,Paramètres!$A$1:$I$89,3,0)*0.475*44/12</f>
        <v>0.66918255523517356</v>
      </c>
      <c r="CN132" s="22">
        <f t="shared" ref="CN132:CN153" si="120">SUM(CK132:CM132)</f>
        <v>52.110014162475977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9.0229999999999961</v>
      </c>
      <c r="CT132" s="12">
        <f>IF('Données projet'!$A$140&gt;35,CT131+CS132-DB131,IF(A132&lt;'Données projet'!$A$140,$CQ$205^A132,IF(A132='Données projet'!$A$140,'Données projet'!$B$140,CT131+CS132-DB131)))</f>
        <v>439.16500000000076</v>
      </c>
      <c r="CU132" s="17">
        <f>CT132*VLOOKUP('Données projet'!$B$13,Paramètres!$A$1:$I$89,3,0)*VLOOKUP('Données projet'!$B$13,Paramètres!$A$1:$I$89,5,0)</f>
        <v>417.90941400000071</v>
      </c>
      <c r="CV132" s="13">
        <f t="shared" si="95"/>
        <v>95.398216708073406</v>
      </c>
      <c r="CW132" s="20">
        <f t="shared" ref="CW132:CW153" si="121">(CU132+CV132)*0.475*44/12</f>
        <v>894.0107901498958</v>
      </c>
      <c r="CX132" s="59">
        <f t="shared" ref="CX132:CX195" si="122">CW132+(CO132+CP132)*44/12</f>
        <v>1185.0426663618848</v>
      </c>
      <c r="CY132" s="59">
        <f ca="1">AVERAGE(OFFSET($CX$3,0,0,'Données projet'!$E$13+1,1))-AVERAGE(OFFSET($H$3,0,0,'Données projet'!$E$13+1,1))</f>
        <v>677.13548994240728</v>
      </c>
      <c r="CZ132" s="59">
        <f t="shared" si="96"/>
        <v>298.72429542440534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36.781606646457895</v>
      </c>
      <c r="DG132" s="21">
        <f>EXP(-LN(2)/25)*DG131+(1-EXP(-LN(2)/25))/(LN(2)/25)*Calculateur!DB132*Calculateur!DD132*VLOOKUP('Données projet'!$B$13,Paramètres!$A$1:$I$89,3,0)*0.475*44/12</f>
        <v>22.423878788290953</v>
      </c>
      <c r="DH132" s="21">
        <f>EXP(-LN(2)/2)*DH131+(1-EXP(-LN(2)/2))/(LN(2)/2)*DB132*DE132*VLOOKUP('Données projet'!$B$13,Paramètres!$A$1:$I$89,3,0)*0.475*44/12</f>
        <v>0.94930548533361836</v>
      </c>
      <c r="DI132" s="22">
        <f t="shared" ref="DI132:DI153" si="123">SUM(DF132:DH132)</f>
        <v>60.154790920082469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69.372329875997011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1.2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4.3999999999999995</v>
      </c>
      <c r="H133" s="67">
        <f t="shared" si="110"/>
        <v>239.06666666666669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1159.1454122417454</v>
      </c>
      <c r="S133" s="59">
        <f ca="1">AVERAGE(OFFSET($R$3,0,0,'Données projet'!$E$9+1,1))-AVERAGE(OFFSET($H$3,0,0,'Données projet'!$E$9+1,1))</f>
        <v>646.69588445509589</v>
      </c>
      <c r="T133" s="59">
        <f t="shared" ref="T133:T196" si="142">$T$3</f>
        <v>286.36346771084698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5.6843418860808015E-13</v>
      </c>
      <c r="AJ133" s="13">
        <f>AI133*VLOOKUP('Données projet'!$B$10,Paramètres!$A$1:$I$89,3,0)*VLOOKUP('Données projet'!$B$10,Paramètres!$A$1:$I$89,5,0)</f>
        <v>3.177547114319168E-13</v>
      </c>
      <c r="AK133" s="13">
        <f t="shared" ref="AK133:AK153" si="143">EXP(-1.0587+0.8836*LN(AJ133)+0.284)</f>
        <v>4.1725404435445377E-12</v>
      </c>
      <c r="AL133" s="20">
        <f t="shared" si="112"/>
        <v>7.820597394917325E-12</v>
      </c>
      <c r="AM133" s="59">
        <f t="shared" si="113"/>
        <v>291.0718013477649</v>
      </c>
      <c r="AN133" s="59">
        <f ca="1">AVERAGE(OFFSET($AM$3,0,0,'Données projet'!$E$10+1,1))-AVERAGE(OFFSET($H$3,0,0,'Données projet'!$E$10+1,1))</f>
        <v>391.55758836264408</v>
      </c>
      <c r="AO133" s="59">
        <f t="shared" ref="AO133:AO196" si="144">$AO$3</f>
        <v>360.80727659978777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70.32145940331219</v>
      </c>
      <c r="AV133" s="21">
        <f>EXP(-LN(2)/25)*AV132+(1-EXP(-LN(2)/25))/(LN(2)/25)*Calculateur!AQ133*Calculateur!AS133*VLOOKUP('Données projet'!$B$10,Paramètres!$A$1:$I$89,3,0)*0.475*44/12</f>
        <v>14.542797470695454</v>
      </c>
      <c r="AW133" s="21">
        <f>EXP(-LN(2)/2)*AW132+(1-EXP(-LN(2)/2))/(LN(2)/2)*AQ133*AT133*VLOOKUP('Données projet'!$B$10,Paramètres!$A$1:$I$89,3,0)*0.475*44/12</f>
        <v>7.0319999310020273E-8</v>
      </c>
      <c r="AX133" s="21">
        <f t="shared" si="114"/>
        <v>84.86425694432765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5.0249582272954292E-14</v>
      </c>
      <c r="BF133" s="13">
        <f t="shared" ref="BF133:BF153" si="145">EXP(-1.0587+0.8836*LN(BE133)+0.284)</f>
        <v>8.1784820119191593E-13</v>
      </c>
      <c r="BG133" s="20">
        <f t="shared" si="115"/>
        <v>1.5119369728679821E-12</v>
      </c>
      <c r="BH133" s="59">
        <f t="shared" si="116"/>
        <v>291.07180134775859</v>
      </c>
      <c r="BI133" s="59">
        <f ca="1">AVERAGE(OFFSET($BH$3,0,0,'Données projet'!$E$11+1,1))-AVERAGE(OFFSET($H$3,0,0,'Données projet'!$E$11+1,1))</f>
        <v>400.11184625063709</v>
      </c>
      <c r="BJ133" s="59">
        <f t="shared" ref="BJ133:BJ196" si="146">$BJ$3</f>
        <v>340.02906159605971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76.764098451273583</v>
      </c>
      <c r="BQ133" s="21">
        <f>EXP(-LN(2)/25)*BQ132+(1-EXP(-LN(2)/25))/(LN(2)/25)*Calculateur!BL133*Calculateur!BN133*VLOOKUP('Données projet'!$B$11,Paramètres!$A$1:$I$89,3,0)*0.475*44/12</f>
        <v>17.973980632171234</v>
      </c>
      <c r="BR133" s="21">
        <f>EXP(-LN(2)/2)*BR132+(1-EXP(-LN(2)/2))/(LN(2)/2)*BL133*BO133*VLOOKUP('Données projet'!$B$11,Paramètres!$A$1:$I$89,3,0)*0.475*44/12</f>
        <v>2.3425785055257517E-6</v>
      </c>
      <c r="BS133" s="22">
        <f t="shared" si="117"/>
        <v>94.738081426023328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9.0229999999999961</v>
      </c>
      <c r="BY133" s="12">
        <f>IF('Données projet'!$A$114&gt;35,BY132+BX133-CG132,IF(A133&lt;'Données projet'!$A$114,$BV$205^A133,IF(A133='Données projet'!$A$114,'Données projet'!$B$114,BY132+BX133-CG132)))</f>
        <v>448.18800000000078</v>
      </c>
      <c r="BZ133" s="13">
        <f>BY133*VLOOKUP('Données projet'!$B$12,Paramètres!$A$1:$I$89,3,0)*VLOOKUP('Données projet'!$B$12,Paramètres!$A$1:$I$89,5,0)</f>
        <v>300.64451040000051</v>
      </c>
      <c r="CA133" s="13">
        <f t="shared" ref="CA133:CA153" si="147">EXP(-1.0587+0.8836*LN(BZ133)+0.284)</f>
        <v>71.31156073093868</v>
      </c>
      <c r="CB133" s="20">
        <f t="shared" si="118"/>
        <v>647.82349055305247</v>
      </c>
      <c r="CC133" s="59">
        <f t="shared" si="119"/>
        <v>938.89529190080953</v>
      </c>
      <c r="CD133" s="59">
        <f ca="1">AVERAGE(OFFSET($CC$3,0,0,'Données projet'!$E$12+1,1))-AVERAGE(OFFSET($H$3,0,0,'Données projet'!$E$12+1,1))</f>
        <v>493.98227954109774</v>
      </c>
      <c r="CE133" s="59">
        <f t="shared" ref="CE133:CE196" si="148">$CE$3</f>
        <v>224.32736097997289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31.331116623907224</v>
      </c>
      <c r="CL133" s="21">
        <f>EXP(-LN(2)/25)*CL132+(1-EXP(-LN(2)/25))/(LN(2)/25)*Calculateur!CG133*Calculateur!CI133*VLOOKUP('Données projet'!$B$12,Paramètres!$A$1:$I$89,3,0)*0.475*44/12</f>
        <v>18.950277411656462</v>
      </c>
      <c r="CM133" s="21">
        <f>EXP(-LN(2)/2)*CM132+(1-EXP(-LN(2)/2))/(LN(2)/2)*CG133*CJ133*VLOOKUP('Données projet'!$B$12,Paramètres!$A$1:$I$89,3,0)*0.475*44/12</f>
        <v>0.47318352265853264</v>
      </c>
      <c r="CN133" s="22">
        <f t="shared" si="120"/>
        <v>50.754577558222216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9.0229999999999961</v>
      </c>
      <c r="CT133" s="12">
        <f>IF('Données projet'!$A$140&gt;35,CT132+CS133-DB132,IF(A133&lt;'Données projet'!$A$140,$CQ$205^A133,IF(A133='Données projet'!$A$140,'Données projet'!$B$140,CT132+CS133-DB132)))</f>
        <v>448.18800000000078</v>
      </c>
      <c r="CU133" s="17">
        <f>CT133*VLOOKUP('Données projet'!$B$13,Paramètres!$A$1:$I$89,3,0)*VLOOKUP('Données projet'!$B$13,Paramètres!$A$1:$I$89,5,0)</f>
        <v>426.49570080000069</v>
      </c>
      <c r="CV133" s="13">
        <f t="shared" ref="CV133:CV153" si="149">EXP(-1.0587+0.8836*LN(CU133)+0.284)</f>
        <v>97.128047037215154</v>
      </c>
      <c r="CW133" s="20">
        <f t="shared" si="121"/>
        <v>911.97802748315098</v>
      </c>
      <c r="CX133" s="59">
        <f t="shared" si="122"/>
        <v>1203.0498288309082</v>
      </c>
      <c r="CY133" s="59">
        <f ca="1">AVERAGE(OFFSET($CX$3,0,0,'Données projet'!$E$13+1,1))-AVERAGE(OFFSET($H$3,0,0,'Données projet'!$E$13+1,1))</f>
        <v>677.13548994240728</v>
      </c>
      <c r="CZ133" s="59">
        <f t="shared" ref="CZ133:CZ196" si="150">$CZ$3</f>
        <v>298.72429542440534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36.060341774685682</v>
      </c>
      <c r="DG133" s="21">
        <f>EXP(-LN(2)/25)*DG132+(1-EXP(-LN(2)/25))/(LN(2)/25)*Calculateur!DB133*Calculateur!DD133*VLOOKUP('Données projet'!$B$13,Paramètres!$A$1:$I$89,3,0)*0.475*44/12</f>
        <v>21.810696643604601</v>
      </c>
      <c r="DH133" s="21">
        <f>EXP(-LN(2)/2)*DH132+(1-EXP(-LN(2)/2))/(LN(2)/2)*DB133*DE133*VLOOKUP('Données projet'!$B$13,Paramètres!$A$1:$I$89,3,0)*0.475*44/12</f>
        <v>0.67126034609698826</v>
      </c>
      <c r="DI133" s="22">
        <f t="shared" si="123"/>
        <v>58.542298764387269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69.383218549388289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1.2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4.3999999999999995</v>
      </c>
      <c r="H134" s="67">
        <f t="shared" si="110"/>
        <v>239.06666666666669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1176.2783676675892</v>
      </c>
      <c r="S134" s="59">
        <f ca="1">AVERAGE(OFFSET($R$3,0,0,'Données projet'!$E$9+1,1))-AVERAGE(OFFSET($H$3,0,0,'Données projet'!$E$9+1,1))</f>
        <v>646.69588445509589</v>
      </c>
      <c r="T134" s="59">
        <f t="shared" si="142"/>
        <v>286.36346771084698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5.6843418860808015E-13</v>
      </c>
      <c r="AJ134" s="13">
        <f>AI134*VLOOKUP('Données projet'!$B$10,Paramètres!$A$1:$I$89,3,0)*VLOOKUP('Données projet'!$B$10,Paramètres!$A$1:$I$89,5,0)</f>
        <v>3.177547114319168E-13</v>
      </c>
      <c r="AK134" s="13">
        <f t="shared" si="143"/>
        <v>4.1725404435445377E-12</v>
      </c>
      <c r="AL134" s="20">
        <f t="shared" si="112"/>
        <v>7.820597394917325E-12</v>
      </c>
      <c r="AM134" s="59">
        <f t="shared" si="113"/>
        <v>291.11103387168657</v>
      </c>
      <c r="AN134" s="59">
        <f ca="1">AVERAGE(OFFSET($AM$3,0,0,'Données projet'!$E$10+1,1))-AVERAGE(OFFSET($H$3,0,0,'Données projet'!$E$10+1,1))</f>
        <v>391.55758836264408</v>
      </c>
      <c r="AO134" s="59">
        <f t="shared" si="144"/>
        <v>360.80727659978777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68.942498476268256</v>
      </c>
      <c r="AV134" s="21">
        <f>EXP(-LN(2)/25)*AV133+(1-EXP(-LN(2)/25))/(LN(2)/25)*Calculateur!AQ134*Calculateur!AS134*VLOOKUP('Données projet'!$B$10,Paramètres!$A$1:$I$89,3,0)*0.475*44/12</f>
        <v>14.145123909086806</v>
      </c>
      <c r="AW134" s="21">
        <f>EXP(-LN(2)/2)*AW133+(1-EXP(-LN(2)/2))/(LN(2)/2)*AQ134*AT134*VLOOKUP('Données projet'!$B$10,Paramètres!$A$1:$I$89,3,0)*0.475*44/12</f>
        <v>4.9723748365148679E-8</v>
      </c>
      <c r="AX134" s="21">
        <f t="shared" si="114"/>
        <v>83.087622435078814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5.0249582272954292E-14</v>
      </c>
      <c r="BF134" s="13">
        <f t="shared" si="145"/>
        <v>8.1784820119191593E-13</v>
      </c>
      <c r="BG134" s="20">
        <f t="shared" si="115"/>
        <v>1.5119369728679821E-12</v>
      </c>
      <c r="BH134" s="59">
        <f t="shared" si="116"/>
        <v>291.11103387168026</v>
      </c>
      <c r="BI134" s="59">
        <f ca="1">AVERAGE(OFFSET($BH$3,0,0,'Données projet'!$E$11+1,1))-AVERAGE(OFFSET($H$3,0,0,'Données projet'!$E$11+1,1))</f>
        <v>400.11184625063709</v>
      </c>
      <c r="BJ134" s="59">
        <f t="shared" si="146"/>
        <v>340.02906159605971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75.258801302120929</v>
      </c>
      <c r="BQ134" s="21">
        <f>EXP(-LN(2)/25)*BQ133+(1-EXP(-LN(2)/25))/(LN(2)/25)*Calculateur!BL134*Calculateur!BN134*VLOOKUP('Données projet'!$B$11,Paramètres!$A$1:$I$89,3,0)*0.475*44/12</f>
        <v>17.482481186573949</v>
      </c>
      <c r="BR134" s="21">
        <f>EXP(-LN(2)/2)*BR133+(1-EXP(-LN(2)/2))/(LN(2)/2)*BL134*BO134*VLOOKUP('Données projet'!$B$11,Paramètres!$A$1:$I$89,3,0)*0.475*44/12</f>
        <v>1.6564531467191073E-6</v>
      </c>
      <c r="BS134" s="22">
        <f t="shared" si="117"/>
        <v>92.741284145148029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9.0229999999999961</v>
      </c>
      <c r="BY134" s="12">
        <f>IF('Données projet'!$A$114&gt;35,BY133+BX134-CG133,IF(A134&lt;'Données projet'!$A$114,$BV$205^A134,IF(A134='Données projet'!$A$114,'Données projet'!$B$114,BY133+BX134-CG133)))</f>
        <v>457.21100000000081</v>
      </c>
      <c r="BZ134" s="13">
        <f>BY134*VLOOKUP('Données projet'!$B$12,Paramètres!$A$1:$I$89,3,0)*VLOOKUP('Données projet'!$B$12,Paramètres!$A$1:$I$89,5,0)</f>
        <v>306.69713880000052</v>
      </c>
      <c r="CA134" s="13">
        <f t="shared" si="147"/>
        <v>72.578631874554887</v>
      </c>
      <c r="CB134" s="20">
        <f t="shared" si="118"/>
        <v>660.57196725818403</v>
      </c>
      <c r="CC134" s="59">
        <f t="shared" si="119"/>
        <v>951.68300112986276</v>
      </c>
      <c r="CD134" s="59">
        <f ca="1">AVERAGE(OFFSET($CC$3,0,0,'Données projet'!$E$12+1,1))-AVERAGE(OFFSET($H$3,0,0,'Données projet'!$E$12+1,1))</f>
        <v>493.98227954109774</v>
      </c>
      <c r="CE134" s="59">
        <f t="shared" si="148"/>
        <v>224.32736097997289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30.716732537006578</v>
      </c>
      <c r="CL134" s="21">
        <f>EXP(-LN(2)/25)*CL133+(1-EXP(-LN(2)/25))/(LN(2)/25)*Calculateur!CG134*Calculateur!CI134*VLOOKUP('Données projet'!$B$12,Paramètres!$A$1:$I$89,3,0)*0.475*44/12</f>
        <v>18.432081079282938</v>
      </c>
      <c r="CM134" s="21">
        <f>EXP(-LN(2)/2)*CM133+(1-EXP(-LN(2)/2))/(LN(2)/2)*CG134*CJ134*VLOOKUP('Données projet'!$B$12,Paramètres!$A$1:$I$89,3,0)*0.475*44/12</f>
        <v>0.33459127761758684</v>
      </c>
      <c r="CN134" s="22">
        <f t="shared" si="120"/>
        <v>49.4834048939071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9.0229999999999961</v>
      </c>
      <c r="CT134" s="12">
        <f>IF('Données projet'!$A$140&gt;35,CT133+CS134-DB133,IF(A134&lt;'Données projet'!$A$140,$CQ$205^A134,IF(A134='Données projet'!$A$140,'Données projet'!$B$140,CT133+CS134-DB133)))</f>
        <v>457.21100000000081</v>
      </c>
      <c r="CU134" s="17">
        <f>CT134*VLOOKUP('Données projet'!$B$13,Paramètres!$A$1:$I$89,3,0)*VLOOKUP('Données projet'!$B$13,Paramètres!$A$1:$I$89,5,0)</f>
        <v>435.08198760000079</v>
      </c>
      <c r="CV134" s="13">
        <f t="shared" si="149"/>
        <v>98.853828164079005</v>
      </c>
      <c r="CW134" s="20">
        <f t="shared" si="121"/>
        <v>929.93821245577226</v>
      </c>
      <c r="CX134" s="59">
        <f t="shared" si="122"/>
        <v>1221.0492463274509</v>
      </c>
      <c r="CY134" s="59">
        <f ca="1">AVERAGE(OFFSET($CX$3,0,0,'Données projet'!$E$13+1,1))-AVERAGE(OFFSET($H$3,0,0,'Données projet'!$E$13+1,1))</f>
        <v>677.13548994240728</v>
      </c>
      <c r="CZ134" s="59">
        <f t="shared" si="150"/>
        <v>298.72429542440534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35.353220467120785</v>
      </c>
      <c r="DG134" s="21">
        <f>EXP(-LN(2)/25)*DG133+(1-EXP(-LN(2)/25))/(LN(2)/25)*Calculateur!DB134*Calculateur!DD134*VLOOKUP('Données projet'!$B$13,Paramètres!$A$1:$I$89,3,0)*0.475*44/12</f>
        <v>21.214281996910547</v>
      </c>
      <c r="DH134" s="21">
        <f>EXP(-LN(2)/2)*DH133+(1-EXP(-LN(2)/2))/(LN(2)/2)*DB134*DE134*VLOOKUP('Données projet'!$B$13,Paramètres!$A$1:$I$89,3,0)*0.475*44/12</f>
        <v>0.47465274266680929</v>
      </c>
      <c r="DI134" s="22">
        <f t="shared" si="123"/>
        <v>57.042155206698148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69.393918328639657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1.2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4.3999999999999995</v>
      </c>
      <c r="H135" s="67">
        <f t="shared" si="110"/>
        <v>239.06666666666669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1193.404045950263</v>
      </c>
      <c r="S135" s="59">
        <f ca="1">AVERAGE(OFFSET($R$3,0,0,'Données projet'!$E$9+1,1))-AVERAGE(OFFSET($H$3,0,0,'Données projet'!$E$9+1,1))</f>
        <v>646.69588445509589</v>
      </c>
      <c r="T135" s="59">
        <f t="shared" si="142"/>
        <v>286.36346771084698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3.177547114319168E-13</v>
      </c>
      <c r="AK135" s="13">
        <f t="shared" si="143"/>
        <v>4.1725404435445377E-12</v>
      </c>
      <c r="AL135" s="20">
        <f t="shared" si="112"/>
        <v>7.820597394917325E-12</v>
      </c>
      <c r="AM135" s="59">
        <f t="shared" si="113"/>
        <v>291.14958579902901</v>
      </c>
      <c r="AN135" s="59">
        <f ca="1">AVERAGE(OFFSET($AM$3,0,0,'Données projet'!$E$10+1,1))-AVERAGE(OFFSET($H$3,0,0,'Données projet'!$E$10+1,1))</f>
        <v>391.55758836264408</v>
      </c>
      <c r="AO135" s="59">
        <f t="shared" si="144"/>
        <v>360.80727659978777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67.590578131920537</v>
      </c>
      <c r="AV135" s="21">
        <f>EXP(-LN(2)/25)*AV134+(1-EXP(-LN(2)/25))/(LN(2)/25)*Calculateur!AQ135*Calculateur!AS135*VLOOKUP('Données projet'!$B$10,Paramètres!$A$1:$I$89,3,0)*0.475*44/12</f>
        <v>13.75832475193309</v>
      </c>
      <c r="AW135" s="21">
        <f>EXP(-LN(2)/2)*AW134+(1-EXP(-LN(2)/2))/(LN(2)/2)*AQ135*AT135*VLOOKUP('Données projet'!$B$10,Paramètres!$A$1:$I$89,3,0)*0.475*44/12</f>
        <v>3.5159999655010136E-8</v>
      </c>
      <c r="AX135" s="21">
        <f t="shared" si="114"/>
        <v>81.348902919013625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5.0249582272954292E-14</v>
      </c>
      <c r="BF135" s="13">
        <f t="shared" si="145"/>
        <v>8.1784820119191593E-13</v>
      </c>
      <c r="BG135" s="20">
        <f t="shared" si="115"/>
        <v>1.5119369728679821E-12</v>
      </c>
      <c r="BH135" s="59">
        <f t="shared" si="116"/>
        <v>291.1495857990227</v>
      </c>
      <c r="BI135" s="59">
        <f ca="1">AVERAGE(OFFSET($BH$3,0,0,'Données projet'!$E$11+1,1))-AVERAGE(OFFSET($H$3,0,0,'Données projet'!$E$11+1,1))</f>
        <v>400.11184625063709</v>
      </c>
      <c r="BJ135" s="59">
        <f t="shared" si="146"/>
        <v>340.02906159605971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73.783022111922548</v>
      </c>
      <c r="BQ135" s="21">
        <f>EXP(-LN(2)/25)*BQ134+(1-EXP(-LN(2)/25))/(LN(2)/25)*Calculateur!BL135*Calculateur!BN135*VLOOKUP('Données projet'!$B$11,Paramètres!$A$1:$I$89,3,0)*0.475*44/12</f>
        <v>17.004421819163355</v>
      </c>
      <c r="BR135" s="21">
        <f>EXP(-LN(2)/2)*BR134+(1-EXP(-LN(2)/2))/(LN(2)/2)*BL135*BO135*VLOOKUP('Données projet'!$B$11,Paramètres!$A$1:$I$89,3,0)*0.475*44/12</f>
        <v>1.1712892527628759E-6</v>
      </c>
      <c r="BS135" s="22">
        <f t="shared" si="117"/>
        <v>90.787445102375159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9.0229999999999961</v>
      </c>
      <c r="BY135" s="12">
        <f>IF('Données projet'!$A$114&gt;35,BY134+BX135-CG134,IF(A135&lt;'Données projet'!$A$114,$BV$205^A135,IF(A135='Données projet'!$A$114,'Données projet'!$B$114,BY134+BX135-CG134)))</f>
        <v>466.23400000000083</v>
      </c>
      <c r="BZ135" s="13">
        <f>BY135*VLOOKUP('Données projet'!$B$12,Paramètres!$A$1:$I$89,3,0)*VLOOKUP('Données projet'!$B$12,Paramètres!$A$1:$I$89,5,0)</f>
        <v>312.74976720000058</v>
      </c>
      <c r="CA135" s="13">
        <f t="shared" si="147"/>
        <v>73.842795520695446</v>
      </c>
      <c r="CB135" s="20">
        <f t="shared" si="118"/>
        <v>673.31538007187885</v>
      </c>
      <c r="CC135" s="59">
        <f t="shared" si="119"/>
        <v>964.46496587089996</v>
      </c>
      <c r="CD135" s="59">
        <f ca="1">AVERAGE(OFFSET($CC$3,0,0,'Données projet'!$E$12+1,1))-AVERAGE(OFFSET($H$3,0,0,'Données projet'!$E$12+1,1))</f>
        <v>493.98227954109774</v>
      </c>
      <c r="CE135" s="59">
        <f t="shared" si="148"/>
        <v>224.32736097997289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30.114396147312764</v>
      </c>
      <c r="CL135" s="21">
        <f>EXP(-LN(2)/25)*CL134+(1-EXP(-LN(2)/25))/(LN(2)/25)*Calculateur!CG135*Calculateur!CI135*VLOOKUP('Données projet'!$B$12,Paramètres!$A$1:$I$89,3,0)*0.475*44/12</f>
        <v>17.928054852868929</v>
      </c>
      <c r="CM135" s="21">
        <f>EXP(-LN(2)/2)*CM134+(1-EXP(-LN(2)/2))/(LN(2)/2)*CG135*CJ135*VLOOKUP('Données projet'!$B$12,Paramètres!$A$1:$I$89,3,0)*0.475*44/12</f>
        <v>0.23659176132926638</v>
      </c>
      <c r="CN135" s="22">
        <f t="shared" si="120"/>
        <v>48.279042761510958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9.0229999999999961</v>
      </c>
      <c r="CT135" s="12">
        <f>IF('Données projet'!$A$140&gt;35,CT134+CS135-DB134,IF(A135&lt;'Données projet'!$A$140,$CQ$205^A135,IF(A135='Données projet'!$A$140,'Données projet'!$B$140,CT134+CS135-DB134)))</f>
        <v>466.23400000000083</v>
      </c>
      <c r="CU135" s="17">
        <f>CT135*VLOOKUP('Données projet'!$B$13,Paramètres!$A$1:$I$89,3,0)*VLOOKUP('Données projet'!$B$13,Paramètres!$A$1:$I$89,5,0)</f>
        <v>443.66827440000083</v>
      </c>
      <c r="CV135" s="13">
        <f t="shared" si="149"/>
        <v>100.57564921001506</v>
      </c>
      <c r="CW135" s="20">
        <f t="shared" si="121"/>
        <v>947.89150028744427</v>
      </c>
      <c r="CX135" s="59">
        <f t="shared" si="122"/>
        <v>1239.0410860864654</v>
      </c>
      <c r="CY135" s="59">
        <f ca="1">AVERAGE(OFFSET($CX$3,0,0,'Données projet'!$E$13+1,1))-AVERAGE(OFFSET($H$3,0,0,'Données projet'!$E$13+1,1))</f>
        <v>677.13548994240728</v>
      </c>
      <c r="CZ135" s="59">
        <f t="shared" si="150"/>
        <v>298.72429542440534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34.65996537709583</v>
      </c>
      <c r="DG135" s="21">
        <f>EXP(-LN(2)/25)*DG134+(1-EXP(-LN(2)/25))/(LN(2)/25)*Calculateur!DB135*Calculateur!DD135*VLOOKUP('Données projet'!$B$13,Paramètres!$A$1:$I$89,3,0)*0.475*44/12</f>
        <v>20.634176340094424</v>
      </c>
      <c r="DH135" s="21">
        <f>EXP(-LN(2)/2)*DH134+(1-EXP(-LN(2)/2))/(LN(2)/2)*DB135*DE135*VLOOKUP('Données projet'!$B$13,Paramètres!$A$1:$I$89,3,0)*0.475*44/12</f>
        <v>0.33563017304849418</v>
      </c>
      <c r="DI135" s="22">
        <f t="shared" si="123"/>
        <v>55.62977189023875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69.404432490642137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1.2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4.3999999999999995</v>
      </c>
      <c r="H136" s="67">
        <f t="shared" si="110"/>
        <v>239.06666666666669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1210.5226012766348</v>
      </c>
      <c r="S136" s="59">
        <f ca="1">AVERAGE(OFFSET($R$3,0,0,'Données projet'!$E$9+1,1))-AVERAGE(OFFSET($H$3,0,0,'Données projet'!$E$9+1,1))</f>
        <v>646.69588445509589</v>
      </c>
      <c r="T136" s="59">
        <f t="shared" si="142"/>
        <v>286.36346771084698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3.177547114319168E-13</v>
      </c>
      <c r="AK136" s="13">
        <f t="shared" si="143"/>
        <v>4.1725404435445377E-12</v>
      </c>
      <c r="AL136" s="20">
        <f t="shared" si="112"/>
        <v>7.820597394917325E-12</v>
      </c>
      <c r="AM136" s="59">
        <f t="shared" si="113"/>
        <v>291.1874689366212</v>
      </c>
      <c r="AN136" s="59">
        <f ca="1">AVERAGE(OFFSET($AM$3,0,0,'Données projet'!$E$10+1,1))-AVERAGE(OFFSET($H$3,0,0,'Données projet'!$E$10+1,1))</f>
        <v>391.55758836264408</v>
      </c>
      <c r="AO136" s="59">
        <f t="shared" si="144"/>
        <v>360.80727659978777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66.265168120935485</v>
      </c>
      <c r="AV136" s="21">
        <f>EXP(-LN(2)/25)*AV135+(1-EXP(-LN(2)/25))/(LN(2)/25)*Calculateur!AQ136*Calculateur!AS136*VLOOKUP('Données projet'!$B$10,Paramètres!$A$1:$I$89,3,0)*0.475*44/12</f>
        <v>13.382102638072626</v>
      </c>
      <c r="AW136" s="21">
        <f>EXP(-LN(2)/2)*AW135+(1-EXP(-LN(2)/2))/(LN(2)/2)*AQ136*AT136*VLOOKUP('Données projet'!$B$10,Paramètres!$A$1:$I$89,3,0)*0.475*44/12</f>
        <v>2.4861874182574339E-8</v>
      </c>
      <c r="AX136" s="21">
        <f t="shared" si="114"/>
        <v>79.647270783869985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5.0249582272954292E-14</v>
      </c>
      <c r="BF136" s="13">
        <f t="shared" si="145"/>
        <v>8.1784820119191593E-13</v>
      </c>
      <c r="BG136" s="20">
        <f t="shared" si="115"/>
        <v>1.5119369728679821E-12</v>
      </c>
      <c r="BH136" s="59">
        <f t="shared" si="116"/>
        <v>291.18746893661489</v>
      </c>
      <c r="BI136" s="59">
        <f ca="1">AVERAGE(OFFSET($BH$3,0,0,'Données projet'!$E$11+1,1))-AVERAGE(OFFSET($H$3,0,0,'Données projet'!$E$11+1,1))</f>
        <v>400.11184625063709</v>
      </c>
      <c r="BJ136" s="59">
        <f t="shared" si="146"/>
        <v>340.02906159605971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72.336182051507535</v>
      </c>
      <c r="BQ136" s="21">
        <f>EXP(-LN(2)/25)*BQ135+(1-EXP(-LN(2)/25))/(LN(2)/25)*Calculateur!BL136*Calculateur!BN136*VLOOKUP('Données projet'!$B$11,Paramètres!$A$1:$I$89,3,0)*0.475*44/12</f>
        <v>16.539435010294653</v>
      </c>
      <c r="BR136" s="21">
        <f>EXP(-LN(2)/2)*BR135+(1-EXP(-LN(2)/2))/(LN(2)/2)*BL136*BO136*VLOOKUP('Données projet'!$B$11,Paramètres!$A$1:$I$89,3,0)*0.475*44/12</f>
        <v>8.2822657335955364E-7</v>
      </c>
      <c r="BS136" s="22">
        <f t="shared" si="117"/>
        <v>88.875617890028764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9.0229999999999961</v>
      </c>
      <c r="BY136" s="12">
        <f>IF('Données projet'!$A$114&gt;35,BY135+BX136-CG135,IF(A136&lt;'Données projet'!$A$114,$BV$205^A136,IF(A136='Données projet'!$A$114,'Données projet'!$B$114,BY135+BX136-CG135)))</f>
        <v>475.25700000000086</v>
      </c>
      <c r="BZ136" s="13">
        <f>BY136*VLOOKUP('Données projet'!$B$12,Paramètres!$A$1:$I$89,3,0)*VLOOKUP('Données projet'!$B$12,Paramètres!$A$1:$I$89,5,0)</f>
        <v>318.80239560000058</v>
      </c>
      <c r="CA136" s="13">
        <f t="shared" si="147"/>
        <v>75.104114424863937</v>
      </c>
      <c r="CB136" s="20">
        <f t="shared" si="118"/>
        <v>686.0538382933056</v>
      </c>
      <c r="CC136" s="59">
        <f t="shared" si="119"/>
        <v>977.2413072299189</v>
      </c>
      <c r="CD136" s="59">
        <f ca="1">AVERAGE(OFFSET($CC$3,0,0,'Données projet'!$E$12+1,1))-AVERAGE(OFFSET($H$3,0,0,'Données projet'!$E$12+1,1))</f>
        <v>493.98227954109774</v>
      </c>
      <c r="CE136" s="59">
        <f t="shared" si="148"/>
        <v>224.32736097997289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29.523871206831924</v>
      </c>
      <c r="CL136" s="21">
        <f>EXP(-LN(2)/25)*CL135+(1-EXP(-LN(2)/25))/(LN(2)/25)*Calculateur!CG136*Calculateur!CI136*VLOOKUP('Données projet'!$B$12,Paramètres!$A$1:$I$89,3,0)*0.475*44/12</f>
        <v>17.437811250121797</v>
      </c>
      <c r="CM136" s="21">
        <f>EXP(-LN(2)/2)*CM135+(1-EXP(-LN(2)/2))/(LN(2)/2)*CG136*CJ136*VLOOKUP('Données projet'!$B$12,Paramètres!$A$1:$I$89,3,0)*0.475*44/12</f>
        <v>0.16729563880879345</v>
      </c>
      <c r="CN136" s="22">
        <f t="shared" si="120"/>
        <v>47.12897809576252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9.0229999999999961</v>
      </c>
      <c r="CT136" s="12">
        <f>IF('Données projet'!$A$140&gt;35,CT135+CS136-DB135,IF(A136&lt;'Données projet'!$A$140,$CQ$205^A136,IF(A136='Données projet'!$A$140,'Données projet'!$B$140,CT135+CS136-DB135)))</f>
        <v>475.25700000000086</v>
      </c>
      <c r="CU136" s="17">
        <f>CT136*VLOOKUP('Données projet'!$B$13,Paramètres!$A$1:$I$89,3,0)*VLOOKUP('Données projet'!$B$13,Paramètres!$A$1:$I$89,5,0)</f>
        <v>452.25456120000081</v>
      </c>
      <c r="CV136" s="13">
        <f t="shared" si="149"/>
        <v>102.29359564951639</v>
      </c>
      <c r="CW136" s="20">
        <f t="shared" si="121"/>
        <v>965.83803984624228</v>
      </c>
      <c r="CX136" s="59">
        <f t="shared" si="122"/>
        <v>1257.0255087828557</v>
      </c>
      <c r="CY136" s="59">
        <f ca="1">AVERAGE(OFFSET($CX$3,0,0,'Données projet'!$E$13+1,1))-AVERAGE(OFFSET($H$3,0,0,'Données projet'!$E$13+1,1))</f>
        <v>677.13548994240728</v>
      </c>
      <c r="CZ136" s="59">
        <f t="shared" si="150"/>
        <v>298.72429542440534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33.98030459654241</v>
      </c>
      <c r="DG136" s="21">
        <f>EXP(-LN(2)/25)*DG135+(1-EXP(-LN(2)/25))/(LN(2)/25)*Calculateur!DB136*Calculateur!DD136*VLOOKUP('Données projet'!$B$13,Paramètres!$A$1:$I$89,3,0)*0.475*44/12</f>
        <v>20.069933702970367</v>
      </c>
      <c r="DH136" s="21">
        <f>EXP(-LN(2)/2)*DH135+(1-EXP(-LN(2)/2))/(LN(2)/2)*DB136*DE136*VLOOKUP('Données projet'!$B$13,Paramètres!$A$1:$I$89,3,0)*0.475*44/12</f>
        <v>0.23732637133340467</v>
      </c>
      <c r="DI136" s="22">
        <f t="shared" si="123"/>
        <v>54.28756467084618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69.414764255440005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1.2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4.3999999999999995</v>
      </c>
      <c r="H137" s="67">
        <f t="shared" si="110"/>
        <v>239.06666666666669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1227.6341819130732</v>
      </c>
      <c r="S137" s="59">
        <f ca="1">AVERAGE(OFFSET($R$3,0,0,'Données projet'!$E$9+1,1))-AVERAGE(OFFSET($H$3,0,0,'Données projet'!$E$9+1,1))</f>
        <v>646.69588445509589</v>
      </c>
      <c r="T137" s="59">
        <f t="shared" si="142"/>
        <v>286.36346771084698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3.177547114319168E-13</v>
      </c>
      <c r="AK137" s="13">
        <f t="shared" si="143"/>
        <v>4.1725404435445377E-12</v>
      </c>
      <c r="AL137" s="20">
        <f t="shared" si="112"/>
        <v>7.820597394917325E-12</v>
      </c>
      <c r="AM137" s="59">
        <f t="shared" si="113"/>
        <v>291.22469488647022</v>
      </c>
      <c r="AN137" s="59">
        <f ca="1">AVERAGE(OFFSET($AM$3,0,0,'Données projet'!$E$10+1,1))-AVERAGE(OFFSET($H$3,0,0,'Données projet'!$E$10+1,1))</f>
        <v>391.55758836264408</v>
      </c>
      <c r="AO137" s="59">
        <f t="shared" si="144"/>
        <v>360.80727659978777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64.965748591845568</v>
      </c>
      <c r="AV137" s="21">
        <f>EXP(-LN(2)/25)*AV136+(1-EXP(-LN(2)/25))/(LN(2)/25)*Calculateur!AQ137*Calculateur!AS137*VLOOKUP('Données projet'!$B$10,Paramètres!$A$1:$I$89,3,0)*0.475*44/12</f>
        <v>13.016168337700337</v>
      </c>
      <c r="AW137" s="21">
        <f>EXP(-LN(2)/2)*AW136+(1-EXP(-LN(2)/2))/(LN(2)/2)*AQ137*AT137*VLOOKUP('Données projet'!$B$10,Paramètres!$A$1:$I$89,3,0)*0.475*44/12</f>
        <v>1.7579999827505068E-8</v>
      </c>
      <c r="AX137" s="21">
        <f t="shared" si="114"/>
        <v>77.98191694712591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5.0249582272954292E-14</v>
      </c>
      <c r="BF137" s="13">
        <f t="shared" si="145"/>
        <v>8.1784820119191593E-13</v>
      </c>
      <c r="BG137" s="20">
        <f t="shared" si="115"/>
        <v>1.5119369728679821E-12</v>
      </c>
      <c r="BH137" s="59">
        <f t="shared" si="116"/>
        <v>291.22469488646391</v>
      </c>
      <c r="BI137" s="59">
        <f ca="1">AVERAGE(OFFSET($BH$3,0,0,'Données projet'!$E$11+1,1))-AVERAGE(OFFSET($H$3,0,0,'Données projet'!$E$11+1,1))</f>
        <v>400.11184625063709</v>
      </c>
      <c r="BJ137" s="59">
        <f t="shared" si="146"/>
        <v>340.02906159605971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70.91771364219197</v>
      </c>
      <c r="BQ137" s="21">
        <f>EXP(-LN(2)/25)*BQ136+(1-EXP(-LN(2)/25))/(LN(2)/25)*Calculateur!BL137*Calculateur!BN137*VLOOKUP('Données projet'!$B$11,Paramètres!$A$1:$I$89,3,0)*0.475*44/12</f>
        <v>16.087163290167059</v>
      </c>
      <c r="BR137" s="21">
        <f>EXP(-LN(2)/2)*BR136+(1-EXP(-LN(2)/2))/(LN(2)/2)*BL137*BO137*VLOOKUP('Données projet'!$B$11,Paramètres!$A$1:$I$89,3,0)*0.475*44/12</f>
        <v>5.8564462638143794E-7</v>
      </c>
      <c r="BS137" s="22">
        <f t="shared" si="117"/>
        <v>87.004877518003653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9.0229999999999961</v>
      </c>
      <c r="BX137" s="12">
        <f t="array" ref="BX137">INDEX(BW:BW,MIN(IF(ISNUMBER(BW137:BW333),ROW(BW137:BW333),"")))</f>
        <v>9.0229999999999961</v>
      </c>
      <c r="BY137" s="12">
        <f>IF('Données projet'!$A$114&gt;35,BY136+BX137-CG136,IF(A137&lt;'Données projet'!$A$114,$BV$205^A137,IF(A137='Données projet'!$A$114,'Données projet'!$B$114,BY136+BX137-CG136)))</f>
        <v>484.28000000000088</v>
      </c>
      <c r="BZ137" s="13">
        <f>BY137*VLOOKUP('Données projet'!$B$12,Paramètres!$A$1:$I$89,3,0)*VLOOKUP('Données projet'!$B$12,Paramètres!$A$1:$I$89,5,0)</f>
        <v>324.85502400000058</v>
      </c>
      <c r="CA137" s="13">
        <f t="shared" si="147"/>
        <v>76.362648823319162</v>
      </c>
      <c r="CB137" s="20">
        <f t="shared" si="118"/>
        <v>698.78744683394837</v>
      </c>
      <c r="CC137" s="59">
        <f t="shared" si="119"/>
        <v>990.01214172041068</v>
      </c>
      <c r="CD137" s="59">
        <f ca="1">AVERAGE(OFFSET($CC$3,0,0,'Données projet'!$E$12+1,1))-AVERAGE(OFFSET($H$3,0,0,'Données projet'!$E$12+1,1))</f>
        <v>493.98227954109774</v>
      </c>
      <c r="CE137" s="59">
        <f t="shared" si="148"/>
        <v>224.32736097997289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60.779999999999973</v>
      </c>
      <c r="CH137" s="16">
        <f>IF(ISNA(VLOOKUP(A137,'Données projet'!$A$113:$I$133,5,0)),0%,VLOOKUP(A137,'Données projet'!$A$113:$I$133,5,0)*VLOOKUP('Données projet'!$B$12,Paramètres!$A$1:$I$89,7,0))</f>
        <v>0.26500000000000001</v>
      </c>
      <c r="CI137" s="16">
        <f>IF(ISNA(VLOOKUP(A137,'Données projet'!$A$113:$I$133,6,0)),0%,VLOOKUP(A137,'Données projet'!$A$113:$I$133,6,0)*VLOOKUP('Données projet'!$B$12,Paramètres!$A$1:$I$89,7,0))</f>
        <v>0.10600000000000001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40.888841924614539</v>
      </c>
      <c r="CL137" s="21">
        <f>EXP(-LN(2)/25)*CL136+(1-EXP(-LN(2)/25))/(LN(2)/25)*Calculateur!CG137*Calculateur!CI137*VLOOKUP('Données projet'!$B$12,Paramètres!$A$1:$I$89,3,0)*0.475*44/12</f>
        <v>21.719728615182987</v>
      </c>
      <c r="CM137" s="21">
        <f>EXP(-LN(2)/2)*CM136+(1-EXP(-LN(2)/2))/(LN(2)/2)*CG137*CJ137*VLOOKUP('Données projet'!$B$12,Paramètres!$A$1:$I$89,3,0)*0.475*44/12</f>
        <v>0.1182958806646332</v>
      </c>
      <c r="CN137" s="22">
        <f t="shared" si="120"/>
        <v>62.726866420462159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9.0229999999999961</v>
      </c>
      <c r="CS137" s="12">
        <f t="array" ref="CS137">INDEX(CR:CR,MIN(IF(ISNUMBER(CR137:CR333),ROW(CR137:CR333),"")))</f>
        <v>9.0229999999999961</v>
      </c>
      <c r="CT137" s="12">
        <f>IF('Données projet'!$A$140&gt;35,CT136+CS137-DB136,IF(A137&lt;'Données projet'!$A$140,$CQ$205^A137,IF(A137='Données projet'!$A$140,'Données projet'!$B$140,CT136+CS137-DB136)))</f>
        <v>484.28000000000088</v>
      </c>
      <c r="CU137" s="17">
        <f>CT137*VLOOKUP('Données projet'!$B$13,Paramètres!$A$1:$I$89,3,0)*VLOOKUP('Données projet'!$B$13,Paramètres!$A$1:$I$89,5,0)</f>
        <v>460.84084800000079</v>
      </c>
      <c r="CV137" s="13">
        <f t="shared" si="149"/>
        <v>104.00774952580478</v>
      </c>
      <c r="CW137" s="20">
        <f t="shared" si="121"/>
        <v>983.77797402411124</v>
      </c>
      <c r="CX137" s="59">
        <f t="shared" si="122"/>
        <v>1275.0026689105737</v>
      </c>
      <c r="CY137" s="59">
        <f ca="1">AVERAGE(OFFSET($CX$3,0,0,'Données projet'!$E$13+1,1))-AVERAGE(OFFSET($H$3,0,0,'Données projet'!$E$13+1,1))</f>
        <v>677.13548994240728</v>
      </c>
      <c r="CZ137" s="59">
        <f t="shared" si="150"/>
        <v>298.72429542440534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60.779999999999973</v>
      </c>
      <c r="DC137" s="16">
        <f>IF(ISNA(VLOOKUP(A137,'Données projet'!$A$139:$I$159,5,0)),0%,VLOOKUP(A137,'Données projet'!$A$139:$I$159,5,0)*VLOOKUP('Données projet'!$B$13,Paramètres!$A$1:$I$89,7,0))</f>
        <v>0.215</v>
      </c>
      <c r="DD137" s="16">
        <f>IF(ISNA(VLOOKUP(A137,'Données projet'!$A$139:$I$159,6,0)),0%,VLOOKUP(A137,'Données projet'!$A$139:$I$159,6,0)*VLOOKUP('Données projet'!$B$13,Paramètres!$A$1:$I$89,7,0))</f>
        <v>8.6000000000000007E-2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47.060742592480885</v>
      </c>
      <c r="DG137" s="21">
        <f>EXP(-LN(2)/25)*DG136+(1-EXP(-LN(2)/25))/(LN(2)/25)*Calculateur!DB137*Calculateur!DD137*VLOOKUP('Données projet'!$B$13,Paramètres!$A$1:$I$89,3,0)*0.475*44/12</f>
        <v>24.998178217474756</v>
      </c>
      <c r="DH137" s="21">
        <f>EXP(-LN(2)/2)*DH136+(1-EXP(-LN(2)/2))/(LN(2)/2)*DB137*DE137*VLOOKUP('Données projet'!$B$13,Paramètres!$A$1:$I$89,3,0)*0.475*44/12</f>
        <v>0.16781508652424712</v>
      </c>
      <c r="DI137" s="22">
        <f t="shared" si="123"/>
        <v>72.22673589647988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69.424916787217015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1.2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4.3999999999999995</v>
      </c>
      <c r="H138" s="67">
        <f t="shared" si="110"/>
        <v>239.06666666666669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1129.8714761714505</v>
      </c>
      <c r="S138" s="59">
        <f ca="1">AVERAGE(OFFSET($R$3,0,0,'Données projet'!$E$9+1,1))-AVERAGE(OFFSET($H$3,0,0,'Données projet'!$E$9+1,1))</f>
        <v>646.69588445509589</v>
      </c>
      <c r="T138" s="59">
        <f t="shared" si="142"/>
        <v>286.36346771084698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3.177547114319168E-13</v>
      </c>
      <c r="AK138" s="13">
        <f t="shared" si="143"/>
        <v>4.1725404435445377E-12</v>
      </c>
      <c r="AL138" s="20">
        <f t="shared" si="112"/>
        <v>7.820597394917325E-12</v>
      </c>
      <c r="AM138" s="59">
        <f t="shared" si="113"/>
        <v>291.26127504931412</v>
      </c>
      <c r="AN138" s="59">
        <f ca="1">AVERAGE(OFFSET($AM$3,0,0,'Données projet'!$E$10+1,1))-AVERAGE(OFFSET($H$3,0,0,'Données projet'!$E$10+1,1))</f>
        <v>391.55758836264408</v>
      </c>
      <c r="AO138" s="59">
        <f t="shared" si="144"/>
        <v>360.80727659978777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63.691809887153454</v>
      </c>
      <c r="AV138" s="21">
        <f>EXP(-LN(2)/25)*AV137+(1-EXP(-LN(2)/25))/(LN(2)/25)*Calculateur!AQ138*Calculateur!AS138*VLOOKUP('Données projet'!$B$10,Paramètres!$A$1:$I$89,3,0)*0.475*44/12</f>
        <v>12.660240530015377</v>
      </c>
      <c r="AW138" s="21">
        <f>EXP(-LN(2)/2)*AW137+(1-EXP(-LN(2)/2))/(LN(2)/2)*AQ138*AT138*VLOOKUP('Données projet'!$B$10,Paramètres!$A$1:$I$89,3,0)*0.475*44/12</f>
        <v>1.243093709128717E-8</v>
      </c>
      <c r="AX138" s="21">
        <f t="shared" si="114"/>
        <v>76.352050429599757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5.0249582272954292E-14</v>
      </c>
      <c r="BF138" s="13">
        <f t="shared" si="145"/>
        <v>8.1784820119191593E-13</v>
      </c>
      <c r="BG138" s="20">
        <f t="shared" si="115"/>
        <v>1.5119369728679821E-12</v>
      </c>
      <c r="BH138" s="59">
        <f t="shared" si="116"/>
        <v>291.26127504930781</v>
      </c>
      <c r="BI138" s="59">
        <f ca="1">AVERAGE(OFFSET($BH$3,0,0,'Données projet'!$E$11+1,1))-AVERAGE(OFFSET($H$3,0,0,'Données projet'!$E$11+1,1))</f>
        <v>400.11184625063709</v>
      </c>
      <c r="BJ138" s="59">
        <f t="shared" si="146"/>
        <v>340.02906159605971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69.527060533202771</v>
      </c>
      <c r="BQ138" s="21">
        <f>EXP(-LN(2)/25)*BQ137+(1-EXP(-LN(2)/25))/(LN(2)/25)*Calculateur!BL138*Calculateur!BN138*VLOOKUP('Données projet'!$B$11,Paramètres!$A$1:$I$89,3,0)*0.475*44/12</f>
        <v>15.647258964010291</v>
      </c>
      <c r="BR138" s="21">
        <f>EXP(-LN(2)/2)*BR137+(1-EXP(-LN(2)/2))/(LN(2)/2)*BL138*BO138*VLOOKUP('Données projet'!$B$11,Paramètres!$A$1:$I$89,3,0)*0.475*44/12</f>
        <v>4.1411328667977682E-7</v>
      </c>
      <c r="BS138" s="22">
        <f t="shared" si="117"/>
        <v>85.17431991132635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9.1440000000000055</v>
      </c>
      <c r="BY138" s="12">
        <f>IF('Données projet'!$A$114&gt;35,BY137+BX138-CG137,IF(A138&lt;'Données projet'!$A$114,$BV$205^A138,IF(A138='Données projet'!$A$114,'Données projet'!$B$114,BY137+BX138-CG137)))</f>
        <v>432.64400000000091</v>
      </c>
      <c r="BZ138" s="13">
        <f>BY138*VLOOKUP('Données projet'!$B$12,Paramètres!$A$1:$I$89,3,0)*VLOOKUP('Données projet'!$B$12,Paramètres!$A$1:$I$89,5,0)</f>
        <v>290.21759520000057</v>
      </c>
      <c r="CA138" s="13">
        <f t="shared" si="147"/>
        <v>69.121755705451861</v>
      </c>
      <c r="CB138" s="20">
        <f t="shared" si="118"/>
        <v>625.84936949366295</v>
      </c>
      <c r="CC138" s="59">
        <f t="shared" si="119"/>
        <v>917.11064454296923</v>
      </c>
      <c r="CD138" s="59">
        <f ca="1">AVERAGE(OFFSET($CC$3,0,0,'Données projet'!$E$12+1,1))-AVERAGE(OFFSET($H$3,0,0,'Données projet'!$E$12+1,1))</f>
        <v>493.98227954109774</v>
      </c>
      <c r="CE138" s="59">
        <f t="shared" si="148"/>
        <v>224.32736097997289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40.08703667420383</v>
      </c>
      <c r="CL138" s="21">
        <f>EXP(-LN(2)/25)*CL137+(1-EXP(-LN(2)/25))/(LN(2)/25)*Calculateur!CG138*Calculateur!CI138*VLOOKUP('Données projet'!$B$12,Paramètres!$A$1:$I$89,3,0)*0.475*44/12</f>
        <v>21.12580149400992</v>
      </c>
      <c r="CM138" s="21">
        <f>EXP(-LN(2)/2)*CM137+(1-EXP(-LN(2)/2))/(LN(2)/2)*CG138*CJ138*VLOOKUP('Données projet'!$B$12,Paramètres!$A$1:$I$89,3,0)*0.475*44/12</f>
        <v>8.3647819404396737E-2</v>
      </c>
      <c r="CN138" s="22">
        <f t="shared" si="120"/>
        <v>61.296485987618148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9.1440000000000055</v>
      </c>
      <c r="CT138" s="12">
        <f>IF('Données projet'!$A$140&gt;35,CT137+CS138-DB137,IF(A138&lt;'Données projet'!$A$140,$CQ$205^A138,IF(A138='Données projet'!$A$140,'Données projet'!$B$140,CT137+CS138-DB137)))</f>
        <v>432.64400000000091</v>
      </c>
      <c r="CU138" s="17">
        <f>CT138*VLOOKUP('Données projet'!$B$13,Paramètres!$A$1:$I$89,3,0)*VLOOKUP('Données projet'!$B$13,Paramètres!$A$1:$I$89,5,0)</f>
        <v>411.70403040000082</v>
      </c>
      <c r="CV138" s="13">
        <f t="shared" si="149"/>
        <v>94.145480349040895</v>
      </c>
      <c r="CW138" s="20">
        <f t="shared" si="121"/>
        <v>881.0212312212476</v>
      </c>
      <c r="CX138" s="59">
        <f t="shared" si="122"/>
        <v>1172.2825062705538</v>
      </c>
      <c r="CY138" s="59">
        <f ca="1">AVERAGE(OFFSET($CX$3,0,0,'Données projet'!$E$13+1,1))-AVERAGE(OFFSET($H$3,0,0,'Données projet'!$E$13+1,1))</f>
        <v>677.13548994240728</v>
      </c>
      <c r="CZ138" s="59">
        <f t="shared" si="150"/>
        <v>298.72429542440534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46.137910134461009</v>
      </c>
      <c r="DG138" s="21">
        <f>EXP(-LN(2)/25)*DG137+(1-EXP(-LN(2)/25))/(LN(2)/25)*Calculateur!DB138*Calculateur!DD138*VLOOKUP('Données projet'!$B$13,Paramètres!$A$1:$I$89,3,0)*0.475*44/12</f>
        <v>24.314601719520851</v>
      </c>
      <c r="DH138" s="21">
        <f>EXP(-LN(2)/2)*DH137+(1-EXP(-LN(2)/2))/(LN(2)/2)*DB138*DE138*VLOOKUP('Données projet'!$B$13,Paramètres!$A$1:$I$89,3,0)*0.475*44/12</f>
        <v>0.11866318566670235</v>
      </c>
      <c r="DI138" s="22">
        <f t="shared" si="123"/>
        <v>70.571175039648566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69.434893195265346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1.2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4.3999999999999995</v>
      </c>
      <c r="H139" s="67">
        <f t="shared" si="110"/>
        <v>239.06666666666669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1147.242200344994</v>
      </c>
      <c r="S139" s="59">
        <f ca="1">AVERAGE(OFFSET($R$3,0,0,'Données projet'!$E$9+1,1))-AVERAGE(OFFSET($H$3,0,0,'Données projet'!$E$9+1,1))</f>
        <v>646.69588445509589</v>
      </c>
      <c r="T139" s="59">
        <f t="shared" si="142"/>
        <v>286.36346771084698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3.177547114319168E-13</v>
      </c>
      <c r="AK139" s="13">
        <f t="shared" si="143"/>
        <v>4.1725404435445377E-12</v>
      </c>
      <c r="AL139" s="20">
        <f t="shared" si="112"/>
        <v>7.820597394917325E-12</v>
      </c>
      <c r="AM139" s="59">
        <f t="shared" si="113"/>
        <v>291.29722062811362</v>
      </c>
      <c r="AN139" s="59">
        <f ca="1">AVERAGE(OFFSET($AM$3,0,0,'Données projet'!$E$10+1,1))-AVERAGE(OFFSET($H$3,0,0,'Données projet'!$E$10+1,1))</f>
        <v>391.55758836264408</v>
      </c>
      <c r="AO139" s="59">
        <f t="shared" si="144"/>
        <v>360.80727659978777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62.442852343434467</v>
      </c>
      <c r="AV139" s="21">
        <f>EXP(-LN(2)/25)*AV138+(1-EXP(-LN(2)/25))/(LN(2)/25)*Calculateur!AQ139*Calculateur!AS139*VLOOKUP('Données projet'!$B$10,Paramètres!$A$1:$I$89,3,0)*0.475*44/12</f>
        <v>12.314045586948993</v>
      </c>
      <c r="AW139" s="21">
        <f>EXP(-LN(2)/2)*AW138+(1-EXP(-LN(2)/2))/(LN(2)/2)*AQ139*AT139*VLOOKUP('Données projet'!$B$10,Paramètres!$A$1:$I$89,3,0)*0.475*44/12</f>
        <v>8.7899999137525341E-9</v>
      </c>
      <c r="AX139" s="21">
        <f t="shared" si="114"/>
        <v>74.756897939173456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5.0249582272954292E-14</v>
      </c>
      <c r="BF139" s="13">
        <f t="shared" si="145"/>
        <v>8.1784820119191593E-13</v>
      </c>
      <c r="BG139" s="20">
        <f t="shared" si="115"/>
        <v>1.5119369728679821E-12</v>
      </c>
      <c r="BH139" s="59">
        <f t="shared" si="116"/>
        <v>291.29722062810731</v>
      </c>
      <c r="BI139" s="59">
        <f ca="1">AVERAGE(OFFSET($BH$3,0,0,'Données projet'!$E$11+1,1))-AVERAGE(OFFSET($H$3,0,0,'Données projet'!$E$11+1,1))</f>
        <v>400.11184625063709</v>
      </c>
      <c r="BJ139" s="59">
        <f t="shared" si="146"/>
        <v>340.02906159605971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68.163677283466214</v>
      </c>
      <c r="BQ139" s="21">
        <f>EXP(-LN(2)/25)*BQ138+(1-EXP(-LN(2)/25))/(LN(2)/25)*Calculateur!BL139*Calculateur!BN139*VLOOKUP('Données projet'!$B$11,Paramètres!$A$1:$I$89,3,0)*0.475*44/12</f>
        <v>15.219383844785844</v>
      </c>
      <c r="BR139" s="21">
        <f>EXP(-LN(2)/2)*BR138+(1-EXP(-LN(2)/2))/(LN(2)/2)*BL139*BO139*VLOOKUP('Données projet'!$B$11,Paramètres!$A$1:$I$89,3,0)*0.475*44/12</f>
        <v>2.9282231319071897E-7</v>
      </c>
      <c r="BS139" s="22">
        <f t="shared" si="117"/>
        <v>83.383061421074359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9.1440000000000055</v>
      </c>
      <c r="BY139" s="12">
        <f>IF('Données projet'!$A$114&gt;35,BY138+BX139-CG138,IF(A139&lt;'Données projet'!$A$114,$BV$205^A139,IF(A139='Données projet'!$A$114,'Données projet'!$B$114,BY138+BX139-CG138)))</f>
        <v>441.78800000000092</v>
      </c>
      <c r="BZ139" s="13">
        <f>BY139*VLOOKUP('Données projet'!$B$12,Paramètres!$A$1:$I$89,3,0)*VLOOKUP('Données projet'!$B$12,Paramètres!$A$1:$I$89,5,0)</f>
        <v>296.35139040000064</v>
      </c>
      <c r="CA139" s="13">
        <f t="shared" si="147"/>
        <v>70.411030881245637</v>
      </c>
      <c r="CB139" s="20">
        <f t="shared" si="118"/>
        <v>638.77788373150395</v>
      </c>
      <c r="CC139" s="59">
        <f t="shared" si="119"/>
        <v>930.07510435960967</v>
      </c>
      <c r="CD139" s="59">
        <f ca="1">AVERAGE(OFFSET($CC$3,0,0,'Données projet'!$E$12+1,1))-AVERAGE(OFFSET($H$3,0,0,'Données projet'!$E$12+1,1))</f>
        <v>493.98227954109774</v>
      </c>
      <c r="CE139" s="59">
        <f t="shared" si="148"/>
        <v>224.32736097997289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39.300954335700759</v>
      </c>
      <c r="CL139" s="21">
        <f>EXP(-LN(2)/25)*CL138+(1-EXP(-LN(2)/25))/(LN(2)/25)*Calculateur!CG139*Calculateur!CI139*VLOOKUP('Données projet'!$B$12,Paramètres!$A$1:$I$89,3,0)*0.475*44/12</f>
        <v>20.548115341198603</v>
      </c>
      <c r="CM139" s="21">
        <f>EXP(-LN(2)/2)*CM138+(1-EXP(-LN(2)/2))/(LN(2)/2)*CG139*CJ139*VLOOKUP('Données projet'!$B$12,Paramètres!$A$1:$I$89,3,0)*0.475*44/12</f>
        <v>5.9147940332316615E-2</v>
      </c>
      <c r="CN139" s="22">
        <f t="shared" si="120"/>
        <v>59.908217617231678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9.1440000000000055</v>
      </c>
      <c r="CT139" s="12">
        <f>IF('Données projet'!$A$140&gt;35,CT138+CS139-DB138,IF(A139&lt;'Données projet'!$A$140,$CQ$205^A139,IF(A139='Données projet'!$A$140,'Données projet'!$B$140,CT138+CS139-DB138)))</f>
        <v>441.78800000000092</v>
      </c>
      <c r="CU139" s="17">
        <f>CT139*VLOOKUP('Données projet'!$B$13,Paramètres!$A$1:$I$89,3,0)*VLOOKUP('Données projet'!$B$13,Paramètres!$A$1:$I$89,5,0)</f>
        <v>420.40546080000092</v>
      </c>
      <c r="CV139" s="13">
        <f t="shared" si="149"/>
        <v>95.901503897465091</v>
      </c>
      <c r="CW139" s="20">
        <f t="shared" si="121"/>
        <v>899.2346301814199</v>
      </c>
      <c r="CX139" s="59">
        <f t="shared" si="122"/>
        <v>1190.5318508095256</v>
      </c>
      <c r="CY139" s="59">
        <f ca="1">AVERAGE(OFFSET($CX$3,0,0,'Données projet'!$E$13+1,1))-AVERAGE(OFFSET($H$3,0,0,'Données projet'!$E$13+1,1))</f>
        <v>677.13548994240728</v>
      </c>
      <c r="CZ139" s="59">
        <f t="shared" si="150"/>
        <v>298.72429542440534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45.233173858070685</v>
      </c>
      <c r="DG139" s="21">
        <f>EXP(-LN(2)/25)*DG138+(1-EXP(-LN(2)/25))/(LN(2)/25)*Calculateur!DB139*Calculateur!DD139*VLOOKUP('Données projet'!$B$13,Paramètres!$A$1:$I$89,3,0)*0.475*44/12</f>
        <v>23.64971765685122</v>
      </c>
      <c r="DH139" s="21">
        <f>EXP(-LN(2)/2)*DH138+(1-EXP(-LN(2)/2))/(LN(2)/2)*DB139*DE139*VLOOKUP('Données projet'!$B$13,Paramètres!$A$1:$I$89,3,0)*0.475*44/12</f>
        <v>8.3907543262123574E-2</v>
      </c>
      <c r="DI139" s="22">
        <f t="shared" si="123"/>
        <v>68.966799058184037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69.444696534937947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1.2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4.3999999999999995</v>
      </c>
      <c r="H140" s="67">
        <f t="shared" si="110"/>
        <v>239.06666666666669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1164.6052616683005</v>
      </c>
      <c r="S140" s="59">
        <f ca="1">AVERAGE(OFFSET($R$3,0,0,'Données projet'!$E$9+1,1))-AVERAGE(OFFSET($H$3,0,0,'Données projet'!$E$9+1,1))</f>
        <v>646.69588445509589</v>
      </c>
      <c r="T140" s="59">
        <f t="shared" si="142"/>
        <v>286.36346771084698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3.177547114319168E-13</v>
      </c>
      <c r="AK140" s="13">
        <f t="shared" si="143"/>
        <v>4.1725404435445377E-12</v>
      </c>
      <c r="AL140" s="20">
        <f t="shared" si="112"/>
        <v>7.820597394917325E-12</v>
      </c>
      <c r="AM140" s="59">
        <f t="shared" si="113"/>
        <v>291.33254263148325</v>
      </c>
      <c r="AN140" s="59">
        <f ca="1">AVERAGE(OFFSET($AM$3,0,0,'Données projet'!$E$10+1,1))-AVERAGE(OFFSET($H$3,0,0,'Données projet'!$E$10+1,1))</f>
        <v>391.55758836264408</v>
      </c>
      <c r="AO140" s="59">
        <f t="shared" si="144"/>
        <v>360.80727659978777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61.21838609535893</v>
      </c>
      <c r="AV140" s="21">
        <f>EXP(-LN(2)/25)*AV139+(1-EXP(-LN(2)/25))/(LN(2)/25)*Calculateur!AQ140*Calculateur!AS140*VLOOKUP('Données projet'!$B$10,Paramètres!$A$1:$I$89,3,0)*0.475*44/12</f>
        <v>11.977317362806359</v>
      </c>
      <c r="AW140" s="21">
        <f>EXP(-LN(2)/2)*AW139+(1-EXP(-LN(2)/2))/(LN(2)/2)*AQ140*AT140*VLOOKUP('Données projet'!$B$10,Paramètres!$A$1:$I$89,3,0)*0.475*44/12</f>
        <v>6.2154685456435849E-9</v>
      </c>
      <c r="AX140" s="21">
        <f t="shared" si="114"/>
        <v>73.195703464380756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5.0249582272954292E-14</v>
      </c>
      <c r="BF140" s="13">
        <f t="shared" si="145"/>
        <v>8.1784820119191593E-13</v>
      </c>
      <c r="BG140" s="20">
        <f t="shared" si="115"/>
        <v>1.5119369728679821E-12</v>
      </c>
      <c r="BH140" s="59">
        <f t="shared" si="116"/>
        <v>291.33254263147694</v>
      </c>
      <c r="BI140" s="59">
        <f ca="1">AVERAGE(OFFSET($BH$3,0,0,'Données projet'!$E$11+1,1))-AVERAGE(OFFSET($H$3,0,0,'Données projet'!$E$11+1,1))</f>
        <v>400.11184625063709</v>
      </c>
      <c r="BJ140" s="59">
        <f t="shared" si="146"/>
        <v>340.02906159605971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66.827029147675319</v>
      </c>
      <c r="BQ140" s="21">
        <f>EXP(-LN(2)/25)*BQ139+(1-EXP(-LN(2)/25))/(LN(2)/25)*Calculateur!BL140*Calculateur!BN140*VLOOKUP('Données projet'!$B$11,Paramètres!$A$1:$I$89,3,0)*0.475*44/12</f>
        <v>14.803208993197563</v>
      </c>
      <c r="BR140" s="21">
        <f>EXP(-LN(2)/2)*BR139+(1-EXP(-LN(2)/2))/(LN(2)/2)*BL140*BO140*VLOOKUP('Données projet'!$B$11,Paramètres!$A$1:$I$89,3,0)*0.475*44/12</f>
        <v>2.0705664333988841E-7</v>
      </c>
      <c r="BS140" s="22">
        <f t="shared" si="117"/>
        <v>81.63023834792952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9.1440000000000055</v>
      </c>
      <c r="BY140" s="12">
        <f>IF('Données projet'!$A$114&gt;35,BY139+BX140-CG139,IF(A140&lt;'Données projet'!$A$114,$BV$205^A140,IF(A140='Données projet'!$A$114,'Données projet'!$B$114,BY139+BX140-CG139)))</f>
        <v>450.93200000000093</v>
      </c>
      <c r="BZ140" s="13">
        <f>BY140*VLOOKUP('Données projet'!$B$12,Paramètres!$A$1:$I$89,3,0)*VLOOKUP('Données projet'!$B$12,Paramètres!$A$1:$I$89,5,0)</f>
        <v>302.48518560000059</v>
      </c>
      <c r="CA140" s="13">
        <f t="shared" si="147"/>
        <v>71.697203422433319</v>
      </c>
      <c r="CB140" s="20">
        <f t="shared" si="118"/>
        <v>651.70099421407235</v>
      </c>
      <c r="CC140" s="59">
        <f t="shared" si="119"/>
        <v>943.03353684554781</v>
      </c>
      <c r="CD140" s="59">
        <f ca="1">AVERAGE(OFFSET($CC$3,0,0,'Données projet'!$E$12+1,1))-AVERAGE(OFFSET($H$3,0,0,'Données projet'!$E$12+1,1))</f>
        <v>493.98227954109774</v>
      </c>
      <c r="CE140" s="59">
        <f t="shared" si="148"/>
        <v>224.32736097997289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38.530286592392848</v>
      </c>
      <c r="CL140" s="21">
        <f>EXP(-LN(2)/25)*CL139+(1-EXP(-LN(2)/25))/(LN(2)/25)*Calculateur!CG140*Calculateur!CI140*VLOOKUP('Données projet'!$B$12,Paramètres!$A$1:$I$89,3,0)*0.475*44/12</f>
        <v>19.986226046615105</v>
      </c>
      <c r="CM140" s="21">
        <f>EXP(-LN(2)/2)*CM139+(1-EXP(-LN(2)/2))/(LN(2)/2)*CG140*CJ140*VLOOKUP('Données projet'!$B$12,Paramètres!$A$1:$I$89,3,0)*0.475*44/12</f>
        <v>4.1823909702198375E-2</v>
      </c>
      <c r="CN140" s="22">
        <f t="shared" si="120"/>
        <v>58.558336548710152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9.1440000000000055</v>
      </c>
      <c r="CT140" s="12">
        <f>IF('Données projet'!$A$140&gt;35,CT139+CS140-DB139,IF(A140&lt;'Données projet'!$A$140,$CQ$205^A140,IF(A140='Données projet'!$A$140,'Données projet'!$B$140,CT139+CS140-DB139)))</f>
        <v>450.93200000000093</v>
      </c>
      <c r="CU140" s="17">
        <f>CT140*VLOOKUP('Données projet'!$B$13,Paramètres!$A$1:$I$89,3,0)*VLOOKUP('Données projet'!$B$13,Paramètres!$A$1:$I$89,5,0)</f>
        <v>429.10689120000086</v>
      </c>
      <c r="CV140" s="13">
        <f t="shared" si="149"/>
        <v>97.653301583534528</v>
      </c>
      <c r="CW140" s="20">
        <f t="shared" si="121"/>
        <v>917.44066909799074</v>
      </c>
      <c r="CX140" s="59">
        <f t="shared" si="122"/>
        <v>1208.7732117294661</v>
      </c>
      <c r="CY140" s="59">
        <f ca="1">AVERAGE(OFFSET($CX$3,0,0,'Données projet'!$E$13+1,1))-AVERAGE(OFFSET($H$3,0,0,'Données projet'!$E$13+1,1))</f>
        <v>677.13548994240728</v>
      </c>
      <c r="CZ140" s="59">
        <f t="shared" si="150"/>
        <v>298.72429542440534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44.346178908225738</v>
      </c>
      <c r="DG140" s="21">
        <f>EXP(-LN(2)/25)*DG139+(1-EXP(-LN(2)/25))/(LN(2)/25)*Calculateur!DB140*Calculateur!DD140*VLOOKUP('Données projet'!$B$13,Paramètres!$A$1:$I$89,3,0)*0.475*44/12</f>
        <v>23.003014883840024</v>
      </c>
      <c r="DH140" s="21">
        <f>EXP(-LN(2)/2)*DH139+(1-EXP(-LN(2)/2))/(LN(2)/2)*DB140*DE140*VLOOKUP('Données projet'!$B$13,Paramètres!$A$1:$I$89,3,0)*0.475*44/12</f>
        <v>5.9331592833351189E-2</v>
      </c>
      <c r="DI140" s="22">
        <f t="shared" si="123"/>
        <v>67.408525384899107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69.454329808584205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1.2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4.3999999999999995</v>
      </c>
      <c r="H141" s="67">
        <f t="shared" si="110"/>
        <v>239.06666666666669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1181.9608301507556</v>
      </c>
      <c r="S141" s="59">
        <f ca="1">AVERAGE(OFFSET($R$3,0,0,'Données projet'!$E$9+1,1))-AVERAGE(OFFSET($H$3,0,0,'Données projet'!$E$9+1,1))</f>
        <v>646.69588445509589</v>
      </c>
      <c r="T141" s="59">
        <f t="shared" si="142"/>
        <v>286.36346771084698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3.177547114319168E-13</v>
      </c>
      <c r="AK141" s="13">
        <f t="shared" si="143"/>
        <v>4.1725404435445377E-12</v>
      </c>
      <c r="AL141" s="20">
        <f t="shared" si="112"/>
        <v>7.820597394917325E-12</v>
      </c>
      <c r="AM141" s="59">
        <f t="shared" si="113"/>
        <v>291.36725187706264</v>
      </c>
      <c r="AN141" s="59">
        <f ca="1">AVERAGE(OFFSET($AM$3,0,0,'Données projet'!$E$10+1,1))-AVERAGE(OFFSET($H$3,0,0,'Données projet'!$E$10+1,1))</f>
        <v>391.55758836264408</v>
      </c>
      <c r="AO141" s="59">
        <f t="shared" si="144"/>
        <v>360.80727659978777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60.01793088355749</v>
      </c>
      <c r="AV141" s="21">
        <f>EXP(-LN(2)/25)*AV140+(1-EXP(-LN(2)/25))/(LN(2)/25)*Calculateur!AQ141*Calculateur!AS141*VLOOKUP('Données projet'!$B$10,Paramètres!$A$1:$I$89,3,0)*0.475*44/12</f>
        <v>11.649796989660674</v>
      </c>
      <c r="AW141" s="21">
        <f>EXP(-LN(2)/2)*AW140+(1-EXP(-LN(2)/2))/(LN(2)/2)*AQ141*AT141*VLOOKUP('Données projet'!$B$10,Paramètres!$A$1:$I$89,3,0)*0.475*44/12</f>
        <v>4.394999956876267E-9</v>
      </c>
      <c r="AX141" s="21">
        <f t="shared" si="114"/>
        <v>71.667727877613174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5.0249582272954292E-14</v>
      </c>
      <c r="BF141" s="13">
        <f t="shared" si="145"/>
        <v>8.1784820119191593E-13</v>
      </c>
      <c r="BG141" s="20">
        <f t="shared" si="115"/>
        <v>1.5119369728679821E-12</v>
      </c>
      <c r="BH141" s="59">
        <f t="shared" si="116"/>
        <v>291.36725187705633</v>
      </c>
      <c r="BI141" s="59">
        <f ca="1">AVERAGE(OFFSET($BH$3,0,0,'Données projet'!$E$11+1,1))-AVERAGE(OFFSET($H$3,0,0,'Données projet'!$E$11+1,1))</f>
        <v>400.11184625063709</v>
      </c>
      <c r="BJ141" s="59">
        <f t="shared" si="146"/>
        <v>340.02906159605971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65.516591866552417</v>
      </c>
      <c r="BQ141" s="21">
        <f>EXP(-LN(2)/25)*BQ140+(1-EXP(-LN(2)/25))/(LN(2)/25)*Calculateur!BL141*Calculateur!BN141*VLOOKUP('Données projet'!$B$11,Paramètres!$A$1:$I$89,3,0)*0.475*44/12</f>
        <v>14.398414464811648</v>
      </c>
      <c r="BR141" s="21">
        <f>EXP(-LN(2)/2)*BR140+(1-EXP(-LN(2)/2))/(LN(2)/2)*BL141*BO141*VLOOKUP('Données projet'!$B$11,Paramètres!$A$1:$I$89,3,0)*0.475*44/12</f>
        <v>1.4641115659535948E-7</v>
      </c>
      <c r="BS141" s="22">
        <f t="shared" si="117"/>
        <v>79.915006477775222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9.1440000000000055</v>
      </c>
      <c r="BY141" s="12">
        <f>IF('Données projet'!$A$114&gt;35,BY140+BX141-CG140,IF(A141&lt;'Données projet'!$A$114,$BV$205^A141,IF(A141='Données projet'!$A$114,'Données projet'!$B$114,BY140+BX141-CG140)))</f>
        <v>460.07600000000093</v>
      </c>
      <c r="BZ141" s="13">
        <f>BY141*VLOOKUP('Données projet'!$B$12,Paramètres!$A$1:$I$89,3,0)*VLOOKUP('Données projet'!$B$12,Paramètres!$A$1:$I$89,5,0)</f>
        <v>308.61898080000066</v>
      </c>
      <c r="CA141" s="13">
        <f t="shared" si="147"/>
        <v>72.980343494456065</v>
      </c>
      <c r="CB141" s="20">
        <f t="shared" si="118"/>
        <v>664.61882314617878</v>
      </c>
      <c r="CC141" s="59">
        <f t="shared" si="119"/>
        <v>955.98607502323352</v>
      </c>
      <c r="CD141" s="59">
        <f ca="1">AVERAGE(OFFSET($CC$3,0,0,'Données projet'!$E$12+1,1))-AVERAGE(OFFSET($H$3,0,0,'Données projet'!$E$12+1,1))</f>
        <v>493.98227954109774</v>
      </c>
      <c r="CE141" s="59">
        <f t="shared" si="148"/>
        <v>224.32736097997289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37.7747311734703</v>
      </c>
      <c r="CL141" s="21">
        <f>EXP(-LN(2)/25)*CL140+(1-EXP(-LN(2)/25))/(LN(2)/25)*Calculateur!CG141*Calculateur!CI141*VLOOKUP('Données projet'!$B$12,Paramètres!$A$1:$I$89,3,0)*0.475*44/12</f>
        <v>19.439701644340467</v>
      </c>
      <c r="CM141" s="21">
        <f>EXP(-LN(2)/2)*CM140+(1-EXP(-LN(2)/2))/(LN(2)/2)*CG141*CJ141*VLOOKUP('Données projet'!$B$12,Paramètres!$A$1:$I$89,3,0)*0.475*44/12</f>
        <v>2.9573970166158311E-2</v>
      </c>
      <c r="CN141" s="22">
        <f t="shared" si="120"/>
        <v>57.244006787976929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9.1440000000000055</v>
      </c>
      <c r="CT141" s="12">
        <f>IF('Données projet'!$A$140&gt;35,CT140+CS141-DB140,IF(A141&lt;'Données projet'!$A$140,$CQ$205^A141,IF(A141='Données projet'!$A$140,'Données projet'!$B$140,CT140+CS141-DB140)))</f>
        <v>460.07600000000093</v>
      </c>
      <c r="CU141" s="17">
        <f>CT141*VLOOKUP('Données projet'!$B$13,Paramètres!$A$1:$I$89,3,0)*VLOOKUP('Données projet'!$B$13,Paramètres!$A$1:$I$89,5,0)</f>
        <v>437.80832160000091</v>
      </c>
      <c r="CV141" s="13">
        <f t="shared" si="149"/>
        <v>99.400968974253743</v>
      </c>
      <c r="CW141" s="20">
        <f t="shared" si="121"/>
        <v>935.63951441682673</v>
      </c>
      <c r="CX141" s="59">
        <f t="shared" si="122"/>
        <v>1227.0067662938816</v>
      </c>
      <c r="CY141" s="59">
        <f ca="1">AVERAGE(OFFSET($CX$3,0,0,'Données projet'!$E$13+1,1))-AVERAGE(OFFSET($H$3,0,0,'Données projet'!$E$13+1,1))</f>
        <v>677.13548994240728</v>
      </c>
      <c r="CZ141" s="59">
        <f t="shared" si="150"/>
        <v>298.72429542440534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43.476577388333752</v>
      </c>
      <c r="DG141" s="21">
        <f>EXP(-LN(2)/25)*DG140+(1-EXP(-LN(2)/25))/(LN(2)/25)*Calculateur!DB141*Calculateur!DD141*VLOOKUP('Données projet'!$B$13,Paramètres!$A$1:$I$89,3,0)*0.475*44/12</f>
        <v>22.373996232165439</v>
      </c>
      <c r="DH141" s="21">
        <f>EXP(-LN(2)/2)*DH140+(1-EXP(-LN(2)/2))/(LN(2)/2)*DB141*DE141*VLOOKUP('Données projet'!$B$13,Paramètres!$A$1:$I$89,3,0)*0.475*44/12</f>
        <v>4.1953771631061794E-2</v>
      </c>
      <c r="DI141" s="22">
        <f t="shared" si="123"/>
        <v>65.892527392130248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69.46379596646949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1.2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4.3999999999999995</v>
      </c>
      <c r="H142" s="67">
        <f t="shared" si="110"/>
        <v>239.06666666666669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1199.3090689243556</v>
      </c>
      <c r="S142" s="59">
        <f ca="1">AVERAGE(OFFSET($R$3,0,0,'Données projet'!$E$9+1,1))-AVERAGE(OFFSET($H$3,0,0,'Données projet'!$E$9+1,1))</f>
        <v>646.69588445509589</v>
      </c>
      <c r="T142" s="59">
        <f t="shared" si="142"/>
        <v>286.36346771084698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3.177547114319168E-13</v>
      </c>
      <c r="AK142" s="13">
        <f t="shared" si="143"/>
        <v>4.1725404435445377E-12</v>
      </c>
      <c r="AL142" s="20">
        <f t="shared" si="112"/>
        <v>7.820597394917325E-12</v>
      </c>
      <c r="AM142" s="59">
        <f t="shared" si="113"/>
        <v>291.40135899482942</v>
      </c>
      <c r="AN142" s="59">
        <f ca="1">AVERAGE(OFFSET($AM$3,0,0,'Données projet'!$E$10+1,1))-AVERAGE(OFFSET($H$3,0,0,'Données projet'!$E$10+1,1))</f>
        <v>391.55758836264408</v>
      </c>
      <c r="AO142" s="59">
        <f t="shared" si="144"/>
        <v>360.80727659978777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58.841015866254097</v>
      </c>
      <c r="AV142" s="21">
        <f>EXP(-LN(2)/25)*AV141+(1-EXP(-LN(2)/25))/(LN(2)/25)*Calculateur!AQ142*Calculateur!AS142*VLOOKUP('Données projet'!$B$10,Paramètres!$A$1:$I$89,3,0)*0.475*44/12</f>
        <v>11.331232678342205</v>
      </c>
      <c r="AW142" s="21">
        <f>EXP(-LN(2)/2)*AW141+(1-EXP(-LN(2)/2))/(LN(2)/2)*AQ142*AT142*VLOOKUP('Données projet'!$B$10,Paramètres!$A$1:$I$89,3,0)*0.475*44/12</f>
        <v>3.1077342728217924E-9</v>
      </c>
      <c r="AX142" s="21">
        <f t="shared" si="114"/>
        <v>70.172248547704029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5.0249582272954292E-14</v>
      </c>
      <c r="BF142" s="13">
        <f t="shared" si="145"/>
        <v>8.1784820119191593E-13</v>
      </c>
      <c r="BG142" s="20">
        <f t="shared" si="115"/>
        <v>1.5119369728679821E-12</v>
      </c>
      <c r="BH142" s="59">
        <f t="shared" si="116"/>
        <v>291.40135899482311</v>
      </c>
      <c r="BI142" s="59">
        <f ca="1">AVERAGE(OFFSET($BH$3,0,0,'Données projet'!$E$11+1,1))-AVERAGE(OFFSET($H$3,0,0,'Données projet'!$E$11+1,1))</f>
        <v>400.11184625063709</v>
      </c>
      <c r="BJ142" s="59">
        <f t="shared" si="146"/>
        <v>340.02906159605971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64.231851461224522</v>
      </c>
      <c r="BQ142" s="21">
        <f>EXP(-LN(2)/25)*BQ141+(1-EXP(-LN(2)/25))/(LN(2)/25)*Calculateur!BL142*Calculateur!BN142*VLOOKUP('Données projet'!$B$11,Paramètres!$A$1:$I$89,3,0)*0.475*44/12</f>
        <v>14.004689064091664</v>
      </c>
      <c r="BR142" s="21">
        <f>EXP(-LN(2)/2)*BR141+(1-EXP(-LN(2)/2))/(LN(2)/2)*BL142*BO142*VLOOKUP('Données projet'!$B$11,Paramètres!$A$1:$I$89,3,0)*0.475*44/12</f>
        <v>1.035283216699442E-7</v>
      </c>
      <c r="BS142" s="22">
        <f t="shared" si="117"/>
        <v>78.236540628844509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9.1440000000000055</v>
      </c>
      <c r="BY142" s="12">
        <f>IF('Données projet'!$A$114&gt;35,BY141+BX142-CG141,IF(A142&lt;'Données projet'!$A$114,$BV$205^A142,IF(A142='Données projet'!$A$114,'Données projet'!$B$114,BY141+BX142-CG141)))</f>
        <v>469.22000000000094</v>
      </c>
      <c r="BZ142" s="13">
        <f>BY142*VLOOKUP('Données projet'!$B$12,Paramètres!$A$1:$I$89,3,0)*VLOOKUP('Données projet'!$B$12,Paramètres!$A$1:$I$89,5,0)</f>
        <v>314.75277600000061</v>
      </c>
      <c r="CA142" s="13">
        <f t="shared" si="147"/>
        <v>74.260518314186569</v>
      </c>
      <c r="CB142" s="20">
        <f t="shared" si="118"/>
        <v>677.53148759720932</v>
      </c>
      <c r="CC142" s="59">
        <f t="shared" si="119"/>
        <v>968.93284659203096</v>
      </c>
      <c r="CD142" s="59">
        <f ca="1">AVERAGE(OFFSET($CC$3,0,0,'Données projet'!$E$12+1,1))-AVERAGE(OFFSET($H$3,0,0,'Données projet'!$E$12+1,1))</f>
        <v>493.98227954109774</v>
      </c>
      <c r="CE142" s="59">
        <f t="shared" si="148"/>
        <v>224.32736097997289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37.03399173546952</v>
      </c>
      <c r="CL142" s="21">
        <f>EXP(-LN(2)/25)*CL141+(1-EXP(-LN(2)/25))/(LN(2)/25)*Calculateur!CG142*Calculateur!CI142*VLOOKUP('Données projet'!$B$12,Paramètres!$A$1:$I$89,3,0)*0.475*44/12</f>
        <v>18.908121980586497</v>
      </c>
      <c r="CM142" s="21">
        <f>EXP(-LN(2)/2)*CM141+(1-EXP(-LN(2)/2))/(LN(2)/2)*CG142*CJ142*VLOOKUP('Données projet'!$B$12,Paramètres!$A$1:$I$89,3,0)*0.475*44/12</f>
        <v>2.0911954851099191E-2</v>
      </c>
      <c r="CN142" s="22">
        <f t="shared" si="120"/>
        <v>55.963025670907115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9.1440000000000055</v>
      </c>
      <c r="CT142" s="12">
        <f>IF('Données projet'!$A$140&gt;35,CT141+CS142-DB141,IF(A142&lt;'Données projet'!$A$140,$CQ$205^A142,IF(A142='Données projet'!$A$140,'Données projet'!$B$140,CT141+CS142-DB141)))</f>
        <v>469.22000000000094</v>
      </c>
      <c r="CU142" s="17">
        <f>CT142*VLOOKUP('Données projet'!$B$13,Paramètres!$A$1:$I$89,3,0)*VLOOKUP('Données projet'!$B$13,Paramètres!$A$1:$I$89,5,0)</f>
        <v>446.5097520000009</v>
      </c>
      <c r="CV142" s="13">
        <f t="shared" si="149"/>
        <v>101.14459762060724</v>
      </c>
      <c r="CW142" s="20">
        <f t="shared" si="121"/>
        <v>953.8313255892258</v>
      </c>
      <c r="CX142" s="59">
        <f t="shared" si="122"/>
        <v>1245.2326845840473</v>
      </c>
      <c r="CY142" s="59">
        <f ca="1">AVERAGE(OFFSET($CX$3,0,0,'Données projet'!$E$13+1,1))-AVERAGE(OFFSET($H$3,0,0,'Données projet'!$E$13+1,1))</f>
        <v>677.13548994240728</v>
      </c>
      <c r="CZ142" s="59">
        <f t="shared" si="150"/>
        <v>298.72429542440534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42.624028223842288</v>
      </c>
      <c r="DG142" s="21">
        <f>EXP(-LN(2)/25)*DG141+(1-EXP(-LN(2)/25))/(LN(2)/25)*Calculateur!DB142*Calculateur!DD142*VLOOKUP('Données projet'!$B$13,Paramètres!$A$1:$I$89,3,0)*0.475*44/12</f>
        <v>21.762178128599551</v>
      </c>
      <c r="DH142" s="21">
        <f>EXP(-LN(2)/2)*DH141+(1-EXP(-LN(2)/2))/(LN(2)/2)*DB142*DE142*VLOOKUP('Données projet'!$B$13,Paramètres!$A$1:$I$89,3,0)*0.475*44/12</f>
        <v>2.9665796416675598E-2</v>
      </c>
      <c r="DI142" s="22">
        <f t="shared" si="123"/>
        <v>64.415872148858512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69.473097907678607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1.2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4.3999999999999995</v>
      </c>
      <c r="H143" s="67">
        <f t="shared" si="110"/>
        <v>239.06666666666669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1216.6501346528814</v>
      </c>
      <c r="S143" s="59">
        <f ca="1">AVERAGE(OFFSET($R$3,0,0,'Données projet'!$E$9+1,1))-AVERAGE(OFFSET($H$3,0,0,'Données projet'!$E$9+1,1))</f>
        <v>646.69588445509589</v>
      </c>
      <c r="T143" s="59">
        <f t="shared" si="142"/>
        <v>286.36346771084698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3.177547114319168E-13</v>
      </c>
      <c r="AK143" s="13">
        <f t="shared" si="143"/>
        <v>4.1725404435445377E-12</v>
      </c>
      <c r="AL143" s="20">
        <f t="shared" si="112"/>
        <v>7.820597394917325E-12</v>
      </c>
      <c r="AM143" s="59">
        <f t="shared" si="113"/>
        <v>291.43487443035502</v>
      </c>
      <c r="AN143" s="59">
        <f ca="1">AVERAGE(OFFSET($AM$3,0,0,'Données projet'!$E$10+1,1))-AVERAGE(OFFSET($H$3,0,0,'Données projet'!$E$10+1,1))</f>
        <v>391.55758836264408</v>
      </c>
      <c r="AO143" s="59">
        <f t="shared" si="144"/>
        <v>360.80727659978777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57.687179434592743</v>
      </c>
      <c r="AV143" s="21">
        <f>EXP(-LN(2)/25)*AV142+(1-EXP(-LN(2)/25))/(LN(2)/25)*Calculateur!AQ143*Calculateur!AS143*VLOOKUP('Données projet'!$B$10,Paramètres!$A$1:$I$89,3,0)*0.475*44/12</f>
        <v>11.021379524869308</v>
      </c>
      <c r="AW143" s="21">
        <f>EXP(-LN(2)/2)*AW142+(1-EXP(-LN(2)/2))/(LN(2)/2)*AQ143*AT143*VLOOKUP('Données projet'!$B$10,Paramètres!$A$1:$I$89,3,0)*0.475*44/12</f>
        <v>2.1974999784381335E-9</v>
      </c>
      <c r="AX143" s="21">
        <f t="shared" si="114"/>
        <v>68.708558961659548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5.0249582272954292E-14</v>
      </c>
      <c r="BF143" s="13">
        <f t="shared" si="145"/>
        <v>8.1784820119191593E-13</v>
      </c>
      <c r="BG143" s="20">
        <f t="shared" si="115"/>
        <v>1.5119369728679821E-12</v>
      </c>
      <c r="BH143" s="59">
        <f t="shared" si="116"/>
        <v>291.43487443034871</v>
      </c>
      <c r="BI143" s="59">
        <f ca="1">AVERAGE(OFFSET($BH$3,0,0,'Données projet'!$E$11+1,1))-AVERAGE(OFFSET($H$3,0,0,'Données projet'!$E$11+1,1))</f>
        <v>400.11184625063709</v>
      </c>
      <c r="BJ143" s="59">
        <f t="shared" si="146"/>
        <v>340.02906159605971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62.972304031630841</v>
      </c>
      <c r="BQ143" s="21">
        <f>EXP(-LN(2)/25)*BQ142+(1-EXP(-LN(2)/25))/(LN(2)/25)*Calculateur!BL143*Calculateur!BN143*VLOOKUP('Données projet'!$B$11,Paramètres!$A$1:$I$89,3,0)*0.475*44/12</f>
        <v>13.621730105159488</v>
      </c>
      <c r="BR143" s="21">
        <f>EXP(-LN(2)/2)*BR142+(1-EXP(-LN(2)/2))/(LN(2)/2)*BL143*BO143*VLOOKUP('Données projet'!$B$11,Paramètres!$A$1:$I$89,3,0)*0.475*44/12</f>
        <v>7.3205578297679742E-8</v>
      </c>
      <c r="BS143" s="22">
        <f t="shared" si="117"/>
        <v>76.594034209995911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9.1440000000000055</v>
      </c>
      <c r="BY143" s="12">
        <f>IF('Données projet'!$A$114&gt;35,BY142+BX143-CG142,IF(A143&lt;'Données projet'!$A$114,$BV$205^A143,IF(A143='Données projet'!$A$114,'Données projet'!$B$114,BY142+BX143-CG142)))</f>
        <v>478.36400000000094</v>
      </c>
      <c r="BZ143" s="13">
        <f>BY143*VLOOKUP('Données projet'!$B$12,Paramètres!$A$1:$I$89,3,0)*VLOOKUP('Données projet'!$B$12,Paramètres!$A$1:$I$89,5,0)</f>
        <v>320.88657120000062</v>
      </c>
      <c r="CA143" s="13">
        <f t="shared" si="147"/>
        <v>75.537792328842812</v>
      </c>
      <c r="CB143" s="20">
        <f t="shared" si="118"/>
        <v>690.43909981273555</v>
      </c>
      <c r="CC143" s="59">
        <f t="shared" si="119"/>
        <v>981.87397424308278</v>
      </c>
      <c r="CD143" s="59">
        <f ca="1">AVERAGE(OFFSET($CC$3,0,0,'Données projet'!$E$12+1,1))-AVERAGE(OFFSET($H$3,0,0,'Données projet'!$E$12+1,1))</f>
        <v>493.98227954109774</v>
      </c>
      <c r="CE143" s="59">
        <f t="shared" si="148"/>
        <v>224.32736097997289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36.307777746041495</v>
      </c>
      <c r="CL143" s="21">
        <f>EXP(-LN(2)/25)*CL142+(1-EXP(-LN(2)/25))/(LN(2)/25)*Calculateur!CG143*Calculateur!CI143*VLOOKUP('Données projet'!$B$12,Paramètres!$A$1:$I$89,3,0)*0.475*44/12</f>
        <v>18.391078390692439</v>
      </c>
      <c r="CM143" s="21">
        <f>EXP(-LN(2)/2)*CM142+(1-EXP(-LN(2)/2))/(LN(2)/2)*CG143*CJ143*VLOOKUP('Données projet'!$B$12,Paramètres!$A$1:$I$89,3,0)*0.475*44/12</f>
        <v>1.4786985083079157E-2</v>
      </c>
      <c r="CN143" s="22">
        <f t="shared" si="120"/>
        <v>54.713643121817015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9.1440000000000055</v>
      </c>
      <c r="CT143" s="12">
        <f>IF('Données projet'!$A$140&gt;35,CT142+CS143-DB142,IF(A143&lt;'Données projet'!$A$140,$CQ$205^A143,IF(A143='Données projet'!$A$140,'Données projet'!$B$140,CT142+CS143-DB142)))</f>
        <v>478.36400000000094</v>
      </c>
      <c r="CU143" s="17">
        <f>CT143*VLOOKUP('Données projet'!$B$13,Paramètres!$A$1:$I$89,3,0)*VLOOKUP('Données projet'!$B$13,Paramètres!$A$1:$I$89,5,0)</f>
        <v>455.21118240000089</v>
      </c>
      <c r="CV143" s="13">
        <f t="shared" si="149"/>
        <v>102.88427530124351</v>
      </c>
      <c r="CW143" s="20">
        <f t="shared" si="121"/>
        <v>972.016255496334</v>
      </c>
      <c r="CX143" s="59">
        <f t="shared" si="122"/>
        <v>1263.4511299266812</v>
      </c>
      <c r="CY143" s="59">
        <f ca="1">AVERAGE(OFFSET($CX$3,0,0,'Données projet'!$E$13+1,1))-AVERAGE(OFFSET($H$3,0,0,'Données projet'!$E$13+1,1))</f>
        <v>677.13548994240728</v>
      </c>
      <c r="CZ143" s="59">
        <f t="shared" si="150"/>
        <v>298.72429542440534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41.788197028462861</v>
      </c>
      <c r="DG143" s="21">
        <f>EXP(-LN(2)/25)*DG142+(1-EXP(-LN(2)/25))/(LN(2)/25)*Calculateur!DB143*Calculateur!DD143*VLOOKUP('Données projet'!$B$13,Paramètres!$A$1:$I$89,3,0)*0.475*44/12</f>
        <v>21.167090223249787</v>
      </c>
      <c r="DH143" s="21">
        <f>EXP(-LN(2)/2)*DH142+(1-EXP(-LN(2)/2))/(LN(2)/2)*DB143*DE143*VLOOKUP('Données projet'!$B$13,Paramètres!$A$1:$I$89,3,0)*0.475*44/12</f>
        <v>2.09768858155309E-2</v>
      </c>
      <c r="DI143" s="22">
        <f t="shared" si="123"/>
        <v>62.976264137528176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69.482238481003776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1.2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4.3999999999999995</v>
      </c>
      <c r="H144" s="67">
        <f t="shared" si="110"/>
        <v>239.06666666666669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1233.9841779091018</v>
      </c>
      <c r="S144" s="59">
        <f ca="1">AVERAGE(OFFSET($R$3,0,0,'Données projet'!$E$9+1,1))-AVERAGE(OFFSET($H$3,0,0,'Données projet'!$E$9+1,1))</f>
        <v>646.69588445509589</v>
      </c>
      <c r="T144" s="59">
        <f t="shared" si="142"/>
        <v>286.36346771084698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3.177547114319168E-13</v>
      </c>
      <c r="AK144" s="13">
        <f t="shared" si="143"/>
        <v>4.1725404435445377E-12</v>
      </c>
      <c r="AL144" s="20">
        <f t="shared" si="112"/>
        <v>7.820597394917325E-12</v>
      </c>
      <c r="AM144" s="59">
        <f t="shared" si="113"/>
        <v>291.46780844800361</v>
      </c>
      <c r="AN144" s="59">
        <f ca="1">AVERAGE(OFFSET($AM$3,0,0,'Données projet'!$E$10+1,1))-AVERAGE(OFFSET($H$3,0,0,'Données projet'!$E$10+1,1))</f>
        <v>391.55758836264408</v>
      </c>
      <c r="AO144" s="59">
        <f t="shared" si="144"/>
        <v>360.80727659978777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56.555969031585533</v>
      </c>
      <c r="AV144" s="21">
        <f>EXP(-LN(2)/25)*AV143+(1-EXP(-LN(2)/25))/(LN(2)/25)*Calculateur!AQ144*Calculateur!AS144*VLOOKUP('Données projet'!$B$10,Paramètres!$A$1:$I$89,3,0)*0.475*44/12</f>
        <v>10.719999322172598</v>
      </c>
      <c r="AW144" s="21">
        <f>EXP(-LN(2)/2)*AW143+(1-EXP(-LN(2)/2))/(LN(2)/2)*AQ144*AT144*VLOOKUP('Données projet'!$B$10,Paramètres!$A$1:$I$89,3,0)*0.475*44/12</f>
        <v>1.5538671364108962E-9</v>
      </c>
      <c r="AX144" s="21">
        <f t="shared" si="114"/>
        <v>67.275968355312003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5.0249582272954292E-14</v>
      </c>
      <c r="BF144" s="13">
        <f t="shared" si="145"/>
        <v>8.1784820119191593E-13</v>
      </c>
      <c r="BG144" s="20">
        <f t="shared" si="115"/>
        <v>1.5119369728679821E-12</v>
      </c>
      <c r="BH144" s="59">
        <f t="shared" si="116"/>
        <v>291.4678084479973</v>
      </c>
      <c r="BI144" s="59">
        <f ca="1">AVERAGE(OFFSET($BH$3,0,0,'Données projet'!$E$11+1,1))-AVERAGE(OFFSET($H$3,0,0,'Données projet'!$E$11+1,1))</f>
        <v>400.11184625063709</v>
      </c>
      <c r="BJ144" s="59">
        <f t="shared" si="146"/>
        <v>340.02906159605971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61.737455558883418</v>
      </c>
      <c r="BQ144" s="21">
        <f>EXP(-LN(2)/25)*BQ143+(1-EXP(-LN(2)/25))/(LN(2)/25)*Calculateur!BL144*Calculateur!BN144*VLOOKUP('Données projet'!$B$11,Paramètres!$A$1:$I$89,3,0)*0.475*44/12</f>
        <v>13.249243179098249</v>
      </c>
      <c r="BR144" s="21">
        <f>EXP(-LN(2)/2)*BR143+(1-EXP(-LN(2)/2))/(LN(2)/2)*BL144*BO144*VLOOKUP('Données projet'!$B$11,Paramètres!$A$1:$I$89,3,0)*0.475*44/12</f>
        <v>5.1764160834972102E-8</v>
      </c>
      <c r="BS144" s="22">
        <f t="shared" si="117"/>
        <v>74.98669878974583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9.1440000000000055</v>
      </c>
      <c r="BY144" s="12">
        <f>IF('Données projet'!$A$114&gt;35,BY143+BX144-CG143,IF(A144&lt;'Données projet'!$A$114,$BV$205^A144,IF(A144='Données projet'!$A$114,'Données projet'!$B$114,BY143+BX144-CG143)))</f>
        <v>487.50800000000095</v>
      </c>
      <c r="BZ144" s="13">
        <f>BY144*VLOOKUP('Données projet'!$B$12,Paramètres!$A$1:$I$89,3,0)*VLOOKUP('Données projet'!$B$12,Paramètres!$A$1:$I$89,5,0)</f>
        <v>327.02036640000063</v>
      </c>
      <c r="CA144" s="13">
        <f t="shared" si="147"/>
        <v>76.812227380833733</v>
      </c>
      <c r="CB144" s="20">
        <f t="shared" si="118"/>
        <v>703.34176750161987</v>
      </c>
      <c r="CC144" s="59">
        <f t="shared" si="119"/>
        <v>994.80957594961569</v>
      </c>
      <c r="CD144" s="59">
        <f ca="1">AVERAGE(OFFSET($CC$3,0,0,'Données projet'!$E$12+1,1))-AVERAGE(OFFSET($H$3,0,0,'Données projet'!$E$12+1,1))</f>
        <v>493.98227954109774</v>
      </c>
      <c r="CE144" s="59">
        <f t="shared" si="148"/>
        <v>224.32736097997289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35.595804369999357</v>
      </c>
      <c r="CL144" s="21">
        <f>EXP(-LN(2)/25)*CL143+(1-EXP(-LN(2)/25))/(LN(2)/25)*Calculateur!CG144*Calculateur!CI144*VLOOKUP('Données projet'!$B$12,Paramètres!$A$1:$I$89,3,0)*0.475*44/12</f>
        <v>17.888173384954175</v>
      </c>
      <c r="CM144" s="21">
        <f>EXP(-LN(2)/2)*CM143+(1-EXP(-LN(2)/2))/(LN(2)/2)*CG144*CJ144*VLOOKUP('Données projet'!$B$12,Paramètres!$A$1:$I$89,3,0)*0.475*44/12</f>
        <v>1.0455977425549597E-2</v>
      </c>
      <c r="CN144" s="22">
        <f t="shared" si="120"/>
        <v>53.494433732379079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9.1440000000000055</v>
      </c>
      <c r="CT144" s="12">
        <f>IF('Données projet'!$A$140&gt;35,CT143+CS144-DB143,IF(A144&lt;'Données projet'!$A$140,$CQ$205^A144,IF(A144='Données projet'!$A$140,'Données projet'!$B$140,CT143+CS144-DB143)))</f>
        <v>487.50800000000095</v>
      </c>
      <c r="CU144" s="17">
        <f>CT144*VLOOKUP('Données projet'!$B$13,Paramètres!$A$1:$I$89,3,0)*VLOOKUP('Données projet'!$B$13,Paramètres!$A$1:$I$89,5,0)</f>
        <v>463.91261280000094</v>
      </c>
      <c r="CV144" s="13">
        <f t="shared" si="149"/>
        <v>104.62008624699871</v>
      </c>
      <c r="CW144" s="20">
        <f t="shared" si="121"/>
        <v>990.19445084019083</v>
      </c>
      <c r="CX144" s="59">
        <f t="shared" si="122"/>
        <v>1281.6622592881865</v>
      </c>
      <c r="CY144" s="59">
        <f ca="1">AVERAGE(OFFSET($CX$3,0,0,'Données projet'!$E$13+1,1))-AVERAGE(OFFSET($H$3,0,0,'Données projet'!$E$13+1,1))</f>
        <v>677.13548994240728</v>
      </c>
      <c r="CZ144" s="59">
        <f t="shared" si="150"/>
        <v>298.72429542440534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40.968755973018133</v>
      </c>
      <c r="DG144" s="21">
        <f>EXP(-LN(2)/25)*DG143+(1-EXP(-LN(2)/25))/(LN(2)/25)*Calculateur!DB144*Calculateur!DD144*VLOOKUP('Données projet'!$B$13,Paramètres!$A$1:$I$89,3,0)*0.475*44/12</f>
        <v>20.588275027966123</v>
      </c>
      <c r="DH144" s="21">
        <f>EXP(-LN(2)/2)*DH143+(1-EXP(-LN(2)/2))/(LN(2)/2)*DB144*DE144*VLOOKUP('Données projet'!$B$13,Paramètres!$A$1:$I$89,3,0)*0.475*44/12</f>
        <v>1.4832898208337802E-2</v>
      </c>
      <c r="DI144" s="22">
        <f t="shared" si="123"/>
        <v>61.571863899192593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69.491220485817024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1.2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4.3999999999999995</v>
      </c>
      <c r="H145" s="67">
        <f t="shared" si="110"/>
        <v>239.06666666666669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1251.3113435230673</v>
      </c>
      <c r="S145" s="59">
        <f ca="1">AVERAGE(OFFSET($R$3,0,0,'Données projet'!$E$9+1,1))-AVERAGE(OFFSET($H$3,0,0,'Données projet'!$E$9+1,1))</f>
        <v>646.69588445509589</v>
      </c>
      <c r="T145" s="59">
        <f t="shared" si="142"/>
        <v>286.36346771084698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3.177547114319168E-13</v>
      </c>
      <c r="AK145" s="13">
        <f t="shared" si="143"/>
        <v>4.1725404435445377E-12</v>
      </c>
      <c r="AL145" s="20">
        <f t="shared" si="112"/>
        <v>7.820597394917325E-12</v>
      </c>
      <c r="AM145" s="59">
        <f t="shared" si="113"/>
        <v>291.5001711340754</v>
      </c>
      <c r="AN145" s="59">
        <f ca="1">AVERAGE(OFFSET($AM$3,0,0,'Données projet'!$E$10+1,1))-AVERAGE(OFFSET($H$3,0,0,'Données projet'!$E$10+1,1))</f>
        <v>391.55758836264408</v>
      </c>
      <c r="AO145" s="59">
        <f t="shared" si="144"/>
        <v>360.80727659978777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55.446940974611081</v>
      </c>
      <c r="AV145" s="21">
        <f>EXP(-LN(2)/25)*AV144+(1-EXP(-LN(2)/25))/(LN(2)/25)*Calculateur!AQ145*Calculateur!AS145*VLOOKUP('Données projet'!$B$10,Paramètres!$A$1:$I$89,3,0)*0.475*44/12</f>
        <v>10.426860376967525</v>
      </c>
      <c r="AW145" s="21">
        <f>EXP(-LN(2)/2)*AW144+(1-EXP(-LN(2)/2))/(LN(2)/2)*AQ145*AT145*VLOOKUP('Données projet'!$B$10,Paramètres!$A$1:$I$89,3,0)*0.475*44/12</f>
        <v>1.0987499892190668E-9</v>
      </c>
      <c r="AX145" s="21">
        <f t="shared" si="114"/>
        <v>65.873801352677361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5.0249582272954292E-14</v>
      </c>
      <c r="BF145" s="13">
        <f t="shared" si="145"/>
        <v>8.1784820119191593E-13</v>
      </c>
      <c r="BG145" s="20">
        <f t="shared" si="115"/>
        <v>1.5119369728679821E-12</v>
      </c>
      <c r="BH145" s="59">
        <f t="shared" si="116"/>
        <v>291.50017113406909</v>
      </c>
      <c r="BI145" s="59">
        <f ca="1">AVERAGE(OFFSET($BH$3,0,0,'Données projet'!$E$11+1,1))-AVERAGE(OFFSET($H$3,0,0,'Données projet'!$E$11+1,1))</f>
        <v>400.11184625063709</v>
      </c>
      <c r="BJ145" s="59">
        <f t="shared" si="146"/>
        <v>340.02906159605971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60.526821711503374</v>
      </c>
      <c r="BQ145" s="21">
        <f>EXP(-LN(2)/25)*BQ144+(1-EXP(-LN(2)/25))/(LN(2)/25)*Calculateur!BL145*Calculateur!BN145*VLOOKUP('Données projet'!$B$11,Paramètres!$A$1:$I$89,3,0)*0.475*44/12</f>
        <v>12.886941927618389</v>
      </c>
      <c r="BR145" s="21">
        <f>EXP(-LN(2)/2)*BR144+(1-EXP(-LN(2)/2))/(LN(2)/2)*BL145*BO145*VLOOKUP('Données projet'!$B$11,Paramètres!$A$1:$I$89,3,0)*0.475*44/12</f>
        <v>3.6602789148839871E-8</v>
      </c>
      <c r="BS145" s="22">
        <f t="shared" si="117"/>
        <v>73.413763675724553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9.1440000000000055</v>
      </c>
      <c r="BY145" s="12">
        <f>IF('Données projet'!$A$114&gt;35,BY144+BX145-CG144,IF(A145&lt;'Données projet'!$A$114,$BV$205^A145,IF(A145='Données projet'!$A$114,'Données projet'!$B$114,BY144+BX145-CG144)))</f>
        <v>496.65200000000095</v>
      </c>
      <c r="BZ145" s="13">
        <f>BY145*VLOOKUP('Données projet'!$B$12,Paramètres!$A$1:$I$89,3,0)*VLOOKUP('Données projet'!$B$12,Paramètres!$A$1:$I$89,5,0)</f>
        <v>333.15416160000063</v>
      </c>
      <c r="CA145" s="13">
        <f t="shared" si="147"/>
        <v>78.083882859888206</v>
      </c>
      <c r="CB145" s="20">
        <f t="shared" si="118"/>
        <v>716.23959410097314</v>
      </c>
      <c r="CC145" s="59">
        <f t="shared" si="119"/>
        <v>1007.7397652350407</v>
      </c>
      <c r="CD145" s="59">
        <f ca="1">AVERAGE(OFFSET($CC$3,0,0,'Données projet'!$E$12+1,1))-AVERAGE(OFFSET($H$3,0,0,'Données projet'!$E$12+1,1))</f>
        <v>493.98227954109774</v>
      </c>
      <c r="CE145" s="59">
        <f t="shared" si="148"/>
        <v>224.32736097997289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34.897792357600522</v>
      </c>
      <c r="CL145" s="21">
        <f>EXP(-LN(2)/25)*CL144+(1-EXP(-LN(2)/25))/(LN(2)/25)*Calculateur!CG145*Calculateur!CI145*VLOOKUP('Données projet'!$B$12,Paramètres!$A$1:$I$89,3,0)*0.475*44/12</f>
        <v>17.399020343044448</v>
      </c>
      <c r="CM145" s="21">
        <f>EXP(-LN(2)/2)*CM144+(1-EXP(-LN(2)/2))/(LN(2)/2)*CG145*CJ145*VLOOKUP('Données projet'!$B$12,Paramètres!$A$1:$I$89,3,0)*0.475*44/12</f>
        <v>7.3934925415395803E-3</v>
      </c>
      <c r="CN145" s="22">
        <f t="shared" si="120"/>
        <v>52.304206193186509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9.1440000000000055</v>
      </c>
      <c r="CT145" s="12">
        <f>IF('Données projet'!$A$140&gt;35,CT144+CS145-DB144,IF(A145&lt;'Données projet'!$A$140,$CQ$205^A145,IF(A145='Données projet'!$A$140,'Données projet'!$B$140,CT144+CS145-DB144)))</f>
        <v>496.65200000000095</v>
      </c>
      <c r="CU145" s="17">
        <f>CT145*VLOOKUP('Données projet'!$B$13,Paramètres!$A$1:$I$89,3,0)*VLOOKUP('Données projet'!$B$13,Paramètres!$A$1:$I$89,5,0)</f>
        <v>472.61404320000088</v>
      </c>
      <c r="CV145" s="13">
        <f t="shared" si="149"/>
        <v>106.35211134810046</v>
      </c>
      <c r="CW145" s="20">
        <f t="shared" si="121"/>
        <v>1008.3660525046098</v>
      </c>
      <c r="CX145" s="59">
        <f t="shared" si="122"/>
        <v>1299.8662236386774</v>
      </c>
      <c r="CY145" s="59">
        <f ca="1">AVERAGE(OFFSET($CX$3,0,0,'Données projet'!$E$13+1,1))-AVERAGE(OFFSET($H$3,0,0,'Données projet'!$E$13+1,1))</f>
        <v>677.13548994240728</v>
      </c>
      <c r="CZ145" s="59">
        <f t="shared" si="150"/>
        <v>298.72429542440534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40.165383656860982</v>
      </c>
      <c r="DG145" s="21">
        <f>EXP(-LN(2)/25)*DG144+(1-EXP(-LN(2)/25))/(LN(2)/25)*Calculateur!DB145*Calculateur!DD145*VLOOKUP('Données projet'!$B$13,Paramètres!$A$1:$I$89,3,0)*0.475*44/12</f>
        <v>20.025287564636059</v>
      </c>
      <c r="DH145" s="21">
        <f>EXP(-LN(2)/2)*DH144+(1-EXP(-LN(2)/2))/(LN(2)/2)*DB145*DE145*VLOOKUP('Données projet'!$B$13,Paramètres!$A$1:$I$89,3,0)*0.475*44/12</f>
        <v>1.0488442907765452E-2</v>
      </c>
      <c r="DI145" s="22">
        <f t="shared" si="123"/>
        <v>60.201159664404805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69.50004667292751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1.2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4.3999999999999995</v>
      </c>
      <c r="H146" s="67">
        <f t="shared" si="110"/>
        <v>239.06666666666669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1268.6317709042114</v>
      </c>
      <c r="S146" s="59">
        <f ca="1">AVERAGE(OFFSET($R$3,0,0,'Données projet'!$E$9+1,1))-AVERAGE(OFFSET($H$3,0,0,'Données projet'!$E$9+1,1))</f>
        <v>646.69588445509589</v>
      </c>
      <c r="T146" s="59">
        <f t="shared" si="142"/>
        <v>286.36346771084698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3.177547114319168E-13</v>
      </c>
      <c r="AK146" s="13">
        <f t="shared" si="143"/>
        <v>4.1725404435445377E-12</v>
      </c>
      <c r="AL146" s="20">
        <f t="shared" si="112"/>
        <v>7.820597394917325E-12</v>
      </c>
      <c r="AM146" s="59">
        <f t="shared" si="113"/>
        <v>291.53197239989589</v>
      </c>
      <c r="AN146" s="59">
        <f ca="1">AVERAGE(OFFSET($AM$3,0,0,'Données projet'!$E$10+1,1))-AVERAGE(OFFSET($H$3,0,0,'Données projet'!$E$10+1,1))</f>
        <v>391.55758836264408</v>
      </c>
      <c r="AO146" s="59">
        <f t="shared" si="144"/>
        <v>360.80727659978777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54.359660281393573</v>
      </c>
      <c r="AV146" s="21">
        <f>EXP(-LN(2)/25)*AV145+(1-EXP(-LN(2)/25))/(LN(2)/25)*Calculateur!AQ146*Calculateur!AS146*VLOOKUP('Données projet'!$B$10,Paramètres!$A$1:$I$89,3,0)*0.475*44/12</f>
        <v>10.141737331634593</v>
      </c>
      <c r="AW146" s="21">
        <f>EXP(-LN(2)/2)*AW145+(1-EXP(-LN(2)/2))/(LN(2)/2)*AQ146*AT146*VLOOKUP('Données projet'!$B$10,Paramètres!$A$1:$I$89,3,0)*0.475*44/12</f>
        <v>7.7693356820544811E-10</v>
      </c>
      <c r="AX146" s="21">
        <f t="shared" si="114"/>
        <v>64.501397613805096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5.0249582272954292E-14</v>
      </c>
      <c r="BF146" s="13">
        <f t="shared" si="145"/>
        <v>8.1784820119191593E-13</v>
      </c>
      <c r="BG146" s="20">
        <f t="shared" si="115"/>
        <v>1.5119369728679821E-12</v>
      </c>
      <c r="BH146" s="59">
        <f t="shared" si="116"/>
        <v>291.53197239988958</v>
      </c>
      <c r="BI146" s="59">
        <f ca="1">AVERAGE(OFFSET($BH$3,0,0,'Données projet'!$E$11+1,1))-AVERAGE(OFFSET($H$3,0,0,'Données projet'!$E$11+1,1))</f>
        <v>400.11184625063709</v>
      </c>
      <c r="BJ146" s="59">
        <f t="shared" si="146"/>
        <v>340.02906159605971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59.339927655456712</v>
      </c>
      <c r="BQ146" s="21">
        <f>EXP(-LN(2)/25)*BQ145+(1-EXP(-LN(2)/25))/(LN(2)/25)*Calculateur!BL146*Calculateur!BN146*VLOOKUP('Données projet'!$B$11,Paramètres!$A$1:$I$89,3,0)*0.475*44/12</f>
        <v>12.534547822912842</v>
      </c>
      <c r="BR146" s="21">
        <f>EXP(-LN(2)/2)*BR145+(1-EXP(-LN(2)/2))/(LN(2)/2)*BL146*BO146*VLOOKUP('Données projet'!$B$11,Paramètres!$A$1:$I$89,3,0)*0.475*44/12</f>
        <v>2.5882080417486051E-8</v>
      </c>
      <c r="BS146" s="22">
        <f t="shared" si="117"/>
        <v>71.874475504251635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9.1440000000000055</v>
      </c>
      <c r="BY146" s="12">
        <f>IF('Données projet'!$A$114&gt;35,BY145+BX146-CG145,IF(A146&lt;'Données projet'!$A$114,$BV$205^A146,IF(A146='Données projet'!$A$114,'Données projet'!$B$114,BY145+BX146-CG145)))</f>
        <v>505.79600000000096</v>
      </c>
      <c r="BZ146" s="13">
        <f>BY146*VLOOKUP('Données projet'!$B$12,Paramètres!$A$1:$I$89,3,0)*VLOOKUP('Données projet'!$B$12,Paramètres!$A$1:$I$89,5,0)</f>
        <v>339.28795680000064</v>
      </c>
      <c r="CA146" s="13">
        <f t="shared" si="147"/>
        <v>79.352815843663194</v>
      </c>
      <c r="CB146" s="20">
        <f t="shared" si="118"/>
        <v>729.13267902104781</v>
      </c>
      <c r="CC146" s="59">
        <f t="shared" si="119"/>
        <v>1020.6646514209358</v>
      </c>
      <c r="CD146" s="59">
        <f ca="1">AVERAGE(OFFSET($CC$3,0,0,'Données projet'!$E$12+1,1))-AVERAGE(OFFSET($H$3,0,0,'Données projet'!$E$12+1,1))</f>
        <v>493.98227954109774</v>
      </c>
      <c r="CE146" s="59">
        <f t="shared" si="148"/>
        <v>224.32736097997289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34.213467935019544</v>
      </c>
      <c r="CL146" s="21">
        <f>EXP(-LN(2)/25)*CL145+(1-EXP(-LN(2)/25))/(LN(2)/25)*Calculateur!CG146*Calculateur!CI146*VLOOKUP('Données projet'!$B$12,Paramètres!$A$1:$I$89,3,0)*0.475*44/12</f>
        <v>16.923243216789185</v>
      </c>
      <c r="CM146" s="21">
        <f>EXP(-LN(2)/2)*CM145+(1-EXP(-LN(2)/2))/(LN(2)/2)*CG146*CJ146*VLOOKUP('Données projet'!$B$12,Paramètres!$A$1:$I$89,3,0)*0.475*44/12</f>
        <v>5.2279887127747995E-3</v>
      </c>
      <c r="CN146" s="22">
        <f t="shared" si="120"/>
        <v>51.141939140521501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9.1440000000000055</v>
      </c>
      <c r="CT146" s="12">
        <f>IF('Données projet'!$A$140&gt;35,CT145+CS146-DB145,IF(A146&lt;'Données projet'!$A$140,$CQ$205^A146,IF(A146='Données projet'!$A$140,'Données projet'!$B$140,CT145+CS146-DB145)))</f>
        <v>505.79600000000096</v>
      </c>
      <c r="CU146" s="17">
        <f>CT146*VLOOKUP('Données projet'!$B$13,Paramètres!$A$1:$I$89,3,0)*VLOOKUP('Données projet'!$B$13,Paramètres!$A$1:$I$89,5,0)</f>
        <v>481.31547360000093</v>
      </c>
      <c r="CV146" s="13">
        <f t="shared" si="149"/>
        <v>108.08042834567949</v>
      </c>
      <c r="CW146" s="20">
        <f t="shared" si="121"/>
        <v>1026.5311958887266</v>
      </c>
      <c r="CX146" s="59">
        <f t="shared" si="122"/>
        <v>1318.0631682886146</v>
      </c>
      <c r="CY146" s="59">
        <f ca="1">AVERAGE(OFFSET($CX$3,0,0,'Données projet'!$E$13+1,1))-AVERAGE(OFFSET($H$3,0,0,'Données projet'!$E$13+1,1))</f>
        <v>677.13548994240728</v>
      </c>
      <c r="CZ146" s="59">
        <f t="shared" si="150"/>
        <v>298.72429542440534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39.377764981814948</v>
      </c>
      <c r="DG146" s="21">
        <f>EXP(-LN(2)/25)*DG145+(1-EXP(-LN(2)/25))/(LN(2)/25)*Calculateur!DB146*Calculateur!DD146*VLOOKUP('Données projet'!$B$13,Paramètres!$A$1:$I$89,3,0)*0.475*44/12</f>
        <v>19.477695023096981</v>
      </c>
      <c r="DH146" s="21">
        <f>EXP(-LN(2)/2)*DH145+(1-EXP(-LN(2)/2))/(LN(2)/2)*DB146*DE146*VLOOKUP('Données projet'!$B$13,Paramètres!$A$1:$I$89,3,0)*0.475*44/12</f>
        <v>7.4164491041689021E-3</v>
      </c>
      <c r="DI146" s="22">
        <f t="shared" si="123"/>
        <v>58.862876454016103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69.508719745424017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1.2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4.3999999999999995</v>
      </c>
      <c r="H147" s="67">
        <f t="shared" si="110"/>
        <v>239.06666666666669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1285.9455943396786</v>
      </c>
      <c r="S147" s="59">
        <f ca="1">AVERAGE(OFFSET($R$3,0,0,'Données projet'!$E$9+1,1))-AVERAGE(OFFSET($H$3,0,0,'Données projet'!$E$9+1,1))</f>
        <v>646.69588445509589</v>
      </c>
      <c r="T147" s="59">
        <f t="shared" si="142"/>
        <v>286.36346771084698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3.177547114319168E-13</v>
      </c>
      <c r="AK147" s="13">
        <f t="shared" si="143"/>
        <v>4.1725404435445377E-12</v>
      </c>
      <c r="AL147" s="20">
        <f t="shared" si="112"/>
        <v>7.820597394917325E-12</v>
      </c>
      <c r="AM147" s="59">
        <f t="shared" si="113"/>
        <v>291.56322198485145</v>
      </c>
      <c r="AN147" s="59">
        <f ca="1">AVERAGE(OFFSET($AM$3,0,0,'Données projet'!$E$10+1,1))-AVERAGE(OFFSET($H$3,0,0,'Données projet'!$E$10+1,1))</f>
        <v>391.55758836264408</v>
      </c>
      <c r="AO147" s="59">
        <f t="shared" si="144"/>
        <v>360.80727659978777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53.293700499394319</v>
      </c>
      <c r="AV147" s="21">
        <f>EXP(-LN(2)/25)*AV146+(1-EXP(-LN(2)/25))/(LN(2)/25)*Calculateur!AQ147*Calculateur!AS147*VLOOKUP('Données projet'!$B$10,Paramètres!$A$1:$I$89,3,0)*0.475*44/12</f>
        <v>9.8644109909702582</v>
      </c>
      <c r="AW147" s="21">
        <f>EXP(-LN(2)/2)*AW146+(1-EXP(-LN(2)/2))/(LN(2)/2)*AQ147*AT147*VLOOKUP('Données projet'!$B$10,Paramètres!$A$1:$I$89,3,0)*0.475*44/12</f>
        <v>5.4937499460953338E-10</v>
      </c>
      <c r="AX147" s="21">
        <f t="shared" si="114"/>
        <v>63.158111490913953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5.0249582272954292E-14</v>
      </c>
      <c r="BF147" s="13">
        <f t="shared" si="145"/>
        <v>8.1784820119191593E-13</v>
      </c>
      <c r="BG147" s="20">
        <f t="shared" si="115"/>
        <v>1.5119369728679821E-12</v>
      </c>
      <c r="BH147" s="59">
        <f t="shared" si="116"/>
        <v>291.56322198484514</v>
      </c>
      <c r="BI147" s="59">
        <f ca="1">AVERAGE(OFFSET($BH$3,0,0,'Données projet'!$E$11+1,1))-AVERAGE(OFFSET($H$3,0,0,'Données projet'!$E$11+1,1))</f>
        <v>400.11184625063709</v>
      </c>
      <c r="BJ147" s="59">
        <f t="shared" si="146"/>
        <v>340.02906159605971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58.176307867915234</v>
      </c>
      <c r="BQ147" s="21">
        <f>EXP(-LN(2)/25)*BQ146+(1-EXP(-LN(2)/25))/(LN(2)/25)*Calculateur!BL147*Calculateur!BN147*VLOOKUP('Données projet'!$B$11,Paramètres!$A$1:$I$89,3,0)*0.475*44/12</f>
        <v>12.191789953532068</v>
      </c>
      <c r="BR147" s="21">
        <f>EXP(-LN(2)/2)*BR146+(1-EXP(-LN(2)/2))/(LN(2)/2)*BL147*BO147*VLOOKUP('Données projet'!$B$11,Paramètres!$A$1:$I$89,3,0)*0.475*44/12</f>
        <v>1.8301394574419935E-8</v>
      </c>
      <c r="BS147" s="22">
        <f t="shared" si="117"/>
        <v>70.3680978397487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9.1440000000000055</v>
      </c>
      <c r="BX147" s="12">
        <f t="array" ref="BX147">INDEX(BW:BW,MIN(IF(ISNUMBER(BW147:BW343),ROW(BW147:BW343),"")))</f>
        <v>9.1440000000000055</v>
      </c>
      <c r="BY147" s="12">
        <f>IF('Données projet'!$A$114&gt;35,BY146+BX147-CG146,IF(A147&lt;'Données projet'!$A$114,$BV$205^A147,IF(A147='Données projet'!$A$114,'Données projet'!$B$114,BY146+BX147-CG146)))</f>
        <v>514.94000000000096</v>
      </c>
      <c r="BZ147" s="13">
        <f>BY147*VLOOKUP('Données projet'!$B$12,Paramètres!$A$1:$I$89,3,0)*VLOOKUP('Données projet'!$B$12,Paramètres!$A$1:$I$89,5,0)</f>
        <v>345.42175200000065</v>
      </c>
      <c r="CA147" s="13">
        <f t="shared" si="147"/>
        <v>80.619081227896359</v>
      </c>
      <c r="CB147" s="20">
        <f t="shared" si="118"/>
        <v>742.02111787192052</v>
      </c>
      <c r="CC147" s="59">
        <f t="shared" si="119"/>
        <v>1033.584339856764</v>
      </c>
      <c r="CD147" s="59">
        <f ca="1">AVERAGE(OFFSET($CC$3,0,0,'Données projet'!$E$12+1,1))-AVERAGE(OFFSET($H$3,0,0,'Données projet'!$E$12+1,1))</f>
        <v>493.98227954109774</v>
      </c>
      <c r="CE147" s="59">
        <f t="shared" si="148"/>
        <v>224.32736097997289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61.800000000000068</v>
      </c>
      <c r="CH147" s="16">
        <f>IF(ISNA(VLOOKUP(A147,'Données projet'!$A$113:$I$133,5,0)),0%,VLOOKUP(A147,'Données projet'!$A$113:$I$133,5,0)*VLOOKUP('Données projet'!$B$12,Paramètres!$A$1:$I$89,7,0))</f>
        <v>0.26500000000000001</v>
      </c>
      <c r="CI147" s="16">
        <f>IF(ISNA(VLOOKUP(A147,'Données projet'!$A$113:$I$133,6,0)),0%,VLOOKUP(A147,'Données projet'!$A$113:$I$133,6,0)*VLOOKUP('Données projet'!$B$12,Paramètres!$A$1:$I$89,7,0))</f>
        <v>0.10600000000000001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45.686919359452652</v>
      </c>
      <c r="CL147" s="21">
        <f>EXP(-LN(2)/25)*CL146+(1-EXP(-LN(2)/25))/(LN(2)/25)*Calculateur!CG147*Calculateur!CI147*VLOOKUP('Données projet'!$B$12,Paramètres!$A$1:$I$89,3,0)*0.475*44/12</f>
        <v>21.299092122247838</v>
      </c>
      <c r="CM147" s="21">
        <f>EXP(-LN(2)/2)*CM146+(1-EXP(-LN(2)/2))/(LN(2)/2)*CG147*CJ147*VLOOKUP('Données projet'!$B$12,Paramètres!$A$1:$I$89,3,0)*0.475*44/12</f>
        <v>3.6967462707697906E-3</v>
      </c>
      <c r="CN147" s="22">
        <f t="shared" si="120"/>
        <v>66.989708227971263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9.1440000000000055</v>
      </c>
      <c r="CS147" s="12">
        <f t="array" ref="CS147">INDEX(CR:CR,MIN(IF(ISNUMBER(CR147:CR343),ROW(CR147:CR343),"")))</f>
        <v>9.1440000000000055</v>
      </c>
      <c r="CT147" s="12">
        <f>IF('Données projet'!$A$140&gt;35,CT146+CS147-DB146,IF(A147&lt;'Données projet'!$A$140,$CQ$205^A147,IF(A147='Données projet'!$A$140,'Données projet'!$B$140,CT146+CS147-DB146)))</f>
        <v>514.94000000000096</v>
      </c>
      <c r="CU147" s="17">
        <f>CT147*VLOOKUP('Données projet'!$B$13,Paramètres!$A$1:$I$89,3,0)*VLOOKUP('Données projet'!$B$13,Paramètres!$A$1:$I$89,5,0)</f>
        <v>490.01690400000092</v>
      </c>
      <c r="CV147" s="13">
        <f t="shared" si="149"/>
        <v>109.80511200904009</v>
      </c>
      <c r="CW147" s="20">
        <f t="shared" si="121"/>
        <v>1044.6900112157464</v>
      </c>
      <c r="CX147" s="59">
        <f t="shared" si="122"/>
        <v>1336.2532332005899</v>
      </c>
      <c r="CY147" s="59">
        <f ca="1">AVERAGE(OFFSET($CX$3,0,0,'Données projet'!$E$13+1,1))-AVERAGE(OFFSET($H$3,0,0,'Données projet'!$E$13+1,1))</f>
        <v>677.13548994240728</v>
      </c>
      <c r="CZ147" s="59">
        <f t="shared" si="150"/>
        <v>298.72429542440534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61.800000000000068</v>
      </c>
      <c r="DC147" s="16">
        <f>IF(ISNA(VLOOKUP(A147,'Données projet'!$A$139:$I$159,5,0)),0%,VLOOKUP(A147,'Données projet'!$A$139:$I$159,5,0)*VLOOKUP('Données projet'!$B$13,Paramètres!$A$1:$I$89,7,0))</f>
        <v>0.215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52.583058130690787</v>
      </c>
      <c r="DG147" s="21">
        <f>EXP(-LN(2)/25)*DG146+(1-EXP(-LN(2)/25))/(LN(2)/25)*Calculateur!DB147*Calculateur!DD147*VLOOKUP('Données projet'!$B$13,Paramètres!$A$1:$I$89,3,0)*0.475*44/12</f>
        <v>24.514049423719207</v>
      </c>
      <c r="DH147" s="21">
        <f>EXP(-LN(2)/2)*DH146+(1-EXP(-LN(2)/2))/(LN(2)/2)*DB147*DE147*VLOOKUP('Données projet'!$B$13,Paramètres!$A$1:$I$89,3,0)*0.475*44/12</f>
        <v>5.2442214538827268E-3</v>
      </c>
      <c r="DI147" s="22">
        <f t="shared" si="123"/>
        <v>77.10235177586388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69.517242359502802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1.2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4.3999999999999995</v>
      </c>
      <c r="H148" s="67">
        <f t="shared" si="110"/>
        <v>239.06666666666669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1186.7306506673704</v>
      </c>
      <c r="S148" s="59">
        <f ca="1">AVERAGE(OFFSET($R$3,0,0,'Données projet'!$E$9+1,1))-AVERAGE(OFFSET($H$3,0,0,'Données projet'!$E$9+1,1))</f>
        <v>646.69588445509589</v>
      </c>
      <c r="T148" s="59">
        <f t="shared" si="142"/>
        <v>286.36346771084698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3.177547114319168E-13</v>
      </c>
      <c r="AK148" s="13">
        <f t="shared" si="143"/>
        <v>4.1725404435445377E-12</v>
      </c>
      <c r="AL148" s="20">
        <f t="shared" si="112"/>
        <v>7.820597394917325E-12</v>
      </c>
      <c r="AM148" s="59">
        <f t="shared" si="113"/>
        <v>291.59392945937162</v>
      </c>
      <c r="AN148" s="59">
        <f ca="1">AVERAGE(OFFSET($AM$3,0,0,'Données projet'!$E$10+1,1))-AVERAGE(OFFSET($H$3,0,0,'Données projet'!$E$10+1,1))</f>
        <v>391.55758836264408</v>
      </c>
      <c r="AO148" s="59">
        <f t="shared" si="144"/>
        <v>360.80727659978777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52.248643538548805</v>
      </c>
      <c r="AV148" s="21">
        <f>EXP(-LN(2)/25)*AV147+(1-EXP(-LN(2)/25))/(LN(2)/25)*Calculateur!AQ148*Calculateur!AS148*VLOOKUP('Données projet'!$B$10,Paramètres!$A$1:$I$89,3,0)*0.475*44/12</f>
        <v>9.5946681536753484</v>
      </c>
      <c r="AW148" s="21">
        <f>EXP(-LN(2)/2)*AW147+(1-EXP(-LN(2)/2))/(LN(2)/2)*AQ148*AT148*VLOOKUP('Données projet'!$B$10,Paramètres!$A$1:$I$89,3,0)*0.475*44/12</f>
        <v>3.8846678410272405E-10</v>
      </c>
      <c r="AX148" s="21">
        <f t="shared" si="114"/>
        <v>61.843311692612623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5.0249582272954292E-14</v>
      </c>
      <c r="BF148" s="13">
        <f t="shared" si="145"/>
        <v>8.1784820119191593E-13</v>
      </c>
      <c r="BG148" s="20">
        <f t="shared" si="115"/>
        <v>1.5119369728679821E-12</v>
      </c>
      <c r="BH148" s="59">
        <f t="shared" si="116"/>
        <v>291.59392945936531</v>
      </c>
      <c r="BI148" s="59">
        <f ca="1">AVERAGE(OFFSET($BH$3,0,0,'Données projet'!$E$11+1,1))-AVERAGE(OFFSET($H$3,0,0,'Données projet'!$E$11+1,1))</f>
        <v>400.11184625063709</v>
      </c>
      <c r="BJ148" s="59">
        <f t="shared" si="146"/>
        <v>340.02906159605971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57.03550595466946</v>
      </c>
      <c r="BQ148" s="21">
        <f>EXP(-LN(2)/25)*BQ147+(1-EXP(-LN(2)/25))/(LN(2)/25)*Calculateur!BL148*Calculateur!BN148*VLOOKUP('Données projet'!$B$11,Paramètres!$A$1:$I$89,3,0)*0.475*44/12</f>
        <v>11.858404816114364</v>
      </c>
      <c r="BR148" s="21">
        <f>EXP(-LN(2)/2)*BR147+(1-EXP(-LN(2)/2))/(LN(2)/2)*BL148*BO148*VLOOKUP('Données projet'!$B$11,Paramètres!$A$1:$I$89,3,0)*0.475*44/12</f>
        <v>1.2941040208743026E-8</v>
      </c>
      <c r="BS148" s="22">
        <f t="shared" si="117"/>
        <v>68.893910783724863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9.3350000000000026</v>
      </c>
      <c r="BY148" s="12">
        <f>IF('Données projet'!$A$114&gt;35,BY147+BX148-CG147,IF(A148&lt;'Données projet'!$A$114,$BV$205^A148,IF(A148='Données projet'!$A$114,'Données projet'!$B$114,BY147+BX148-CG147)))</f>
        <v>462.47500000000093</v>
      </c>
      <c r="BZ148" s="13">
        <f>BY148*VLOOKUP('Données projet'!$B$12,Paramètres!$A$1:$I$89,3,0)*VLOOKUP('Données projet'!$B$12,Paramètres!$A$1:$I$89,5,0)</f>
        <v>310.22823000000062</v>
      </c>
      <c r="CA148" s="13">
        <f t="shared" si="147"/>
        <v>73.316491637842148</v>
      </c>
      <c r="CB148" s="20">
        <f t="shared" si="118"/>
        <v>668.00705685257617</v>
      </c>
      <c r="CC148" s="59">
        <f t="shared" si="119"/>
        <v>959.60098631194001</v>
      </c>
      <c r="CD148" s="59">
        <f ca="1">AVERAGE(OFFSET($CC$3,0,0,'Données projet'!$E$12+1,1))-AVERAGE(OFFSET($H$3,0,0,'Données projet'!$E$12+1,1))</f>
        <v>493.98227954109774</v>
      </c>
      <c r="CE148" s="59">
        <f t="shared" si="148"/>
        <v>224.32736097997289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44.79102673708303</v>
      </c>
      <c r="CL148" s="21">
        <f>EXP(-LN(2)/25)*CL147+(1-EXP(-LN(2)/25))/(LN(2)/25)*Calculateur!CG148*Calculateur!CI148*VLOOKUP('Données projet'!$B$12,Paramètres!$A$1:$I$89,3,0)*0.475*44/12</f>
        <v>20.716667328094395</v>
      </c>
      <c r="CM148" s="21">
        <f>EXP(-LN(2)/2)*CM147+(1-EXP(-LN(2)/2))/(LN(2)/2)*CG148*CJ148*VLOOKUP('Données projet'!$B$12,Paramètres!$A$1:$I$89,3,0)*0.475*44/12</f>
        <v>2.6139943563874002E-3</v>
      </c>
      <c r="CN148" s="22">
        <f t="shared" si="120"/>
        <v>65.510308059533799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9.3350000000000026</v>
      </c>
      <c r="CT148" s="12">
        <f>IF('Données projet'!$A$140&gt;35,CT147+CS148-DB147,IF(A148&lt;'Données projet'!$A$140,$CQ$205^A148,IF(A148='Données projet'!$A$140,'Données projet'!$B$140,CT147+CS148-DB147)))</f>
        <v>462.47500000000093</v>
      </c>
      <c r="CU148" s="17">
        <f>CT148*VLOOKUP('Données projet'!$B$13,Paramètres!$A$1:$I$89,3,0)*VLOOKUP('Données projet'!$B$13,Paramètres!$A$1:$I$89,5,0)</f>
        <v>440.09121000000096</v>
      </c>
      <c r="CV148" s="13">
        <f t="shared" si="149"/>
        <v>99.858810765228739</v>
      </c>
      <c r="CW148" s="20">
        <f t="shared" si="121"/>
        <v>940.4129528327752</v>
      </c>
      <c r="CX148" s="59">
        <f t="shared" si="122"/>
        <v>1232.0068822921389</v>
      </c>
      <c r="CY148" s="59">
        <f ca="1">AVERAGE(OFFSET($CX$3,0,0,'Données projet'!$E$13+1,1))-AVERAGE(OFFSET($H$3,0,0,'Données projet'!$E$13+1,1))</f>
        <v>677.13548994240728</v>
      </c>
      <c r="CZ148" s="59">
        <f t="shared" si="150"/>
        <v>298.72429542440534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51.551936433246503</v>
      </c>
      <c r="DG148" s="21">
        <f>EXP(-LN(2)/25)*DG147+(1-EXP(-LN(2)/25))/(LN(2)/25)*Calculateur!DB148*Calculateur!DD148*VLOOKUP('Données projet'!$B$13,Paramètres!$A$1:$I$89,3,0)*0.475*44/12</f>
        <v>23.843711453089774</v>
      </c>
      <c r="DH148" s="21">
        <f>EXP(-LN(2)/2)*DH147+(1-EXP(-LN(2)/2))/(LN(2)/2)*DB148*DE148*VLOOKUP('Données projet'!$B$13,Paramètres!$A$1:$I$89,3,0)*0.475*44/12</f>
        <v>3.7082245520844519E-3</v>
      </c>
      <c r="DI148" s="22">
        <f t="shared" si="123"/>
        <v>75.399356110888363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69.52561712528103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1.2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4.3999999999999995</v>
      </c>
      <c r="H149" s="67">
        <f t="shared" si="110"/>
        <v>239.06666666666669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1204.43476771941</v>
      </c>
      <c r="S149" s="59">
        <f ca="1">AVERAGE(OFFSET($R$3,0,0,'Données projet'!$E$9+1,1))-AVERAGE(OFFSET($H$3,0,0,'Données projet'!$E$9+1,1))</f>
        <v>646.69588445509589</v>
      </c>
      <c r="T149" s="59">
        <f t="shared" si="142"/>
        <v>286.36346771084698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3.177547114319168E-13</v>
      </c>
      <c r="AK149" s="13">
        <f t="shared" si="143"/>
        <v>4.1725404435445377E-12</v>
      </c>
      <c r="AL149" s="20">
        <f t="shared" si="112"/>
        <v>7.820597394917325E-12</v>
      </c>
      <c r="AM149" s="59">
        <f t="shared" si="113"/>
        <v>291.62410422786053</v>
      </c>
      <c r="AN149" s="59">
        <f ca="1">AVERAGE(OFFSET($AM$3,0,0,'Données projet'!$E$10+1,1))-AVERAGE(OFFSET($H$3,0,0,'Données projet'!$E$10+1,1))</f>
        <v>391.55758836264408</v>
      </c>
      <c r="AO149" s="59">
        <f t="shared" si="144"/>
        <v>360.80727659978777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51.224079507283669</v>
      </c>
      <c r="AV149" s="21">
        <f>EXP(-LN(2)/25)*AV148+(1-EXP(-LN(2)/25))/(LN(2)/25)*Calculateur!AQ149*Calculateur!AS149*VLOOKUP('Données projet'!$B$10,Paramètres!$A$1:$I$89,3,0)*0.475*44/12</f>
        <v>9.3323014484514264</v>
      </c>
      <c r="AW149" s="21">
        <f>EXP(-LN(2)/2)*AW148+(1-EXP(-LN(2)/2))/(LN(2)/2)*AQ149*AT149*VLOOKUP('Données projet'!$B$10,Paramètres!$A$1:$I$89,3,0)*0.475*44/12</f>
        <v>2.7468749730476669E-10</v>
      </c>
      <c r="AX149" s="21">
        <f t="shared" si="114"/>
        <v>60.556380956009782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5.0249582272954292E-14</v>
      </c>
      <c r="BF149" s="13">
        <f t="shared" si="145"/>
        <v>8.1784820119191593E-13</v>
      </c>
      <c r="BG149" s="20">
        <f t="shared" si="115"/>
        <v>1.5119369728679821E-12</v>
      </c>
      <c r="BH149" s="59">
        <f t="shared" si="116"/>
        <v>291.62410422785422</v>
      </c>
      <c r="BI149" s="59">
        <f ca="1">AVERAGE(OFFSET($BH$3,0,0,'Données projet'!$E$11+1,1))-AVERAGE(OFFSET($H$3,0,0,'Données projet'!$E$11+1,1))</f>
        <v>400.11184625063709</v>
      </c>
      <c r="BJ149" s="59">
        <f t="shared" si="146"/>
        <v>340.02906159605971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55.917074471121971</v>
      </c>
      <c r="BQ149" s="21">
        <f>EXP(-LN(2)/25)*BQ148+(1-EXP(-LN(2)/25))/(LN(2)/25)*Calculateur!BL149*Calculateur!BN149*VLOOKUP('Données projet'!$B$11,Paramètres!$A$1:$I$89,3,0)*0.475*44/12</f>
        <v>11.534136112811311</v>
      </c>
      <c r="BR149" s="21">
        <f>EXP(-LN(2)/2)*BR148+(1-EXP(-LN(2)/2))/(LN(2)/2)*BL149*BO149*VLOOKUP('Données projet'!$B$11,Paramètres!$A$1:$I$89,3,0)*0.475*44/12</f>
        <v>9.1506972872099677E-9</v>
      </c>
      <c r="BS149" s="22">
        <f t="shared" si="117"/>
        <v>67.451210593083985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9.3350000000000026</v>
      </c>
      <c r="BY149" s="12">
        <f>IF('Données projet'!$A$114&gt;35,BY148+BX149-CG148,IF(A149&lt;'Données projet'!$A$114,$BV$205^A149,IF(A149='Données projet'!$A$114,'Données projet'!$B$114,BY148+BX149-CG148)))</f>
        <v>471.81000000000091</v>
      </c>
      <c r="BZ149" s="13">
        <f>BY149*VLOOKUP('Données projet'!$B$12,Paramètres!$A$1:$I$89,3,0)*VLOOKUP('Données projet'!$B$12,Paramètres!$A$1:$I$89,5,0)</f>
        <v>316.4901480000006</v>
      </c>
      <c r="CA149" s="13">
        <f t="shared" si="147"/>
        <v>74.622592595711851</v>
      </c>
      <c r="CB149" s="20">
        <f t="shared" si="118"/>
        <v>681.18802320419911</v>
      </c>
      <c r="CC149" s="59">
        <f t="shared" si="119"/>
        <v>972.81212743205174</v>
      </c>
      <c r="CD149" s="59">
        <f ca="1">AVERAGE(OFFSET($CC$3,0,0,'Données projet'!$E$12+1,1))-AVERAGE(OFFSET($H$3,0,0,'Données projet'!$E$12+1,1))</f>
        <v>493.98227954109774</v>
      </c>
      <c r="CE149" s="59">
        <f t="shared" si="148"/>
        <v>224.32736097997289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43.912702022597529</v>
      </c>
      <c r="CL149" s="21">
        <f>EXP(-LN(2)/25)*CL148+(1-EXP(-LN(2)/25))/(LN(2)/25)*Calculateur!CG149*Calculateur!CI149*VLOOKUP('Données projet'!$B$12,Paramètres!$A$1:$I$89,3,0)*0.475*44/12</f>
        <v>20.150168970565467</v>
      </c>
      <c r="CM149" s="21">
        <f>EXP(-LN(2)/2)*CM148+(1-EXP(-LN(2)/2))/(LN(2)/2)*CG149*CJ149*VLOOKUP('Données projet'!$B$12,Paramètres!$A$1:$I$89,3,0)*0.475*44/12</f>
        <v>1.8483731353848957E-3</v>
      </c>
      <c r="CN149" s="22">
        <f t="shared" si="120"/>
        <v>64.064719366298377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9.3350000000000026</v>
      </c>
      <c r="CT149" s="12">
        <f>IF('Données projet'!$A$140&gt;35,CT148+CS149-DB148,IF(A149&lt;'Données projet'!$A$140,$CQ$205^A149,IF(A149='Données projet'!$A$140,'Données projet'!$B$140,CT148+CS149-DB148)))</f>
        <v>471.81000000000091</v>
      </c>
      <c r="CU149" s="17">
        <f>CT149*VLOOKUP('Données projet'!$B$13,Paramètres!$A$1:$I$89,3,0)*VLOOKUP('Données projet'!$B$13,Paramètres!$A$1:$I$89,5,0)</f>
        <v>448.97439600000092</v>
      </c>
      <c r="CV149" s="13">
        <f t="shared" si="149"/>
        <v>101.63775143026291</v>
      </c>
      <c r="CW149" s="20">
        <f t="shared" si="121"/>
        <v>958.98282344104257</v>
      </c>
      <c r="CX149" s="59">
        <f t="shared" si="122"/>
        <v>1250.6069276688952</v>
      </c>
      <c r="CY149" s="59">
        <f ca="1">AVERAGE(OFFSET($CX$3,0,0,'Données projet'!$E$13+1,1))-AVERAGE(OFFSET($H$3,0,0,'Données projet'!$E$13+1,1))</f>
        <v>677.13548994240728</v>
      </c>
      <c r="CZ149" s="59">
        <f t="shared" si="150"/>
        <v>298.72429542440534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50.541034403366972</v>
      </c>
      <c r="DG149" s="21">
        <f>EXP(-LN(2)/25)*DG148+(1-EXP(-LN(2)/25))/(LN(2)/25)*Calculateur!DB149*Calculateur!DD149*VLOOKUP('Données projet'!$B$13,Paramètres!$A$1:$I$89,3,0)*0.475*44/12</f>
        <v>23.191703909518743</v>
      </c>
      <c r="DH149" s="21">
        <f>EXP(-LN(2)/2)*DH148+(1-EXP(-LN(2)/2))/(LN(2)/2)*DB149*DE149*VLOOKUP('Données projet'!$B$13,Paramètres!$A$1:$I$89,3,0)*0.475*44/12</f>
        <v>2.6221107269413639E-3</v>
      </c>
      <c r="DI149" s="22">
        <f t="shared" si="123"/>
        <v>73.735360423612661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69.533846607596189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1.2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4.3999999999999995</v>
      </c>
      <c r="H150" s="67">
        <f t="shared" si="110"/>
        <v>239.06666666666669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1222.1315441362815</v>
      </c>
      <c r="S150" s="59">
        <f ca="1">AVERAGE(OFFSET($R$3,0,0,'Données projet'!$E$9+1,1))-AVERAGE(OFFSET($H$3,0,0,'Données projet'!$E$9+1,1))</f>
        <v>646.69588445509589</v>
      </c>
      <c r="T150" s="59">
        <f t="shared" si="142"/>
        <v>286.36346771084698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3.177547114319168E-13</v>
      </c>
      <c r="AK150" s="13">
        <f t="shared" si="143"/>
        <v>4.1725404435445377E-12</v>
      </c>
      <c r="AL150" s="20">
        <f t="shared" si="112"/>
        <v>7.820597394917325E-12</v>
      </c>
      <c r="AM150" s="59">
        <f t="shared" si="113"/>
        <v>291.65375553157679</v>
      </c>
      <c r="AN150" s="59">
        <f ca="1">AVERAGE(OFFSET($AM$3,0,0,'Données projet'!$E$10+1,1))-AVERAGE(OFFSET($H$3,0,0,'Données projet'!$E$10+1,1))</f>
        <v>391.55758836264408</v>
      </c>
      <c r="AO150" s="59">
        <f t="shared" si="144"/>
        <v>360.80727659978777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50.219606551749287</v>
      </c>
      <c r="AV150" s="21">
        <f>EXP(-LN(2)/25)*AV149+(1-EXP(-LN(2)/25))/(LN(2)/25)*Calculateur!AQ150*Calculateur!AS150*VLOOKUP('Données projet'!$B$10,Paramètres!$A$1:$I$89,3,0)*0.475*44/12</f>
        <v>9.0771091745791175</v>
      </c>
      <c r="AW150" s="21">
        <f>EXP(-LN(2)/2)*AW149+(1-EXP(-LN(2)/2))/(LN(2)/2)*AQ150*AT150*VLOOKUP('Données projet'!$B$10,Paramètres!$A$1:$I$89,3,0)*0.475*44/12</f>
        <v>1.9423339205136203E-10</v>
      </c>
      <c r="AX150" s="21">
        <f t="shared" si="114"/>
        <v>59.296715726522635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5.0249582272954292E-14</v>
      </c>
      <c r="BF150" s="13">
        <f t="shared" si="145"/>
        <v>8.1784820119191593E-13</v>
      </c>
      <c r="BG150" s="20">
        <f t="shared" si="115"/>
        <v>1.5119369728679821E-12</v>
      </c>
      <c r="BH150" s="59">
        <f t="shared" si="116"/>
        <v>291.65375553157048</v>
      </c>
      <c r="BI150" s="59">
        <f ca="1">AVERAGE(OFFSET($BH$3,0,0,'Données projet'!$E$11+1,1))-AVERAGE(OFFSET($H$3,0,0,'Données projet'!$E$11+1,1))</f>
        <v>400.11184625063709</v>
      </c>
      <c r="BJ150" s="59">
        <f t="shared" si="146"/>
        <v>340.02906159605971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54.820574746791003</v>
      </c>
      <c r="BQ150" s="21">
        <f>EXP(-LN(2)/25)*BQ149+(1-EXP(-LN(2)/25))/(LN(2)/25)*Calculateur!BL150*Calculateur!BN150*VLOOKUP('Données projet'!$B$11,Paramètres!$A$1:$I$89,3,0)*0.475*44/12</f>
        <v>11.218734554252629</v>
      </c>
      <c r="BR150" s="21">
        <f>EXP(-LN(2)/2)*BR149+(1-EXP(-LN(2)/2))/(LN(2)/2)*BL150*BO150*VLOOKUP('Données projet'!$B$11,Paramètres!$A$1:$I$89,3,0)*0.475*44/12</f>
        <v>6.4705201043715128E-9</v>
      </c>
      <c r="BS150" s="22">
        <f t="shared" si="117"/>
        <v>66.039309307514145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9.3350000000000026</v>
      </c>
      <c r="BY150" s="12">
        <f>IF('Données projet'!$A$114&gt;35,BY149+BX150-CG149,IF(A150&lt;'Données projet'!$A$114,$BV$205^A150,IF(A150='Données projet'!$A$114,'Données projet'!$B$114,BY149+BX150-CG149)))</f>
        <v>481.14500000000089</v>
      </c>
      <c r="BZ150" s="13">
        <f>BY150*VLOOKUP('Données projet'!$B$12,Paramètres!$A$1:$I$89,3,0)*VLOOKUP('Données projet'!$B$12,Paramètres!$A$1:$I$89,5,0)</f>
        <v>322.75206600000064</v>
      </c>
      <c r="CA150" s="13">
        <f t="shared" si="147"/>
        <v>75.925688813837397</v>
      </c>
      <c r="CB150" s="20">
        <f t="shared" si="118"/>
        <v>694.36375630076782</v>
      </c>
      <c r="CC150" s="59">
        <f t="shared" si="119"/>
        <v>986.01751183233682</v>
      </c>
      <c r="CD150" s="59">
        <f ca="1">AVERAGE(OFFSET($CC$3,0,0,'Données projet'!$E$12+1,1))-AVERAGE(OFFSET($H$3,0,0,'Données projet'!$E$12+1,1))</f>
        <v>493.98227954109774</v>
      </c>
      <c r="CE150" s="59">
        <f t="shared" si="148"/>
        <v>224.32736097997289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43.051600720037918</v>
      </c>
      <c r="CL150" s="21">
        <f>EXP(-LN(2)/25)*CL149+(1-EXP(-LN(2)/25))/(LN(2)/25)*Calculateur!CG150*Calculateur!CI150*VLOOKUP('Données projet'!$B$12,Paramètres!$A$1:$I$89,3,0)*0.475*44/12</f>
        <v>19.599161540414023</v>
      </c>
      <c r="CM150" s="21">
        <f>EXP(-LN(2)/2)*CM149+(1-EXP(-LN(2)/2))/(LN(2)/2)*CG150*CJ150*VLOOKUP('Données projet'!$B$12,Paramètres!$A$1:$I$89,3,0)*0.475*44/12</f>
        <v>1.3069971781937003E-3</v>
      </c>
      <c r="CN150" s="22">
        <f t="shared" si="120"/>
        <v>62.652069257630131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9.3350000000000026</v>
      </c>
      <c r="CT150" s="12">
        <f>IF('Données projet'!$A$140&gt;35,CT149+CS150-DB149,IF(A150&lt;'Données projet'!$A$140,$CQ$205^A150,IF(A150='Données projet'!$A$140,'Données projet'!$B$140,CT149+CS150-DB149)))</f>
        <v>481.14500000000089</v>
      </c>
      <c r="CU150" s="17">
        <f>CT150*VLOOKUP('Données projet'!$B$13,Paramètres!$A$1:$I$89,3,0)*VLOOKUP('Données projet'!$B$13,Paramètres!$A$1:$I$89,5,0)</f>
        <v>457.85758200000089</v>
      </c>
      <c r="CV150" s="13">
        <f t="shared" si="149"/>
        <v>103.4125995680798</v>
      </c>
      <c r="CW150" s="20">
        <f t="shared" si="121"/>
        <v>977.54556623107385</v>
      </c>
      <c r="CX150" s="59">
        <f t="shared" si="122"/>
        <v>1269.1993217626427</v>
      </c>
      <c r="CY150" s="59">
        <f ca="1">AVERAGE(OFFSET($CX$3,0,0,'Données projet'!$E$13+1,1))-AVERAGE(OFFSET($H$3,0,0,'Données projet'!$E$13+1,1))</f>
        <v>677.13548994240728</v>
      </c>
      <c r="CZ150" s="59">
        <f t="shared" si="150"/>
        <v>298.72429542440534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49.549955545704016</v>
      </c>
      <c r="DG150" s="21">
        <f>EXP(-LN(2)/25)*DG149+(1-EXP(-LN(2)/25))/(LN(2)/25)*Calculateur!DB150*Calculateur!DD150*VLOOKUP('Données projet'!$B$13,Paramètres!$A$1:$I$89,3,0)*0.475*44/12</f>
        <v>22.557525546514249</v>
      </c>
      <c r="DH150" s="21">
        <f>EXP(-LN(2)/2)*DH149+(1-EXP(-LN(2)/2))/(LN(2)/2)*DB150*DE150*VLOOKUP('Données projet'!$B$13,Paramètres!$A$1:$I$89,3,0)*0.475*44/12</f>
        <v>1.8541122760422262E-3</v>
      </c>
      <c r="DI150" s="22">
        <f t="shared" si="123"/>
        <v>72.1093352044943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69.541933326791536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1.2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4.3999999999999995</v>
      </c>
      <c r="H151" s="67">
        <f t="shared" si="110"/>
        <v>239.06666666666669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1239.8211365108086</v>
      </c>
      <c r="S151" s="59">
        <f ca="1">AVERAGE(OFFSET($R$3,0,0,'Données projet'!$E$9+1,1))-AVERAGE(OFFSET($H$3,0,0,'Données projet'!$E$9+1,1))</f>
        <v>646.69588445509589</v>
      </c>
      <c r="T151" s="59">
        <f t="shared" si="142"/>
        <v>286.36346771084698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3.177547114319168E-13</v>
      </c>
      <c r="AK151" s="13">
        <f t="shared" si="143"/>
        <v>4.1725404435445377E-12</v>
      </c>
      <c r="AL151" s="20">
        <f t="shared" si="112"/>
        <v>7.820597394917325E-12</v>
      </c>
      <c r="AM151" s="59">
        <f t="shared" si="113"/>
        <v>291.68289245146394</v>
      </c>
      <c r="AN151" s="59">
        <f ca="1">AVERAGE(OFFSET($AM$3,0,0,'Données projet'!$E$10+1,1))-AVERAGE(OFFSET($H$3,0,0,'Données projet'!$E$10+1,1))</f>
        <v>391.55758836264408</v>
      </c>
      <c r="AO151" s="59">
        <f t="shared" si="144"/>
        <v>360.80727659978777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49.234830698204924</v>
      </c>
      <c r="AV151" s="21">
        <f>EXP(-LN(2)/25)*AV150+(1-EXP(-LN(2)/25))/(LN(2)/25)*Calculateur!AQ151*Calculateur!AS151*VLOOKUP('Données projet'!$B$10,Paramètres!$A$1:$I$89,3,0)*0.475*44/12</f>
        <v>8.8288951468558263</v>
      </c>
      <c r="AW151" s="21">
        <f>EXP(-LN(2)/2)*AW150+(1-EXP(-LN(2)/2))/(LN(2)/2)*AQ151*AT151*VLOOKUP('Données projet'!$B$10,Paramètres!$A$1:$I$89,3,0)*0.475*44/12</f>
        <v>1.3734374865238334E-10</v>
      </c>
      <c r="AX151" s="21">
        <f t="shared" si="114"/>
        <v>58.063725845198093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5.0249582272954292E-14</v>
      </c>
      <c r="BF151" s="13">
        <f t="shared" si="145"/>
        <v>8.1784820119191593E-13</v>
      </c>
      <c r="BG151" s="20">
        <f t="shared" si="115"/>
        <v>1.5119369728679821E-12</v>
      </c>
      <c r="BH151" s="59">
        <f t="shared" si="116"/>
        <v>291.68289245145763</v>
      </c>
      <c r="BI151" s="59">
        <f ca="1">AVERAGE(OFFSET($BH$3,0,0,'Données projet'!$E$11+1,1))-AVERAGE(OFFSET($H$3,0,0,'Données projet'!$E$11+1,1))</f>
        <v>400.11184625063709</v>
      </c>
      <c r="BJ151" s="59">
        <f t="shared" si="146"/>
        <v>340.02906159605971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53.745576713255375</v>
      </c>
      <c r="BQ151" s="21">
        <f>EXP(-LN(2)/25)*BQ150+(1-EXP(-LN(2)/25))/(LN(2)/25)*Calculateur!BL151*Calculateur!BN151*VLOOKUP('Données projet'!$B$11,Paramètres!$A$1:$I$89,3,0)*0.475*44/12</f>
        <v>10.911957667898982</v>
      </c>
      <c r="BR151" s="21">
        <f>EXP(-LN(2)/2)*BR150+(1-EXP(-LN(2)/2))/(LN(2)/2)*BL151*BO151*VLOOKUP('Données projet'!$B$11,Paramètres!$A$1:$I$89,3,0)*0.475*44/12</f>
        <v>4.5753486436049839E-9</v>
      </c>
      <c r="BS151" s="22">
        <f t="shared" si="117"/>
        <v>64.657534385729718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9.3350000000000026</v>
      </c>
      <c r="BY151" s="12">
        <f>IF('Données projet'!$A$114&gt;35,BY150+BX151-CG150,IF(A151&lt;'Données projet'!$A$114,$BV$205^A151,IF(A151='Données projet'!$A$114,'Données projet'!$B$114,BY150+BX151-CG150)))</f>
        <v>490.48000000000087</v>
      </c>
      <c r="BZ151" s="13">
        <f>BY151*VLOOKUP('Données projet'!$B$12,Paramètres!$A$1:$I$89,3,0)*VLOOKUP('Données projet'!$B$12,Paramètres!$A$1:$I$89,5,0)</f>
        <v>329.01398400000056</v>
      </c>
      <c r="CA151" s="13">
        <f t="shared" si="147"/>
        <v>77.225845309635474</v>
      </c>
      <c r="CB151" s="20">
        <f t="shared" si="118"/>
        <v>707.53436938094944</v>
      </c>
      <c r="CC151" s="59">
        <f t="shared" si="119"/>
        <v>999.21726183240548</v>
      </c>
      <c r="CD151" s="59">
        <f ca="1">AVERAGE(OFFSET($CC$3,0,0,'Données projet'!$E$12+1,1))-AVERAGE(OFFSET($H$3,0,0,'Données projet'!$E$12+1,1))</f>
        <v>493.98227954109774</v>
      </c>
      <c r="CE151" s="59">
        <f t="shared" si="148"/>
        <v>224.32736097997289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42.207385088801566</v>
      </c>
      <c r="CL151" s="21">
        <f>EXP(-LN(2)/25)*CL150+(1-EXP(-LN(2)/25))/(LN(2)/25)*Calculateur!CG151*Calculateur!CI151*VLOOKUP('Données projet'!$B$12,Paramètres!$A$1:$I$89,3,0)*0.475*44/12</f>
        <v>19.063221437416292</v>
      </c>
      <c r="CM151" s="21">
        <f>EXP(-LN(2)/2)*CM150+(1-EXP(-LN(2)/2))/(LN(2)/2)*CG151*CJ151*VLOOKUP('Données projet'!$B$12,Paramètres!$A$1:$I$89,3,0)*0.475*44/12</f>
        <v>9.2418656769244797E-4</v>
      </c>
      <c r="CN151" s="22">
        <f t="shared" si="120"/>
        <v>61.271530712785555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9.3350000000000026</v>
      </c>
      <c r="CT151" s="12">
        <f>IF('Données projet'!$A$140&gt;35,CT150+CS151-DB150,IF(A151&lt;'Données projet'!$A$140,$CQ$205^A151,IF(A151='Données projet'!$A$140,'Données projet'!$B$140,CT150+CS151-DB150)))</f>
        <v>490.48000000000087</v>
      </c>
      <c r="CU151" s="17">
        <f>CT151*VLOOKUP('Données projet'!$B$13,Paramètres!$A$1:$I$89,3,0)*VLOOKUP('Données projet'!$B$13,Paramètres!$A$1:$I$89,5,0)</f>
        <v>466.74076800000086</v>
      </c>
      <c r="CV151" s="13">
        <f t="shared" si="149"/>
        <v>105.18344373395189</v>
      </c>
      <c r="CW151" s="20">
        <f t="shared" si="121"/>
        <v>996.10133543663414</v>
      </c>
      <c r="CX151" s="59">
        <f t="shared" si="122"/>
        <v>1287.7842278880903</v>
      </c>
      <c r="CY151" s="59">
        <f ca="1">AVERAGE(OFFSET($CX$3,0,0,'Données projet'!$E$13+1,1))-AVERAGE(OFFSET($H$3,0,0,'Données projet'!$E$13+1,1))</f>
        <v>677.13548994240728</v>
      </c>
      <c r="CZ151" s="59">
        <f t="shared" si="150"/>
        <v>298.72429542440534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48.57831113994142</v>
      </c>
      <c r="DG151" s="21">
        <f>EXP(-LN(2)/25)*DG150+(1-EXP(-LN(2)/25))/(LN(2)/25)*Calculateur!DB151*Calculateur!DD151*VLOOKUP('Données projet'!$B$13,Paramètres!$A$1:$I$89,3,0)*0.475*44/12</f>
        <v>21.940688824196105</v>
      </c>
      <c r="DH151" s="21">
        <f>EXP(-LN(2)/2)*DH150+(1-EXP(-LN(2)/2))/(LN(2)/2)*DB151*DE151*VLOOKUP('Données projet'!$B$13,Paramètres!$A$1:$I$89,3,0)*0.475*44/12</f>
        <v>1.3110553634706821E-3</v>
      </c>
      <c r="DI151" s="22">
        <f t="shared" si="123"/>
        <v>70.520311019500994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69.549879759488036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1.2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4.3999999999999995</v>
      </c>
      <c r="H152" s="67">
        <f t="shared" si="110"/>
        <v>239.06666666666669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1257.5036953419874</v>
      </c>
      <c r="S152" s="59">
        <f ca="1">AVERAGE(OFFSET($R$3,0,0,'Données projet'!$E$9+1,1))-AVERAGE(OFFSET($H$3,0,0,'Données projet'!$E$9+1,1))</f>
        <v>646.69588445509589</v>
      </c>
      <c r="T152" s="59">
        <f t="shared" si="142"/>
        <v>286.36346771084698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3.177547114319168E-13</v>
      </c>
      <c r="AK152" s="13">
        <f t="shared" si="143"/>
        <v>4.1725404435445377E-12</v>
      </c>
      <c r="AL152" s="20">
        <f t="shared" si="112"/>
        <v>7.820597394917325E-12</v>
      </c>
      <c r="AM152" s="59">
        <f t="shared" si="113"/>
        <v>291.71152391093148</v>
      </c>
      <c r="AN152" s="59">
        <f ca="1">AVERAGE(OFFSET($AM$3,0,0,'Données projet'!$E$10+1,1))-AVERAGE(OFFSET($H$3,0,0,'Données projet'!$E$10+1,1))</f>
        <v>391.55758836264408</v>
      </c>
      <c r="AO152" s="59">
        <f t="shared" si="144"/>
        <v>360.80727659978777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48.26936569849461</v>
      </c>
      <c r="AV152" s="21">
        <f>EXP(-LN(2)/25)*AV151+(1-EXP(-LN(2)/25))/(LN(2)/25)*Calculateur!AQ152*Calculateur!AS152*VLOOKUP('Données projet'!$B$10,Paramètres!$A$1:$I$89,3,0)*0.475*44/12</f>
        <v>8.5874685447736372</v>
      </c>
      <c r="AW152" s="21">
        <f>EXP(-LN(2)/2)*AW151+(1-EXP(-LN(2)/2))/(LN(2)/2)*AQ152*AT152*VLOOKUP('Données projet'!$B$10,Paramètres!$A$1:$I$89,3,0)*0.475*44/12</f>
        <v>9.7116696025681013E-11</v>
      </c>
      <c r="AX152" s="21">
        <f t="shared" si="114"/>
        <v>56.856834243365363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5.0249582272954292E-14</v>
      </c>
      <c r="BF152" s="13">
        <f t="shared" si="145"/>
        <v>8.1784820119191593E-13</v>
      </c>
      <c r="BG152" s="20">
        <f t="shared" si="115"/>
        <v>1.5119369728679821E-12</v>
      </c>
      <c r="BH152" s="59">
        <f t="shared" si="116"/>
        <v>291.71152391092517</v>
      </c>
      <c r="BI152" s="59">
        <f ca="1">AVERAGE(OFFSET($BH$3,0,0,'Données projet'!$E$11+1,1))-AVERAGE(OFFSET($H$3,0,0,'Données projet'!$E$11+1,1))</f>
        <v>400.11184625063709</v>
      </c>
      <c r="BJ152" s="59">
        <f t="shared" si="146"/>
        <v>340.02906159605971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52.691658735473318</v>
      </c>
      <c r="BQ152" s="21">
        <f>EXP(-LN(2)/25)*BQ151+(1-EXP(-LN(2)/25))/(LN(2)/25)*Calculateur!BL152*Calculateur!BN152*VLOOKUP('Données projet'!$B$11,Paramètres!$A$1:$I$89,3,0)*0.475*44/12</f>
        <v>10.61356961163537</v>
      </c>
      <c r="BR152" s="21">
        <f>EXP(-LN(2)/2)*BR151+(1-EXP(-LN(2)/2))/(LN(2)/2)*BL152*BO152*VLOOKUP('Données projet'!$B$11,Paramètres!$A$1:$I$89,3,0)*0.475*44/12</f>
        <v>3.2352600521857564E-9</v>
      </c>
      <c r="BS152" s="22">
        <f t="shared" si="117"/>
        <v>63.305228350343945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9.3350000000000026</v>
      </c>
      <c r="BY152" s="12">
        <f>IF('Données projet'!$A$114&gt;35,BY151+BX152-CG151,IF(A152&lt;'Données projet'!$A$114,$BV$205^A152,IF(A152='Données projet'!$A$114,'Données projet'!$B$114,BY151+BX152-CG151)))</f>
        <v>499.81500000000085</v>
      </c>
      <c r="BZ152" s="13">
        <f>BY152*VLOOKUP('Données projet'!$B$12,Paramètres!$A$1:$I$89,3,0)*VLOOKUP('Données projet'!$B$12,Paramètres!$A$1:$I$89,5,0)</f>
        <v>335.27590200000054</v>
      </c>
      <c r="CA152" s="13">
        <f t="shared" si="147"/>
        <v>78.523124484038902</v>
      </c>
      <c r="CB152" s="20">
        <f t="shared" si="118"/>
        <v>720.69997112636872</v>
      </c>
      <c r="CC152" s="59">
        <f t="shared" si="119"/>
        <v>1012.4114950372923</v>
      </c>
      <c r="CD152" s="59">
        <f ca="1">AVERAGE(OFFSET($CC$3,0,0,'Données projet'!$E$12+1,1))-AVERAGE(OFFSET($H$3,0,0,'Données projet'!$E$12+1,1))</f>
        <v>493.98227954109774</v>
      </c>
      <c r="CE152" s="59">
        <f t="shared" si="148"/>
        <v>224.32736097997289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41.379724011173067</v>
      </c>
      <c r="CL152" s="21">
        <f>EXP(-LN(2)/25)*CL151+(1-EXP(-LN(2)/25))/(LN(2)/25)*Calculateur!CG152*Calculateur!CI152*VLOOKUP('Données projet'!$B$12,Paramètres!$A$1:$I$89,3,0)*0.475*44/12</f>
        <v>18.541936644718898</v>
      </c>
      <c r="CM152" s="21">
        <f>EXP(-LN(2)/2)*CM151+(1-EXP(-LN(2)/2))/(LN(2)/2)*CG152*CJ152*VLOOKUP('Données projet'!$B$12,Paramètres!$A$1:$I$89,3,0)*0.475*44/12</f>
        <v>6.5349858909685026E-4</v>
      </c>
      <c r="CN152" s="22">
        <f t="shared" si="120"/>
        <v>59.922314154481064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9.3350000000000026</v>
      </c>
      <c r="CT152" s="12">
        <f>IF('Données projet'!$A$140&gt;35,CT151+CS152-DB151,IF(A152&lt;'Données projet'!$A$140,$CQ$205^A152,IF(A152='Données projet'!$A$140,'Données projet'!$B$140,CT151+CS152-DB151)))</f>
        <v>499.81500000000085</v>
      </c>
      <c r="CU152" s="17">
        <f>CT152*VLOOKUP('Données projet'!$B$13,Paramètres!$A$1:$I$89,3,0)*VLOOKUP('Données projet'!$B$13,Paramètres!$A$1:$I$89,5,0)</f>
        <v>475.62395400000082</v>
      </c>
      <c r="CV152" s="13">
        <f t="shared" si="149"/>
        <v>106.95036891943845</v>
      </c>
      <c r="CW152" s="20">
        <f t="shared" si="121"/>
        <v>1014.6502790846899</v>
      </c>
      <c r="CX152" s="59">
        <f t="shared" si="122"/>
        <v>1306.3618029956135</v>
      </c>
      <c r="CY152" s="59">
        <f ca="1">AVERAGE(OFFSET($CX$3,0,0,'Données projet'!$E$13+1,1))-AVERAGE(OFFSET($H$3,0,0,'Données projet'!$E$13+1,1))</f>
        <v>677.13548994240728</v>
      </c>
      <c r="CZ152" s="59">
        <f t="shared" si="150"/>
        <v>298.72429542440534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47.625720088331256</v>
      </c>
      <c r="DG152" s="21">
        <f>EXP(-LN(2)/25)*DG151+(1-EXP(-LN(2)/25))/(LN(2)/25)*Calculateur!DB152*Calculateur!DD152*VLOOKUP('Données projet'!$B$13,Paramètres!$A$1:$I$89,3,0)*0.475*44/12</f>
        <v>21.340719534487782</v>
      </c>
      <c r="DH152" s="21">
        <f>EXP(-LN(2)/2)*DH151+(1-EXP(-LN(2)/2))/(LN(2)/2)*DB152*DE152*VLOOKUP('Données projet'!$B$13,Paramètres!$A$1:$I$89,3,0)*0.475*44/12</f>
        <v>9.270561380211132E-4</v>
      </c>
      <c r="DI152" s="22">
        <f t="shared" si="123"/>
        <v>68.967366678957063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69.557688339342818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1.2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4.3999999999999995</v>
      </c>
      <c r="H153" s="67">
        <f t="shared" si="110"/>
        <v>239.06666666666669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1275.1793653829441</v>
      </c>
      <c r="S153" s="59">
        <f ca="1">AVERAGE(OFFSET($R$3,0,0,'Données projet'!$E$9+1,1))-AVERAGE(OFFSET($H$3,0,0,'Données projet'!$E$9+1,1))</f>
        <v>646.69588445509589</v>
      </c>
      <c r="T153" s="59">
        <f t="shared" si="142"/>
        <v>286.36346771084698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3.177547114319168E-13</v>
      </c>
      <c r="AK153" s="13">
        <f t="shared" si="143"/>
        <v>4.1725404435445377E-12</v>
      </c>
      <c r="AL153" s="20">
        <f t="shared" si="112"/>
        <v>7.820597394917325E-12</v>
      </c>
      <c r="AM153" s="59">
        <f t="shared" si="113"/>
        <v>291.73965867858766</v>
      </c>
      <c r="AN153" s="59">
        <f ca="1">AVERAGE(OFFSET($AM$3,0,0,'Données projet'!$E$10+1,1))-AVERAGE(OFFSET($H$3,0,0,'Données projet'!$E$10+1,1))</f>
        <v>391.55758836264408</v>
      </c>
      <c r="AO153" s="59">
        <f t="shared" si="144"/>
        <v>360.80727659978777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47.322832878553108</v>
      </c>
      <c r="AV153" s="21">
        <f>EXP(-LN(2)/25)*AV152+(1-EXP(-LN(2)/25))/(LN(2)/25)*Calculateur!AQ153*Calculateur!AS153*VLOOKUP('Données projet'!$B$10,Paramètres!$A$1:$I$89,3,0)*0.475*44/12</f>
        <v>8.3526437658214583</v>
      </c>
      <c r="AW153" s="21">
        <f>EXP(-LN(2)/2)*AW152+(1-EXP(-LN(2)/2))/(LN(2)/2)*AQ153*AT153*VLOOKUP('Données projet'!$B$10,Paramètres!$A$1:$I$89,3,0)*0.475*44/12</f>
        <v>6.8671874326191672E-11</v>
      </c>
      <c r="AX153" s="21">
        <f t="shared" si="114"/>
        <v>55.675476644443243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5.0249582272954292E-14</v>
      </c>
      <c r="BF153" s="13">
        <f t="shared" si="145"/>
        <v>8.1784820119191593E-13</v>
      </c>
      <c r="BG153" s="20">
        <f t="shared" si="115"/>
        <v>1.5119369728679821E-12</v>
      </c>
      <c r="BH153" s="59">
        <f t="shared" si="116"/>
        <v>291.73965867858135</v>
      </c>
      <c r="BI153" s="59">
        <f ca="1">AVERAGE(OFFSET($BH$3,0,0,'Données projet'!$E$11+1,1))-AVERAGE(OFFSET($H$3,0,0,'Données projet'!$E$11+1,1))</f>
        <v>400.11184625063709</v>
      </c>
      <c r="BJ153" s="59">
        <f t="shared" si="146"/>
        <v>340.02906159605971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51.658407446409079</v>
      </c>
      <c r="BQ153" s="21">
        <f>EXP(-LN(2)/25)*BQ152+(1-EXP(-LN(2)/25))/(LN(2)/25)*Calculateur!BL153*Calculateur!BN153*VLOOKUP('Données projet'!$B$11,Paramètres!$A$1:$I$89,3,0)*0.475*44/12</f>
        <v>10.323340992461832</v>
      </c>
      <c r="BR153" s="21">
        <f>EXP(-LN(2)/2)*BR152+(1-EXP(-LN(2)/2))/(LN(2)/2)*BL153*BO153*VLOOKUP('Données projet'!$B$11,Paramètres!$A$1:$I$89,3,0)*0.475*44/12</f>
        <v>2.2876743218024919E-9</v>
      </c>
      <c r="BS153" s="22">
        <f t="shared" si="117"/>
        <v>61.981748441158587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9.3350000000000026</v>
      </c>
      <c r="BY153" s="12">
        <f>IF('Données projet'!$A$114&gt;35,BY152+BX153-CG152,IF(A153&lt;'Données projet'!$A$114,$BV$205^A153,IF(A153='Données projet'!$A$114,'Données projet'!$B$114,BY152+BX153-CG152)))</f>
        <v>509.15000000000083</v>
      </c>
      <c r="BZ153" s="13">
        <f>BY153*VLOOKUP('Données projet'!$B$12,Paramètres!$A$1:$I$89,3,0)*VLOOKUP('Données projet'!$B$12,Paramètres!$A$1:$I$89,5,0)</f>
        <v>341.53782000000058</v>
      </c>
      <c r="CA153" s="13">
        <f t="shared" si="147"/>
        <v>79.817586273658151</v>
      </c>
      <c r="CB153" s="20">
        <f t="shared" si="118"/>
        <v>733.86066592662235</v>
      </c>
      <c r="CC153" s="59">
        <f t="shared" si="119"/>
        <v>1025.6003246052021</v>
      </c>
      <c r="CD153" s="59">
        <f ca="1">AVERAGE(OFFSET($CC$3,0,0,'Données projet'!$E$12+1,1))-AVERAGE(OFFSET($H$3,0,0,'Données projet'!$E$12+1,1))</f>
        <v>493.98227954109774</v>
      </c>
      <c r="CE153" s="59">
        <f t="shared" si="148"/>
        <v>224.32736097997289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40.568292862453454</v>
      </c>
      <c r="CL153" s="21">
        <f>EXP(-LN(2)/25)*CL152+(1-EXP(-LN(2)/25))/(LN(2)/25)*Calculateur!CG153*Calculateur!CI153*VLOOKUP('Données projet'!$B$12,Paramètres!$A$1:$I$89,3,0)*0.475*44/12</f>
        <v>18.03490641209099</v>
      </c>
      <c r="CM153" s="21">
        <f>EXP(-LN(2)/2)*CM152+(1-EXP(-LN(2)/2))/(LN(2)/2)*CG153*CJ153*VLOOKUP('Données projet'!$B$12,Paramètres!$A$1:$I$89,3,0)*0.475*44/12</f>
        <v>4.6209328384622404E-4</v>
      </c>
      <c r="CN153" s="22">
        <f t="shared" si="120"/>
        <v>58.603661367828288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9.3350000000000026</v>
      </c>
      <c r="CT153" s="12">
        <f>IF('Données projet'!$A$140&gt;35,CT152+CS153-DB152,IF(A153&lt;'Données projet'!$A$140,$CQ$205^A153,IF(A153='Données projet'!$A$140,'Données projet'!$B$140,CT152+CS153-DB152)))</f>
        <v>509.15000000000083</v>
      </c>
      <c r="CU153" s="17">
        <f>CT153*VLOOKUP('Données projet'!$B$13,Paramètres!$A$1:$I$89,3,0)*VLOOKUP('Données projet'!$B$13,Paramètres!$A$1:$I$89,5,0)</f>
        <v>484.50714000000085</v>
      </c>
      <c r="CV153" s="13">
        <f t="shared" si="149"/>
        <v>108.71345675963302</v>
      </c>
      <c r="CW153" s="20">
        <f t="shared" si="121"/>
        <v>1033.1925393563622</v>
      </c>
      <c r="CX153" s="59">
        <f t="shared" si="122"/>
        <v>1324.9321980349421</v>
      </c>
      <c r="CY153" s="59">
        <f ca="1">AVERAGE(OFFSET($CX$3,0,0,'Données projet'!$E$13+1,1))-AVERAGE(OFFSET($H$3,0,0,'Données projet'!$E$13+1,1))</f>
        <v>677.13548994240728</v>
      </c>
      <c r="CZ153" s="59">
        <f t="shared" si="150"/>
        <v>298.72429542440534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46.691808766219999</v>
      </c>
      <c r="DG153" s="21">
        <f>EXP(-LN(2)/25)*DG152+(1-EXP(-LN(2)/25))/(LN(2)/25)*Calculateur!DB153*Calculateur!DD153*VLOOKUP('Données projet'!$B$13,Paramètres!$A$1:$I$89,3,0)*0.475*44/12</f>
        <v>20.757156436557548</v>
      </c>
      <c r="DH153" s="21">
        <f>EXP(-LN(2)/2)*DH152+(1-EXP(-LN(2)/2))/(LN(2)/2)*DB153*DE153*VLOOKUP('Données projet'!$B$13,Paramètres!$A$1:$I$89,3,0)*0.475*44/12</f>
        <v>6.5552768173534118E-4</v>
      </c>
      <c r="DI153" s="22">
        <f t="shared" si="123"/>
        <v>67.449620730459273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69.565361457794495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1.2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4.3999999999999995</v>
      </c>
      <c r="H154" s="67">
        <f t="shared" si="110"/>
        <v>239.06666666666669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1292.8482859628116</v>
      </c>
      <c r="S154" s="59">
        <f ca="1">AVERAGE(OFFSET($R$3,0,0,'Données projet'!$E$9+1,1))-AVERAGE(OFFSET($H$3,0,0,'Données projet'!$E$9+1,1))</f>
        <v>646.69588445509589</v>
      </c>
      <c r="T154" s="59">
        <f t="shared" si="142"/>
        <v>286.36346771084698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3.177547114319168E-13</v>
      </c>
      <c r="AK154" s="13">
        <f t="shared" ref="AK154:AK203" si="164">EXP(-1.0587+0.8836*LN(AJ154)+0.284)</f>
        <v>4.1725404435445377E-12</v>
      </c>
      <c r="AL154" s="20">
        <f t="shared" ref="AL154:AL203" si="165">(AJ154+AK154)*0.475*44/12</f>
        <v>7.820597394917325E-12</v>
      </c>
      <c r="AM154" s="59">
        <f t="shared" si="113"/>
        <v>291.76730537092487</v>
      </c>
      <c r="AN154" s="59">
        <f ca="1">AVERAGE(OFFSET($AM$3,0,0,'Données projet'!$E$10+1,1))-AVERAGE(OFFSET($H$3,0,0,'Données projet'!$E$10+1,1))</f>
        <v>391.55758836264408</v>
      </c>
      <c r="AO154" s="59">
        <f t="shared" si="144"/>
        <v>360.80727659978777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46.394860989882645</v>
      </c>
      <c r="AV154" s="21">
        <f>EXP(-LN(2)/25)*AV153+(1-EXP(-LN(2)/25))/(LN(2)/25)*Calculateur!AQ154*Calculateur!AS154*VLOOKUP('Données projet'!$B$10,Paramètres!$A$1:$I$89,3,0)*0.475*44/12</f>
        <v>8.1242402827986258</v>
      </c>
      <c r="AW154" s="21">
        <f>EXP(-LN(2)/2)*AW153+(1-EXP(-LN(2)/2))/(LN(2)/2)*AQ154*AT154*VLOOKUP('Données projet'!$B$10,Paramètres!$A$1:$I$89,3,0)*0.475*44/12</f>
        <v>4.8558348012840507E-11</v>
      </c>
      <c r="AX154" s="21">
        <f t="shared" ref="AX154:AX203" si="166">SUM(AU154:AW154)</f>
        <v>54.519101272729827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5.0249582272954292E-14</v>
      </c>
      <c r="BF154" s="13">
        <f t="shared" ref="BF154:BF203" si="167">EXP(-1.0587+0.8836*LN(BE154)+0.284)</f>
        <v>8.1784820119191593E-13</v>
      </c>
      <c r="BG154" s="20">
        <f t="shared" ref="BG154:BG203" si="168">(BE154+BF154)*0.475*44/12</f>
        <v>1.5119369728679821E-12</v>
      </c>
      <c r="BH154" s="59">
        <f t="shared" si="116"/>
        <v>291.76730537091856</v>
      </c>
      <c r="BI154" s="59">
        <f ca="1">AVERAGE(OFFSET($BH$3,0,0,'Données projet'!$E$11+1,1))-AVERAGE(OFFSET($H$3,0,0,'Données projet'!$E$11+1,1))</f>
        <v>400.11184625063709</v>
      </c>
      <c r="BJ154" s="59">
        <f t="shared" si="146"/>
        <v>340.02906159605971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50.645417584902333</v>
      </c>
      <c r="BQ154" s="21">
        <f>EXP(-LN(2)/25)*BQ153+(1-EXP(-LN(2)/25))/(LN(2)/25)*Calculateur!BL154*Calculateur!BN154*VLOOKUP('Données projet'!$B$11,Paramètres!$A$1:$I$89,3,0)*0.475*44/12</f>
        <v>10.041048690142054</v>
      </c>
      <c r="BR154" s="21">
        <f>EXP(-LN(2)/2)*BR153+(1-EXP(-LN(2)/2))/(LN(2)/2)*BL154*BO154*VLOOKUP('Données projet'!$B$11,Paramètres!$A$1:$I$89,3,0)*0.475*44/12</f>
        <v>1.6176300260928782E-9</v>
      </c>
      <c r="BS154" s="22">
        <f t="shared" ref="BS154:BS203" si="169">SUM(BP154:BR154)</f>
        <v>60.686466276662017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9.3350000000000026</v>
      </c>
      <c r="BY154" s="12">
        <f>IF('Données projet'!$A$114&gt;35,BY153+BX154-CG153,IF(A154&lt;'Données projet'!$A$114,$BV$205^A154,IF(A154='Données projet'!$A$114,'Données projet'!$B$114,BY153+BX154-CG153)))</f>
        <v>518.48500000000081</v>
      </c>
      <c r="BZ154" s="13">
        <f>BY154*VLOOKUP('Données projet'!$B$12,Paramètres!$A$1:$I$89,3,0)*VLOOKUP('Données projet'!$B$12,Paramètres!$A$1:$I$89,5,0)</f>
        <v>347.79973800000056</v>
      </c>
      <c r="CA154" s="13">
        <f t="shared" ref="CA154:CA203" si="170">EXP(-1.0587+0.8836*LN(BZ154)+0.284)</f>
        <v>81.109288291467749</v>
      </c>
      <c r="CB154" s="20">
        <f t="shared" ref="CB154:CB203" si="171">(BZ154+CA154)*0.475*44/12</f>
        <v>747.01655412430728</v>
      </c>
      <c r="CC154" s="59">
        <f t="shared" si="119"/>
        <v>1038.7838594952243</v>
      </c>
      <c r="CD154" s="59">
        <f ca="1">AVERAGE(OFFSET($CC$3,0,0,'Données projet'!$E$12+1,1))-AVERAGE(OFFSET($H$3,0,0,'Données projet'!$E$12+1,1))</f>
        <v>493.98227954109774</v>
      </c>
      <c r="CE154" s="59">
        <f t="shared" si="148"/>
        <v>224.32736097997289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39.7727733836361</v>
      </c>
      <c r="CL154" s="21">
        <f>EXP(-LN(2)/25)*CL153+(1-EXP(-LN(2)/25))/(LN(2)/25)*Calculateur!CG154*Calculateur!CI154*VLOOKUP('Données projet'!$B$12,Paramètres!$A$1:$I$89,3,0)*0.475*44/12</f>
        <v>17.541740947837852</v>
      </c>
      <c r="CM154" s="21">
        <f>EXP(-LN(2)/2)*CM153+(1-EXP(-LN(2)/2))/(LN(2)/2)*CG154*CJ154*VLOOKUP('Données projet'!$B$12,Paramètres!$A$1:$I$89,3,0)*0.475*44/12</f>
        <v>3.2674929454842519E-4</v>
      </c>
      <c r="CN154" s="22">
        <f t="shared" ref="CN154:CN203" si="172">SUM(CK154:CM154)</f>
        <v>57.314841080768502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9.3350000000000026</v>
      </c>
      <c r="CT154" s="12">
        <f>IF('Données projet'!$A$140&gt;35,CT153+CS154-DB153,IF(A154&lt;'Données projet'!$A$140,$CQ$205^A154,IF(A154='Données projet'!$A$140,'Données projet'!$B$140,CT153+CS154-DB153)))</f>
        <v>518.48500000000081</v>
      </c>
      <c r="CU154" s="17">
        <f>CT154*VLOOKUP('Données projet'!$B$13,Paramètres!$A$1:$I$89,3,0)*VLOOKUP('Données projet'!$B$13,Paramètres!$A$1:$I$89,5,0)</f>
        <v>493.39032600000081</v>
      </c>
      <c r="CV154" s="13">
        <f t="shared" ref="CV154:CV203" si="173">EXP(-1.0587+0.8836*LN(CU154)+0.284)</f>
        <v>110.47278572478149</v>
      </c>
      <c r="CW154" s="20">
        <f t="shared" ref="CW154:CW203" si="174">(CU154+CV154)*0.475*44/12</f>
        <v>1051.7282529206625</v>
      </c>
      <c r="CX154" s="59">
        <f t="shared" si="122"/>
        <v>1343.4955582915795</v>
      </c>
      <c r="CY154" s="59">
        <f ca="1">AVERAGE(OFFSET($CX$3,0,0,'Données projet'!$E$13+1,1))-AVERAGE(OFFSET($H$3,0,0,'Données projet'!$E$13+1,1))</f>
        <v>677.13548994240728</v>
      </c>
      <c r="CZ154" s="59">
        <f t="shared" si="150"/>
        <v>298.72429542440534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45.776210875505683</v>
      </c>
      <c r="DG154" s="21">
        <f>EXP(-LN(2)/25)*DG153+(1-EXP(-LN(2)/25))/(LN(2)/25)*Calculateur!DB154*Calculateur!DD154*VLOOKUP('Données projet'!$B$13,Paramètres!$A$1:$I$89,3,0)*0.475*44/12</f>
        <v>20.189550902228465</v>
      </c>
      <c r="DH154" s="21">
        <f>EXP(-LN(2)/2)*DH153+(1-EXP(-LN(2)/2))/(LN(2)/2)*DB154*DE154*VLOOKUP('Données projet'!$B$13,Paramètres!$A$1:$I$89,3,0)*0.475*44/12</f>
        <v>4.6352806901055671E-4</v>
      </c>
      <c r="DI154" s="22">
        <f t="shared" ref="DI154:DI203" si="175">SUM(DF154:DH154)</f>
        <v>65.96622530580315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69.572901464795549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1.2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4.3999999999999995</v>
      </c>
      <c r="H155" s="67">
        <f t="shared" si="110"/>
        <v>239.06666666666669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1310.510591284921</v>
      </c>
      <c r="S155" s="59">
        <f ca="1">AVERAGE(OFFSET($R$3,0,0,'Données projet'!$E$9+1,1))-AVERAGE(OFFSET($H$3,0,0,'Données projet'!$E$9+1,1))</f>
        <v>646.69588445509589</v>
      </c>
      <c r="T155" s="59">
        <f t="shared" si="142"/>
        <v>286.36346771084698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3.177547114319168E-13</v>
      </c>
      <c r="AK155" s="13">
        <f t="shared" si="164"/>
        <v>4.1725404435445377E-12</v>
      </c>
      <c r="AL155" s="20">
        <f t="shared" si="165"/>
        <v>7.820597394917325E-12</v>
      </c>
      <c r="AM155" s="59">
        <f t="shared" si="113"/>
        <v>291.79447245495879</v>
      </c>
      <c r="AN155" s="59">
        <f ca="1">AVERAGE(OFFSET($AM$3,0,0,'Données projet'!$E$10+1,1))-AVERAGE(OFFSET($H$3,0,0,'Données projet'!$E$10+1,1))</f>
        <v>391.55758836264408</v>
      </c>
      <c r="AO155" s="59">
        <f t="shared" si="144"/>
        <v>360.80727659978777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45.485086063942049</v>
      </c>
      <c r="AV155" s="21">
        <f>EXP(-LN(2)/25)*AV154+(1-EXP(-LN(2)/25))/(LN(2)/25)*Calculateur!AQ155*Calculateur!AS155*VLOOKUP('Données projet'!$B$10,Paramètres!$A$1:$I$89,3,0)*0.475*44/12</f>
        <v>7.9020825050302692</v>
      </c>
      <c r="AW155" s="21">
        <f>EXP(-LN(2)/2)*AW154+(1-EXP(-LN(2)/2))/(LN(2)/2)*AQ155*AT155*VLOOKUP('Données projet'!$B$10,Paramètres!$A$1:$I$89,3,0)*0.475*44/12</f>
        <v>3.4335937163095836E-11</v>
      </c>
      <c r="AX155" s="21">
        <f t="shared" si="166"/>
        <v>53.387168569006654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5.0249582272954292E-14</v>
      </c>
      <c r="BF155" s="13">
        <f t="shared" si="167"/>
        <v>8.1784820119191593E-13</v>
      </c>
      <c r="BG155" s="20">
        <f t="shared" si="168"/>
        <v>1.5119369728679821E-12</v>
      </c>
      <c r="BH155" s="59">
        <f t="shared" si="116"/>
        <v>291.79447245495248</v>
      </c>
      <c r="BI155" s="59">
        <f ca="1">AVERAGE(OFFSET($BH$3,0,0,'Données projet'!$E$11+1,1))-AVERAGE(OFFSET($H$3,0,0,'Données projet'!$E$11+1,1))</f>
        <v>400.11184625063709</v>
      </c>
      <c r="BJ155" s="59">
        <f t="shared" si="146"/>
        <v>340.02906159605971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49.652291836716927</v>
      </c>
      <c r="BQ155" s="21">
        <f>EXP(-LN(2)/25)*BQ154+(1-EXP(-LN(2)/25))/(LN(2)/25)*Calculateur!BL155*Calculateur!BN155*VLOOKUP('Données projet'!$B$11,Paramètres!$A$1:$I$89,3,0)*0.475*44/12</f>
        <v>9.7664756856743171</v>
      </c>
      <c r="BR155" s="21">
        <f>EXP(-LN(2)/2)*BR154+(1-EXP(-LN(2)/2))/(LN(2)/2)*BL155*BO155*VLOOKUP('Données projet'!$B$11,Paramètres!$A$1:$I$89,3,0)*0.475*44/12</f>
        <v>1.143837160901246E-9</v>
      </c>
      <c r="BS155" s="22">
        <f t="shared" si="169"/>
        <v>59.418767523535081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9.3350000000000026</v>
      </c>
      <c r="BY155" s="12">
        <f>IF('Données projet'!$A$114&gt;35,BY154+BX155-CG154,IF(A155&lt;'Données projet'!$A$114,$BV$205^A155,IF(A155='Données projet'!$A$114,'Données projet'!$B$114,BY154+BX155-CG154)))</f>
        <v>527.82000000000085</v>
      </c>
      <c r="BZ155" s="13">
        <f>BY155*VLOOKUP('Données projet'!$B$12,Paramètres!$A$1:$I$89,3,0)*VLOOKUP('Données projet'!$B$12,Paramètres!$A$1:$I$89,5,0)</f>
        <v>354.06165600000054</v>
      </c>
      <c r="CA155" s="13">
        <f t="shared" si="170"/>
        <v>82.398285957075018</v>
      </c>
      <c r="CB155" s="20">
        <f t="shared" si="171"/>
        <v>760.16773224190672</v>
      </c>
      <c r="CC155" s="59">
        <f t="shared" si="119"/>
        <v>1051.9622046968577</v>
      </c>
      <c r="CD155" s="59">
        <f ca="1">AVERAGE(OFFSET($CC$3,0,0,'Données projet'!$E$12+1,1))-AVERAGE(OFFSET($H$3,0,0,'Données projet'!$E$12+1,1))</f>
        <v>493.98227954109774</v>
      </c>
      <c r="CE155" s="59">
        <f t="shared" si="148"/>
        <v>224.32736097997289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38.992853556579384</v>
      </c>
      <c r="CL155" s="21">
        <f>EXP(-LN(2)/25)*CL154+(1-EXP(-LN(2)/25))/(LN(2)/25)*Calculateur!CG155*Calculateur!CI155*VLOOKUP('Données projet'!$B$12,Paramètres!$A$1:$I$89,3,0)*0.475*44/12</f>
        <v>17.062061119139162</v>
      </c>
      <c r="CM155" s="21">
        <f>EXP(-LN(2)/2)*CM154+(1-EXP(-LN(2)/2))/(LN(2)/2)*CG155*CJ155*VLOOKUP('Données projet'!$B$12,Paramètres!$A$1:$I$89,3,0)*0.475*44/12</f>
        <v>2.3104664192311207E-4</v>
      </c>
      <c r="CN155" s="22">
        <f t="shared" si="172"/>
        <v>56.055145722360471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9.3350000000000026</v>
      </c>
      <c r="CT155" s="12">
        <f>IF('Données projet'!$A$140&gt;35,CT154+CS155-DB154,IF(A155&lt;'Données projet'!$A$140,$CQ$205^A155,IF(A155='Données projet'!$A$140,'Données projet'!$B$140,CT154+CS155-DB154)))</f>
        <v>527.82000000000085</v>
      </c>
      <c r="CU155" s="17">
        <f>CT155*VLOOKUP('Données projet'!$B$13,Paramètres!$A$1:$I$89,3,0)*VLOOKUP('Données projet'!$B$13,Paramètres!$A$1:$I$89,5,0)</f>
        <v>502.27351200000078</v>
      </c>
      <c r="CV155" s="13">
        <f t="shared" si="173"/>
        <v>112.22843129771096</v>
      </c>
      <c r="CW155" s="20">
        <f t="shared" si="174"/>
        <v>1070.2575512435144</v>
      </c>
      <c r="CX155" s="59">
        <f t="shared" si="122"/>
        <v>1362.0520236984653</v>
      </c>
      <c r="CY155" s="59">
        <f ca="1">AVERAGE(OFFSET($CX$3,0,0,'Données projet'!$E$13+1,1))-AVERAGE(OFFSET($H$3,0,0,'Données projet'!$E$13+1,1))</f>
        <v>677.13548994240728</v>
      </c>
      <c r="CZ155" s="59">
        <f t="shared" si="150"/>
        <v>298.72429542440534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44.878567300968705</v>
      </c>
      <c r="DG155" s="21">
        <f>EXP(-LN(2)/25)*DG154+(1-EXP(-LN(2)/25))/(LN(2)/25)*Calculateur!DB155*Calculateur!DD155*VLOOKUP('Données projet'!$B$13,Paramètres!$A$1:$I$89,3,0)*0.475*44/12</f>
        <v>19.637466571084691</v>
      </c>
      <c r="DH155" s="21">
        <f>EXP(-LN(2)/2)*DH154+(1-EXP(-LN(2)/2))/(LN(2)/2)*DB155*DE155*VLOOKUP('Données projet'!$B$13,Paramètres!$A$1:$I$89,3,0)*0.475*44/12</f>
        <v>3.2776384086767064E-4</v>
      </c>
      <c r="DI155" s="22">
        <f t="shared" si="175"/>
        <v>64.51636163589427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69.580310669532068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1.2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4.3999999999999995</v>
      </c>
      <c r="H156" s="67">
        <f t="shared" si="110"/>
        <v>239.06666666666669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1328.1664107034476</v>
      </c>
      <c r="S156" s="59">
        <f ca="1">AVERAGE(OFFSET($R$3,0,0,'Données projet'!$E$9+1,1))-AVERAGE(OFFSET($H$3,0,0,'Données projet'!$E$9+1,1))</f>
        <v>646.69588445509589</v>
      </c>
      <c r="T156" s="59">
        <f t="shared" si="142"/>
        <v>286.36346771084698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3.177547114319168E-13</v>
      </c>
      <c r="AK156" s="13">
        <f t="shared" si="164"/>
        <v>4.1725404435445377E-12</v>
      </c>
      <c r="AL156" s="20">
        <f t="shared" si="165"/>
        <v>7.820597394917325E-12</v>
      </c>
      <c r="AM156" s="59">
        <f t="shared" si="113"/>
        <v>291.82116825082119</v>
      </c>
      <c r="AN156" s="59">
        <f ca="1">AVERAGE(OFFSET($AM$3,0,0,'Données projet'!$E$10+1,1))-AVERAGE(OFFSET($H$3,0,0,'Données projet'!$E$10+1,1))</f>
        <v>391.55758836264408</v>
      </c>
      <c r="AO156" s="59">
        <f t="shared" si="144"/>
        <v>360.80727659978777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44.593151269391235</v>
      </c>
      <c r="AV156" s="21">
        <f>EXP(-LN(2)/25)*AV155+(1-EXP(-LN(2)/25))/(LN(2)/25)*Calculateur!AQ156*Calculateur!AS156*VLOOKUP('Données projet'!$B$10,Paramètres!$A$1:$I$89,3,0)*0.475*44/12</f>
        <v>7.685999643377758</v>
      </c>
      <c r="AW156" s="21">
        <f>EXP(-LN(2)/2)*AW155+(1-EXP(-LN(2)/2))/(LN(2)/2)*AQ156*AT156*VLOOKUP('Données projet'!$B$10,Paramètres!$A$1:$I$89,3,0)*0.475*44/12</f>
        <v>2.4279174006420253E-11</v>
      </c>
      <c r="AX156" s="21">
        <f t="shared" si="166"/>
        <v>52.27915091279327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5.0249582272954292E-14</v>
      </c>
      <c r="BF156" s="13">
        <f t="shared" si="167"/>
        <v>8.1784820119191593E-13</v>
      </c>
      <c r="BG156" s="20">
        <f t="shared" si="168"/>
        <v>1.5119369728679821E-12</v>
      </c>
      <c r="BH156" s="59">
        <f t="shared" si="116"/>
        <v>291.82116825081488</v>
      </c>
      <c r="BI156" s="59">
        <f ca="1">AVERAGE(OFFSET($BH$3,0,0,'Données projet'!$E$11+1,1))-AVERAGE(OFFSET($H$3,0,0,'Données projet'!$E$11+1,1))</f>
        <v>400.11184625063709</v>
      </c>
      <c r="BJ156" s="59">
        <f t="shared" si="146"/>
        <v>340.02906159605971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48.678640678706543</v>
      </c>
      <c r="BQ156" s="21">
        <f>EXP(-LN(2)/25)*BQ155+(1-EXP(-LN(2)/25))/(LN(2)/25)*Calculateur!BL156*Calculateur!BN156*VLOOKUP('Données projet'!$B$11,Paramètres!$A$1:$I$89,3,0)*0.475*44/12</f>
        <v>9.4994108944529181</v>
      </c>
      <c r="BR156" s="21">
        <f>EXP(-LN(2)/2)*BR155+(1-EXP(-LN(2)/2))/(LN(2)/2)*BL156*BO156*VLOOKUP('Données projet'!$B$11,Paramètres!$A$1:$I$89,3,0)*0.475*44/12</f>
        <v>8.088150130464391E-10</v>
      </c>
      <c r="BS156" s="22">
        <f t="shared" si="169"/>
        <v>58.178051573968283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9.3350000000000026</v>
      </c>
      <c r="BY156" s="12">
        <f>IF('Données projet'!$A$114&gt;35,BY155+BX156-CG155,IF(A156&lt;'Données projet'!$A$114,$BV$205^A156,IF(A156='Données projet'!$A$114,'Données projet'!$B$114,BY155+BX156-CG155)))</f>
        <v>537.15500000000088</v>
      </c>
      <c r="BZ156" s="13">
        <f>BY156*VLOOKUP('Données projet'!$B$12,Paramètres!$A$1:$I$89,3,0)*VLOOKUP('Données projet'!$B$12,Paramètres!$A$1:$I$89,5,0)</f>
        <v>360.32357400000058</v>
      </c>
      <c r="CA156" s="13">
        <f t="shared" si="170"/>
        <v>83.684632617510985</v>
      </c>
      <c r="CB156" s="20">
        <f t="shared" si="171"/>
        <v>773.31429319216602</v>
      </c>
      <c r="CC156" s="59">
        <f t="shared" si="119"/>
        <v>1065.1354614429792</v>
      </c>
      <c r="CD156" s="59">
        <f ca="1">AVERAGE(OFFSET($CC$3,0,0,'Données projet'!$E$12+1,1))-AVERAGE(OFFSET($H$3,0,0,'Données projet'!$E$12+1,1))</f>
        <v>493.98227954109774</v>
      </c>
      <c r="CE156" s="59">
        <f t="shared" si="148"/>
        <v>224.32736097997289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38.22822748162713</v>
      </c>
      <c r="CL156" s="21">
        <f>EXP(-LN(2)/25)*CL155+(1-EXP(-LN(2)/25))/(LN(2)/25)*Calculateur!CG156*Calculateur!CI156*VLOOKUP('Données projet'!$B$12,Paramètres!$A$1:$I$89,3,0)*0.475*44/12</f>
        <v>16.595498160581503</v>
      </c>
      <c r="CM156" s="21">
        <f>EXP(-LN(2)/2)*CM155+(1-EXP(-LN(2)/2))/(LN(2)/2)*CG156*CJ156*VLOOKUP('Données projet'!$B$12,Paramètres!$A$1:$I$89,3,0)*0.475*44/12</f>
        <v>1.6337464727421262E-4</v>
      </c>
      <c r="CN156" s="22">
        <f t="shared" si="172"/>
        <v>54.823889016855901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9.3350000000000026</v>
      </c>
      <c r="CT156" s="12">
        <f>IF('Données projet'!$A$140&gt;35,CT155+CS156-DB155,IF(A156&lt;'Données projet'!$A$140,$CQ$205^A156,IF(A156='Données projet'!$A$140,'Données projet'!$B$140,CT155+CS156-DB155)))</f>
        <v>537.15500000000088</v>
      </c>
      <c r="CU156" s="17">
        <f>CT156*VLOOKUP('Données projet'!$B$13,Paramètres!$A$1:$I$89,3,0)*VLOOKUP('Données projet'!$B$13,Paramètres!$A$1:$I$89,5,0)</f>
        <v>511.15669800000086</v>
      </c>
      <c r="CV156" s="13">
        <f t="shared" si="173"/>
        <v>113.98046613835052</v>
      </c>
      <c r="CW156" s="20">
        <f t="shared" si="174"/>
        <v>1088.7805608742954</v>
      </c>
      <c r="CX156" s="59">
        <f t="shared" si="122"/>
        <v>1380.6017291251087</v>
      </c>
      <c r="CY156" s="59">
        <f ca="1">AVERAGE(OFFSET($CX$3,0,0,'Données projet'!$E$13+1,1))-AVERAGE(OFFSET($H$3,0,0,'Données projet'!$E$13+1,1))</f>
        <v>677.13548994240728</v>
      </c>
      <c r="CZ156" s="59">
        <f t="shared" si="150"/>
        <v>298.72429542440534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43.99852596941988</v>
      </c>
      <c r="DG156" s="21">
        <f>EXP(-LN(2)/25)*DG155+(1-EXP(-LN(2)/25))/(LN(2)/25)*Calculateur!DB156*Calculateur!DD156*VLOOKUP('Données projet'!$B$13,Paramètres!$A$1:$I$89,3,0)*0.475*44/12</f>
        <v>19.100479015008894</v>
      </c>
      <c r="DH156" s="21">
        <f>EXP(-LN(2)/2)*DH155+(1-EXP(-LN(2)/2))/(LN(2)/2)*DB156*DE156*VLOOKUP('Données projet'!$B$13,Paramètres!$A$1:$I$89,3,0)*0.475*44/12</f>
        <v>2.3176403450527838E-4</v>
      </c>
      <c r="DI156" s="22">
        <f t="shared" si="175"/>
        <v>63.099236748463277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69.587591341130917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1.2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4.3999999999999995</v>
      </c>
      <c r="H157" s="67">
        <f t="shared" si="110"/>
        <v>239.06666666666669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1345.8158689804218</v>
      </c>
      <c r="S157" s="59">
        <f ca="1">AVERAGE(OFFSET($R$3,0,0,'Données projet'!$E$9+1,1))-AVERAGE(OFFSET($H$3,0,0,'Données projet'!$E$9+1,1))</f>
        <v>646.69588445509589</v>
      </c>
      <c r="T157" s="59">
        <f t="shared" si="142"/>
        <v>286.36346771084698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3.177547114319168E-13</v>
      </c>
      <c r="AK157" s="13">
        <f t="shared" si="164"/>
        <v>4.1725404435445377E-12</v>
      </c>
      <c r="AL157" s="20">
        <f t="shared" si="165"/>
        <v>7.820597394917325E-12</v>
      </c>
      <c r="AM157" s="59">
        <f t="shared" si="113"/>
        <v>291.84740093430827</v>
      </c>
      <c r="AN157" s="59">
        <f ca="1">AVERAGE(OFFSET($AM$3,0,0,'Données projet'!$E$10+1,1))-AVERAGE(OFFSET($H$3,0,0,'Données projet'!$E$10+1,1))</f>
        <v>391.55758836264408</v>
      </c>
      <c r="AO157" s="59">
        <f t="shared" si="144"/>
        <v>360.80727659978777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43.718706772135057</v>
      </c>
      <c r="AV157" s="21">
        <f>EXP(-LN(2)/25)*AV156+(1-EXP(-LN(2)/25))/(LN(2)/25)*Calculateur!AQ157*Calculateur!AS157*VLOOKUP('Données projet'!$B$10,Paramètres!$A$1:$I$89,3,0)*0.475*44/12</f>
        <v>7.4758255789404382</v>
      </c>
      <c r="AW157" s="21">
        <f>EXP(-LN(2)/2)*AW156+(1-EXP(-LN(2)/2))/(LN(2)/2)*AQ157*AT157*VLOOKUP('Données projet'!$B$10,Paramètres!$A$1:$I$89,3,0)*0.475*44/12</f>
        <v>1.7167968581547918E-11</v>
      </c>
      <c r="AX157" s="21">
        <f t="shared" si="166"/>
        <v>51.194532351092661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5.0249582272954292E-14</v>
      </c>
      <c r="BF157" s="13">
        <f t="shared" si="167"/>
        <v>8.1784820119191593E-13</v>
      </c>
      <c r="BG157" s="20">
        <f t="shared" si="168"/>
        <v>1.5119369728679821E-12</v>
      </c>
      <c r="BH157" s="59">
        <f t="shared" si="116"/>
        <v>291.84740093430196</v>
      </c>
      <c r="BI157" s="59">
        <f ca="1">AVERAGE(OFFSET($BH$3,0,0,'Données projet'!$E$11+1,1))-AVERAGE(OFFSET($H$3,0,0,'Données projet'!$E$11+1,1))</f>
        <v>400.11184625063709</v>
      </c>
      <c r="BJ157" s="59">
        <f t="shared" si="146"/>
        <v>340.02906159605971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47.724082226036174</v>
      </c>
      <c r="BQ157" s="21">
        <f>EXP(-LN(2)/25)*BQ156+(1-EXP(-LN(2)/25))/(LN(2)/25)*Calculateur!BL157*Calculateur!BN157*VLOOKUP('Données projet'!$B$11,Paramètres!$A$1:$I$89,3,0)*0.475*44/12</f>
        <v>9.2396490039917953</v>
      </c>
      <c r="BR157" s="21">
        <f>EXP(-LN(2)/2)*BR156+(1-EXP(-LN(2)/2))/(LN(2)/2)*BL157*BO157*VLOOKUP('Données projet'!$B$11,Paramètres!$A$1:$I$89,3,0)*0.475*44/12</f>
        <v>5.7191858045062298E-10</v>
      </c>
      <c r="BS157" s="22">
        <f t="shared" si="169"/>
        <v>56.963731230599883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9.3350000000000026</v>
      </c>
      <c r="BX157" s="12">
        <f t="array" ref="BX157">INDEX(BW:BW,MIN(IF(ISNUMBER(BW157:BW353),ROW(BW157:BW353),"")))</f>
        <v>9.3350000000000026</v>
      </c>
      <c r="BY157" s="12">
        <f>IF('Données projet'!$A$114&gt;35,BY156+BX157-CG156,IF(A157&lt;'Données projet'!$A$114,$BV$205^A157,IF(A157='Données projet'!$A$114,'Données projet'!$B$114,BY156+BX157-CG156)))</f>
        <v>546.49000000000092</v>
      </c>
      <c r="BZ157" s="13">
        <f>BY157*VLOOKUP('Données projet'!$B$12,Paramètres!$A$1:$I$89,3,0)*VLOOKUP('Données projet'!$B$12,Paramètres!$A$1:$I$89,5,0)</f>
        <v>366.58549200000061</v>
      </c>
      <c r="CA157" s="13">
        <f t="shared" si="170"/>
        <v>84.968379659387594</v>
      </c>
      <c r="CB157" s="20">
        <f t="shared" si="171"/>
        <v>786.45632647343439</v>
      </c>
      <c r="CC157" s="59">
        <f t="shared" si="119"/>
        <v>1078.3037274077349</v>
      </c>
      <c r="CD157" s="59">
        <f ca="1">AVERAGE(OFFSET($CC$3,0,0,'Données projet'!$E$12+1,1))-AVERAGE(OFFSET($H$3,0,0,'Données projet'!$E$12+1,1))</f>
        <v>493.98227954109774</v>
      </c>
      <c r="CE157" s="59">
        <f t="shared" si="148"/>
        <v>224.32736097997289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61.050000000000011</v>
      </c>
      <c r="CH157" s="16">
        <f>IF(ISNA(VLOOKUP(A157,'Données projet'!$A$113:$I$133,5,0)),0%,VLOOKUP(A157,'Données projet'!$A$113:$I$133,5,0)*VLOOKUP('Données projet'!$B$12,Paramètres!$A$1:$I$89,7,0))</f>
        <v>0.26500000000000001</v>
      </c>
      <c r="CI157" s="16">
        <f>IF(ISNA(VLOOKUP(A157,'Données projet'!$A$113:$I$133,6,0)),0%,VLOOKUP(A157,'Données projet'!$A$113:$I$133,6,0)*VLOOKUP('Données projet'!$B$12,Paramètres!$A$1:$I$89,7,0))</f>
        <v>0.10600000000000001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49.475568950907878</v>
      </c>
      <c r="CL157" s="21">
        <f>EXP(-LN(2)/25)*CL156+(1-EXP(-LN(2)/25))/(LN(2)/25)*Calculateur!CG157*Calculateur!CI157*VLOOKUP('Données projet'!$B$12,Paramètres!$A$1:$I$89,3,0)*0.475*44/12</f>
        <v>20.921588205318383</v>
      </c>
      <c r="CM157" s="21">
        <f>EXP(-LN(2)/2)*CM156+(1-EXP(-LN(2)/2))/(LN(2)/2)*CG157*CJ157*VLOOKUP('Données projet'!$B$12,Paramètres!$A$1:$I$89,3,0)*0.475*44/12</f>
        <v>1.1552332096155605E-4</v>
      </c>
      <c r="CN157" s="22">
        <f t="shared" si="172"/>
        <v>70.397272679547214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9.3350000000000026</v>
      </c>
      <c r="CS157" s="12">
        <f t="array" ref="CS157">INDEX(CR:CR,MIN(IF(ISNUMBER(CR157:CR353),ROW(CR157:CR353),"")))</f>
        <v>9.3350000000000026</v>
      </c>
      <c r="CT157" s="12">
        <f>IF('Données projet'!$A$140&gt;35,CT156+CS157-DB156,IF(A157&lt;'Données projet'!$A$140,$CQ$205^A157,IF(A157='Données projet'!$A$140,'Données projet'!$B$140,CT156+CS157-DB156)))</f>
        <v>546.49000000000092</v>
      </c>
      <c r="CU157" s="17">
        <f>CT157*VLOOKUP('Données projet'!$B$13,Paramètres!$A$1:$I$89,3,0)*VLOOKUP('Données projet'!$B$13,Paramètres!$A$1:$I$89,5,0)</f>
        <v>520.03988400000094</v>
      </c>
      <c r="CV157" s="13">
        <f t="shared" si="173"/>
        <v>115.72896023649152</v>
      </c>
      <c r="CW157" s="20">
        <f t="shared" si="174"/>
        <v>1107.2974037118909</v>
      </c>
      <c r="CX157" s="59">
        <f t="shared" si="122"/>
        <v>1399.1448046461912</v>
      </c>
      <c r="CY157" s="59">
        <f ca="1">AVERAGE(OFFSET($CX$3,0,0,'Données projet'!$E$13+1,1))-AVERAGE(OFFSET($H$3,0,0,'Données projet'!$E$13+1,1))</f>
        <v>677.13548994240728</v>
      </c>
      <c r="CZ157" s="59">
        <f t="shared" si="150"/>
        <v>298.72429542440534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61.050000000000011</v>
      </c>
      <c r="DC157" s="16">
        <f>IF(ISNA(VLOOKUP(A157,'Données projet'!$A$139:$I$159,5,0)),0%,VLOOKUP(A157,'Données projet'!$A$139:$I$159,5,0)*VLOOKUP('Données projet'!$B$13,Paramètres!$A$1:$I$89,7,0))</f>
        <v>0.215</v>
      </c>
      <c r="DD157" s="16">
        <f>IF(ISNA(VLOOKUP(A157,'Données projet'!$A$139:$I$159,6,0)),0%,VLOOKUP(A157,'Données projet'!$A$139:$I$159,6,0)*VLOOKUP('Données projet'!$B$13,Paramètres!$A$1:$I$89,7,0))</f>
        <v>8.6000000000000007E-2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56.943579358592061</v>
      </c>
      <c r="DG157" s="21">
        <f>EXP(-LN(2)/25)*DG156+(1-EXP(-LN(2)/25))/(LN(2)/25)*Calculateur!DB157*Calculateur!DD157*VLOOKUP('Données projet'!$B$13,Paramètres!$A$1:$I$89,3,0)*0.475*44/12</f>
        <v>24.079563783479642</v>
      </c>
      <c r="DH157" s="21">
        <f>EXP(-LN(2)/2)*DH156+(1-EXP(-LN(2)/2))/(LN(2)/2)*DB157*DE157*VLOOKUP('Données projet'!$B$13,Paramètres!$A$1:$I$89,3,0)*0.475*44/12</f>
        <v>1.6388192043383535E-4</v>
      </c>
      <c r="DI157" s="22">
        <f t="shared" si="175"/>
        <v>81.023307023992132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69.594745709354655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1.2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4.3999999999999995</v>
      </c>
      <c r="H158" s="67">
        <f t="shared" si="110"/>
        <v>239.06666666666669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1248.4240836006488</v>
      </c>
      <c r="S158" s="59">
        <f ca="1">AVERAGE(OFFSET($R$3,0,0,'Données projet'!$E$9+1,1))-AVERAGE(OFFSET($H$3,0,0,'Données projet'!$E$9+1,1))</f>
        <v>646.69588445509589</v>
      </c>
      <c r="T158" s="59">
        <f t="shared" si="142"/>
        <v>286.36346771084698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3.177547114319168E-13</v>
      </c>
      <c r="AK158" s="13">
        <f t="shared" si="164"/>
        <v>4.1725404435445377E-12</v>
      </c>
      <c r="AL158" s="20">
        <f t="shared" si="165"/>
        <v>7.820597394917325E-12</v>
      </c>
      <c r="AM158" s="59">
        <f t="shared" si="113"/>
        <v>291.8731785393843</v>
      </c>
      <c r="AN158" s="59">
        <f ca="1">AVERAGE(OFFSET($AM$3,0,0,'Données projet'!$E$10+1,1))-AVERAGE(OFFSET($H$3,0,0,'Données projet'!$E$10+1,1))</f>
        <v>391.55758836264408</v>
      </c>
      <c r="AO158" s="59">
        <f t="shared" si="144"/>
        <v>360.80727659978777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42.861409598111592</v>
      </c>
      <c r="AV158" s="21">
        <f>EXP(-LN(2)/25)*AV157+(1-EXP(-LN(2)/25))/(LN(2)/25)*Calculateur!AQ158*Calculateur!AS158*VLOOKUP('Données projet'!$B$10,Paramètres!$A$1:$I$89,3,0)*0.475*44/12</f>
        <v>7.2713987353477307</v>
      </c>
      <c r="AW158" s="21">
        <f>EXP(-LN(2)/2)*AW157+(1-EXP(-LN(2)/2))/(LN(2)/2)*AQ158*AT158*VLOOKUP('Données projet'!$B$10,Paramètres!$A$1:$I$89,3,0)*0.475*44/12</f>
        <v>1.2139587003210127E-11</v>
      </c>
      <c r="AX158" s="21">
        <f t="shared" si="166"/>
        <v>50.132808333471459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5.0249582272954292E-14</v>
      </c>
      <c r="BF158" s="13">
        <f t="shared" si="167"/>
        <v>8.1784820119191593E-13</v>
      </c>
      <c r="BG158" s="20">
        <f t="shared" si="168"/>
        <v>1.5119369728679821E-12</v>
      </c>
      <c r="BH158" s="59">
        <f t="shared" si="116"/>
        <v>291.87317853937799</v>
      </c>
      <c r="BI158" s="59">
        <f ca="1">AVERAGE(OFFSET($BH$3,0,0,'Données projet'!$E$11+1,1))-AVERAGE(OFFSET($H$3,0,0,'Données projet'!$E$11+1,1))</f>
        <v>400.11184625063709</v>
      </c>
      <c r="BJ158" s="59">
        <f t="shared" si="146"/>
        <v>340.02906159605971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46.788242082399506</v>
      </c>
      <c r="BQ158" s="21">
        <f>EXP(-LN(2)/25)*BQ157+(1-EXP(-LN(2)/25))/(LN(2)/25)*Calculateur!BL158*Calculateur!BN158*VLOOKUP('Données projet'!$B$11,Paramètres!$A$1:$I$89,3,0)*0.475*44/12</f>
        <v>8.9869903160856168</v>
      </c>
      <c r="BR158" s="21">
        <f>EXP(-LN(2)/2)*BR157+(1-EXP(-LN(2)/2))/(LN(2)/2)*BL158*BO158*VLOOKUP('Données projet'!$B$11,Paramètres!$A$1:$I$89,3,0)*0.475*44/12</f>
        <v>4.0440750652321955E-10</v>
      </c>
      <c r="BS158" s="22">
        <f t="shared" si="169"/>
        <v>55.775232398889528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9.4880000000000049</v>
      </c>
      <c r="BY158" s="12">
        <f>IF('Données projet'!$A$114&gt;35,BY157+BX158-CG157,IF(A158&lt;'Données projet'!$A$114,$BV$205^A158,IF(A158='Données projet'!$A$114,'Données projet'!$B$114,BY157+BX158-CG157)))</f>
        <v>494.92800000000096</v>
      </c>
      <c r="BZ158" s="13">
        <f>BY158*VLOOKUP('Données projet'!$B$12,Paramètres!$A$1:$I$89,3,0)*VLOOKUP('Données projet'!$B$12,Paramètres!$A$1:$I$89,5,0)</f>
        <v>331.99770240000061</v>
      </c>
      <c r="CA158" s="13">
        <f t="shared" si="170"/>
        <v>77.844336252298078</v>
      </c>
      <c r="CB158" s="20">
        <f t="shared" si="171"/>
        <v>713.80821731942024</v>
      </c>
      <c r="CC158" s="59">
        <f t="shared" si="119"/>
        <v>1005.6813958587967</v>
      </c>
      <c r="CD158" s="59">
        <f ca="1">AVERAGE(OFFSET($CC$3,0,0,'Données projet'!$E$12+1,1))-AVERAGE(OFFSET($H$3,0,0,'Données projet'!$E$12+1,1))</f>
        <v>493.98227954109774</v>
      </c>
      <c r="CE158" s="59">
        <f t="shared" si="148"/>
        <v>224.32736097997289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48.50538322089789</v>
      </c>
      <c r="CL158" s="21">
        <f>EXP(-LN(2)/25)*CL157+(1-EXP(-LN(2)/25))/(LN(2)/25)*Calculateur!CG158*Calculateur!CI158*VLOOKUP('Données projet'!$B$12,Paramètres!$A$1:$I$89,3,0)*0.475*44/12</f>
        <v>20.349486275625445</v>
      </c>
      <c r="CM158" s="21">
        <f>EXP(-LN(2)/2)*CM157+(1-EXP(-LN(2)/2))/(LN(2)/2)*CG158*CJ158*VLOOKUP('Données projet'!$B$12,Paramètres!$A$1:$I$89,3,0)*0.475*44/12</f>
        <v>8.1687323637106324E-5</v>
      </c>
      <c r="CN158" s="22">
        <f t="shared" si="172"/>
        <v>68.854951183846978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9.4880000000000049</v>
      </c>
      <c r="CT158" s="12">
        <f>IF('Données projet'!$A$140&gt;35,CT157+CS158-DB157,IF(A158&lt;'Données projet'!$A$140,$CQ$205^A158,IF(A158='Données projet'!$A$140,'Données projet'!$B$140,CT157+CS158-DB157)))</f>
        <v>494.92800000000096</v>
      </c>
      <c r="CU158" s="17">
        <f>CT158*VLOOKUP('Données projet'!$B$13,Paramètres!$A$1:$I$89,3,0)*VLOOKUP('Données projet'!$B$13,Paramètres!$A$1:$I$89,5,0)</f>
        <v>470.97348480000096</v>
      </c>
      <c r="CV158" s="13">
        <f t="shared" si="173"/>
        <v>106.02584315355907</v>
      </c>
      <c r="CW158" s="20">
        <f t="shared" si="174"/>
        <v>1004.9404961857837</v>
      </c>
      <c r="CX158" s="59">
        <f t="shared" si="122"/>
        <v>1296.8136747251601</v>
      </c>
      <c r="CY158" s="59">
        <f ca="1">AVERAGE(OFFSET($CX$3,0,0,'Données projet'!$E$13+1,1))-AVERAGE(OFFSET($H$3,0,0,'Données projet'!$E$13+1,1))</f>
        <v>677.13548994240728</v>
      </c>
      <c r="CZ158" s="59">
        <f t="shared" si="150"/>
        <v>298.72429542440534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55.826950499523967</v>
      </c>
      <c r="DG158" s="21">
        <f>EXP(-LN(2)/25)*DG157+(1-EXP(-LN(2)/25))/(LN(2)/25)*Calculateur!DB158*Calculateur!DD158*VLOOKUP('Données projet'!$B$13,Paramètres!$A$1:$I$89,3,0)*0.475*44/12</f>
        <v>23.421106845531167</v>
      </c>
      <c r="DH158" s="21">
        <f>EXP(-LN(2)/2)*DH157+(1-EXP(-LN(2)/2))/(LN(2)/2)*DB158*DE158*VLOOKUP('Données projet'!$B$13,Paramètres!$A$1:$I$89,3,0)*0.475*44/12</f>
        <v>1.1588201725263922E-4</v>
      </c>
      <c r="DI158" s="22">
        <f t="shared" si="175"/>
        <v>79.248173227072385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69.601775965284489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1.2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4.3999999999999995</v>
      </c>
      <c r="H159" s="67">
        <f t="shared" si="110"/>
        <v>239.06666666666669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1266.3895223899049</v>
      </c>
      <c r="S159" s="59">
        <f ca="1">AVERAGE(OFFSET($R$3,0,0,'Données projet'!$E$9+1,1))-AVERAGE(OFFSET($H$3,0,0,'Données projet'!$E$9+1,1))</f>
        <v>646.69588445509589</v>
      </c>
      <c r="T159" s="59">
        <f t="shared" si="142"/>
        <v>286.36346771084698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3.177547114319168E-13</v>
      </c>
      <c r="AK159" s="13">
        <f t="shared" si="164"/>
        <v>4.1725404435445377E-12</v>
      </c>
      <c r="AL159" s="20">
        <f t="shared" si="165"/>
        <v>7.820597394917325E-12</v>
      </c>
      <c r="AM159" s="59">
        <f t="shared" si="113"/>
        <v>291.8985089606424</v>
      </c>
      <c r="AN159" s="59">
        <f ca="1">AVERAGE(OFFSET($AM$3,0,0,'Données projet'!$E$10+1,1))-AVERAGE(OFFSET($H$3,0,0,'Données projet'!$E$10+1,1))</f>
        <v>391.55758836264408</v>
      </c>
      <c r="AO159" s="59">
        <f t="shared" si="144"/>
        <v>360.80727659978777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42.020923498771083</v>
      </c>
      <c r="AV159" s="21">
        <f>EXP(-LN(2)/25)*AV158+(1-EXP(-LN(2)/25))/(LN(2)/25)*Calculateur!AQ159*Calculateur!AS159*VLOOKUP('Données projet'!$B$10,Paramètres!$A$1:$I$89,3,0)*0.475*44/12</f>
        <v>7.0725619545434064</v>
      </c>
      <c r="AW159" s="21">
        <f>EXP(-LN(2)/2)*AW158+(1-EXP(-LN(2)/2))/(LN(2)/2)*AQ159*AT159*VLOOKUP('Données projet'!$B$10,Paramètres!$A$1:$I$89,3,0)*0.475*44/12</f>
        <v>8.583984290773959E-12</v>
      </c>
      <c r="AX159" s="21">
        <f t="shared" si="166"/>
        <v>49.093485453323069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5.0249582272954292E-14</v>
      </c>
      <c r="BF159" s="13">
        <f t="shared" si="167"/>
        <v>8.1784820119191593E-13</v>
      </c>
      <c r="BG159" s="20">
        <f t="shared" si="168"/>
        <v>1.5119369728679821E-12</v>
      </c>
      <c r="BH159" s="59">
        <f t="shared" si="116"/>
        <v>291.89850896063609</v>
      </c>
      <c r="BI159" s="59">
        <f ca="1">AVERAGE(OFFSET($BH$3,0,0,'Données projet'!$E$11+1,1))-AVERAGE(OFFSET($H$3,0,0,'Données projet'!$E$11+1,1))</f>
        <v>400.11184625063709</v>
      </c>
      <c r="BJ159" s="59">
        <f t="shared" si="146"/>
        <v>340.02906159605971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45.870753193173428</v>
      </c>
      <c r="BQ159" s="21">
        <f>EXP(-LN(2)/25)*BQ158+(1-EXP(-LN(2)/25))/(LN(2)/25)*Calculateur!BL159*Calculateur!BN159*VLOOKUP('Données projet'!$B$11,Paramètres!$A$1:$I$89,3,0)*0.475*44/12</f>
        <v>8.7412405932869746</v>
      </c>
      <c r="BR159" s="21">
        <f>EXP(-LN(2)/2)*BR158+(1-EXP(-LN(2)/2))/(LN(2)/2)*BL159*BO159*VLOOKUP('Données projet'!$B$11,Paramètres!$A$1:$I$89,3,0)*0.475*44/12</f>
        <v>2.8595929022531149E-10</v>
      </c>
      <c r="BS159" s="22">
        <f t="shared" si="169"/>
        <v>54.611993786746361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9.4880000000000049</v>
      </c>
      <c r="BY159" s="12">
        <f>IF('Données projet'!$A$114&gt;35,BY158+BX159-CG158,IF(A159&lt;'Données projet'!$A$114,$BV$205^A159,IF(A159='Données projet'!$A$114,'Données projet'!$B$114,BY158+BX159-CG158)))</f>
        <v>504.41600000000096</v>
      </c>
      <c r="BZ159" s="13">
        <f>BY159*VLOOKUP('Données projet'!$B$12,Paramètres!$A$1:$I$89,3,0)*VLOOKUP('Données projet'!$B$12,Paramètres!$A$1:$I$89,5,0)</f>
        <v>338.36225280000065</v>
      </c>
      <c r="CA159" s="13">
        <f t="shared" si="170"/>
        <v>79.161482451025137</v>
      </c>
      <c r="CB159" s="20">
        <f t="shared" si="171"/>
        <v>727.18717222886983</v>
      </c>
      <c r="CC159" s="59">
        <f t="shared" si="119"/>
        <v>1019.0856811895044</v>
      </c>
      <c r="CD159" s="59">
        <f ca="1">AVERAGE(OFFSET($CC$3,0,0,'Données projet'!$E$12+1,1))-AVERAGE(OFFSET($H$3,0,0,'Données projet'!$E$12+1,1))</f>
        <v>493.98227954109774</v>
      </c>
      <c r="CE159" s="59">
        <f t="shared" si="148"/>
        <v>224.32736097997289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47.554222241298532</v>
      </c>
      <c r="CL159" s="21">
        <f>EXP(-LN(2)/25)*CL158+(1-EXP(-LN(2)/25))/(LN(2)/25)*Calculateur!CG159*Calculateur!CI159*VLOOKUP('Données projet'!$B$12,Paramètres!$A$1:$I$89,3,0)*0.475*44/12</f>
        <v>19.793028503285495</v>
      </c>
      <c r="CM159" s="21">
        <f>EXP(-LN(2)/2)*CM158+(1-EXP(-LN(2)/2))/(LN(2)/2)*CG159*CJ159*VLOOKUP('Données projet'!$B$12,Paramètres!$A$1:$I$89,3,0)*0.475*44/12</f>
        <v>5.7761660480778039E-5</v>
      </c>
      <c r="CN159" s="22">
        <f t="shared" si="172"/>
        <v>67.347308506244516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9.4880000000000049</v>
      </c>
      <c r="CT159" s="12">
        <f>IF('Données projet'!$A$140&gt;35,CT158+CS159-DB158,IF(A159&lt;'Données projet'!$A$140,$CQ$205^A159,IF(A159='Données projet'!$A$140,'Données projet'!$B$140,CT158+CS159-DB158)))</f>
        <v>504.41600000000096</v>
      </c>
      <c r="CU159" s="17">
        <f>CT159*VLOOKUP('Données projet'!$B$13,Paramètres!$A$1:$I$89,3,0)*VLOOKUP('Données projet'!$B$13,Paramètres!$A$1:$I$89,5,0)</f>
        <v>480.0022656000009</v>
      </c>
      <c r="CV159" s="13">
        <f t="shared" si="173"/>
        <v>107.81982770015364</v>
      </c>
      <c r="CW159" s="20">
        <f t="shared" si="174"/>
        <v>1023.7901458311022</v>
      </c>
      <c r="CX159" s="59">
        <f t="shared" si="122"/>
        <v>1315.6886547917368</v>
      </c>
      <c r="CY159" s="59">
        <f ca="1">AVERAGE(OFFSET($CX$3,0,0,'Données projet'!$E$13+1,1))-AVERAGE(OFFSET($H$3,0,0,'Données projet'!$E$13+1,1))</f>
        <v>677.13548994240728</v>
      </c>
      <c r="CZ159" s="59">
        <f t="shared" si="150"/>
        <v>298.72429542440534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54.732218051305843</v>
      </c>
      <c r="DG159" s="21">
        <f>EXP(-LN(2)/25)*DG158+(1-EXP(-LN(2)/25))/(LN(2)/25)*Calculateur!DB159*Calculateur!DD159*VLOOKUP('Données projet'!$B$13,Paramètres!$A$1:$I$89,3,0)*0.475*44/12</f>
        <v>22.780655447177637</v>
      </c>
      <c r="DH159" s="21">
        <f>EXP(-LN(2)/2)*DH158+(1-EXP(-LN(2)/2))/(LN(2)/2)*DB159*DE159*VLOOKUP('Données projet'!$B$13,Paramètres!$A$1:$I$89,3,0)*0.475*44/12</f>
        <v>8.1940960216917688E-5</v>
      </c>
      <c r="DI159" s="22">
        <f t="shared" si="175"/>
        <v>77.512955439443701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69.608684261991243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1.2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4.3999999999999995</v>
      </c>
      <c r="H160" s="67">
        <f t="shared" si="110"/>
        <v>239.06666666666669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1284.3479856062022</v>
      </c>
      <c r="S160" s="59">
        <f ca="1">AVERAGE(OFFSET($R$3,0,0,'Données projet'!$E$9+1,1))-AVERAGE(OFFSET($H$3,0,0,'Données projet'!$E$9+1,1))</f>
        <v>646.69588445509589</v>
      </c>
      <c r="T160" s="59">
        <f t="shared" si="142"/>
        <v>286.36346771084698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3.177547114319168E-13</v>
      </c>
      <c r="AK160" s="13">
        <f t="shared" si="164"/>
        <v>4.1725404435445377E-12</v>
      </c>
      <c r="AL160" s="20">
        <f t="shared" si="165"/>
        <v>7.820597394917325E-12</v>
      </c>
      <c r="AM160" s="59">
        <f t="shared" si="113"/>
        <v>291.92339995572195</v>
      </c>
      <c r="AN160" s="59">
        <f ca="1">AVERAGE(OFFSET($AM$3,0,0,'Données projet'!$E$10+1,1))-AVERAGE(OFFSET($H$3,0,0,'Données projet'!$E$10+1,1))</f>
        <v>391.55758836264408</v>
      </c>
      <c r="AO160" s="59">
        <f t="shared" si="144"/>
        <v>360.80727659978777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41.196918819192739</v>
      </c>
      <c r="AV160" s="21">
        <f>EXP(-LN(2)/25)*AV159+(1-EXP(-LN(2)/25))/(LN(2)/25)*Calculateur!AQ160*Calculateur!AS160*VLOOKUP('Données projet'!$B$10,Paramètres!$A$1:$I$89,3,0)*0.475*44/12</f>
        <v>6.8791623759665486</v>
      </c>
      <c r="AW160" s="21">
        <f>EXP(-LN(2)/2)*AW159+(1-EXP(-LN(2)/2))/(LN(2)/2)*AQ160*AT160*VLOOKUP('Données projet'!$B$10,Paramètres!$A$1:$I$89,3,0)*0.475*44/12</f>
        <v>6.0697935016050633E-12</v>
      </c>
      <c r="AX160" s="21">
        <f t="shared" si="166"/>
        <v>48.076081195165358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5.0249582272954292E-14</v>
      </c>
      <c r="BF160" s="13">
        <f t="shared" si="167"/>
        <v>8.1784820119191593E-13</v>
      </c>
      <c r="BG160" s="20">
        <f t="shared" si="168"/>
        <v>1.5119369728679821E-12</v>
      </c>
      <c r="BH160" s="59">
        <f t="shared" si="116"/>
        <v>291.92339995571564</v>
      </c>
      <c r="BI160" s="59">
        <f ca="1">AVERAGE(OFFSET($BH$3,0,0,'Données projet'!$E$11+1,1))-AVERAGE(OFFSET($H$3,0,0,'Données projet'!$E$11+1,1))</f>
        <v>400.11184625063709</v>
      </c>
      <c r="BJ160" s="59">
        <f t="shared" si="146"/>
        <v>340.02906159605971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44.971255701452108</v>
      </c>
      <c r="BQ160" s="21">
        <f>EXP(-LN(2)/25)*BQ159+(1-EXP(-LN(2)/25))/(LN(2)/25)*Calculateur!BL160*Calculateur!BN160*VLOOKUP('Données projet'!$B$11,Paramètres!$A$1:$I$89,3,0)*0.475*44/12</f>
        <v>8.5022109095816774</v>
      </c>
      <c r="BR160" s="21">
        <f>EXP(-LN(2)/2)*BR159+(1-EXP(-LN(2)/2))/(LN(2)/2)*BL160*BO160*VLOOKUP('Données projet'!$B$11,Paramètres!$A$1:$I$89,3,0)*0.475*44/12</f>
        <v>2.0220375326160977E-10</v>
      </c>
      <c r="BS160" s="22">
        <f t="shared" si="169"/>
        <v>53.473466611235992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9.4880000000000049</v>
      </c>
      <c r="BY160" s="12">
        <f>IF('Données projet'!$A$114&gt;35,BY159+BX160-CG159,IF(A160&lt;'Données projet'!$A$114,$BV$205^A160,IF(A160='Données projet'!$A$114,'Données projet'!$B$114,BY159+BX160-CG159)))</f>
        <v>513.90400000000102</v>
      </c>
      <c r="BZ160" s="13">
        <f>BY160*VLOOKUP('Données projet'!$B$12,Paramètres!$A$1:$I$89,3,0)*VLOOKUP('Données projet'!$B$12,Paramètres!$A$1:$I$89,5,0)</f>
        <v>344.72680320000069</v>
      </c>
      <c r="CA160" s="13">
        <f t="shared" si="170"/>
        <v>80.475747774130014</v>
      </c>
      <c r="CB160" s="20">
        <f t="shared" si="171"/>
        <v>740.56110961327749</v>
      </c>
      <c r="CC160" s="59">
        <f t="shared" si="119"/>
        <v>1032.4845095689916</v>
      </c>
      <c r="CD160" s="59">
        <f ca="1">AVERAGE(OFFSET($CC$3,0,0,'Données projet'!$E$12+1,1))-AVERAGE(OFFSET($H$3,0,0,'Données projet'!$E$12+1,1))</f>
        <v>493.98227954109774</v>
      </c>
      <c r="CE160" s="59">
        <f t="shared" si="148"/>
        <v>224.32736097997289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46.621712948358208</v>
      </c>
      <c r="CL160" s="21">
        <f>EXP(-LN(2)/25)*CL159+(1-EXP(-LN(2)/25))/(LN(2)/25)*Calculateur!CG160*Calculateur!CI160*VLOOKUP('Données projet'!$B$12,Paramètres!$A$1:$I$89,3,0)*0.475*44/12</f>
        <v>19.25178709799302</v>
      </c>
      <c r="CM160" s="21">
        <f>EXP(-LN(2)/2)*CM159+(1-EXP(-LN(2)/2))/(LN(2)/2)*CG160*CJ160*VLOOKUP('Données projet'!$B$12,Paramètres!$A$1:$I$89,3,0)*0.475*44/12</f>
        <v>4.0843661818553169E-5</v>
      </c>
      <c r="CN160" s="22">
        <f t="shared" si="172"/>
        <v>65.873540890013047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9.4880000000000049</v>
      </c>
      <c r="CT160" s="12">
        <f>IF('Données projet'!$A$140&gt;35,CT159+CS160-DB159,IF(A160&lt;'Données projet'!$A$140,$CQ$205^A160,IF(A160='Données projet'!$A$140,'Données projet'!$B$140,CT159+CS160-DB159)))</f>
        <v>513.90400000000102</v>
      </c>
      <c r="CU160" s="17">
        <f>CT160*VLOOKUP('Données projet'!$B$13,Paramètres!$A$1:$I$89,3,0)*VLOOKUP('Données projet'!$B$13,Paramètres!$A$1:$I$89,5,0)</f>
        <v>489.03104640000095</v>
      </c>
      <c r="CV160" s="13">
        <f t="shared" si="173"/>
        <v>109.60988842542025</v>
      </c>
      <c r="CW160" s="20">
        <f t="shared" si="174"/>
        <v>1042.6329614876088</v>
      </c>
      <c r="CX160" s="59">
        <f t="shared" si="122"/>
        <v>1334.5563614433229</v>
      </c>
      <c r="CY160" s="59">
        <f ca="1">AVERAGE(OFFSET($CX$3,0,0,'Données projet'!$E$13+1,1))-AVERAGE(OFFSET($H$3,0,0,'Données projet'!$E$13+1,1))</f>
        <v>677.13548994240728</v>
      </c>
      <c r="CZ160" s="59">
        <f t="shared" si="150"/>
        <v>298.72429542440534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53.658952638676411</v>
      </c>
      <c r="DG160" s="21">
        <f>EXP(-LN(2)/25)*DG159+(1-EXP(-LN(2)/25))/(LN(2)/25)*Calculateur!DB160*Calculateur!DD160*VLOOKUP('Données projet'!$B$13,Paramètres!$A$1:$I$89,3,0)*0.475*44/12</f>
        <v>22.157717225991959</v>
      </c>
      <c r="DH160" s="21">
        <f>EXP(-LN(2)/2)*DH159+(1-EXP(-LN(2)/2))/(LN(2)/2)*DB160*DE160*VLOOKUP('Données projet'!$B$13,Paramètres!$A$1:$I$89,3,0)*0.475*44/12</f>
        <v>5.7941008626319615E-5</v>
      </c>
      <c r="DI160" s="22">
        <f t="shared" si="175"/>
        <v>75.81672780567699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69.615472715194755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1.2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4.3999999999999995</v>
      </c>
      <c r="H161" s="67">
        <f t="shared" si="110"/>
        <v>239.06666666666669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1302.2996154640587</v>
      </c>
      <c r="S161" s="59">
        <f ca="1">AVERAGE(OFFSET($R$3,0,0,'Données projet'!$E$9+1,1))-AVERAGE(OFFSET($H$3,0,0,'Données projet'!$E$9+1,1))</f>
        <v>646.69588445509589</v>
      </c>
      <c r="T161" s="59">
        <f t="shared" si="142"/>
        <v>286.36346771084698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3.177547114319168E-13</v>
      </c>
      <c r="AK161" s="13">
        <f t="shared" si="164"/>
        <v>4.1725404435445377E-12</v>
      </c>
      <c r="AL161" s="20">
        <f t="shared" si="165"/>
        <v>7.820597394917325E-12</v>
      </c>
      <c r="AM161" s="59">
        <f t="shared" si="113"/>
        <v>291.94785914768482</v>
      </c>
      <c r="AN161" s="59">
        <f ca="1">AVERAGE(OFFSET($AM$3,0,0,'Données projet'!$E$10+1,1))-AVERAGE(OFFSET($H$3,0,0,'Données projet'!$E$10+1,1))</f>
        <v>391.55758836264408</v>
      </c>
      <c r="AO161" s="59">
        <f t="shared" si="144"/>
        <v>360.80727659978777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40.389072368787701</v>
      </c>
      <c r="AV161" s="21">
        <f>EXP(-LN(2)/25)*AV160+(1-EXP(-LN(2)/25))/(LN(2)/25)*Calculateur!AQ161*Calculateur!AS161*VLOOKUP('Données projet'!$B$10,Paramètres!$A$1:$I$89,3,0)*0.475*44/12</f>
        <v>6.6910513190363163</v>
      </c>
      <c r="AW161" s="21">
        <f>EXP(-LN(2)/2)*AW160+(1-EXP(-LN(2)/2))/(LN(2)/2)*AQ161*AT161*VLOOKUP('Données projet'!$B$10,Paramètres!$A$1:$I$89,3,0)*0.475*44/12</f>
        <v>4.2919921453869795E-12</v>
      </c>
      <c r="AX161" s="21">
        <f t="shared" si="166"/>
        <v>47.080123687828312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5.0249582272954292E-14</v>
      </c>
      <c r="BF161" s="13">
        <f t="shared" si="167"/>
        <v>8.1784820119191593E-13</v>
      </c>
      <c r="BG161" s="20">
        <f t="shared" si="168"/>
        <v>1.5119369728679821E-12</v>
      </c>
      <c r="BH161" s="59">
        <f t="shared" si="116"/>
        <v>291.94785914767851</v>
      </c>
      <c r="BI161" s="59">
        <f ca="1">AVERAGE(OFFSET($BH$3,0,0,'Données projet'!$E$11+1,1))-AVERAGE(OFFSET($H$3,0,0,'Données projet'!$E$11+1,1))</f>
        <v>400.11184625063709</v>
      </c>
      <c r="BJ161" s="59">
        <f t="shared" si="146"/>
        <v>340.02906159605971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44.089396806904148</v>
      </c>
      <c r="BQ161" s="21">
        <f>EXP(-LN(2)/25)*BQ160+(1-EXP(-LN(2)/25))/(LN(2)/25)*Calculateur!BL161*Calculateur!BN161*VLOOKUP('Données projet'!$B$11,Paramètres!$A$1:$I$89,3,0)*0.475*44/12</f>
        <v>8.2697175051473266</v>
      </c>
      <c r="BR161" s="21">
        <f>EXP(-LN(2)/2)*BR160+(1-EXP(-LN(2)/2))/(LN(2)/2)*BL161*BO161*VLOOKUP('Données projet'!$B$11,Paramètres!$A$1:$I$89,3,0)*0.475*44/12</f>
        <v>1.4297964511265575E-10</v>
      </c>
      <c r="BS161" s="22">
        <f t="shared" si="169"/>
        <v>52.359114312194457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9.4880000000000049</v>
      </c>
      <c r="BY161" s="12">
        <f>IF('Données projet'!$A$114&gt;35,BY160+BX161-CG160,IF(A161&lt;'Données projet'!$A$114,$BV$205^A161,IF(A161='Données projet'!$A$114,'Données projet'!$B$114,BY160+BX161-CG160)))</f>
        <v>523.39200000000108</v>
      </c>
      <c r="BZ161" s="13">
        <f>BY161*VLOOKUP('Données projet'!$B$12,Paramètres!$A$1:$I$89,3,0)*VLOOKUP('Données projet'!$B$12,Paramètres!$A$1:$I$89,5,0)</f>
        <v>351.09135360000073</v>
      </c>
      <c r="CA161" s="13">
        <f t="shared" si="170"/>
        <v>81.787191544216299</v>
      </c>
      <c r="CB161" s="20">
        <f t="shared" si="171"/>
        <v>753.93013279284457</v>
      </c>
      <c r="CC161" s="59">
        <f t="shared" si="119"/>
        <v>1045.8779919405215</v>
      </c>
      <c r="CD161" s="59">
        <f ca="1">AVERAGE(OFFSET($CC$3,0,0,'Données projet'!$E$12+1,1))-AVERAGE(OFFSET($H$3,0,0,'Données projet'!$E$12+1,1))</f>
        <v>493.98227954109774</v>
      </c>
      <c r="CE161" s="59">
        <f t="shared" si="148"/>
        <v>224.32736097997289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45.707489593877938</v>
      </c>
      <c r="CL161" s="21">
        <f>EXP(-LN(2)/25)*CL160+(1-EXP(-LN(2)/25))/(LN(2)/25)*Calculateur!CG161*Calculateur!CI161*VLOOKUP('Données projet'!$B$12,Paramètres!$A$1:$I$89,3,0)*0.475*44/12</f>
        <v>18.725345967390918</v>
      </c>
      <c r="CM161" s="21">
        <f>EXP(-LN(2)/2)*CM160+(1-EXP(-LN(2)/2))/(LN(2)/2)*CG161*CJ161*VLOOKUP('Données projet'!$B$12,Paramètres!$A$1:$I$89,3,0)*0.475*44/12</f>
        <v>2.8880830240389023E-5</v>
      </c>
      <c r="CN161" s="22">
        <f t="shared" si="172"/>
        <v>64.432864442099103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9.4880000000000049</v>
      </c>
      <c r="CT161" s="12">
        <f>IF('Données projet'!$A$140&gt;35,CT160+CS161-DB160,IF(A161&lt;'Données projet'!$A$140,$CQ$205^A161,IF(A161='Données projet'!$A$140,'Données projet'!$B$140,CT160+CS161-DB160)))</f>
        <v>523.39200000000108</v>
      </c>
      <c r="CU161" s="17">
        <f>CT161*VLOOKUP('Données projet'!$B$13,Paramètres!$A$1:$I$89,3,0)*VLOOKUP('Données projet'!$B$13,Paramètres!$A$1:$I$89,5,0)</f>
        <v>498.05982720000105</v>
      </c>
      <c r="CV161" s="13">
        <f t="shared" si="173"/>
        <v>111.39610612815991</v>
      </c>
      <c r="CW161" s="20">
        <f t="shared" si="174"/>
        <v>1061.4690838798804</v>
      </c>
      <c r="CX161" s="59">
        <f t="shared" si="122"/>
        <v>1353.4169430275574</v>
      </c>
      <c r="CY161" s="59">
        <f ca="1">AVERAGE(OFFSET($CX$3,0,0,'Données projet'!$E$13+1,1))-AVERAGE(OFFSET($H$3,0,0,'Données projet'!$E$13+1,1))</f>
        <v>677.13548994240728</v>
      </c>
      <c r="CZ161" s="59">
        <f t="shared" si="150"/>
        <v>298.72429542440534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52.606733306161381</v>
      </c>
      <c r="DG161" s="21">
        <f>EXP(-LN(2)/25)*DG160+(1-EXP(-LN(2)/25))/(LN(2)/25)*Calculateur!DB161*Calculateur!DD161*VLOOKUP('Données projet'!$B$13,Paramètres!$A$1:$I$89,3,0)*0.475*44/12</f>
        <v>21.551813283223503</v>
      </c>
      <c r="DH161" s="21">
        <f>EXP(-LN(2)/2)*DH160+(1-EXP(-LN(2)/2))/(LN(2)/2)*DB161*DE161*VLOOKUP('Données projet'!$B$13,Paramètres!$A$1:$I$89,3,0)*0.475*44/12</f>
        <v>4.0970480108458851E-5</v>
      </c>
      <c r="DI161" s="22">
        <f t="shared" si="175"/>
        <v>74.158587559864998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69.622143403911906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1.2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4.3999999999999995</v>
      </c>
      <c r="H162" s="67">
        <f t="shared" si="110"/>
        <v>239.06666666666669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1320.2445488866249</v>
      </c>
      <c r="S162" s="59">
        <f ca="1">AVERAGE(OFFSET($R$3,0,0,'Données projet'!$E$9+1,1))-AVERAGE(OFFSET($H$3,0,0,'Données projet'!$E$9+1,1))</f>
        <v>646.69588445509589</v>
      </c>
      <c r="T162" s="59">
        <f t="shared" si="142"/>
        <v>286.36346771084698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3.177547114319168E-13</v>
      </c>
      <c r="AK162" s="13">
        <f t="shared" si="164"/>
        <v>4.1725404435445377E-12</v>
      </c>
      <c r="AL162" s="20">
        <f t="shared" si="165"/>
        <v>7.820597394917325E-12</v>
      </c>
      <c r="AM162" s="59">
        <f t="shared" si="113"/>
        <v>291.97189402734978</v>
      </c>
      <c r="AN162" s="59">
        <f ca="1">AVERAGE(OFFSET($AM$3,0,0,'Données projet'!$E$10+1,1))-AVERAGE(OFFSET($H$3,0,0,'Données projet'!$E$10+1,1))</f>
        <v>391.55758836264408</v>
      </c>
      <c r="AO162" s="59">
        <f t="shared" si="144"/>
        <v>360.80727659978777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39.597067294537425</v>
      </c>
      <c r="AV162" s="21">
        <f>EXP(-LN(2)/25)*AV161+(1-EXP(-LN(2)/25))/(LN(2)/25)*Calculateur!AQ162*Calculateur!AS162*VLOOKUP('Données projet'!$B$10,Paramètres!$A$1:$I$89,3,0)*0.475*44/12</f>
        <v>6.5080841688501723</v>
      </c>
      <c r="AW162" s="21">
        <f>EXP(-LN(2)/2)*AW161+(1-EXP(-LN(2)/2))/(LN(2)/2)*AQ162*AT162*VLOOKUP('Données projet'!$B$10,Paramètres!$A$1:$I$89,3,0)*0.475*44/12</f>
        <v>3.0348967508025317E-12</v>
      </c>
      <c r="AX162" s="21">
        <f t="shared" si="166"/>
        <v>46.105151463390634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5.0249582272954292E-14</v>
      </c>
      <c r="BF162" s="13">
        <f t="shared" si="167"/>
        <v>8.1784820119191593E-13</v>
      </c>
      <c r="BG162" s="20">
        <f t="shared" si="168"/>
        <v>1.5119369728679821E-12</v>
      </c>
      <c r="BH162" s="59">
        <f t="shared" si="116"/>
        <v>291.97189402734347</v>
      </c>
      <c r="BI162" s="59">
        <f ca="1">AVERAGE(OFFSET($BH$3,0,0,'Données projet'!$E$11+1,1))-AVERAGE(OFFSET($H$3,0,0,'Données projet'!$E$11+1,1))</f>
        <v>400.11184625063709</v>
      </c>
      <c r="BJ162" s="59">
        <f t="shared" si="146"/>
        <v>340.02906159605971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43.224830627397459</v>
      </c>
      <c r="BQ162" s="21">
        <f>EXP(-LN(2)/25)*BQ161+(1-EXP(-LN(2)/25))/(LN(2)/25)*Calculateur!BL162*Calculateur!BN162*VLOOKUP('Données projet'!$B$11,Paramètres!$A$1:$I$89,3,0)*0.475*44/12</f>
        <v>8.0435816450835294</v>
      </c>
      <c r="BR162" s="21">
        <f>EXP(-LN(2)/2)*BR161+(1-EXP(-LN(2)/2))/(LN(2)/2)*BL162*BO162*VLOOKUP('Données projet'!$B$11,Paramètres!$A$1:$I$89,3,0)*0.475*44/12</f>
        <v>1.0110187663080489E-10</v>
      </c>
      <c r="BS162" s="22">
        <f t="shared" si="169"/>
        <v>51.26841227258209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9.4880000000000049</v>
      </c>
      <c r="BY162" s="12">
        <f>IF('Données projet'!$A$114&gt;35,BY161+BX162-CG161,IF(A162&lt;'Données projet'!$A$114,$BV$205^A162,IF(A162='Données projet'!$A$114,'Données projet'!$B$114,BY161+BX162-CG161)))</f>
        <v>532.88000000000113</v>
      </c>
      <c r="BZ162" s="13">
        <f>BY162*VLOOKUP('Données projet'!$B$12,Paramètres!$A$1:$I$89,3,0)*VLOOKUP('Données projet'!$B$12,Paramètres!$A$1:$I$89,5,0)</f>
        <v>357.45590400000077</v>
      </c>
      <c r="CA162" s="13">
        <f t="shared" si="170"/>
        <v>83.095870809949048</v>
      </c>
      <c r="CB162" s="20">
        <f t="shared" si="171"/>
        <v>767.2943411273294</v>
      </c>
      <c r="CC162" s="59">
        <f t="shared" si="119"/>
        <v>1059.2662351546714</v>
      </c>
      <c r="CD162" s="59">
        <f ca="1">AVERAGE(OFFSET($CC$3,0,0,'Données projet'!$E$12+1,1))-AVERAGE(OFFSET($H$3,0,0,'Données projet'!$E$12+1,1))</f>
        <v>493.98227954109774</v>
      </c>
      <c r="CE162" s="59">
        <f t="shared" si="148"/>
        <v>224.32736097997289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44.811193601757836</v>
      </c>
      <c r="CL162" s="21">
        <f>EXP(-LN(2)/25)*CL161+(1-EXP(-LN(2)/25))/(LN(2)/25)*Calculateur!CG162*Calculateur!CI162*VLOOKUP('Données projet'!$B$12,Paramètres!$A$1:$I$89,3,0)*0.475*44/12</f>
        <v>18.213300397189467</v>
      </c>
      <c r="CM162" s="21">
        <f>EXP(-LN(2)/2)*CM161+(1-EXP(-LN(2)/2))/(LN(2)/2)*CG162*CJ162*VLOOKUP('Données projet'!$B$12,Paramètres!$A$1:$I$89,3,0)*0.475*44/12</f>
        <v>2.0421830909276588E-5</v>
      </c>
      <c r="CN162" s="22">
        <f t="shared" si="172"/>
        <v>63.024514420778218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9.4880000000000049</v>
      </c>
      <c r="CT162" s="12">
        <f>IF('Données projet'!$A$140&gt;35,CT161+CS162-DB161,IF(A162&lt;'Données projet'!$A$140,$CQ$205^A162,IF(A162='Données projet'!$A$140,'Données projet'!$B$140,CT161+CS162-DB161)))</f>
        <v>532.88000000000113</v>
      </c>
      <c r="CU162" s="17">
        <f>CT162*VLOOKUP('Données projet'!$B$13,Paramètres!$A$1:$I$89,3,0)*VLOOKUP('Données projet'!$B$13,Paramètres!$A$1:$I$89,5,0)</f>
        <v>507.0886080000011</v>
      </c>
      <c r="CV162" s="13">
        <f t="shared" si="173"/>
        <v>113.17855851001575</v>
      </c>
      <c r="CW162" s="20">
        <f t="shared" si="174"/>
        <v>1080.2986483382792</v>
      </c>
      <c r="CX162" s="59">
        <f t="shared" si="122"/>
        <v>1372.2705423656212</v>
      </c>
      <c r="CY162" s="59">
        <f ca="1">AVERAGE(OFFSET($CX$3,0,0,'Données projet'!$E$13+1,1))-AVERAGE(OFFSET($H$3,0,0,'Données projet'!$E$13+1,1))</f>
        <v>677.13548994240728</v>
      </c>
      <c r="CZ162" s="59">
        <f t="shared" si="150"/>
        <v>298.72429542440534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51.575147352966553</v>
      </c>
      <c r="DG162" s="21">
        <f>EXP(-LN(2)/25)*DG161+(1-EXP(-LN(2)/25))/(LN(2)/25)*Calculateur!DB162*Calculateur!DD162*VLOOKUP('Données projet'!$B$13,Paramètres!$A$1:$I$89,3,0)*0.475*44/12</f>
        <v>20.962477815633154</v>
      </c>
      <c r="DH162" s="21">
        <f>EXP(-LN(2)/2)*DH161+(1-EXP(-LN(2)/2))/(LN(2)/2)*DB162*DE162*VLOOKUP('Données projet'!$B$13,Paramètres!$A$1:$I$89,3,0)*0.475*44/12</f>
        <v>2.8970504313159811E-5</v>
      </c>
      <c r="DI162" s="22">
        <f t="shared" si="175"/>
        <v>72.537654139104021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69.62869837109325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1.2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4.3999999999999995</v>
      </c>
      <c r="H163" s="67">
        <f t="shared" si="110"/>
        <v>239.06666666666669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1338.1829177940108</v>
      </c>
      <c r="S163" s="59">
        <f ca="1">AVERAGE(OFFSET($R$3,0,0,'Données projet'!$E$9+1,1))-AVERAGE(OFFSET($H$3,0,0,'Données projet'!$E$9+1,1))</f>
        <v>646.69588445509589</v>
      </c>
      <c r="T163" s="59">
        <f t="shared" si="142"/>
        <v>286.36346771084698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3.177547114319168E-13</v>
      </c>
      <c r="AK163" s="13">
        <f t="shared" si="164"/>
        <v>4.1725404435445377E-12</v>
      </c>
      <c r="AL163" s="20">
        <f t="shared" si="165"/>
        <v>7.820597394917325E-12</v>
      </c>
      <c r="AM163" s="59">
        <f t="shared" si="113"/>
        <v>291.99551195558638</v>
      </c>
      <c r="AN163" s="59">
        <f ca="1">AVERAGE(OFFSET($AM$3,0,0,'Données projet'!$E$10+1,1))-AVERAGE(OFFSET($H$3,0,0,'Données projet'!$E$10+1,1))</f>
        <v>391.55758836264408</v>
      </c>
      <c r="AO163" s="59">
        <f t="shared" si="144"/>
        <v>360.80727659978777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38.820592956717803</v>
      </c>
      <c r="AV163" s="21">
        <f>EXP(-LN(2)/25)*AV162+(1-EXP(-LN(2)/25))/(LN(2)/25)*Calculateur!AQ163*Calculateur!AS163*VLOOKUP('Données projet'!$B$10,Paramètres!$A$1:$I$89,3,0)*0.475*44/12</f>
        <v>6.3301202650076922</v>
      </c>
      <c r="AW163" s="21">
        <f>EXP(-LN(2)/2)*AW162+(1-EXP(-LN(2)/2))/(LN(2)/2)*AQ163*AT163*VLOOKUP('Données projet'!$B$10,Paramètres!$A$1:$I$89,3,0)*0.475*44/12</f>
        <v>2.1459960726934898E-12</v>
      </c>
      <c r="AX163" s="21">
        <f t="shared" si="166"/>
        <v>45.150713221727642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5.0249582272954292E-14</v>
      </c>
      <c r="BF163" s="13">
        <f t="shared" si="167"/>
        <v>8.1784820119191593E-13</v>
      </c>
      <c r="BG163" s="20">
        <f t="shared" si="168"/>
        <v>1.5119369728679821E-12</v>
      </c>
      <c r="BH163" s="59">
        <f t="shared" si="116"/>
        <v>291.99551195558007</v>
      </c>
      <c r="BI163" s="59">
        <f ca="1">AVERAGE(OFFSET($BH$3,0,0,'Données projet'!$E$11+1,1))-AVERAGE(OFFSET($H$3,0,0,'Données projet'!$E$11+1,1))</f>
        <v>400.11184625063709</v>
      </c>
      <c r="BJ163" s="59">
        <f t="shared" si="146"/>
        <v>340.02906159605971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42.377218063337594</v>
      </c>
      <c r="BQ163" s="21">
        <f>EXP(-LN(2)/25)*BQ162+(1-EXP(-LN(2)/25))/(LN(2)/25)*Calculateur!BL163*Calculateur!BN163*VLOOKUP('Données projet'!$B$11,Paramètres!$A$1:$I$89,3,0)*0.475*44/12</f>
        <v>7.8236294820051455</v>
      </c>
      <c r="BR163" s="21">
        <f>EXP(-LN(2)/2)*BR162+(1-EXP(-LN(2)/2))/(LN(2)/2)*BL163*BO163*VLOOKUP('Données projet'!$B$11,Paramètres!$A$1:$I$89,3,0)*0.475*44/12</f>
        <v>7.1489822556327873E-11</v>
      </c>
      <c r="BS163" s="22">
        <f t="shared" si="169"/>
        <v>50.200847545414227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9.4880000000000049</v>
      </c>
      <c r="BY163" s="12">
        <f>IF('Données projet'!$A$114&gt;35,BY162+BX163-CG162,IF(A163&lt;'Données projet'!$A$114,$BV$205^A163,IF(A163='Données projet'!$A$114,'Données projet'!$B$114,BY162+BX163-CG162)))</f>
        <v>542.36800000000119</v>
      </c>
      <c r="BZ163" s="13">
        <f>BY163*VLOOKUP('Données projet'!$B$12,Paramètres!$A$1:$I$89,3,0)*VLOOKUP('Données projet'!$B$12,Paramètres!$A$1:$I$89,5,0)</f>
        <v>363.82045440000081</v>
      </c>
      <c r="CA163" s="13">
        <f t="shared" si="170"/>
        <v>84.401840472127247</v>
      </c>
      <c r="CB163" s="20">
        <f t="shared" si="171"/>
        <v>780.65383023562288</v>
      </c>
      <c r="CC163" s="59">
        <f t="shared" si="119"/>
        <v>1072.6493421912014</v>
      </c>
      <c r="CD163" s="59">
        <f ca="1">AVERAGE(OFFSET($CC$3,0,0,'Données projet'!$E$12+1,1))-AVERAGE(OFFSET($H$3,0,0,'Données projet'!$E$12+1,1))</f>
        <v>493.98227954109774</v>
      </c>
      <c r="CE163" s="59">
        <f t="shared" si="148"/>
        <v>224.32736097997289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43.932473427356641</v>
      </c>
      <c r="CL163" s="21">
        <f>EXP(-LN(2)/25)*CL162+(1-EXP(-LN(2)/25))/(LN(2)/25)*Calculateur!CG163*Calculateur!CI163*VLOOKUP('Données projet'!$B$12,Paramètres!$A$1:$I$89,3,0)*0.475*44/12</f>
        <v>17.71525674003248</v>
      </c>
      <c r="CM163" s="21">
        <f>EXP(-LN(2)/2)*CM162+(1-EXP(-LN(2)/2))/(LN(2)/2)*CG163*CJ163*VLOOKUP('Données projet'!$B$12,Paramètres!$A$1:$I$89,3,0)*0.475*44/12</f>
        <v>1.4440415120194513E-5</v>
      </c>
      <c r="CN163" s="22">
        <f t="shared" si="172"/>
        <v>61.647744607804242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9.4880000000000049</v>
      </c>
      <c r="CT163" s="12">
        <f>IF('Données projet'!$A$140&gt;35,CT162+CS163-DB162,IF(A163&lt;'Données projet'!$A$140,$CQ$205^A163,IF(A163='Données projet'!$A$140,'Données projet'!$B$140,CT162+CS163-DB162)))</f>
        <v>542.36800000000119</v>
      </c>
      <c r="CU163" s="17">
        <f>CT163*VLOOKUP('Données projet'!$B$13,Paramètres!$A$1:$I$89,3,0)*VLOOKUP('Données projet'!$B$13,Paramètres!$A$1:$I$89,5,0)</f>
        <v>516.11738880000109</v>
      </c>
      <c r="CV163" s="13">
        <f t="shared" si="173"/>
        <v>114.95732034718567</v>
      </c>
      <c r="CW163" s="20">
        <f t="shared" si="174"/>
        <v>1099.121785098017</v>
      </c>
      <c r="CX163" s="59">
        <f t="shared" si="122"/>
        <v>1391.1172970535954</v>
      </c>
      <c r="CY163" s="59">
        <f ca="1">AVERAGE(OFFSET($CX$3,0,0,'Données projet'!$E$13+1,1))-AVERAGE(OFFSET($H$3,0,0,'Données projet'!$E$13+1,1))</f>
        <v>677.13548994240728</v>
      </c>
      <c r="CZ163" s="59">
        <f t="shared" si="150"/>
        <v>298.72429542440534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50.563790171108572</v>
      </c>
      <c r="DG163" s="21">
        <f>EXP(-LN(2)/25)*DG162+(1-EXP(-LN(2)/25))/(LN(2)/25)*Calculateur!DB163*Calculateur!DD163*VLOOKUP('Données projet'!$B$13,Paramètres!$A$1:$I$89,3,0)*0.475*44/12</f>
        <v>20.389257757395868</v>
      </c>
      <c r="DH163" s="21">
        <f>EXP(-LN(2)/2)*DH162+(1-EXP(-LN(2)/2))/(LN(2)/2)*DB163*DE163*VLOOKUP('Données projet'!$B$13,Paramètres!$A$1:$I$89,3,0)*0.475*44/12</f>
        <v>2.0485240054229429E-5</v>
      </c>
      <c r="DI163" s="22">
        <f t="shared" si="175"/>
        <v>70.953068413744504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69.635139624248694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1.2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4.3999999999999995</v>
      </c>
      <c r="H164" s="67">
        <f t="shared" si="110"/>
        <v>239.06666666666669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1356.1148493709925</v>
      </c>
      <c r="S164" s="59">
        <f ca="1">AVERAGE(OFFSET($R$3,0,0,'Données projet'!$E$9+1,1))-AVERAGE(OFFSET($H$3,0,0,'Données projet'!$E$9+1,1))</f>
        <v>646.69588445509589</v>
      </c>
      <c r="T164" s="59">
        <f t="shared" si="142"/>
        <v>286.36346771084698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3.177547114319168E-13</v>
      </c>
      <c r="AK164" s="13">
        <f t="shared" si="164"/>
        <v>4.1725404435445377E-12</v>
      </c>
      <c r="AL164" s="20">
        <f t="shared" si="165"/>
        <v>7.820597394917325E-12</v>
      </c>
      <c r="AM164" s="59">
        <f t="shared" si="113"/>
        <v>292.0187201655699</v>
      </c>
      <c r="AN164" s="59">
        <f ca="1">AVERAGE(OFFSET($AM$3,0,0,'Données projet'!$E$10+1,1))-AVERAGE(OFFSET($H$3,0,0,'Données projet'!$E$10+1,1))</f>
        <v>391.55758836264408</v>
      </c>
      <c r="AO164" s="59">
        <f t="shared" si="144"/>
        <v>360.80727659978777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38.059344807060242</v>
      </c>
      <c r="AV164" s="21">
        <f>EXP(-LN(2)/25)*AV163+(1-EXP(-LN(2)/25))/(LN(2)/25)*Calculateur!AQ164*Calculateur!AS164*VLOOKUP('Données projet'!$B$10,Paramètres!$A$1:$I$89,3,0)*0.475*44/12</f>
        <v>6.1570227934744999</v>
      </c>
      <c r="AW164" s="21">
        <f>EXP(-LN(2)/2)*AW163+(1-EXP(-LN(2)/2))/(LN(2)/2)*AQ164*AT164*VLOOKUP('Données projet'!$B$10,Paramètres!$A$1:$I$89,3,0)*0.475*44/12</f>
        <v>1.5174483754012658E-12</v>
      </c>
      <c r="AX164" s="21">
        <f t="shared" si="166"/>
        <v>44.216367600536259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5.0249582272954292E-14</v>
      </c>
      <c r="BF164" s="13">
        <f t="shared" si="167"/>
        <v>8.1784820119191593E-13</v>
      </c>
      <c r="BG164" s="20">
        <f t="shared" si="168"/>
        <v>1.5119369728679821E-12</v>
      </c>
      <c r="BH164" s="59">
        <f t="shared" si="116"/>
        <v>292.01872016556359</v>
      </c>
      <c r="BI164" s="59">
        <f ca="1">AVERAGE(OFFSET($BH$3,0,0,'Données projet'!$E$11+1,1))-AVERAGE(OFFSET($H$3,0,0,'Données projet'!$E$11+1,1))</f>
        <v>400.11184625063709</v>
      </c>
      <c r="BJ164" s="59">
        <f t="shared" si="146"/>
        <v>340.02906159605971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41.546226664666328</v>
      </c>
      <c r="BQ164" s="21">
        <f>EXP(-LN(2)/25)*BQ163+(1-EXP(-LN(2)/25))/(LN(2)/25)*Calculateur!BL164*Calculateur!BN164*VLOOKUP('Données projet'!$B$11,Paramètres!$A$1:$I$89,3,0)*0.475*44/12</f>
        <v>7.6096919223929218</v>
      </c>
      <c r="BR164" s="21">
        <f>EXP(-LN(2)/2)*BR163+(1-EXP(-LN(2)/2))/(LN(2)/2)*BL164*BO164*VLOOKUP('Données projet'!$B$11,Paramètres!$A$1:$I$89,3,0)*0.475*44/12</f>
        <v>5.0550938315402444E-11</v>
      </c>
      <c r="BS164" s="22">
        <f t="shared" si="169"/>
        <v>49.155918587109795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9.4880000000000049</v>
      </c>
      <c r="BY164" s="12">
        <f>IF('Données projet'!$A$114&gt;35,BY163+BX164-CG163,IF(A164&lt;'Données projet'!$A$114,$BV$205^A164,IF(A164='Données projet'!$A$114,'Données projet'!$B$114,BY163+BX164-CG163)))</f>
        <v>551.85600000000125</v>
      </c>
      <c r="BZ164" s="13">
        <f>BY164*VLOOKUP('Données projet'!$B$12,Paramètres!$A$1:$I$89,3,0)*VLOOKUP('Données projet'!$B$12,Paramètres!$A$1:$I$89,5,0)</f>
        <v>370.18500480000085</v>
      </c>
      <c r="CA164" s="13">
        <f t="shared" si="170"/>
        <v>85.705153400684225</v>
      </c>
      <c r="CB164" s="20">
        <f t="shared" si="171"/>
        <v>794.00869219952654</v>
      </c>
      <c r="CC164" s="59">
        <f t="shared" si="119"/>
        <v>1086.0274123650886</v>
      </c>
      <c r="CD164" s="59">
        <f ca="1">AVERAGE(OFFSET($CC$3,0,0,'Données projet'!$E$12+1,1))-AVERAGE(OFFSET($H$3,0,0,'Données projet'!$E$12+1,1))</f>
        <v>493.98227954109774</v>
      </c>
      <c r="CE164" s="59">
        <f t="shared" si="148"/>
        <v>224.32736097997289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43.070984419609069</v>
      </c>
      <c r="CL164" s="21">
        <f>EXP(-LN(2)/25)*CL163+(1-EXP(-LN(2)/25))/(LN(2)/25)*Calculateur!CG164*Calculateur!CI164*VLOOKUP('Données projet'!$B$12,Paramètres!$A$1:$I$89,3,0)*0.475*44/12</f>
        <v>17.230832112871429</v>
      </c>
      <c r="CM164" s="21">
        <f>EXP(-LN(2)/2)*CM163+(1-EXP(-LN(2)/2))/(LN(2)/2)*CG164*CJ164*VLOOKUP('Données projet'!$B$12,Paramètres!$A$1:$I$89,3,0)*0.475*44/12</f>
        <v>1.0210915454638294E-5</v>
      </c>
      <c r="CN164" s="22">
        <f t="shared" si="172"/>
        <v>60.301826743395956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9.4880000000000049</v>
      </c>
      <c r="CT164" s="12">
        <f>IF('Données projet'!$A$140&gt;35,CT163+CS164-DB163,IF(A164&lt;'Données projet'!$A$140,$CQ$205^A164,IF(A164='Données projet'!$A$140,'Données projet'!$B$140,CT163+CS164-DB163)))</f>
        <v>551.85600000000125</v>
      </c>
      <c r="CU164" s="17">
        <f>CT164*VLOOKUP('Données projet'!$B$13,Paramètres!$A$1:$I$89,3,0)*VLOOKUP('Données projet'!$B$13,Paramètres!$A$1:$I$89,5,0)</f>
        <v>525.14616960000114</v>
      </c>
      <c r="CV164" s="13">
        <f t="shared" si="173"/>
        <v>116.73246364978037</v>
      </c>
      <c r="CW164" s="20">
        <f t="shared" si="174"/>
        <v>1117.9386195767026</v>
      </c>
      <c r="CX164" s="59">
        <f t="shared" si="122"/>
        <v>1409.9573397422646</v>
      </c>
      <c r="CY164" s="59">
        <f ca="1">AVERAGE(OFFSET($CX$3,0,0,'Données projet'!$E$13+1,1))-AVERAGE(OFFSET($H$3,0,0,'Données projet'!$E$13+1,1))</f>
        <v>677.13548994240728</v>
      </c>
      <c r="CZ164" s="59">
        <f t="shared" si="150"/>
        <v>298.72429542440534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49.572265086719852</v>
      </c>
      <c r="DG164" s="21">
        <f>EXP(-LN(2)/25)*DG163+(1-EXP(-LN(2)/25))/(LN(2)/25)*Calculateur!DB164*Calculateur!DD164*VLOOKUP('Données projet'!$B$13,Paramètres!$A$1:$I$89,3,0)*0.475*44/12</f>
        <v>19.831712431795413</v>
      </c>
      <c r="DH164" s="21">
        <f>EXP(-LN(2)/2)*DH163+(1-EXP(-LN(2)/2))/(LN(2)/2)*DB164*DE164*VLOOKUP('Données projet'!$B$13,Paramètres!$A$1:$I$89,3,0)*0.475*44/12</f>
        <v>1.4485252156579909E-5</v>
      </c>
      <c r="DI164" s="22">
        <f t="shared" si="175"/>
        <v>69.403992003767414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69.641469136062383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1.2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4.3999999999999995</v>
      </c>
      <c r="H165" s="67">
        <f t="shared" si="110"/>
        <v>239.06666666666669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1374.040466315907</v>
      </c>
      <c r="S165" s="59">
        <f ca="1">AVERAGE(OFFSET($R$3,0,0,'Données projet'!$E$9+1,1))-AVERAGE(OFFSET($H$3,0,0,'Données projet'!$E$9+1,1))</f>
        <v>646.69588445509589</v>
      </c>
      <c r="T165" s="59">
        <f t="shared" si="142"/>
        <v>286.36346771084698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3.177547114319168E-13</v>
      </c>
      <c r="AK165" s="13">
        <f t="shared" si="164"/>
        <v>4.1725404435445377E-12</v>
      </c>
      <c r="AL165" s="20">
        <f t="shared" si="165"/>
        <v>7.820597394917325E-12</v>
      </c>
      <c r="AM165" s="59">
        <f t="shared" si="113"/>
        <v>292.04152576499598</v>
      </c>
      <c r="AN165" s="59">
        <f ca="1">AVERAGE(OFFSET($AM$3,0,0,'Données projet'!$E$10+1,1))-AVERAGE(OFFSET($H$3,0,0,'Données projet'!$E$10+1,1))</f>
        <v>391.55758836264408</v>
      </c>
      <c r="AO165" s="59">
        <f t="shared" si="144"/>
        <v>360.80727659978777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37.313024269301941</v>
      </c>
      <c r="AV165" s="21">
        <f>EXP(-LN(2)/25)*AV164+(1-EXP(-LN(2)/25))/(LN(2)/25)*Calculateur!AQ165*Calculateur!AS165*VLOOKUP('Données projet'!$B$10,Paramètres!$A$1:$I$89,3,0)*0.475*44/12</f>
        <v>5.9886586814031828</v>
      </c>
      <c r="AW165" s="21">
        <f>EXP(-LN(2)/2)*AW164+(1-EXP(-LN(2)/2))/(LN(2)/2)*AQ165*AT165*VLOOKUP('Données projet'!$B$10,Paramètres!$A$1:$I$89,3,0)*0.475*44/12</f>
        <v>1.0729980363467449E-12</v>
      </c>
      <c r="AX165" s="21">
        <f t="shared" si="166"/>
        <v>43.301682950706194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5.0249582272954292E-14</v>
      </c>
      <c r="BF165" s="13">
        <f t="shared" si="167"/>
        <v>8.1784820119191593E-13</v>
      </c>
      <c r="BG165" s="20">
        <f t="shared" si="168"/>
        <v>1.5119369728679821E-12</v>
      </c>
      <c r="BH165" s="59">
        <f t="shared" si="116"/>
        <v>292.04152576498967</v>
      </c>
      <c r="BI165" s="59">
        <f ca="1">AVERAGE(OFFSET($BH$3,0,0,'Données projet'!$E$11+1,1))-AVERAGE(OFFSET($H$3,0,0,'Données projet'!$E$11+1,1))</f>
        <v>400.11184625063709</v>
      </c>
      <c r="BJ165" s="59">
        <f t="shared" si="146"/>
        <v>340.02906159605971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40.731530500468303</v>
      </c>
      <c r="BQ165" s="21">
        <f>EXP(-LN(2)/25)*BQ164+(1-EXP(-LN(2)/25))/(LN(2)/25)*Calculateur!BL165*Calculateur!BN165*VLOOKUP('Données projet'!$B$11,Paramètres!$A$1:$I$89,3,0)*0.475*44/12</f>
        <v>7.4016044965987815</v>
      </c>
      <c r="BR165" s="21">
        <f>EXP(-LN(2)/2)*BR164+(1-EXP(-LN(2)/2))/(LN(2)/2)*BL165*BO165*VLOOKUP('Données projet'!$B$11,Paramètres!$A$1:$I$89,3,0)*0.475*44/12</f>
        <v>3.5744911278163936E-11</v>
      </c>
      <c r="BS165" s="22">
        <f t="shared" si="169"/>
        <v>48.133134997102829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9.4880000000000049</v>
      </c>
      <c r="BY165" s="12">
        <f>IF('Données projet'!$A$114&gt;35,BY164+BX165-CG164,IF(A165&lt;'Données projet'!$A$114,$BV$205^A165,IF(A165='Données projet'!$A$114,'Données projet'!$B$114,BY164+BX165-CG164)))</f>
        <v>561.3440000000013</v>
      </c>
      <c r="BZ165" s="13">
        <f>BY165*VLOOKUP('Données projet'!$B$12,Paramètres!$A$1:$I$89,3,0)*VLOOKUP('Données projet'!$B$12,Paramètres!$A$1:$I$89,5,0)</f>
        <v>376.5495552000009</v>
      </c>
      <c r="CA165" s="13">
        <f t="shared" si="170"/>
        <v>87.005860543413618</v>
      </c>
      <c r="CB165" s="20">
        <f t="shared" si="171"/>
        <v>807.35901575311357</v>
      </c>
      <c r="CC165" s="59">
        <f t="shared" si="119"/>
        <v>1099.4005415181018</v>
      </c>
      <c r="CD165" s="59">
        <f ca="1">AVERAGE(OFFSET($CC$3,0,0,'Données projet'!$E$12+1,1))-AVERAGE(OFFSET($H$3,0,0,'Données projet'!$E$12+1,1))</f>
        <v>493.98227954109774</v>
      </c>
      <c r="CE165" s="59">
        <f t="shared" si="148"/>
        <v>224.32736097997289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42.226388685847013</v>
      </c>
      <c r="CL165" s="21">
        <f>EXP(-LN(2)/25)*CL164+(1-EXP(-LN(2)/25))/(LN(2)/25)*Calculateur!CG165*Calculateur!CI165*VLOOKUP('Données projet'!$B$12,Paramètres!$A$1:$I$89,3,0)*0.475*44/12</f>
        <v>16.759654102614881</v>
      </c>
      <c r="CM165" s="21">
        <f>EXP(-LN(2)/2)*CM164+(1-EXP(-LN(2)/2))/(LN(2)/2)*CG165*CJ165*VLOOKUP('Données projet'!$B$12,Paramètres!$A$1:$I$89,3,0)*0.475*44/12</f>
        <v>7.2202075600972566E-6</v>
      </c>
      <c r="CN165" s="22">
        <f t="shared" si="172"/>
        <v>58.986050008669451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9.4880000000000049</v>
      </c>
      <c r="CT165" s="12">
        <f>IF('Données projet'!$A$140&gt;35,CT164+CS165-DB164,IF(A165&lt;'Données projet'!$A$140,$CQ$205^A165,IF(A165='Données projet'!$A$140,'Données projet'!$B$140,CT164+CS165-DB164)))</f>
        <v>561.3440000000013</v>
      </c>
      <c r="CU165" s="17">
        <f>CT165*VLOOKUP('Données projet'!$B$13,Paramètres!$A$1:$I$89,3,0)*VLOOKUP('Données projet'!$B$13,Paramètres!$A$1:$I$89,5,0)</f>
        <v>534.17495040000119</v>
      </c>
      <c r="CV165" s="13">
        <f t="shared" si="173"/>
        <v>118.50405780990992</v>
      </c>
      <c r="CW165" s="20">
        <f t="shared" si="174"/>
        <v>1136.7492726322619</v>
      </c>
      <c r="CX165" s="59">
        <f t="shared" si="122"/>
        <v>1428.79079839725</v>
      </c>
      <c r="CY165" s="59">
        <f ca="1">AVERAGE(OFFSET($CX$3,0,0,'Données projet'!$E$13+1,1))-AVERAGE(OFFSET($H$3,0,0,'Données projet'!$E$13+1,1))</f>
        <v>677.13548994240728</v>
      </c>
      <c r="CZ165" s="59">
        <f t="shared" si="150"/>
        <v>298.72429542440534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48.600183204465409</v>
      </c>
      <c r="DG165" s="21">
        <f>EXP(-LN(2)/25)*DG164+(1-EXP(-LN(2)/25))/(LN(2)/25)*Calculateur!DB165*Calculateur!DD165*VLOOKUP('Données projet'!$B$13,Paramètres!$A$1:$I$89,3,0)*0.475*44/12</f>
        <v>19.289413212443538</v>
      </c>
      <c r="DH165" s="21">
        <f>EXP(-LN(2)/2)*DH164+(1-EXP(-LN(2)/2))/(LN(2)/2)*DB165*DE165*VLOOKUP('Données projet'!$B$13,Paramètres!$A$1:$I$89,3,0)*0.475*44/12</f>
        <v>1.0242620027114716E-5</v>
      </c>
      <c r="DI165" s="22">
        <f t="shared" si="175"/>
        <v>67.889606659528965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69.647688844996765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1.2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4.3999999999999995</v>
      </c>
      <c r="H166" s="67">
        <f t="shared" si="110"/>
        <v>239.06666666666669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1391.9598870723535</v>
      </c>
      <c r="S166" s="59">
        <f ca="1">AVERAGE(OFFSET($R$3,0,0,'Données projet'!$E$9+1,1))-AVERAGE(OFFSET($H$3,0,0,'Données projet'!$E$9+1,1))</f>
        <v>646.69588445509589</v>
      </c>
      <c r="T166" s="59">
        <f t="shared" si="142"/>
        <v>286.36346771084698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3.177547114319168E-13</v>
      </c>
      <c r="AK166" s="13">
        <f t="shared" si="164"/>
        <v>4.1725404435445377E-12</v>
      </c>
      <c r="AL166" s="20">
        <f t="shared" si="165"/>
        <v>7.820597394917325E-12</v>
      </c>
      <c r="AM166" s="59">
        <f t="shared" si="113"/>
        <v>292.06393573825773</v>
      </c>
      <c r="AN166" s="59">
        <f ca="1">AVERAGE(OFFSET($AM$3,0,0,'Données projet'!$E$10+1,1))-AVERAGE(OFFSET($H$3,0,0,'Données projet'!$E$10+1,1))</f>
        <v>391.55758836264408</v>
      </c>
      <c r="AO166" s="59">
        <f t="shared" si="144"/>
        <v>360.80727659978777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36.581338622078498</v>
      </c>
      <c r="AV166" s="21">
        <f>EXP(-LN(2)/25)*AV165+(1-EXP(-LN(2)/25))/(LN(2)/25)*Calculateur!AQ166*Calculateur!AS166*VLOOKUP('Données projet'!$B$10,Paramètres!$A$1:$I$89,3,0)*0.475*44/12</f>
        <v>5.8248984948303404</v>
      </c>
      <c r="AW166" s="21">
        <f>EXP(-LN(2)/2)*AW165+(1-EXP(-LN(2)/2))/(LN(2)/2)*AQ166*AT166*VLOOKUP('Données projet'!$B$10,Paramètres!$A$1:$I$89,3,0)*0.475*44/12</f>
        <v>7.5872418770063292E-13</v>
      </c>
      <c r="AX166" s="21">
        <f t="shared" si="166"/>
        <v>42.406237116909601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5.0249582272954292E-14</v>
      </c>
      <c r="BF166" s="13">
        <f t="shared" si="167"/>
        <v>8.1784820119191593E-13</v>
      </c>
      <c r="BG166" s="20">
        <f t="shared" si="168"/>
        <v>1.5119369728679821E-12</v>
      </c>
      <c r="BH166" s="59">
        <f t="shared" si="116"/>
        <v>292.06393573825142</v>
      </c>
      <c r="BI166" s="59">
        <f ca="1">AVERAGE(OFFSET($BH$3,0,0,'Données projet'!$E$11+1,1))-AVERAGE(OFFSET($H$3,0,0,'Données projet'!$E$11+1,1))</f>
        <v>400.11184625063709</v>
      </c>
      <c r="BJ166" s="59">
        <f t="shared" si="146"/>
        <v>340.02906159605971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39.932810031134608</v>
      </c>
      <c r="BQ166" s="21">
        <f>EXP(-LN(2)/25)*BQ165+(1-EXP(-LN(2)/25))/(LN(2)/25)*Calculateur!BL166*Calculateur!BN166*VLOOKUP('Données projet'!$B$11,Paramètres!$A$1:$I$89,3,0)*0.475*44/12</f>
        <v>7.1992072324058238</v>
      </c>
      <c r="BR166" s="21">
        <f>EXP(-LN(2)/2)*BR165+(1-EXP(-LN(2)/2))/(LN(2)/2)*BL166*BO166*VLOOKUP('Données projet'!$B$11,Paramètres!$A$1:$I$89,3,0)*0.475*44/12</f>
        <v>2.5275469157701222E-11</v>
      </c>
      <c r="BS166" s="22">
        <f t="shared" si="169"/>
        <v>47.132017263565707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9.4880000000000049</v>
      </c>
      <c r="BY166" s="12">
        <f>IF('Données projet'!$A$114&gt;35,BY165+BX166-CG165,IF(A166&lt;'Données projet'!$A$114,$BV$205^A166,IF(A166='Données projet'!$A$114,'Données projet'!$B$114,BY165+BX166-CG165)))</f>
        <v>570.83200000000136</v>
      </c>
      <c r="BZ166" s="13">
        <f>BY166*VLOOKUP('Données projet'!$B$12,Paramètres!$A$1:$I$89,3,0)*VLOOKUP('Données projet'!$B$12,Paramètres!$A$1:$I$89,5,0)</f>
        <v>382.91410560000094</v>
      </c>
      <c r="CA166" s="13">
        <f t="shared" si="170"/>
        <v>88.304011027136326</v>
      </c>
      <c r="CB166" s="20">
        <f t="shared" si="171"/>
        <v>820.70488645893067</v>
      </c>
      <c r="CC166" s="59">
        <f t="shared" si="119"/>
        <v>1112.7688221971805</v>
      </c>
      <c r="CD166" s="59">
        <f ca="1">AVERAGE(OFFSET($CC$3,0,0,'Données projet'!$E$12+1,1))-AVERAGE(OFFSET($H$3,0,0,'Données projet'!$E$12+1,1))</f>
        <v>493.98227954109774</v>
      </c>
      <c r="CE166" s="59">
        <f t="shared" si="148"/>
        <v>224.32736097997289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41.398354959271501</v>
      </c>
      <c r="CL166" s="21">
        <f>EXP(-LN(2)/25)*CL165+(1-EXP(-LN(2)/25))/(LN(2)/25)*Calculateur!CG166*Calculateur!CI166*VLOOKUP('Données projet'!$B$12,Paramètres!$A$1:$I$89,3,0)*0.475*44/12</f>
        <v>16.301360479826972</v>
      </c>
      <c r="CM166" s="21">
        <f>EXP(-LN(2)/2)*CM165+(1-EXP(-LN(2)/2))/(LN(2)/2)*CG166*CJ166*VLOOKUP('Données projet'!$B$12,Paramètres!$A$1:$I$89,3,0)*0.475*44/12</f>
        <v>5.1054577273191469E-6</v>
      </c>
      <c r="CN166" s="22">
        <f t="shared" si="172"/>
        <v>57.699720544556193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9.4880000000000049</v>
      </c>
      <c r="CT166" s="12">
        <f>IF('Données projet'!$A$140&gt;35,CT165+CS166-DB165,IF(A166&lt;'Données projet'!$A$140,$CQ$205^A166,IF(A166='Données projet'!$A$140,'Données projet'!$B$140,CT165+CS166-DB165)))</f>
        <v>570.83200000000136</v>
      </c>
      <c r="CU166" s="17">
        <f>CT166*VLOOKUP('Données projet'!$B$13,Paramètres!$A$1:$I$89,3,0)*VLOOKUP('Données projet'!$B$13,Paramètres!$A$1:$I$89,5,0)</f>
        <v>543.20373120000136</v>
      </c>
      <c r="CV166" s="13">
        <f t="shared" si="173"/>
        <v>120.27216973947687</v>
      </c>
      <c r="CW166" s="20">
        <f t="shared" si="174"/>
        <v>1155.5538608029244</v>
      </c>
      <c r="CX166" s="59">
        <f t="shared" si="122"/>
        <v>1447.6177965411744</v>
      </c>
      <c r="CY166" s="59">
        <f ca="1">AVERAGE(OFFSET($CX$3,0,0,'Données projet'!$E$13+1,1))-AVERAGE(OFFSET($H$3,0,0,'Données projet'!$E$13+1,1))</f>
        <v>677.13548994240728</v>
      </c>
      <c r="CZ166" s="59">
        <f t="shared" si="150"/>
        <v>298.72429542440534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47.647163255010575</v>
      </c>
      <c r="DG166" s="21">
        <f>EXP(-LN(2)/25)*DG165+(1-EXP(-LN(2)/25))/(LN(2)/25)*Calculateur!DB166*Calculateur!DD166*VLOOKUP('Données projet'!$B$13,Paramètres!$A$1:$I$89,3,0)*0.475*44/12</f>
        <v>18.761943193763116</v>
      </c>
      <c r="DH166" s="21">
        <f>EXP(-LN(2)/2)*DH165+(1-EXP(-LN(2)/2))/(LN(2)/2)*DB166*DE166*VLOOKUP('Données projet'!$B$13,Paramètres!$A$1:$I$89,3,0)*0.475*44/12</f>
        <v>7.2426260782899553E-6</v>
      </c>
      <c r="DI166" s="22">
        <f t="shared" si="175"/>
        <v>66.409113691399767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69.653800655886329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1.2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4.3999999999999995</v>
      </c>
      <c r="H167" s="67">
        <f t="shared" si="110"/>
        <v>239.06666666666669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1409.873226045172</v>
      </c>
      <c r="S167" s="59">
        <f ca="1">AVERAGE(OFFSET($R$3,0,0,'Données projet'!$E$9+1,1))-AVERAGE(OFFSET($H$3,0,0,'Données projet'!$E$9+1,1))</f>
        <v>646.69588445509589</v>
      </c>
      <c r="T167" s="59">
        <f t="shared" si="142"/>
        <v>286.36346771084698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3.177547114319168E-13</v>
      </c>
      <c r="AK167" s="13">
        <f t="shared" si="164"/>
        <v>4.1725404435445377E-12</v>
      </c>
      <c r="AL167" s="20">
        <f t="shared" si="165"/>
        <v>7.820597394917325E-12</v>
      </c>
      <c r="AM167" s="59">
        <f t="shared" si="113"/>
        <v>292.08595694858457</v>
      </c>
      <c r="AN167" s="59">
        <f ca="1">AVERAGE(OFFSET($AM$3,0,0,'Données projet'!$E$10+1,1))-AVERAGE(OFFSET($H$3,0,0,'Données projet'!$E$10+1,1))</f>
        <v>391.55758836264408</v>
      </c>
      <c r="AO167" s="59">
        <f t="shared" si="144"/>
        <v>360.80727659978777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35.864000884112933</v>
      </c>
      <c r="AV167" s="21">
        <f>EXP(-LN(2)/25)*AV166+(1-EXP(-LN(2)/25))/(LN(2)/25)*Calculateur!AQ167*Calculateur!AS167*VLOOKUP('Données projet'!$B$10,Paramètres!$A$1:$I$89,3,0)*0.475*44/12</f>
        <v>5.6656163391711063</v>
      </c>
      <c r="AW167" s="21">
        <f>EXP(-LN(2)/2)*AW166+(1-EXP(-LN(2)/2))/(LN(2)/2)*AQ167*AT167*VLOOKUP('Données projet'!$B$10,Paramètres!$A$1:$I$89,3,0)*0.475*44/12</f>
        <v>5.3649901817337244E-13</v>
      </c>
      <c r="AX167" s="21">
        <f t="shared" si="166"/>
        <v>41.529617223284582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5.0249582272954292E-14</v>
      </c>
      <c r="BF167" s="13">
        <f t="shared" si="167"/>
        <v>8.1784820119191593E-13</v>
      </c>
      <c r="BG167" s="20">
        <f t="shared" si="168"/>
        <v>1.5119369728679821E-12</v>
      </c>
      <c r="BH167" s="59">
        <f t="shared" si="116"/>
        <v>292.08595694857826</v>
      </c>
      <c r="BI167" s="59">
        <f ca="1">AVERAGE(OFFSET($BH$3,0,0,'Données projet'!$E$11+1,1))-AVERAGE(OFFSET($H$3,0,0,'Données projet'!$E$11+1,1))</f>
        <v>400.11184625063709</v>
      </c>
      <c r="BJ167" s="59">
        <f t="shared" si="146"/>
        <v>340.02906159605971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39.149751983033163</v>
      </c>
      <c r="BQ167" s="21">
        <f>EXP(-LN(2)/25)*BQ166+(1-EXP(-LN(2)/25))/(LN(2)/25)*Calculateur!BL167*Calculateur!BN167*VLOOKUP('Données projet'!$B$11,Paramètres!$A$1:$I$89,3,0)*0.475*44/12</f>
        <v>7.0023445320458322</v>
      </c>
      <c r="BR167" s="21">
        <f>EXP(-LN(2)/2)*BR166+(1-EXP(-LN(2)/2))/(LN(2)/2)*BL167*BO167*VLOOKUP('Données projet'!$B$11,Paramètres!$A$1:$I$89,3,0)*0.475*44/12</f>
        <v>1.7872455639081968E-11</v>
      </c>
      <c r="BS167" s="22">
        <f t="shared" si="169"/>
        <v>46.152096515096865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9.4880000000000049</v>
      </c>
      <c r="BX167" s="12">
        <f t="array" ref="BX167">INDEX(BW:BW,MIN(IF(ISNUMBER(BW167:BW363),ROW(BW167:BW363),"")))</f>
        <v>9.4880000000000049</v>
      </c>
      <c r="BY167" s="12">
        <f>IF('Données projet'!$A$114&gt;35,BY166+BX167-CG166,IF(A167&lt;'Données projet'!$A$114,$BV$205^A167,IF(A167='Données projet'!$A$114,'Données projet'!$B$114,BY166+BX167-CG166)))</f>
        <v>580.32000000000141</v>
      </c>
      <c r="BZ167" s="13">
        <f>BY167*VLOOKUP('Données projet'!$B$12,Paramètres!$A$1:$I$89,3,0)*VLOOKUP('Données projet'!$B$12,Paramètres!$A$1:$I$89,5,0)</f>
        <v>389.27865600000092</v>
      </c>
      <c r="CA167" s="13">
        <f t="shared" si="170"/>
        <v>89.599652251951028</v>
      </c>
      <c r="CB167" s="20">
        <f t="shared" si="171"/>
        <v>834.04638687214958</v>
      </c>
      <c r="CC167" s="59">
        <f t="shared" si="119"/>
        <v>1126.1323438207264</v>
      </c>
      <c r="CD167" s="59">
        <f ca="1">AVERAGE(OFFSET($CC$3,0,0,'Données projet'!$E$12+1,1))-AVERAGE(OFFSET($H$3,0,0,'Données projet'!$E$12+1,1))</f>
        <v>493.98227954109774</v>
      </c>
      <c r="CE167" s="59">
        <f t="shared" si="148"/>
        <v>224.32736097997289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66.020000000000095</v>
      </c>
      <c r="CH167" s="16">
        <f>IF(ISNA(VLOOKUP(A167,'Données projet'!$A$113:$I$133,5,0)),0%,VLOOKUP(A167,'Données projet'!$A$113:$I$133,5,0)*VLOOKUP('Données projet'!$B$12,Paramètres!$A$1:$I$89,7,0))</f>
        <v>0.26500000000000001</v>
      </c>
      <c r="CI167" s="16">
        <f>IF(ISNA(VLOOKUP(A167,'Données projet'!$A$113:$I$133,6,0)),0%,VLOOKUP(A167,'Données projet'!$A$113:$I$133,6,0)*VLOOKUP('Données projet'!$B$12,Paramètres!$A$1:$I$89,7,0))</f>
        <v>0.10600000000000001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53.56018997156697</v>
      </c>
      <c r="CL167" s="21">
        <f>EXP(-LN(2)/25)*CL166+(1-EXP(-LN(2)/25))/(LN(2)/25)*Calculateur!CG167*Calculateur!CI167*VLOOKUP('Données projet'!$B$12,Paramètres!$A$1:$I$89,3,0)*0.475*44/12</f>
        <v>21.024618669045566</v>
      </c>
      <c r="CM167" s="21">
        <f>EXP(-LN(2)/2)*CM166+(1-EXP(-LN(2)/2))/(LN(2)/2)*CG167*CJ167*VLOOKUP('Données projet'!$B$12,Paramètres!$A$1:$I$89,3,0)*0.475*44/12</f>
        <v>3.6101037800486283E-6</v>
      </c>
      <c r="CN167" s="22">
        <f t="shared" si="172"/>
        <v>74.584812250716311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9.4880000000000049</v>
      </c>
      <c r="CS167" s="12">
        <f t="array" ref="CS167">INDEX(CR:CR,MIN(IF(ISNUMBER(CR167:CR363),ROW(CR167:CR363),"")))</f>
        <v>9.4880000000000049</v>
      </c>
      <c r="CT167" s="12">
        <f>IF('Données projet'!$A$140&gt;35,CT166+CS167-DB166,IF(A167&lt;'Données projet'!$A$140,$CQ$205^A167,IF(A167='Données projet'!$A$140,'Données projet'!$B$140,CT166+CS167-DB166)))</f>
        <v>580.32000000000141</v>
      </c>
      <c r="CU167" s="17">
        <f>CT167*VLOOKUP('Données projet'!$B$13,Paramètres!$A$1:$I$89,3,0)*VLOOKUP('Données projet'!$B$13,Paramètres!$A$1:$I$89,5,0)</f>
        <v>552.23251200000141</v>
      </c>
      <c r="CV167" s="13">
        <f t="shared" si="173"/>
        <v>122.03686399854614</v>
      </c>
      <c r="CW167" s="20">
        <f t="shared" si="174"/>
        <v>1174.3524965308034</v>
      </c>
      <c r="CX167" s="59">
        <f t="shared" si="122"/>
        <v>1466.4384534793801</v>
      </c>
      <c r="CY167" s="59">
        <f ca="1">AVERAGE(OFFSET($CX$3,0,0,'Données projet'!$E$13+1,1))-AVERAGE(OFFSET($H$3,0,0,'Données projet'!$E$13+1,1))</f>
        <v>677.13548994240728</v>
      </c>
      <c r="CZ167" s="59">
        <f t="shared" si="150"/>
        <v>298.72429542440534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66.020000000000095</v>
      </c>
      <c r="DC167" s="16">
        <f>IF(ISNA(VLOOKUP(A167,'Données projet'!$A$139:$I$159,5,0)),0%,VLOOKUP(A167,'Données projet'!$A$139:$I$159,5,0)*VLOOKUP('Données projet'!$B$13,Paramètres!$A$1:$I$89,7,0))</f>
        <v>0.215</v>
      </c>
      <c r="DD167" s="16">
        <f>IF(ISNA(VLOOKUP(A167,'Données projet'!$A$139:$I$159,6,0)),0%,VLOOKUP(A167,'Données projet'!$A$139:$I$159,6,0)*VLOOKUP('Données projet'!$B$13,Paramètres!$A$1:$I$89,7,0))</f>
        <v>8.6000000000000007E-2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61.644746948407253</v>
      </c>
      <c r="DG167" s="21">
        <f>EXP(-LN(2)/25)*DG166+(1-EXP(-LN(2)/25))/(LN(2)/25)*Calculateur!DB167*Calculateur!DD167*VLOOKUP('Données projet'!$B$13,Paramètres!$A$1:$I$89,3,0)*0.475*44/12</f>
        <v>24.198146015316592</v>
      </c>
      <c r="DH167" s="21">
        <f>EXP(-LN(2)/2)*DH166+(1-EXP(-LN(2)/2))/(LN(2)/2)*DB167*DE167*VLOOKUP('Données projet'!$B$13,Paramètres!$A$1:$I$89,3,0)*0.475*44/12</f>
        <v>5.1213100135573589E-6</v>
      </c>
      <c r="DI167" s="22">
        <f t="shared" si="175"/>
        <v>85.842898085033852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69.659806440520924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1.2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4.3999999999999995</v>
      </c>
      <c r="H168" s="67">
        <f t="shared" si="110"/>
        <v>239.06666666666669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1303.4605786709519</v>
      </c>
      <c r="S168" s="59">
        <f ca="1">AVERAGE(OFFSET($R$3,0,0,'Données projet'!$E$9+1,1))-AVERAGE(OFFSET($H$3,0,0,'Données projet'!$E$9+1,1))</f>
        <v>646.69588445509589</v>
      </c>
      <c r="T168" s="59">
        <f t="shared" si="142"/>
        <v>286.36346771084698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3.177547114319168E-13</v>
      </c>
      <c r="AK168" s="13">
        <f t="shared" si="164"/>
        <v>4.1725404435445377E-12</v>
      </c>
      <c r="AL168" s="20">
        <f t="shared" si="165"/>
        <v>7.820597394917325E-12</v>
      </c>
      <c r="AM168" s="59">
        <f t="shared" si="113"/>
        <v>292.10759614014427</v>
      </c>
      <c r="AN168" s="59">
        <f ca="1">AVERAGE(OFFSET($AM$3,0,0,'Données projet'!$E$10+1,1))-AVERAGE(OFFSET($H$3,0,0,'Données projet'!$E$10+1,1))</f>
        <v>391.55758836264408</v>
      </c>
      <c r="AO168" s="59">
        <f t="shared" si="144"/>
        <v>360.80727659978777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35.160729701656052</v>
      </c>
      <c r="AV168" s="21">
        <f>EXP(-LN(2)/25)*AV167+(1-EXP(-LN(2)/25))/(LN(2)/25)*Calculateur!AQ168*Calculateur!AS168*VLOOKUP('Données projet'!$B$10,Paramètres!$A$1:$I$89,3,0)*0.475*44/12</f>
        <v>5.5106897624346578</v>
      </c>
      <c r="AW168" s="21">
        <f>EXP(-LN(2)/2)*AW167+(1-EXP(-LN(2)/2))/(LN(2)/2)*AQ168*AT168*VLOOKUP('Données projet'!$B$10,Paramètres!$A$1:$I$89,3,0)*0.475*44/12</f>
        <v>3.7936209385031646E-13</v>
      </c>
      <c r="AX168" s="21">
        <f t="shared" si="166"/>
        <v>40.671419464091088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5.0249582272954292E-14</v>
      </c>
      <c r="BF168" s="13">
        <f t="shared" si="167"/>
        <v>8.1784820119191593E-13</v>
      </c>
      <c r="BG168" s="20">
        <f t="shared" si="168"/>
        <v>1.5119369728679821E-12</v>
      </c>
      <c r="BH168" s="59">
        <f t="shared" si="116"/>
        <v>292.10759614013796</v>
      </c>
      <c r="BI168" s="59">
        <f ca="1">AVERAGE(OFFSET($BH$3,0,0,'Données projet'!$E$11+1,1))-AVERAGE(OFFSET($H$3,0,0,'Données projet'!$E$11+1,1))</f>
        <v>400.11184625063709</v>
      </c>
      <c r="BJ168" s="59">
        <f t="shared" si="146"/>
        <v>340.02906159605971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38.382049225636734</v>
      </c>
      <c r="BQ168" s="21">
        <f>EXP(-LN(2)/25)*BQ167+(1-EXP(-LN(2)/25))/(LN(2)/25)*Calculateur!BL168*Calculateur!BN168*VLOOKUP('Données projet'!$B$11,Paramètres!$A$1:$I$89,3,0)*0.475*44/12</f>
        <v>6.8108650525797438</v>
      </c>
      <c r="BR168" s="21">
        <f>EXP(-LN(2)/2)*BR167+(1-EXP(-LN(2)/2))/(LN(2)/2)*BL168*BO168*VLOOKUP('Données projet'!$B$11,Paramètres!$A$1:$I$89,3,0)*0.475*44/12</f>
        <v>1.2637734578850611E-11</v>
      </c>
      <c r="BS168" s="22">
        <f t="shared" si="169"/>
        <v>45.192914278229118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9.6220000000000034</v>
      </c>
      <c r="BY168" s="12">
        <f>IF('Données projet'!$A$114&gt;35,BY167+BX168-CG167,IF(A168&lt;'Données projet'!$A$114,$BV$205^A168,IF(A168='Données projet'!$A$114,'Données projet'!$B$114,BY167+BX168-CG167)))</f>
        <v>523.92200000000128</v>
      </c>
      <c r="BZ168" s="13">
        <f>BY168*VLOOKUP('Données projet'!$B$12,Paramètres!$A$1:$I$89,3,0)*VLOOKUP('Données projet'!$B$12,Paramètres!$A$1:$I$89,5,0)</f>
        <v>351.44687760000085</v>
      </c>
      <c r="CA168" s="13">
        <f t="shared" si="170"/>
        <v>81.860366792693796</v>
      </c>
      <c r="CB168" s="20">
        <f t="shared" si="171"/>
        <v>754.6767839839431</v>
      </c>
      <c r="CC168" s="59">
        <f t="shared" si="119"/>
        <v>1046.7843801240795</v>
      </c>
      <c r="CD168" s="59">
        <f ca="1">AVERAGE(OFFSET($CC$3,0,0,'Données projet'!$E$12+1,1))-AVERAGE(OFFSET($H$3,0,0,'Données projet'!$E$12+1,1))</f>
        <v>493.98227954109774</v>
      </c>
      <c r="CE168" s="59">
        <f t="shared" si="148"/>
        <v>224.32736097997289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52.509907314714681</v>
      </c>
      <c r="CL168" s="21">
        <f>EXP(-LN(2)/25)*CL167+(1-EXP(-LN(2)/25))/(LN(2)/25)*Calculateur!CG168*Calculateur!CI168*VLOOKUP('Données projet'!$B$12,Paramètres!$A$1:$I$89,3,0)*0.475*44/12</f>
        <v>20.449699365903871</v>
      </c>
      <c r="CM168" s="21">
        <f>EXP(-LN(2)/2)*CM167+(1-EXP(-LN(2)/2))/(LN(2)/2)*CG168*CJ168*VLOOKUP('Données projet'!$B$12,Paramètres!$A$1:$I$89,3,0)*0.475*44/12</f>
        <v>2.5527288636595735E-6</v>
      </c>
      <c r="CN168" s="22">
        <f t="shared" si="172"/>
        <v>72.959609233347408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9.6220000000000034</v>
      </c>
      <c r="CT168" s="12">
        <f>IF('Données projet'!$A$140&gt;35,CT167+CS168-DB167,IF(A168&lt;'Données projet'!$A$140,$CQ$205^A168,IF(A168='Données projet'!$A$140,'Données projet'!$B$140,CT167+CS168-DB167)))</f>
        <v>523.92200000000128</v>
      </c>
      <c r="CU168" s="17">
        <f>CT168*VLOOKUP('Données projet'!$B$13,Paramètres!$A$1:$I$89,3,0)*VLOOKUP('Données projet'!$B$13,Paramètres!$A$1:$I$89,5,0)</f>
        <v>498.56417520000116</v>
      </c>
      <c r="CV168" s="13">
        <f t="shared" si="173"/>
        <v>111.49577256237113</v>
      </c>
      <c r="CW168" s="20">
        <f t="shared" si="174"/>
        <v>1062.5210756861318</v>
      </c>
      <c r="CX168" s="59">
        <f t="shared" si="122"/>
        <v>1354.6286718262681</v>
      </c>
      <c r="CY168" s="59">
        <f ca="1">AVERAGE(OFFSET($CX$3,0,0,'Données projet'!$E$13+1,1))-AVERAGE(OFFSET($H$3,0,0,'Données projet'!$E$13+1,1))</f>
        <v>677.13548994240728</v>
      </c>
      <c r="CZ168" s="59">
        <f t="shared" si="150"/>
        <v>298.72429542440534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60.435931060331974</v>
      </c>
      <c r="DG168" s="21">
        <f>EXP(-LN(2)/25)*DG167+(1-EXP(-LN(2)/25))/(LN(2)/25)*Calculateur!DB168*Calculateur!DD168*VLOOKUP('Données projet'!$B$13,Paramètres!$A$1:$I$89,3,0)*0.475*44/12</f>
        <v>23.536446440002567</v>
      </c>
      <c r="DH168" s="21">
        <f>EXP(-LN(2)/2)*DH167+(1-EXP(-LN(2)/2))/(LN(2)/2)*DB168*DE168*VLOOKUP('Données projet'!$B$13,Paramètres!$A$1:$I$89,3,0)*0.475*44/12</f>
        <v>3.6213130391449785E-6</v>
      </c>
      <c r="DI168" s="22">
        <f t="shared" si="175"/>
        <v>83.972381121647587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69.665708038219023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1.2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4.3999999999999995</v>
      </c>
      <c r="H169" s="67">
        <f t="shared" si="110"/>
        <v>239.06666666666669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1321.6554439053614</v>
      </c>
      <c r="S169" s="59">
        <f ca="1">AVERAGE(OFFSET($R$3,0,0,'Données projet'!$E$9+1,1))-AVERAGE(OFFSET($H$3,0,0,'Données projet'!$E$9+1,1))</f>
        <v>646.69588445509589</v>
      </c>
      <c r="T169" s="59">
        <f t="shared" si="142"/>
        <v>286.36346771084698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3.177547114319168E-13</v>
      </c>
      <c r="AK169" s="13">
        <f t="shared" si="164"/>
        <v>4.1725404435445377E-12</v>
      </c>
      <c r="AL169" s="20">
        <f t="shared" si="165"/>
        <v>7.820597394917325E-12</v>
      </c>
      <c r="AM169" s="59">
        <f t="shared" si="113"/>
        <v>292.12885994010838</v>
      </c>
      <c r="AN169" s="59">
        <f ca="1">AVERAGE(OFFSET($AM$3,0,0,'Données projet'!$E$10+1,1))-AVERAGE(OFFSET($H$3,0,0,'Données projet'!$E$10+1,1))</f>
        <v>391.55758836264408</v>
      </c>
      <c r="AO169" s="59">
        <f t="shared" si="144"/>
        <v>360.80727659978777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34.471249238134085</v>
      </c>
      <c r="AV169" s="21">
        <f>EXP(-LN(2)/25)*AV168+(1-EXP(-LN(2)/25))/(LN(2)/25)*Calculateur!AQ169*Calculateur!AS169*VLOOKUP('Données projet'!$B$10,Paramètres!$A$1:$I$89,3,0)*0.475*44/12</f>
        <v>5.3599996610863023</v>
      </c>
      <c r="AW169" s="21">
        <f>EXP(-LN(2)/2)*AW168+(1-EXP(-LN(2)/2))/(LN(2)/2)*AQ169*AT169*VLOOKUP('Données projet'!$B$10,Paramètres!$A$1:$I$89,3,0)*0.475*44/12</f>
        <v>2.6824950908668622E-13</v>
      </c>
      <c r="AX169" s="21">
        <f t="shared" si="166"/>
        <v>39.831248899220654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5.0249582272954292E-14</v>
      </c>
      <c r="BF169" s="13">
        <f t="shared" si="167"/>
        <v>8.1784820119191593E-13</v>
      </c>
      <c r="BG169" s="20">
        <f t="shared" si="168"/>
        <v>1.5119369728679821E-12</v>
      </c>
      <c r="BH169" s="59">
        <f t="shared" si="116"/>
        <v>292.12885994010207</v>
      </c>
      <c r="BI169" s="59">
        <f ca="1">AVERAGE(OFFSET($BH$3,0,0,'Données projet'!$E$11+1,1))-AVERAGE(OFFSET($H$3,0,0,'Données projet'!$E$11+1,1))</f>
        <v>400.11184625063709</v>
      </c>
      <c r="BJ169" s="59">
        <f t="shared" si="146"/>
        <v>340.02906159605971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37.629400651060408</v>
      </c>
      <c r="BQ169" s="21">
        <f>EXP(-LN(2)/25)*BQ168+(1-EXP(-LN(2)/25))/(LN(2)/25)*Calculateur!BL169*Calculateur!BN169*VLOOKUP('Données projet'!$B$11,Paramètres!$A$1:$I$89,3,0)*0.475*44/12</f>
        <v>6.6246215895491245</v>
      </c>
      <c r="BR169" s="21">
        <f>EXP(-LN(2)/2)*BR168+(1-EXP(-LN(2)/2))/(LN(2)/2)*BL169*BO169*VLOOKUP('Données projet'!$B$11,Paramètres!$A$1:$I$89,3,0)*0.475*44/12</f>
        <v>8.9362278195409841E-12</v>
      </c>
      <c r="BS169" s="22">
        <f t="shared" si="169"/>
        <v>44.254022240618468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9.6220000000000034</v>
      </c>
      <c r="BY169" s="12">
        <f>IF('Données projet'!$A$114&gt;35,BY168+BX169-CG168,IF(A169&lt;'Données projet'!$A$114,$BV$205^A169,IF(A169='Données projet'!$A$114,'Données projet'!$B$114,BY168+BX169-CG168)))</f>
        <v>533.54400000000123</v>
      </c>
      <c r="BZ169" s="13">
        <f>BY169*VLOOKUP('Données projet'!$B$12,Paramètres!$A$1:$I$89,3,0)*VLOOKUP('Données projet'!$B$12,Paramètres!$A$1:$I$89,5,0)</f>
        <v>357.90131520000085</v>
      </c>
      <c r="CA169" s="13">
        <f t="shared" si="170"/>
        <v>83.187354216392166</v>
      </c>
      <c r="CB169" s="20">
        <f t="shared" si="171"/>
        <v>768.2294325668845</v>
      </c>
      <c r="CC169" s="59">
        <f t="shared" si="119"/>
        <v>1060.358292506985</v>
      </c>
      <c r="CD169" s="59">
        <f ca="1">AVERAGE(OFFSET($CC$3,0,0,'Données projet'!$E$12+1,1))-AVERAGE(OFFSET($H$3,0,0,'Données projet'!$E$12+1,1))</f>
        <v>493.98227954109774</v>
      </c>
      <c r="CE169" s="59">
        <f t="shared" si="148"/>
        <v>224.32736097997289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51.480220060154096</v>
      </c>
      <c r="CL169" s="21">
        <f>EXP(-LN(2)/25)*CL168+(1-EXP(-LN(2)/25))/(LN(2)/25)*Calculateur!CG169*Calculateur!CI169*VLOOKUP('Données projet'!$B$12,Paramètres!$A$1:$I$89,3,0)*0.475*44/12</f>
        <v>19.89050126134028</v>
      </c>
      <c r="CM169" s="21">
        <f>EXP(-LN(2)/2)*CM168+(1-EXP(-LN(2)/2))/(LN(2)/2)*CG169*CJ169*VLOOKUP('Données projet'!$B$12,Paramètres!$A$1:$I$89,3,0)*0.475*44/12</f>
        <v>1.8050518900243141E-6</v>
      </c>
      <c r="CN169" s="22">
        <f t="shared" si="172"/>
        <v>71.370723126546267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9.6220000000000034</v>
      </c>
      <c r="CT169" s="12">
        <f>IF('Données projet'!$A$140&gt;35,CT168+CS169-DB168,IF(A169&lt;'Données projet'!$A$140,$CQ$205^A169,IF(A169='Données projet'!$A$140,'Données projet'!$B$140,CT168+CS169-DB168)))</f>
        <v>533.54400000000123</v>
      </c>
      <c r="CU169" s="17">
        <f>CT169*VLOOKUP('Données projet'!$B$13,Paramètres!$A$1:$I$89,3,0)*VLOOKUP('Données projet'!$B$13,Paramètres!$A$1:$I$89,5,0)</f>
        <v>507.72047040000115</v>
      </c>
      <c r="CV169" s="13">
        <f t="shared" si="173"/>
        <v>113.30316109216449</v>
      </c>
      <c r="CW169" s="20">
        <f t="shared" si="174"/>
        <v>1081.6161581821882</v>
      </c>
      <c r="CX169" s="59">
        <f t="shared" si="122"/>
        <v>1373.7450181222887</v>
      </c>
      <c r="CY169" s="59">
        <f ca="1">AVERAGE(OFFSET($CX$3,0,0,'Données projet'!$E$13+1,1))-AVERAGE(OFFSET($H$3,0,0,'Données projet'!$E$13+1,1))</f>
        <v>677.13548994240728</v>
      </c>
      <c r="CZ169" s="59">
        <f t="shared" si="150"/>
        <v>298.72429542440534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59.25081931451696</v>
      </c>
      <c r="DG169" s="21">
        <f>EXP(-LN(2)/25)*DG168+(1-EXP(-LN(2)/25))/(LN(2)/25)*Calculateur!DB169*Calculateur!DD169*VLOOKUP('Données projet'!$B$13,Paramètres!$A$1:$I$89,3,0)*0.475*44/12</f>
        <v>22.892841074372772</v>
      </c>
      <c r="DH169" s="21">
        <f>EXP(-LN(2)/2)*DH168+(1-EXP(-LN(2)/2))/(LN(2)/2)*DB169*DE169*VLOOKUP('Données projet'!$B$13,Paramètres!$A$1:$I$89,3,0)*0.475*44/12</f>
        <v>2.5606550067786799E-6</v>
      </c>
      <c r="DI169" s="22">
        <f t="shared" si="175"/>
        <v>82.143662949544733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69.671507256391067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1.2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4.3999999999999995</v>
      </c>
      <c r="H170" s="67">
        <f t="shared" si="110"/>
        <v>239.06666666666669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1339.8436265984283</v>
      </c>
      <c r="S170" s="59">
        <f ca="1">AVERAGE(OFFSET($R$3,0,0,'Données projet'!$E$9+1,1))-AVERAGE(OFFSET($H$3,0,0,'Données projet'!$E$9+1,1))</f>
        <v>646.69588445509589</v>
      </c>
      <c r="T170" s="59">
        <f t="shared" si="142"/>
        <v>286.36346771084698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3.177547114319168E-13</v>
      </c>
      <c r="AK170" s="13">
        <f t="shared" si="164"/>
        <v>4.1725404435445377E-12</v>
      </c>
      <c r="AL170" s="20">
        <f t="shared" si="165"/>
        <v>7.820597394917325E-12</v>
      </c>
      <c r="AM170" s="59">
        <f t="shared" si="113"/>
        <v>292.14975486068187</v>
      </c>
      <c r="AN170" s="59">
        <f ca="1">AVERAGE(OFFSET($AM$3,0,0,'Données projet'!$E$10+1,1))-AVERAGE(OFFSET($H$3,0,0,'Données projet'!$E$10+1,1))</f>
        <v>391.55758836264408</v>
      </c>
      <c r="AO170" s="59">
        <f t="shared" si="144"/>
        <v>360.80727659978777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33.795289065960226</v>
      </c>
      <c r="AV170" s="21">
        <f>EXP(-LN(2)/25)*AV169+(1-EXP(-LN(2)/25))/(LN(2)/25)*Calculateur!AQ170*Calculateur!AS170*VLOOKUP('Données projet'!$B$10,Paramètres!$A$1:$I$89,3,0)*0.475*44/12</f>
        <v>5.2134301884837653</v>
      </c>
      <c r="AW170" s="21">
        <f>EXP(-LN(2)/2)*AW169+(1-EXP(-LN(2)/2))/(LN(2)/2)*AQ170*AT170*VLOOKUP('Données projet'!$B$10,Paramètres!$A$1:$I$89,3,0)*0.475*44/12</f>
        <v>1.8968104692515823E-13</v>
      </c>
      <c r="AX170" s="21">
        <f t="shared" si="166"/>
        <v>39.008719254444181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5.0249582272954292E-14</v>
      </c>
      <c r="BF170" s="13">
        <f t="shared" si="167"/>
        <v>8.1784820119191593E-13</v>
      </c>
      <c r="BG170" s="20">
        <f t="shared" si="168"/>
        <v>1.5119369728679821E-12</v>
      </c>
      <c r="BH170" s="59">
        <f t="shared" si="116"/>
        <v>292.14975486067556</v>
      </c>
      <c r="BI170" s="59">
        <f ca="1">AVERAGE(OFFSET($BH$3,0,0,'Données projet'!$E$11+1,1))-AVERAGE(OFFSET($H$3,0,0,'Données projet'!$E$11+1,1))</f>
        <v>400.11184625063709</v>
      </c>
      <c r="BJ170" s="59">
        <f t="shared" si="146"/>
        <v>340.02906159605971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36.891511055961224</v>
      </c>
      <c r="BQ170" s="21">
        <f>EXP(-LN(2)/25)*BQ169+(1-EXP(-LN(2)/25))/(LN(2)/25)*Calculateur!BL170*Calculateur!BN170*VLOOKUP('Données projet'!$B$11,Paramètres!$A$1:$I$89,3,0)*0.475*44/12</f>
        <v>6.4434709638091947</v>
      </c>
      <c r="BR170" s="21">
        <f>EXP(-LN(2)/2)*BR169+(1-EXP(-LN(2)/2))/(LN(2)/2)*BL170*BO170*VLOOKUP('Données projet'!$B$11,Paramètres!$A$1:$I$89,3,0)*0.475*44/12</f>
        <v>6.3188672894253054E-12</v>
      </c>
      <c r="BS170" s="22">
        <f t="shared" si="169"/>
        <v>43.334982019776739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9.6220000000000034</v>
      </c>
      <c r="BY170" s="12">
        <f>IF('Données projet'!$A$114&gt;35,BY169+BX170-CG169,IF(A170&lt;'Données projet'!$A$114,$BV$205^A170,IF(A170='Données projet'!$A$114,'Données projet'!$B$114,BY169+BX170-CG169)))</f>
        <v>543.16600000000119</v>
      </c>
      <c r="BZ170" s="13">
        <f>BY170*VLOOKUP('Données projet'!$B$12,Paramètres!$A$1:$I$89,3,0)*VLOOKUP('Données projet'!$B$12,Paramètres!$A$1:$I$89,5,0)</f>
        <v>364.3557528000008</v>
      </c>
      <c r="CA170" s="13">
        <f t="shared" si="170"/>
        <v>84.511558827002645</v>
      </c>
      <c r="CB170" s="20">
        <f t="shared" si="171"/>
        <v>781.77723441703108</v>
      </c>
      <c r="CC170" s="59">
        <f t="shared" si="119"/>
        <v>1073.9269892777052</v>
      </c>
      <c r="CD170" s="59">
        <f ca="1">AVERAGE(OFFSET($CC$3,0,0,'Données projet'!$E$12+1,1))-AVERAGE(OFFSET($H$3,0,0,'Données projet'!$E$12+1,1))</f>
        <v>493.98227954109774</v>
      </c>
      <c r="CE170" s="59">
        <f t="shared" si="148"/>
        <v>224.32736097997289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50.470724344608236</v>
      </c>
      <c r="CL170" s="21">
        <f>EXP(-LN(2)/25)*CL169+(1-EXP(-LN(2)/25))/(LN(2)/25)*Calculateur!CG170*Calculateur!CI170*VLOOKUP('Données projet'!$B$12,Paramètres!$A$1:$I$89,3,0)*0.475*44/12</f>
        <v>19.346594458352929</v>
      </c>
      <c r="CM170" s="21">
        <f>EXP(-LN(2)/2)*CM169+(1-EXP(-LN(2)/2))/(LN(2)/2)*CG170*CJ170*VLOOKUP('Données projet'!$B$12,Paramètres!$A$1:$I$89,3,0)*0.475*44/12</f>
        <v>1.2763644318297867E-6</v>
      </c>
      <c r="CN170" s="22">
        <f t="shared" si="172"/>
        <v>69.817320079325597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9.6220000000000034</v>
      </c>
      <c r="CT170" s="12">
        <f>IF('Données projet'!$A$140&gt;35,CT169+CS170-DB169,IF(A170&lt;'Données projet'!$A$140,$CQ$205^A170,IF(A170='Données projet'!$A$140,'Données projet'!$B$140,CT169+CS170-DB169)))</f>
        <v>543.16600000000119</v>
      </c>
      <c r="CU170" s="17">
        <f>CT170*VLOOKUP('Données projet'!$B$13,Paramètres!$A$1:$I$89,3,0)*VLOOKUP('Données projet'!$B$13,Paramètres!$A$1:$I$89,5,0)</f>
        <v>516.87676560000114</v>
      </c>
      <c r="CV170" s="13">
        <f t="shared" si="173"/>
        <v>115.10675936414104</v>
      </c>
      <c r="CW170" s="20">
        <f t="shared" si="174"/>
        <v>1100.7046393125474</v>
      </c>
      <c r="CX170" s="59">
        <f t="shared" si="122"/>
        <v>1392.8543941732214</v>
      </c>
      <c r="CY170" s="59">
        <f ca="1">AVERAGE(OFFSET($CX$3,0,0,'Données projet'!$E$13+1,1))-AVERAGE(OFFSET($H$3,0,0,'Données projet'!$E$13+1,1))</f>
        <v>677.13548994240728</v>
      </c>
      <c r="CZ170" s="59">
        <f t="shared" si="150"/>
        <v>298.72429542440534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58.088946887190595</v>
      </c>
      <c r="DG170" s="21">
        <f>EXP(-LN(2)/25)*DG169+(1-EXP(-LN(2)/25))/(LN(2)/25)*Calculateur!DB170*Calculateur!DD170*VLOOKUP('Données projet'!$B$13,Paramètres!$A$1:$I$89,3,0)*0.475*44/12</f>
        <v>22.266835131311858</v>
      </c>
      <c r="DH170" s="21">
        <f>EXP(-LN(2)/2)*DH169+(1-EXP(-LN(2)/2))/(LN(2)/2)*DB170*DE170*VLOOKUP('Données projet'!$B$13,Paramètres!$A$1:$I$89,3,0)*0.475*44/12</f>
        <v>1.8106565195724895E-6</v>
      </c>
      <c r="DI170" s="22">
        <f t="shared" si="175"/>
        <v>80.355783829158966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69.677205871092923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1.2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4.3999999999999995</v>
      </c>
      <c r="H171" s="67">
        <f t="shared" si="110"/>
        <v>239.06666666666669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1358.0252578969423</v>
      </c>
      <c r="S171" s="59">
        <f ca="1">AVERAGE(OFFSET($R$3,0,0,'Données projet'!$E$9+1,1))-AVERAGE(OFFSET($H$3,0,0,'Données projet'!$E$9+1,1))</f>
        <v>646.69588445509589</v>
      </c>
      <c r="T171" s="59">
        <f t="shared" si="142"/>
        <v>286.36346771084698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3.177547114319168E-13</v>
      </c>
      <c r="AK171" s="13">
        <f t="shared" si="164"/>
        <v>4.1725404435445377E-12</v>
      </c>
      <c r="AL171" s="20">
        <f t="shared" si="165"/>
        <v>7.820597394917325E-12</v>
      </c>
      <c r="AM171" s="59">
        <f t="shared" si="113"/>
        <v>292.17028730109752</v>
      </c>
      <c r="AN171" s="59">
        <f ca="1">AVERAGE(OFFSET($AM$3,0,0,'Données projet'!$E$10+1,1))-AVERAGE(OFFSET($H$3,0,0,'Données projet'!$E$10+1,1))</f>
        <v>391.55758836264408</v>
      </c>
      <c r="AO171" s="59">
        <f t="shared" si="144"/>
        <v>360.80727659978777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33.1325840604677</v>
      </c>
      <c r="AV171" s="21">
        <f>EXP(-LN(2)/25)*AV170+(1-EXP(-LN(2)/25))/(LN(2)/25)*Calculateur!AQ171*Calculateur!AS171*VLOOKUP('Données projet'!$B$10,Paramètres!$A$1:$I$89,3,0)*0.475*44/12</f>
        <v>5.0708686658172981</v>
      </c>
      <c r="AW171" s="21">
        <f>EXP(-LN(2)/2)*AW170+(1-EXP(-LN(2)/2))/(LN(2)/2)*AQ171*AT171*VLOOKUP('Données projet'!$B$10,Paramètres!$A$1:$I$89,3,0)*0.475*44/12</f>
        <v>1.3412475454334311E-13</v>
      </c>
      <c r="AX171" s="21">
        <f t="shared" si="166"/>
        <v>38.203452726285136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5.0249582272954292E-14</v>
      </c>
      <c r="BF171" s="13">
        <f t="shared" si="167"/>
        <v>8.1784820119191593E-13</v>
      </c>
      <c r="BG171" s="20">
        <f t="shared" si="168"/>
        <v>1.5119369728679821E-12</v>
      </c>
      <c r="BH171" s="59">
        <f t="shared" si="116"/>
        <v>292.17028730109121</v>
      </c>
      <c r="BI171" s="59">
        <f ca="1">AVERAGE(OFFSET($BH$3,0,0,'Données projet'!$E$11+1,1))-AVERAGE(OFFSET($H$3,0,0,'Données projet'!$E$11+1,1))</f>
        <v>400.11184625063709</v>
      </c>
      <c r="BJ171" s="59">
        <f t="shared" si="146"/>
        <v>340.02906159605971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36.168091025753718</v>
      </c>
      <c r="BQ171" s="21">
        <f>EXP(-LN(2)/25)*BQ170+(1-EXP(-LN(2)/25))/(LN(2)/25)*Calculateur!BL171*Calculateur!BN171*VLOOKUP('Données projet'!$B$11,Paramètres!$A$1:$I$89,3,0)*0.475*44/12</f>
        <v>6.2672739114564209</v>
      </c>
      <c r="BR171" s="21">
        <f>EXP(-LN(2)/2)*BR170+(1-EXP(-LN(2)/2))/(LN(2)/2)*BL171*BO171*VLOOKUP('Données projet'!$B$11,Paramètres!$A$1:$I$89,3,0)*0.475*44/12</f>
        <v>4.4681139097704921E-12</v>
      </c>
      <c r="BS171" s="22">
        <f t="shared" si="169"/>
        <v>42.435364937214608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9.6220000000000034</v>
      </c>
      <c r="BY171" s="12">
        <f>IF('Données projet'!$A$114&gt;35,BY170+BX171-CG170,IF(A171&lt;'Données projet'!$A$114,$BV$205^A171,IF(A171='Données projet'!$A$114,'Données projet'!$B$114,BY170+BX171-CG170)))</f>
        <v>552.78800000000115</v>
      </c>
      <c r="BZ171" s="13">
        <f>BY171*VLOOKUP('Données projet'!$B$12,Paramètres!$A$1:$I$89,3,0)*VLOOKUP('Données projet'!$B$12,Paramètres!$A$1:$I$89,5,0)</f>
        <v>370.81019040000081</v>
      </c>
      <c r="CA171" s="13">
        <f t="shared" si="170"/>
        <v>85.833035608326341</v>
      </c>
      <c r="CB171" s="20">
        <f t="shared" si="171"/>
        <v>795.32028529783645</v>
      </c>
      <c r="CC171" s="59">
        <f t="shared" si="119"/>
        <v>1087.4905725989261</v>
      </c>
      <c r="CD171" s="59">
        <f ca="1">AVERAGE(OFFSET($CC$3,0,0,'Données projet'!$E$12+1,1))-AVERAGE(OFFSET($H$3,0,0,'Données projet'!$E$12+1,1))</f>
        <v>493.98227954109774</v>
      </c>
      <c r="CE171" s="59">
        <f t="shared" si="148"/>
        <v>224.32736097997289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49.481024224312641</v>
      </c>
      <c r="CL171" s="21">
        <f>EXP(-LN(2)/25)*CL170+(1-EXP(-LN(2)/25))/(LN(2)/25)*Calculateur!CG171*Calculateur!CI171*VLOOKUP('Données projet'!$B$12,Paramètres!$A$1:$I$89,3,0)*0.475*44/12</f>
        <v>18.817560815496083</v>
      </c>
      <c r="CM171" s="21">
        <f>EXP(-LN(2)/2)*CM170+(1-EXP(-LN(2)/2))/(LN(2)/2)*CG171*CJ171*VLOOKUP('Données projet'!$B$12,Paramètres!$A$1:$I$89,3,0)*0.475*44/12</f>
        <v>9.0252594501215707E-7</v>
      </c>
      <c r="CN171" s="22">
        <f t="shared" si="172"/>
        <v>68.298585942334668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9.6220000000000034</v>
      </c>
      <c r="CT171" s="12">
        <f>IF('Données projet'!$A$140&gt;35,CT170+CS171-DB170,IF(A171&lt;'Données projet'!$A$140,$CQ$205^A171,IF(A171='Données projet'!$A$140,'Données projet'!$B$140,CT170+CS171-DB170)))</f>
        <v>552.78800000000115</v>
      </c>
      <c r="CU171" s="17">
        <f>CT171*VLOOKUP('Données projet'!$B$13,Paramètres!$A$1:$I$89,3,0)*VLOOKUP('Données projet'!$B$13,Paramètres!$A$1:$I$89,5,0)</f>
        <v>526.03306080000118</v>
      </c>
      <c r="CV171" s="13">
        <f t="shared" si="173"/>
        <v>116.90664226754956</v>
      </c>
      <c r="CW171" s="20">
        <f t="shared" si="174"/>
        <v>1119.7866495093174</v>
      </c>
      <c r="CX171" s="59">
        <f t="shared" si="122"/>
        <v>1411.9569368104071</v>
      </c>
      <c r="CY171" s="59">
        <f ca="1">AVERAGE(OFFSET($CX$3,0,0,'Données projet'!$E$13+1,1))-AVERAGE(OFFSET($H$3,0,0,'Données projet'!$E$13+1,1))</f>
        <v>677.13548994240728</v>
      </c>
      <c r="CZ171" s="59">
        <f t="shared" si="150"/>
        <v>298.72429542440534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56.949858069491889</v>
      </c>
      <c r="DG171" s="21">
        <f>EXP(-LN(2)/25)*DG170+(1-EXP(-LN(2)/25))/(LN(2)/25)*Calculateur!DB171*Calculateur!DD171*VLOOKUP('Données projet'!$B$13,Paramètres!$A$1:$I$89,3,0)*0.475*44/12</f>
        <v>21.657947353684168</v>
      </c>
      <c r="DH171" s="21">
        <f>EXP(-LN(2)/2)*DH170+(1-EXP(-LN(2)/2))/(LN(2)/2)*DB171*DE171*VLOOKUP('Données projet'!$B$13,Paramètres!$A$1:$I$89,3,0)*0.475*44/12</f>
        <v>1.2803275033893401E-6</v>
      </c>
      <c r="DI171" s="22">
        <f t="shared" si="175"/>
        <v>78.60780670350357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69.682805627569905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1.2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4.3999999999999995</v>
      </c>
      <c r="H172" s="67">
        <f t="shared" si="110"/>
        <v>239.06666666666669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1376.2004642450979</v>
      </c>
      <c r="S172" s="59">
        <f ca="1">AVERAGE(OFFSET($R$3,0,0,'Données projet'!$E$9+1,1))-AVERAGE(OFFSET($H$3,0,0,'Données projet'!$E$9+1,1))</f>
        <v>646.69588445509589</v>
      </c>
      <c r="T172" s="59">
        <f t="shared" si="142"/>
        <v>286.36346771084698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3.177547114319168E-13</v>
      </c>
      <c r="AK172" s="13">
        <f t="shared" si="164"/>
        <v>4.1725404435445377E-12</v>
      </c>
      <c r="AL172" s="20">
        <f t="shared" si="165"/>
        <v>7.820597394917325E-12</v>
      </c>
      <c r="AM172" s="59">
        <f t="shared" si="113"/>
        <v>292.19046354957555</v>
      </c>
      <c r="AN172" s="59">
        <f ca="1">AVERAGE(OFFSET($AM$3,0,0,'Données projet'!$E$10+1,1))-AVERAGE(OFFSET($H$3,0,0,'Données projet'!$E$10+1,1))</f>
        <v>391.55758836264408</v>
      </c>
      <c r="AO172" s="59">
        <f t="shared" si="144"/>
        <v>360.80727659978777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32.482874295922741</v>
      </c>
      <c r="AV172" s="21">
        <f>EXP(-LN(2)/25)*AV171+(1-EXP(-LN(2)/25))/(LN(2)/25)*Calculateur!AQ172*Calculateur!AS172*VLOOKUP('Données projet'!$B$10,Paramètres!$A$1:$I$89,3,0)*0.475*44/12</f>
        <v>4.9322054954851309</v>
      </c>
      <c r="AW172" s="21">
        <f>EXP(-LN(2)/2)*AW171+(1-EXP(-LN(2)/2))/(LN(2)/2)*AQ172*AT172*VLOOKUP('Données projet'!$B$10,Paramètres!$A$1:$I$89,3,0)*0.475*44/12</f>
        <v>9.4840523462579115E-14</v>
      </c>
      <c r="AX172" s="21">
        <f t="shared" si="166"/>
        <v>37.415079791407962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5.0249582272954292E-14</v>
      </c>
      <c r="BF172" s="13">
        <f t="shared" si="167"/>
        <v>8.1784820119191593E-13</v>
      </c>
      <c r="BG172" s="20">
        <f t="shared" si="168"/>
        <v>1.5119369728679821E-12</v>
      </c>
      <c r="BH172" s="59">
        <f t="shared" si="116"/>
        <v>292.19046354956924</v>
      </c>
      <c r="BI172" s="59">
        <f ca="1">AVERAGE(OFFSET($BH$3,0,0,'Données projet'!$E$11+1,1))-AVERAGE(OFFSET($H$3,0,0,'Données projet'!$E$11+1,1))</f>
        <v>400.11184625063709</v>
      </c>
      <c r="BJ172" s="59">
        <f t="shared" si="146"/>
        <v>340.02906159605971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35.458856821095935</v>
      </c>
      <c r="BQ172" s="21">
        <f>EXP(-LN(2)/25)*BQ171+(1-EXP(-LN(2)/25))/(LN(2)/25)*Calculateur!BL172*Calculateur!BN172*VLOOKUP('Données projet'!$B$11,Paramètres!$A$1:$I$89,3,0)*0.475*44/12</f>
        <v>6.0958949767660338</v>
      </c>
      <c r="BR172" s="21">
        <f>EXP(-LN(2)/2)*BR171+(1-EXP(-LN(2)/2))/(LN(2)/2)*BL172*BO172*VLOOKUP('Données projet'!$B$11,Paramètres!$A$1:$I$89,3,0)*0.475*44/12</f>
        <v>3.1594336447126527E-12</v>
      </c>
      <c r="BS172" s="22">
        <f t="shared" si="169"/>
        <v>41.55475179786513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9.6220000000000034</v>
      </c>
      <c r="BY172" s="12">
        <f>IF('Données projet'!$A$114&gt;35,BY171+BX172-CG171,IF(A172&lt;'Données projet'!$A$114,$BV$205^A172,IF(A172='Données projet'!$A$114,'Données projet'!$B$114,BY171+BX172-CG171)))</f>
        <v>562.41000000000111</v>
      </c>
      <c r="BZ172" s="13">
        <f>BY172*VLOOKUP('Données projet'!$B$12,Paramètres!$A$1:$I$89,3,0)*VLOOKUP('Données projet'!$B$12,Paramètres!$A$1:$I$89,5,0)</f>
        <v>377.26462800000076</v>
      </c>
      <c r="CA172" s="13">
        <f t="shared" si="170"/>
        <v>87.151837520376489</v>
      </c>
      <c r="CB172" s="20">
        <f t="shared" si="171"/>
        <v>808.85867744799032</v>
      </c>
      <c r="CC172" s="59">
        <f t="shared" si="119"/>
        <v>1101.049140997558</v>
      </c>
      <c r="CD172" s="59">
        <f ca="1">AVERAGE(OFFSET($CC$3,0,0,'Données projet'!$E$12+1,1))-AVERAGE(OFFSET($H$3,0,0,'Données projet'!$E$12+1,1))</f>
        <v>493.98227954109774</v>
      </c>
      <c r="CE172" s="59">
        <f t="shared" si="148"/>
        <v>224.32736097997289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48.510731519718576</v>
      </c>
      <c r="CL172" s="21">
        <f>EXP(-LN(2)/25)*CL171+(1-EXP(-LN(2)/25))/(LN(2)/25)*Calculateur!CG172*Calculateur!CI172*VLOOKUP('Données projet'!$B$12,Paramètres!$A$1:$I$89,3,0)*0.475*44/12</f>
        <v>18.302993625423827</v>
      </c>
      <c r="CM172" s="21">
        <f>EXP(-LN(2)/2)*CM171+(1-EXP(-LN(2)/2))/(LN(2)/2)*CG172*CJ172*VLOOKUP('Données projet'!$B$12,Paramètres!$A$1:$I$89,3,0)*0.475*44/12</f>
        <v>6.3818221591489336E-7</v>
      </c>
      <c r="CN172" s="22">
        <f t="shared" si="172"/>
        <v>66.813725783324614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9.6220000000000034</v>
      </c>
      <c r="CT172" s="12">
        <f>IF('Données projet'!$A$140&gt;35,CT171+CS172-DB171,IF(A172&lt;'Données projet'!$A$140,$CQ$205^A172,IF(A172='Données projet'!$A$140,'Données projet'!$B$140,CT171+CS172-DB171)))</f>
        <v>562.41000000000111</v>
      </c>
      <c r="CU172" s="17">
        <f>CT172*VLOOKUP('Données projet'!$B$13,Paramètres!$A$1:$I$89,3,0)*VLOOKUP('Données projet'!$B$13,Paramètres!$A$1:$I$89,5,0)</f>
        <v>535.189356000001</v>
      </c>
      <c r="CV172" s="13">
        <f t="shared" si="173"/>
        <v>118.70288193519161</v>
      </c>
      <c r="CW172" s="20">
        <f t="shared" si="174"/>
        <v>1138.8623144037938</v>
      </c>
      <c r="CX172" s="59">
        <f t="shared" si="122"/>
        <v>1431.0527779533616</v>
      </c>
      <c r="CY172" s="59">
        <f ca="1">AVERAGE(OFFSET($CX$3,0,0,'Données projet'!$E$13+1,1))-AVERAGE(OFFSET($H$3,0,0,'Données projet'!$E$13+1,1))</f>
        <v>677.13548994240728</v>
      </c>
      <c r="CZ172" s="59">
        <f t="shared" si="150"/>
        <v>298.72429542440534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55.833106088732684</v>
      </c>
      <c r="DG172" s="21">
        <f>EXP(-LN(2)/25)*DG171+(1-EXP(-LN(2)/25))/(LN(2)/25)*Calculateur!DB172*Calculateur!DD172*VLOOKUP('Données projet'!$B$13,Paramètres!$A$1:$I$89,3,0)*0.475*44/12</f>
        <v>21.065709644355724</v>
      </c>
      <c r="DH172" s="21">
        <f>EXP(-LN(2)/2)*DH171+(1-EXP(-LN(2)/2))/(LN(2)/2)*DB172*DE172*VLOOKUP('Données projet'!$B$13,Paramètres!$A$1:$I$89,3,0)*0.475*44/12</f>
        <v>9.0532825978624484E-7</v>
      </c>
      <c r="DI172" s="22">
        <f t="shared" si="175"/>
        <v>76.898816638416676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69.688308240791187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1.2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4.3999999999999995</v>
      </c>
      <c r="H173" s="67">
        <f t="shared" si="110"/>
        <v>239.06666666666669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1394.3693676310365</v>
      </c>
      <c r="S173" s="59">
        <f ca="1">AVERAGE(OFFSET($R$3,0,0,'Données projet'!$E$9+1,1))-AVERAGE(OFFSET($H$3,0,0,'Données projet'!$E$9+1,1))</f>
        <v>646.69588445509589</v>
      </c>
      <c r="T173" s="59">
        <f t="shared" si="142"/>
        <v>286.36346771084698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3.177547114319168E-13</v>
      </c>
      <c r="AK173" s="13">
        <f t="shared" si="164"/>
        <v>4.1725404435445377E-12</v>
      </c>
      <c r="AL173" s="20">
        <f t="shared" si="165"/>
        <v>7.820597394917325E-12</v>
      </c>
      <c r="AM173" s="59">
        <f t="shared" si="113"/>
        <v>292.21028978524981</v>
      </c>
      <c r="AN173" s="59">
        <f ca="1">AVERAGE(OFFSET($AM$3,0,0,'Données projet'!$E$10+1,1))-AVERAGE(OFFSET($H$3,0,0,'Données projet'!$E$10+1,1))</f>
        <v>391.55758836264408</v>
      </c>
      <c r="AO173" s="59">
        <f t="shared" si="144"/>
        <v>360.80727659978777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31.845904943576684</v>
      </c>
      <c r="AV173" s="21">
        <f>EXP(-LN(2)/25)*AV172+(1-EXP(-LN(2)/25))/(LN(2)/25)*Calculateur!AQ173*Calculateur!AS173*VLOOKUP('Données projet'!$B$10,Paramètres!$A$1:$I$89,3,0)*0.475*44/12</f>
        <v>4.797334076837676</v>
      </c>
      <c r="AW173" s="21">
        <f>EXP(-LN(2)/2)*AW172+(1-EXP(-LN(2)/2))/(LN(2)/2)*AQ173*AT173*VLOOKUP('Données projet'!$B$10,Paramètres!$A$1:$I$89,3,0)*0.475*44/12</f>
        <v>6.7062377271671555E-14</v>
      </c>
      <c r="AX173" s="21">
        <f t="shared" si="166"/>
        <v>36.643239020414427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5.0249582272954292E-14</v>
      </c>
      <c r="BF173" s="13">
        <f t="shared" si="167"/>
        <v>8.1784820119191593E-13</v>
      </c>
      <c r="BG173" s="20">
        <f t="shared" si="168"/>
        <v>1.5119369728679821E-12</v>
      </c>
      <c r="BH173" s="59">
        <f t="shared" si="116"/>
        <v>292.2102897852435</v>
      </c>
      <c r="BI173" s="59">
        <f ca="1">AVERAGE(OFFSET($BH$3,0,0,'Données projet'!$E$11+1,1))-AVERAGE(OFFSET($H$3,0,0,'Données projet'!$E$11+1,1))</f>
        <v>400.11184625063709</v>
      </c>
      <c r="BJ173" s="59">
        <f t="shared" si="146"/>
        <v>340.02906159605971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34.763530266601343</v>
      </c>
      <c r="BQ173" s="21">
        <f>EXP(-LN(2)/25)*BQ172+(1-EXP(-LN(2)/25))/(LN(2)/25)*Calculateur!BL173*Calculateur!BN173*VLOOKUP('Données projet'!$B$11,Paramètres!$A$1:$I$89,3,0)*0.475*44/12</f>
        <v>5.9292024080571819</v>
      </c>
      <c r="BR173" s="21">
        <f>EXP(-LN(2)/2)*BR172+(1-EXP(-LN(2)/2))/(LN(2)/2)*BL173*BO173*VLOOKUP('Données projet'!$B$11,Paramètres!$A$1:$I$89,3,0)*0.475*44/12</f>
        <v>2.234056954885246E-12</v>
      </c>
      <c r="BS173" s="22">
        <f t="shared" si="169"/>
        <v>40.692732674660753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9.6220000000000034</v>
      </c>
      <c r="BY173" s="12">
        <f>IF('Données projet'!$A$114&gt;35,BY172+BX173-CG172,IF(A173&lt;'Données projet'!$A$114,$BV$205^A173,IF(A173='Données projet'!$A$114,'Données projet'!$B$114,BY172+BX173-CG172)))</f>
        <v>572.03200000000106</v>
      </c>
      <c r="BZ173" s="13">
        <f>BY173*VLOOKUP('Données projet'!$B$12,Paramètres!$A$1:$I$89,3,0)*VLOOKUP('Données projet'!$B$12,Paramètres!$A$1:$I$89,5,0)</f>
        <v>383.7190656000007</v>
      </c>
      <c r="CA173" s="13">
        <f t="shared" si="170"/>
        <v>88.468015607194161</v>
      </c>
      <c r="CB173" s="20">
        <f t="shared" si="171"/>
        <v>822.3924997691978</v>
      </c>
      <c r="CC173" s="59">
        <f t="shared" si="119"/>
        <v>1114.6027895544398</v>
      </c>
      <c r="CD173" s="59">
        <f ca="1">AVERAGE(OFFSET($CC$3,0,0,'Données projet'!$E$12+1,1))-AVERAGE(OFFSET($H$3,0,0,'Données projet'!$E$12+1,1))</f>
        <v>493.98227954109774</v>
      </c>
      <c r="CE173" s="59">
        <f t="shared" si="148"/>
        <v>224.32736097997289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47.55946566324149</v>
      </c>
      <c r="CL173" s="21">
        <f>EXP(-LN(2)/25)*CL172+(1-EXP(-LN(2)/25))/(LN(2)/25)*Calculateur!CG173*Calculateur!CI173*VLOOKUP('Données projet'!$B$12,Paramètres!$A$1:$I$89,3,0)*0.475*44/12</f>
        <v>17.802497302224008</v>
      </c>
      <c r="CM173" s="21">
        <f>EXP(-LN(2)/2)*CM172+(1-EXP(-LN(2)/2))/(LN(2)/2)*CG173*CJ173*VLOOKUP('Données projet'!$B$12,Paramètres!$A$1:$I$89,3,0)*0.475*44/12</f>
        <v>4.5126297250607854E-7</v>
      </c>
      <c r="CN173" s="22">
        <f t="shared" si="172"/>
        <v>65.361963416728472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9.6220000000000034</v>
      </c>
      <c r="CT173" s="12">
        <f>IF('Données projet'!$A$140&gt;35,CT172+CS173-DB172,IF(A173&lt;'Données projet'!$A$140,$CQ$205^A173,IF(A173='Données projet'!$A$140,'Données projet'!$B$140,CT172+CS173-DB172)))</f>
        <v>572.03200000000106</v>
      </c>
      <c r="CU173" s="17">
        <f>CT173*VLOOKUP('Données projet'!$B$13,Paramètres!$A$1:$I$89,3,0)*VLOOKUP('Données projet'!$B$13,Paramètres!$A$1:$I$89,5,0)</f>
        <v>544.34565120000104</v>
      </c>
      <c r="CV173" s="13">
        <f t="shared" si="173"/>
        <v>120.49554789026885</v>
      </c>
      <c r="CW173" s="20">
        <f t="shared" si="174"/>
        <v>1157.9317550822202</v>
      </c>
      <c r="CX173" s="59">
        <f t="shared" si="122"/>
        <v>1450.1420448674621</v>
      </c>
      <c r="CY173" s="59">
        <f ca="1">AVERAGE(OFFSET($CX$3,0,0,'Données projet'!$E$13+1,1))-AVERAGE(OFFSET($H$3,0,0,'Données projet'!$E$13+1,1))</f>
        <v>677.13548994240728</v>
      </c>
      <c r="CZ173" s="59">
        <f t="shared" si="150"/>
        <v>298.72429542440534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54.738252933164716</v>
      </c>
      <c r="DG173" s="21">
        <f>EXP(-LN(2)/25)*DG172+(1-EXP(-LN(2)/25))/(LN(2)/25)*Calculateur!DB173*Calculateur!DD173*VLOOKUP('Données projet'!$B$13,Paramètres!$A$1:$I$89,3,0)*0.475*44/12</f>
        <v>20.489666706333292</v>
      </c>
      <c r="DH173" s="21">
        <f>EXP(-LN(2)/2)*DH172+(1-EXP(-LN(2)/2))/(LN(2)/2)*DB173*DE173*VLOOKUP('Données projet'!$B$13,Paramètres!$A$1:$I$89,3,0)*0.475*44/12</f>
        <v>6.4016375169467007E-7</v>
      </c>
      <c r="DI173" s="22">
        <f t="shared" si="175"/>
        <v>75.22792027966176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69.693715395975076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1.2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4.3999999999999995</v>
      </c>
      <c r="H174" s="67">
        <f t="shared" si="110"/>
        <v>239.06666666666669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1412.5320858164257</v>
      </c>
      <c r="S174" s="59">
        <f ca="1">AVERAGE(OFFSET($R$3,0,0,'Données projet'!$E$9+1,1))-AVERAGE(OFFSET($H$3,0,0,'Données projet'!$E$9+1,1))</f>
        <v>646.69588445509589</v>
      </c>
      <c r="T174" s="59">
        <f t="shared" si="142"/>
        <v>286.36346771084698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3.177547114319168E-13</v>
      </c>
      <c r="AK174" s="13">
        <f t="shared" si="164"/>
        <v>4.1725404435445377E-12</v>
      </c>
      <c r="AL174" s="20">
        <f t="shared" si="165"/>
        <v>7.820597394917325E-12</v>
      </c>
      <c r="AM174" s="59">
        <f t="shared" si="113"/>
        <v>292.22977208005994</v>
      </c>
      <c r="AN174" s="59">
        <f ca="1">AVERAGE(OFFSET($AM$3,0,0,'Données projet'!$E$10+1,1))-AVERAGE(OFFSET($H$3,0,0,'Données projet'!$E$10+1,1))</f>
        <v>391.55758836264408</v>
      </c>
      <c r="AO174" s="59">
        <f t="shared" si="144"/>
        <v>360.80727659978777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31.221426171717191</v>
      </c>
      <c r="AV174" s="21">
        <f>EXP(-LN(2)/25)*AV173+(1-EXP(-LN(2)/25))/(LN(2)/25)*Calculateur!AQ174*Calculateur!AS174*VLOOKUP('Données projet'!$B$10,Paramètres!$A$1:$I$89,3,0)*0.475*44/12</f>
        <v>4.666150724225715</v>
      </c>
      <c r="AW174" s="21">
        <f>EXP(-LN(2)/2)*AW173+(1-EXP(-LN(2)/2))/(LN(2)/2)*AQ174*AT174*VLOOKUP('Données projet'!$B$10,Paramètres!$A$1:$I$89,3,0)*0.475*44/12</f>
        <v>4.7420261731289557E-14</v>
      </c>
      <c r="AX174" s="21">
        <f t="shared" si="166"/>
        <v>35.887576895942956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5.0249582272954292E-14</v>
      </c>
      <c r="BF174" s="13">
        <f t="shared" si="167"/>
        <v>8.1784820119191593E-13</v>
      </c>
      <c r="BG174" s="20">
        <f t="shared" si="168"/>
        <v>1.5119369728679821E-12</v>
      </c>
      <c r="BH174" s="59">
        <f t="shared" si="116"/>
        <v>292.22977208005364</v>
      </c>
      <c r="BI174" s="59">
        <f ca="1">AVERAGE(OFFSET($BH$3,0,0,'Données projet'!$E$11+1,1))-AVERAGE(OFFSET($H$3,0,0,'Données projet'!$E$11+1,1))</f>
        <v>400.11184625063709</v>
      </c>
      <c r="BJ174" s="59">
        <f t="shared" si="146"/>
        <v>340.02906159605971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34.081838641733064</v>
      </c>
      <c r="BQ174" s="21">
        <f>EXP(-LN(2)/25)*BQ173+(1-EXP(-LN(2)/25))/(LN(2)/25)*Calculateur!BL174*Calculateur!BN174*VLOOKUP('Données projet'!$B$11,Paramètres!$A$1:$I$89,3,0)*0.475*44/12</f>
        <v>5.7670680564056553</v>
      </c>
      <c r="BR174" s="21">
        <f>EXP(-LN(2)/2)*BR173+(1-EXP(-LN(2)/2))/(LN(2)/2)*BL174*BO174*VLOOKUP('Données projet'!$B$11,Paramètres!$A$1:$I$89,3,0)*0.475*44/12</f>
        <v>1.5797168223563264E-12</v>
      </c>
      <c r="BS174" s="22">
        <f t="shared" si="169"/>
        <v>39.848906698140297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9.6220000000000034</v>
      </c>
      <c r="BY174" s="12">
        <f>IF('Données projet'!$A$114&gt;35,BY173+BX174-CG173,IF(A174&lt;'Données projet'!$A$114,$BV$205^A174,IF(A174='Données projet'!$A$114,'Données projet'!$B$114,BY173+BX174-CG173)))</f>
        <v>581.65400000000102</v>
      </c>
      <c r="BZ174" s="13">
        <f>BY174*VLOOKUP('Données projet'!$B$12,Paramètres!$A$1:$I$89,3,0)*VLOOKUP('Données projet'!$B$12,Paramètres!$A$1:$I$89,5,0)</f>
        <v>390.17350320000071</v>
      </c>
      <c r="CA174" s="13">
        <f t="shared" si="170"/>
        <v>89.781619097204697</v>
      </c>
      <c r="CB174" s="20">
        <f t="shared" si="171"/>
        <v>835.92183800096609</v>
      </c>
      <c r="CC174" s="59">
        <f t="shared" si="119"/>
        <v>1128.1516100810181</v>
      </c>
      <c r="CD174" s="59">
        <f ca="1">AVERAGE(OFFSET($CC$3,0,0,'Données projet'!$E$12+1,1))-AVERAGE(OFFSET($H$3,0,0,'Données projet'!$E$12+1,1))</f>
        <v>493.98227954109774</v>
      </c>
      <c r="CE174" s="59">
        <f t="shared" si="148"/>
        <v>224.32736097997289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46.626853549995033</v>
      </c>
      <c r="CL174" s="21">
        <f>EXP(-LN(2)/25)*CL173+(1-EXP(-LN(2)/25))/(LN(2)/25)*Calculateur!CG174*Calculateur!CI174*VLOOKUP('Données projet'!$B$12,Paramètres!$A$1:$I$89,3,0)*0.475*44/12</f>
        <v>17.315687077302048</v>
      </c>
      <c r="CM174" s="21">
        <f>EXP(-LN(2)/2)*CM173+(1-EXP(-LN(2)/2))/(LN(2)/2)*CG174*CJ174*VLOOKUP('Données projet'!$B$12,Paramètres!$A$1:$I$89,3,0)*0.475*44/12</f>
        <v>3.1909110795744668E-7</v>
      </c>
      <c r="CN174" s="22">
        <f t="shared" si="172"/>
        <v>63.942540946388185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9.6220000000000034</v>
      </c>
      <c r="CT174" s="12">
        <f>IF('Données projet'!$A$140&gt;35,CT173+CS174-DB173,IF(A174&lt;'Données projet'!$A$140,$CQ$205^A174,IF(A174='Données projet'!$A$140,'Données projet'!$B$140,CT173+CS174-DB173)))</f>
        <v>581.65400000000102</v>
      </c>
      <c r="CU174" s="17">
        <f>CT174*VLOOKUP('Données projet'!$B$13,Paramètres!$A$1:$I$89,3,0)*VLOOKUP('Données projet'!$B$13,Paramètres!$A$1:$I$89,5,0)</f>
        <v>553.50194640000097</v>
      </c>
      <c r="CV174" s="13">
        <f t="shared" si="173"/>
        <v>122.28470718307115</v>
      </c>
      <c r="CW174" s="20">
        <f t="shared" si="174"/>
        <v>1176.9950883238507</v>
      </c>
      <c r="CX174" s="59">
        <f t="shared" si="122"/>
        <v>1469.2248604039028</v>
      </c>
      <c r="CY174" s="59">
        <f ca="1">AVERAGE(OFFSET($CX$3,0,0,'Données projet'!$E$13+1,1))-AVERAGE(OFFSET($H$3,0,0,'Données projet'!$E$13+1,1))</f>
        <v>677.13548994240728</v>
      </c>
      <c r="CZ174" s="59">
        <f t="shared" si="150"/>
        <v>298.72429542440534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53.664869180182947</v>
      </c>
      <c r="DG174" s="21">
        <f>EXP(-LN(2)/25)*DG173+(1-EXP(-LN(2)/25))/(LN(2)/25)*Calculateur!DB174*Calculateur!DD174*VLOOKUP('Données projet'!$B$13,Paramètres!$A$1:$I$89,3,0)*0.475*44/12</f>
        <v>19.929375692743864</v>
      </c>
      <c r="DH174" s="21">
        <f>EXP(-LN(2)/2)*DH173+(1-EXP(-LN(2)/2))/(LN(2)/2)*DB174*DE174*VLOOKUP('Données projet'!$B$13,Paramètres!$A$1:$I$89,3,0)*0.475*44/12</f>
        <v>4.5266412989312242E-7</v>
      </c>
      <c r="DI174" s="22">
        <f t="shared" si="175"/>
        <v>73.594245325590933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69.699028749105111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1.2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4.3999999999999995</v>
      </c>
      <c r="H175" s="67">
        <f t="shared" si="110"/>
        <v>239.06666666666669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1430.6887325505129</v>
      </c>
      <c r="S175" s="59">
        <f ca="1">AVERAGE(OFFSET($R$3,0,0,'Données projet'!$E$9+1,1))-AVERAGE(OFFSET($H$3,0,0,'Données projet'!$E$9+1,1))</f>
        <v>646.69588445509589</v>
      </c>
      <c r="T175" s="59">
        <f t="shared" si="142"/>
        <v>286.36346771084698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3.177547114319168E-13</v>
      </c>
      <c r="AK175" s="13">
        <f t="shared" si="164"/>
        <v>4.1725404435445377E-12</v>
      </c>
      <c r="AL175" s="20">
        <f t="shared" si="165"/>
        <v>7.820597394917325E-12</v>
      </c>
      <c r="AM175" s="59">
        <f t="shared" si="113"/>
        <v>292.24891640061099</v>
      </c>
      <c r="AN175" s="59">
        <f ca="1">AVERAGE(OFFSET($AM$3,0,0,'Données projet'!$E$10+1,1))-AVERAGE(OFFSET($H$3,0,0,'Données projet'!$E$10+1,1))</f>
        <v>391.55758836264408</v>
      </c>
      <c r="AO175" s="59">
        <f t="shared" si="144"/>
        <v>360.80727659978777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30.609193047679423</v>
      </c>
      <c r="AV175" s="21">
        <f>EXP(-LN(2)/25)*AV174+(1-EXP(-LN(2)/25))/(LN(2)/25)*Calculateur!AQ175*Calculateur!AS175*VLOOKUP('Données projet'!$B$10,Paramètres!$A$1:$I$89,3,0)*0.475*44/12</f>
        <v>4.5385545872895605</v>
      </c>
      <c r="AW175" s="21">
        <f>EXP(-LN(2)/2)*AW174+(1-EXP(-LN(2)/2))/(LN(2)/2)*AQ175*AT175*VLOOKUP('Données projet'!$B$10,Paramètres!$A$1:$I$89,3,0)*0.475*44/12</f>
        <v>3.3531188635835778E-14</v>
      </c>
      <c r="AX175" s="21">
        <f t="shared" si="166"/>
        <v>35.147747634969015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5.0249582272954292E-14</v>
      </c>
      <c r="BF175" s="13">
        <f t="shared" si="167"/>
        <v>8.1784820119191593E-13</v>
      </c>
      <c r="BG175" s="20">
        <f t="shared" si="168"/>
        <v>1.5119369728679821E-12</v>
      </c>
      <c r="BH175" s="59">
        <f t="shared" si="116"/>
        <v>292.24891640060468</v>
      </c>
      <c r="BI175" s="59">
        <f ca="1">AVERAGE(OFFSET($BH$3,0,0,'Données projet'!$E$11+1,1))-AVERAGE(OFFSET($H$3,0,0,'Données projet'!$E$11+1,1))</f>
        <v>400.11184625063709</v>
      </c>
      <c r="BJ175" s="59">
        <f t="shared" si="146"/>
        <v>340.02906159605971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33.413514573837617</v>
      </c>
      <c r="BQ175" s="21">
        <f>EXP(-LN(2)/25)*BQ174+(1-EXP(-LN(2)/25))/(LN(2)/25)*Calculateur!BL175*Calculateur!BN175*VLOOKUP('Données projet'!$B$11,Paramètres!$A$1:$I$89,3,0)*0.475*44/12</f>
        <v>5.6093672771263146</v>
      </c>
      <c r="BR175" s="21">
        <f>EXP(-LN(2)/2)*BR174+(1-EXP(-LN(2)/2))/(LN(2)/2)*BL175*BO175*VLOOKUP('Données projet'!$B$11,Paramètres!$A$1:$I$89,3,0)*0.475*44/12</f>
        <v>1.117028477442623E-12</v>
      </c>
      <c r="BS175" s="22">
        <f t="shared" si="169"/>
        <v>39.022881850965049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9.6220000000000034</v>
      </c>
      <c r="BY175" s="12">
        <f>IF('Données projet'!$A$114&gt;35,BY174+BX175-CG174,IF(A175&lt;'Données projet'!$A$114,$BV$205^A175,IF(A175='Données projet'!$A$114,'Données projet'!$B$114,BY174+BX175-CG174)))</f>
        <v>591.27600000000098</v>
      </c>
      <c r="BZ175" s="13">
        <f>BY175*VLOOKUP('Données projet'!$B$12,Paramètres!$A$1:$I$89,3,0)*VLOOKUP('Données projet'!$B$12,Paramètres!$A$1:$I$89,5,0)</f>
        <v>396.62794080000066</v>
      </c>
      <c r="CA175" s="13">
        <f t="shared" si="170"/>
        <v>91.092695496744653</v>
      </c>
      <c r="CB175" s="20">
        <f t="shared" si="171"/>
        <v>849.44677488349805</v>
      </c>
      <c r="CC175" s="59">
        <f t="shared" si="119"/>
        <v>1141.6956912841013</v>
      </c>
      <c r="CD175" s="59">
        <f ca="1">AVERAGE(OFFSET($CC$3,0,0,'Données projet'!$E$12+1,1))-AVERAGE(OFFSET($H$3,0,0,'Données projet'!$E$12+1,1))</f>
        <v>493.98227954109774</v>
      </c>
      <c r="CE175" s="59">
        <f t="shared" si="148"/>
        <v>224.32736097997289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45.712529391452122</v>
      </c>
      <c r="CL175" s="21">
        <f>EXP(-LN(2)/25)*CL174+(1-EXP(-LN(2)/25))/(LN(2)/25)*Calculateur!CG175*Calculateur!CI175*VLOOKUP('Données projet'!$B$12,Paramètres!$A$1:$I$89,3,0)*0.475*44/12</f>
        <v>16.842188703580817</v>
      </c>
      <c r="CM175" s="21">
        <f>EXP(-LN(2)/2)*CM174+(1-EXP(-LN(2)/2))/(LN(2)/2)*CG175*CJ175*VLOOKUP('Données projet'!$B$12,Paramètres!$A$1:$I$89,3,0)*0.475*44/12</f>
        <v>2.2563148625303927E-7</v>
      </c>
      <c r="CN175" s="22">
        <f t="shared" si="172"/>
        <v>62.554718320664428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9.6220000000000034</v>
      </c>
      <c r="CT175" s="12">
        <f>IF('Données projet'!$A$140&gt;35,CT174+CS175-DB174,IF(A175&lt;'Données projet'!$A$140,$CQ$205^A175,IF(A175='Données projet'!$A$140,'Données projet'!$B$140,CT174+CS175-DB174)))</f>
        <v>591.27600000000098</v>
      </c>
      <c r="CU175" s="17">
        <f>CT175*VLOOKUP('Données projet'!$B$13,Paramètres!$A$1:$I$89,3,0)*VLOOKUP('Données projet'!$B$13,Paramètres!$A$1:$I$89,5,0)</f>
        <v>562.65824160000091</v>
      </c>
      <c r="CV175" s="13">
        <f t="shared" si="173"/>
        <v>124.07042451836233</v>
      </c>
      <c r="CW175" s="20">
        <f t="shared" si="174"/>
        <v>1196.052426822816</v>
      </c>
      <c r="CX175" s="59">
        <f t="shared" si="122"/>
        <v>1488.3013432234191</v>
      </c>
      <c r="CY175" s="59">
        <f ca="1">AVERAGE(OFFSET($CX$3,0,0,'Données projet'!$E$13+1,1))-AVERAGE(OFFSET($H$3,0,0,'Données projet'!$E$13+1,1))</f>
        <v>677.13548994240728</v>
      </c>
      <c r="CZ175" s="59">
        <f t="shared" si="150"/>
        <v>298.72429542440534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52.612533827897707</v>
      </c>
      <c r="DG175" s="21">
        <f>EXP(-LN(2)/25)*DG174+(1-EXP(-LN(2)/25))/(LN(2)/25)*Calculateur!DB175*Calculateur!DD175*VLOOKUP('Données projet'!$B$13,Paramètres!$A$1:$I$89,3,0)*0.475*44/12</f>
        <v>19.384405866385464</v>
      </c>
      <c r="DH175" s="21">
        <f>EXP(-LN(2)/2)*DH174+(1-EXP(-LN(2)/2))/(LN(2)/2)*DB175*DE175*VLOOKUP('Données projet'!$B$13,Paramètres!$A$1:$I$89,3,0)*0.475*44/12</f>
        <v>3.2008187584733504E-7</v>
      </c>
      <c r="DI175" s="22">
        <f t="shared" si="175"/>
        <v>71.996940014365052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69.704249927437232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1.2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4.3999999999999995</v>
      </c>
      <c r="H176" s="67">
        <f t="shared" si="110"/>
        <v>239.06666666666669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1448.8394177699472</v>
      </c>
      <c r="S176" s="59">
        <f ca="1">AVERAGE(OFFSET($R$3,0,0,'Données projet'!$E$9+1,1))-AVERAGE(OFFSET($H$3,0,0,'Données projet'!$E$9+1,1))</f>
        <v>646.69588445509589</v>
      </c>
      <c r="T176" s="59">
        <f t="shared" si="142"/>
        <v>286.36346771084698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3.177547114319168E-13</v>
      </c>
      <c r="AK176" s="13">
        <f t="shared" si="164"/>
        <v>4.1725404435445377E-12</v>
      </c>
      <c r="AL176" s="20">
        <f t="shared" si="165"/>
        <v>7.820597394917325E-12</v>
      </c>
      <c r="AM176" s="59">
        <f t="shared" si="113"/>
        <v>292.2677286100008</v>
      </c>
      <c r="AN176" s="59">
        <f ca="1">AVERAGE(OFFSET($AM$3,0,0,'Données projet'!$E$10+1,1))-AVERAGE(OFFSET($H$3,0,0,'Données projet'!$E$10+1,1))</f>
        <v>391.55758836264408</v>
      </c>
      <c r="AO176" s="59">
        <f t="shared" si="144"/>
        <v>360.80727659978777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30.008965441778702</v>
      </c>
      <c r="AV176" s="21">
        <f>EXP(-LN(2)/25)*AV175+(1-EXP(-LN(2)/25))/(LN(2)/25)*Calculateur!AQ176*Calculateur!AS176*VLOOKUP('Données projet'!$B$10,Paramètres!$A$1:$I$89,3,0)*0.475*44/12</f>
        <v>4.4144475734279149</v>
      </c>
      <c r="AW176" s="21">
        <f>EXP(-LN(2)/2)*AW175+(1-EXP(-LN(2)/2))/(LN(2)/2)*AQ176*AT176*VLOOKUP('Données projet'!$B$10,Paramètres!$A$1:$I$89,3,0)*0.475*44/12</f>
        <v>2.3710130865644779E-14</v>
      </c>
      <c r="AX176" s="21">
        <f t="shared" si="166"/>
        <v>34.423413015206641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5.0249582272954292E-14</v>
      </c>
      <c r="BF176" s="13">
        <f t="shared" si="167"/>
        <v>8.1784820119191593E-13</v>
      </c>
      <c r="BG176" s="20">
        <f t="shared" si="168"/>
        <v>1.5119369728679821E-12</v>
      </c>
      <c r="BH176" s="59">
        <f t="shared" si="116"/>
        <v>292.26772860999449</v>
      </c>
      <c r="BI176" s="59">
        <f ca="1">AVERAGE(OFFSET($BH$3,0,0,'Données projet'!$E$11+1,1))-AVERAGE(OFFSET($H$3,0,0,'Données projet'!$E$11+1,1))</f>
        <v>400.11184625063709</v>
      </c>
      <c r="BJ176" s="59">
        <f t="shared" si="146"/>
        <v>340.02906159605971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32.758295933276173</v>
      </c>
      <c r="BQ176" s="21">
        <f>EXP(-LN(2)/25)*BQ175+(1-EXP(-LN(2)/25))/(LN(2)/25)*Calculateur!BL176*Calculateur!BN176*VLOOKUP('Données projet'!$B$11,Paramètres!$A$1:$I$89,3,0)*0.475*44/12</f>
        <v>5.4559788339494908</v>
      </c>
      <c r="BR176" s="21">
        <f>EXP(-LN(2)/2)*BR175+(1-EXP(-LN(2)/2))/(LN(2)/2)*BL176*BO176*VLOOKUP('Données projet'!$B$11,Paramètres!$A$1:$I$89,3,0)*0.475*44/12</f>
        <v>7.8985841117816318E-13</v>
      </c>
      <c r="BS176" s="22">
        <f t="shared" si="169"/>
        <v>38.214274767226449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9.6220000000000034</v>
      </c>
      <c r="BY176" s="12">
        <f>IF('Données projet'!$A$114&gt;35,BY175+BX176-CG175,IF(A176&lt;'Données projet'!$A$114,$BV$205^A176,IF(A176='Données projet'!$A$114,'Données projet'!$B$114,BY175+BX176-CG175)))</f>
        <v>600.89800000000093</v>
      </c>
      <c r="BZ176" s="13">
        <f>BY176*VLOOKUP('Données projet'!$B$12,Paramètres!$A$1:$I$89,3,0)*VLOOKUP('Données projet'!$B$12,Paramètres!$A$1:$I$89,5,0)</f>
        <v>403.08237840000066</v>
      </c>
      <c r="CA176" s="13">
        <f t="shared" si="170"/>
        <v>92.401290677329072</v>
      </c>
      <c r="CB176" s="20">
        <f t="shared" si="171"/>
        <v>862.96739030968263</v>
      </c>
      <c r="CC176" s="59">
        <f t="shared" si="119"/>
        <v>1155.2351189196756</v>
      </c>
      <c r="CD176" s="59">
        <f ca="1">AVERAGE(OFFSET($CC$3,0,0,'Données projet'!$E$12+1,1))-AVERAGE(OFFSET($H$3,0,0,'Données projet'!$E$12+1,1))</f>
        <v>493.98227954109774</v>
      </c>
      <c r="CE176" s="59">
        <f t="shared" si="148"/>
        <v>224.32736097997289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44.816134571975567</v>
      </c>
      <c r="CL176" s="21">
        <f>EXP(-LN(2)/25)*CL175+(1-EXP(-LN(2)/25))/(LN(2)/25)*Calculateur!CG176*Calculateur!CI176*VLOOKUP('Données projet'!$B$12,Paramètres!$A$1:$I$89,3,0)*0.475*44/12</f>
        <v>16.381638167789188</v>
      </c>
      <c r="CM176" s="21">
        <f>EXP(-LN(2)/2)*CM175+(1-EXP(-LN(2)/2))/(LN(2)/2)*CG176*CJ176*VLOOKUP('Données projet'!$B$12,Paramètres!$A$1:$I$89,3,0)*0.475*44/12</f>
        <v>1.5954555397872334E-7</v>
      </c>
      <c r="CN176" s="22">
        <f t="shared" si="172"/>
        <v>61.197772899310316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9.6220000000000034</v>
      </c>
      <c r="CT176" s="12">
        <f>IF('Données projet'!$A$140&gt;35,CT175+CS176-DB175,IF(A176&lt;'Données projet'!$A$140,$CQ$205^A176,IF(A176='Données projet'!$A$140,'Données projet'!$B$140,CT175+CS176-DB175)))</f>
        <v>600.89800000000093</v>
      </c>
      <c r="CU176" s="17">
        <f>CT176*VLOOKUP('Données projet'!$B$13,Paramètres!$A$1:$I$89,3,0)*VLOOKUP('Données projet'!$B$13,Paramètres!$A$1:$I$89,5,0)</f>
        <v>571.81453680000084</v>
      </c>
      <c r="CV176" s="13">
        <f t="shared" si="173"/>
        <v>125.85276237424009</v>
      </c>
      <c r="CW176" s="20">
        <f t="shared" si="174"/>
        <v>1215.1038793951363</v>
      </c>
      <c r="CX176" s="59">
        <f t="shared" si="122"/>
        <v>1507.3716080051292</v>
      </c>
      <c r="CY176" s="59">
        <f ca="1">AVERAGE(OFFSET($CX$3,0,0,'Données projet'!$E$13+1,1))-AVERAGE(OFFSET($H$3,0,0,'Données projet'!$E$13+1,1))</f>
        <v>677.13548994240728</v>
      </c>
      <c r="CZ176" s="59">
        <f t="shared" si="150"/>
        <v>298.72429542440534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51.580834130009599</v>
      </c>
      <c r="DG176" s="21">
        <f>EXP(-LN(2)/25)*DG175+(1-EXP(-LN(2)/25))/(LN(2)/25)*Calculateur!DB176*Calculateur!DD176*VLOOKUP('Données projet'!$B$13,Paramètres!$A$1:$I$89,3,0)*0.475*44/12</f>
        <v>18.854338268587554</v>
      </c>
      <c r="DH176" s="21">
        <f>EXP(-LN(2)/2)*DH175+(1-EXP(-LN(2)/2))/(LN(2)/2)*DB176*DE176*VLOOKUP('Données projet'!$B$13,Paramètres!$A$1:$I$89,3,0)*0.475*44/12</f>
        <v>2.2633206494656121E-7</v>
      </c>
      <c r="DI176" s="22">
        <f t="shared" si="175"/>
        <v>70.435172624929223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69.709380529998086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1.2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4.3999999999999995</v>
      </c>
      <c r="H177" s="67">
        <f t="shared" si="110"/>
        <v>239.06666666666669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1466.9842477855218</v>
      </c>
      <c r="S177" s="59">
        <f ca="1">AVERAGE(OFFSET($R$3,0,0,'Données projet'!$E$9+1,1))-AVERAGE(OFFSET($H$3,0,0,'Données projet'!$E$9+1,1))</f>
        <v>646.69588445509589</v>
      </c>
      <c r="T177" s="59">
        <f t="shared" si="142"/>
        <v>286.36346771084698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3.177547114319168E-13</v>
      </c>
      <c r="AK177" s="13">
        <f t="shared" si="164"/>
        <v>4.1725404435445377E-12</v>
      </c>
      <c r="AL177" s="20">
        <f t="shared" si="165"/>
        <v>7.820597394917325E-12</v>
      </c>
      <c r="AM177" s="59">
        <f t="shared" si="113"/>
        <v>292.28621446961552</v>
      </c>
      <c r="AN177" s="59">
        <f ca="1">AVERAGE(OFFSET($AM$3,0,0,'Données projet'!$E$10+1,1))-AVERAGE(OFFSET($H$3,0,0,'Données projet'!$E$10+1,1))</f>
        <v>391.55758836264408</v>
      </c>
      <c r="AO177" s="59">
        <f t="shared" si="144"/>
        <v>360.80727659978777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29.420507933127006</v>
      </c>
      <c r="AV177" s="21">
        <f>EXP(-LN(2)/25)*AV176+(1-EXP(-LN(2)/25))/(LN(2)/25)*Calculateur!AQ177*Calculateur!AS177*VLOOKUP('Données projet'!$B$10,Paramètres!$A$1:$I$89,3,0)*0.475*44/12</f>
        <v>4.2937342723868204</v>
      </c>
      <c r="AW177" s="21">
        <f>EXP(-LN(2)/2)*AW176+(1-EXP(-LN(2)/2))/(LN(2)/2)*AQ177*AT177*VLOOKUP('Données projet'!$B$10,Paramètres!$A$1:$I$89,3,0)*0.475*44/12</f>
        <v>1.6765594317917889E-14</v>
      </c>
      <c r="AX177" s="21">
        <f t="shared" si="166"/>
        <v>33.714242205513841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5.0249582272954292E-14</v>
      </c>
      <c r="BF177" s="13">
        <f t="shared" si="167"/>
        <v>8.1784820119191593E-13</v>
      </c>
      <c r="BG177" s="20">
        <f t="shared" si="168"/>
        <v>1.5119369728679821E-12</v>
      </c>
      <c r="BH177" s="59">
        <f t="shared" si="116"/>
        <v>292.28621446960921</v>
      </c>
      <c r="BI177" s="59">
        <f ca="1">AVERAGE(OFFSET($BH$3,0,0,'Données projet'!$E$11+1,1))-AVERAGE(OFFSET($H$3,0,0,'Données projet'!$E$11+1,1))</f>
        <v>400.11184625063709</v>
      </c>
      <c r="BJ177" s="59">
        <f t="shared" si="146"/>
        <v>340.02906159605971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32.115925730612226</v>
      </c>
      <c r="BQ177" s="21">
        <f>EXP(-LN(2)/25)*BQ176+(1-EXP(-LN(2)/25))/(LN(2)/25)*Calculateur!BL177*Calculateur!BN177*VLOOKUP('Données projet'!$B$11,Paramètres!$A$1:$I$89,3,0)*0.475*44/12</f>
        <v>5.306784805817685</v>
      </c>
      <c r="BR177" s="21">
        <f>EXP(-LN(2)/2)*BR176+(1-EXP(-LN(2)/2))/(LN(2)/2)*BL177*BO177*VLOOKUP('Données projet'!$B$11,Paramètres!$A$1:$I$89,3,0)*0.475*44/12</f>
        <v>5.5851423872131151E-13</v>
      </c>
      <c r="BS177" s="22">
        <f t="shared" si="169"/>
        <v>37.422710536430472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9.6220000000000034</v>
      </c>
      <c r="BX177" s="12">
        <f t="array" ref="BX177">INDEX(BW:BW,MIN(IF(ISNUMBER(BW177:BW373),ROW(BW177:BW373),"")))</f>
        <v>9.6220000000000034</v>
      </c>
      <c r="BY177" s="12">
        <f>IF('Données projet'!$A$114&gt;35,BY176+BX177-CG176,IF(A177&lt;'Données projet'!$A$114,$BV$205^A177,IF(A177='Données projet'!$A$114,'Données projet'!$B$114,BY176+BX177-CG176)))</f>
        <v>610.52000000000089</v>
      </c>
      <c r="BZ177" s="13">
        <f>BY177*VLOOKUP('Données projet'!$B$12,Paramètres!$A$1:$I$89,3,0)*VLOOKUP('Données projet'!$B$12,Paramètres!$A$1:$I$89,5,0)</f>
        <v>409.53681600000061</v>
      </c>
      <c r="CA177" s="13">
        <f t="shared" si="170"/>
        <v>93.707448957169674</v>
      </c>
      <c r="CB177" s="20">
        <f t="shared" si="171"/>
        <v>876.48376146707153</v>
      </c>
      <c r="CC177" s="59">
        <f t="shared" si="119"/>
        <v>1168.7699759366792</v>
      </c>
      <c r="CD177" s="59">
        <f ca="1">AVERAGE(OFFSET($CC$3,0,0,'Données projet'!$E$12+1,1))-AVERAGE(OFFSET($H$3,0,0,'Données projet'!$E$12+1,1))</f>
        <v>493.98227954109774</v>
      </c>
      <c r="CE177" s="59">
        <f t="shared" si="148"/>
        <v>224.32736097997289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240</v>
      </c>
      <c r="CH177" s="16">
        <f>IF(ISNA(VLOOKUP(A177,'Données projet'!$A$113:$I$133,5,0)),0%,VLOOKUP(A177,'Données projet'!$A$113:$I$133,5,0)*VLOOKUP('Données projet'!$B$12,Paramètres!$A$1:$I$89,7,0))</f>
        <v>0.23850000000000002</v>
      </c>
      <c r="CI177" s="16">
        <f>IF(ISNA(VLOOKUP(A177,'Données projet'!$A$113:$I$133,6,0)),0%,VLOOKUP(A177,'Données projet'!$A$113:$I$133,6,0)*VLOOKUP('Données projet'!$B$12,Paramètres!$A$1:$I$89,7,0))</f>
        <v>2.6500000000000003E-2</v>
      </c>
      <c r="CJ177" s="16">
        <f>IF(ISNA(VLOOKUP(A177,'Données projet'!$A$113:$I$133,7,0)),0%,VLOOKUP(A177,'Données projet'!$A$113:$I$133,7,0))</f>
        <v>0.05</v>
      </c>
      <c r="CK177" s="21">
        <f>EXP(-LN(2)/35)*CK176+(1-EXP(-LN(2)/35))/(LN(2)/35)*CG177*CH177*VLOOKUP('Données projet'!$B$12,Paramètres!$A$1:$I$89,3,0)*0.475*44/12</f>
        <v>86.383612639173947</v>
      </c>
      <c r="CL177" s="21">
        <f>EXP(-LN(2)/25)*CL176+(1-EXP(-LN(2)/25))/(LN(2)/25)*Calculateur!CG177*Calculateur!CI177*VLOOKUP('Données projet'!$B$12,Paramètres!$A$1:$I$89,3,0)*0.475*44/12</f>
        <v>20.631366732148596</v>
      </c>
      <c r="CM177" s="21">
        <f>EXP(-LN(2)/2)*CM176+(1-EXP(-LN(2)/2))/(LN(2)/2)*CG177*CJ177*VLOOKUP('Données projet'!$B$12,Paramètres!$A$1:$I$89,3,0)*0.475*44/12</f>
        <v>7.5950143646232773</v>
      </c>
      <c r="CN177" s="22">
        <f t="shared" si="172"/>
        <v>114.60999373594582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9.6220000000000034</v>
      </c>
      <c r="CS177" s="12">
        <f t="array" ref="CS177">INDEX(CR:CR,MIN(IF(ISNUMBER(CR177:CR373),ROW(CR177:CR373),"")))</f>
        <v>9.6220000000000034</v>
      </c>
      <c r="CT177" s="12">
        <f>IF('Données projet'!$A$140&gt;35,CT176+CS177-DB176,IF(A177&lt;'Données projet'!$A$140,$CQ$205^A177,IF(A177='Données projet'!$A$140,'Données projet'!$B$140,CT176+CS177-DB176)))</f>
        <v>610.52000000000089</v>
      </c>
      <c r="CU177" s="17">
        <f>CT177*VLOOKUP('Données projet'!$B$13,Paramètres!$A$1:$I$89,3,0)*VLOOKUP('Données projet'!$B$13,Paramètres!$A$1:$I$89,5,0)</f>
        <v>580.97083200000088</v>
      </c>
      <c r="CV177" s="13">
        <f t="shared" si="173"/>
        <v>127.63178111316617</v>
      </c>
      <c r="CW177" s="20">
        <f t="shared" si="174"/>
        <v>1234.1495511720993</v>
      </c>
      <c r="CX177" s="59">
        <f t="shared" si="122"/>
        <v>1526.4357656417069</v>
      </c>
      <c r="CY177" s="59">
        <f ca="1">AVERAGE(OFFSET($CX$3,0,0,'Données projet'!$E$13+1,1))-AVERAGE(OFFSET($H$3,0,0,'Données projet'!$E$13+1,1))</f>
        <v>677.13548994240728</v>
      </c>
      <c r="CZ177" s="59">
        <f t="shared" si="150"/>
        <v>298.72429542440534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240</v>
      </c>
      <c r="DC177" s="16">
        <f>IF(ISNA(VLOOKUP(A177,'Données projet'!$A$139:$I$159,5,0)),0%,VLOOKUP(A177,'Données projet'!$A$139:$I$159,5,0)*VLOOKUP('Données projet'!$B$13,Paramètres!$A$1:$I$89,7,0))</f>
        <v>0.19350000000000001</v>
      </c>
      <c r="DD177" s="16">
        <f>IF(ISNA(VLOOKUP(A177,'Données projet'!$A$139:$I$159,6,0)),0%,VLOOKUP(A177,'Données projet'!$A$139:$I$159,6,0)*VLOOKUP('Données projet'!$B$13,Paramètres!$A$1:$I$89,7,0))</f>
        <v>2.1500000000000002E-2</v>
      </c>
      <c r="DE177" s="16">
        <f>IF(ISNA(VLOOKUP(A177,'Données projet'!$A$139:$I$159,7,0)),0%,VLOOKUP(A177,'Données projet'!$A$139:$I$159,7,0))</f>
        <v>0.05</v>
      </c>
      <c r="DF177" s="21">
        <f>EXP(-LN(2)/35)*DF176+(1-EXP(-LN(2)/35))/(LN(2)/35)*DB177*DC177*VLOOKUP('Données projet'!$B$13,Paramètres!$A$1:$I$89,3,0)*0.475*44/12</f>
        <v>99.422648509237902</v>
      </c>
      <c r="DG177" s="21">
        <f>EXP(-LN(2)/25)*DG176+(1-EXP(-LN(2)/25))/(LN(2)/25)*Calculateur!DB177*Calculateur!DD177*VLOOKUP('Données projet'!$B$13,Paramètres!$A$1:$I$89,3,0)*0.475*44/12</f>
        <v>23.745535295491777</v>
      </c>
      <c r="DH177" s="21">
        <f>EXP(-LN(2)/2)*DH176+(1-EXP(-LN(2)/2))/(LN(2)/2)*DB177*DE177*VLOOKUP('Données projet'!$B$13,Paramètres!$A$1:$I$89,3,0)*0.475*44/12</f>
        <v>10.77432270330279</v>
      </c>
      <c r="DI177" s="22">
        <f t="shared" si="175"/>
        <v>133.94250650803247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69.714422128074816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1.2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4.3999999999999995</v>
      </c>
      <c r="H178" s="67">
        <f t="shared" si="110"/>
        <v>239.06666666666669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1024.6187539967984</v>
      </c>
      <c r="S178" s="59">
        <f ca="1">AVERAGE(OFFSET($R$3,0,0,'Données projet'!$E$9+1,1))-AVERAGE(OFFSET($H$3,0,0,'Données projet'!$E$9+1,1))</f>
        <v>646.69588445509589</v>
      </c>
      <c r="T178" s="59">
        <f t="shared" si="142"/>
        <v>286.36346771084698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3.177547114319168E-13</v>
      </c>
      <c r="AK178" s="13">
        <f t="shared" si="164"/>
        <v>4.1725404435445377E-12</v>
      </c>
      <c r="AL178" s="20">
        <f t="shared" si="165"/>
        <v>7.820597394917325E-12</v>
      </c>
      <c r="AM178" s="59">
        <f t="shared" si="113"/>
        <v>292.30437964089407</v>
      </c>
      <c r="AN178" s="59">
        <f ca="1">AVERAGE(OFFSET($AM$3,0,0,'Données projet'!$E$10+1,1))-AVERAGE(OFFSET($H$3,0,0,'Données projet'!$E$10+1,1))</f>
        <v>391.55758836264408</v>
      </c>
      <c r="AO178" s="59">
        <f t="shared" si="144"/>
        <v>360.80727659978777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28.843589717296329</v>
      </c>
      <c r="AV178" s="21">
        <f>EXP(-LN(2)/25)*AV177+(1-EXP(-LN(2)/25))/(LN(2)/25)*Calculateur!AQ178*Calculateur!AS178*VLOOKUP('Données projet'!$B$10,Paramètres!$A$1:$I$89,3,0)*0.475*44/12</f>
        <v>4.1763218829107309</v>
      </c>
      <c r="AW178" s="21">
        <f>EXP(-LN(2)/2)*AW177+(1-EXP(-LN(2)/2))/(LN(2)/2)*AQ178*AT178*VLOOKUP('Données projet'!$B$10,Paramètres!$A$1:$I$89,3,0)*0.475*44/12</f>
        <v>1.1855065432822389E-14</v>
      </c>
      <c r="AX178" s="21">
        <f t="shared" si="166"/>
        <v>33.019911600207074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5.0249582272954292E-14</v>
      </c>
      <c r="BF178" s="13">
        <f t="shared" si="167"/>
        <v>8.1784820119191593E-13</v>
      </c>
      <c r="BG178" s="20">
        <f t="shared" si="168"/>
        <v>1.5119369728679821E-12</v>
      </c>
      <c r="BH178" s="59">
        <f t="shared" si="116"/>
        <v>292.30437964088776</v>
      </c>
      <c r="BI178" s="59">
        <f ca="1">AVERAGE(OFFSET($BH$3,0,0,'Données projet'!$E$11+1,1))-AVERAGE(OFFSET($H$3,0,0,'Données projet'!$E$11+1,1))</f>
        <v>400.11184625063709</v>
      </c>
      <c r="BJ178" s="59">
        <f t="shared" si="146"/>
        <v>340.02906159605971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31.486152015815385</v>
      </c>
      <c r="BQ178" s="21">
        <f>EXP(-LN(2)/25)*BQ177+(1-EXP(-LN(2)/25))/(LN(2)/25)*Calculateur!BL178*Calculateur!BN178*VLOOKUP('Données projet'!$B$11,Paramètres!$A$1:$I$89,3,0)*0.475*44/12</f>
        <v>5.1616704962309159</v>
      </c>
      <c r="BR178" s="21">
        <f>EXP(-LN(2)/2)*BR177+(1-EXP(-LN(2)/2))/(LN(2)/2)*BL178*BO178*VLOOKUP('Données projet'!$B$11,Paramètres!$A$1:$I$89,3,0)*0.475*44/12</f>
        <v>3.9492920558908159E-13</v>
      </c>
      <c r="BS178" s="22">
        <f t="shared" si="169"/>
        <v>36.647822512046702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6.140000000000005</v>
      </c>
      <c r="BY178" s="12">
        <f>IF('Données projet'!$A$114&gt;35,BY177+BX178-CG177,IF(A178&lt;'Données projet'!$A$114,$BV$205^A178,IF(A178='Données projet'!$A$114,'Données projet'!$B$114,BY177+BX178-CG177)))</f>
        <v>376.66000000000088</v>
      </c>
      <c r="BZ178" s="13">
        <f>BY178*VLOOKUP('Données projet'!$B$12,Paramètres!$A$1:$I$89,3,0)*VLOOKUP('Données projet'!$B$12,Paramètres!$A$1:$I$89,5,0)</f>
        <v>252.66352800000058</v>
      </c>
      <c r="CA178" s="13">
        <f t="shared" si="170"/>
        <v>61.155943020747195</v>
      </c>
      <c r="CB178" s="20">
        <f t="shared" si="171"/>
        <v>546.5689120278023</v>
      </c>
      <c r="CC178" s="59">
        <f t="shared" si="119"/>
        <v>838.87329166868858</v>
      </c>
      <c r="CD178" s="59">
        <f ca="1">AVERAGE(OFFSET($CC$3,0,0,'Données projet'!$E$12+1,1))-AVERAGE(OFFSET($H$3,0,0,'Données projet'!$E$12+1,1))</f>
        <v>493.98227954109774</v>
      </c>
      <c r="CE178" s="59">
        <f t="shared" si="148"/>
        <v>224.32736097997289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84.689682684120868</v>
      </c>
      <c r="CL178" s="21">
        <f>EXP(-LN(2)/25)*CL177+(1-EXP(-LN(2)/25))/(LN(2)/25)*Calculateur!CG178*Calculateur!CI178*VLOOKUP('Données projet'!$B$12,Paramètres!$A$1:$I$89,3,0)*0.475*44/12</f>
        <v>20.06720092390157</v>
      </c>
      <c r="CM178" s="21">
        <f>EXP(-LN(2)/2)*CM177+(1-EXP(-LN(2)/2))/(LN(2)/2)*CG178*CJ178*VLOOKUP('Données projet'!$B$12,Paramètres!$A$1:$I$89,3,0)*0.475*44/12</f>
        <v>5.370486160434357</v>
      </c>
      <c r="CN178" s="22">
        <f t="shared" si="172"/>
        <v>110.12736976845679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6.140000000000005</v>
      </c>
      <c r="CT178" s="12">
        <f>IF('Données projet'!$A$140&gt;35,CT177+CS178-DB177,IF(A178&lt;'Données projet'!$A$140,$CQ$205^A178,IF(A178='Données projet'!$A$140,'Données projet'!$B$140,CT177+CS178-DB177)))</f>
        <v>376.66000000000088</v>
      </c>
      <c r="CU178" s="17">
        <f>CT178*VLOOKUP('Données projet'!$B$13,Paramètres!$A$1:$I$89,3,0)*VLOOKUP('Données projet'!$B$13,Paramètres!$A$1:$I$89,5,0)</f>
        <v>358.42965600000082</v>
      </c>
      <c r="CV178" s="13">
        <f t="shared" si="173"/>
        <v>83.295853427413832</v>
      </c>
      <c r="CW178" s="20">
        <f t="shared" si="174"/>
        <v>769.33859558608037</v>
      </c>
      <c r="CX178" s="59">
        <f t="shared" si="122"/>
        <v>1061.6429752269667</v>
      </c>
      <c r="CY178" s="59">
        <f ca="1">AVERAGE(OFFSET($CX$3,0,0,'Données projet'!$E$13+1,1))-AVERAGE(OFFSET($H$3,0,0,'Données projet'!$E$13+1,1))</f>
        <v>677.13548994240728</v>
      </c>
      <c r="CZ178" s="59">
        <f t="shared" si="150"/>
        <v>298.72429542440534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97.473031013799456</v>
      </c>
      <c r="DG178" s="21">
        <f>EXP(-LN(2)/25)*DG177+(1-EXP(-LN(2)/25))/(LN(2)/25)*Calculateur!DB178*Calculateur!DD178*VLOOKUP('Données projet'!$B$13,Paramètres!$A$1:$I$89,3,0)*0.475*44/12</f>
        <v>23.096212384113123</v>
      </c>
      <c r="DH178" s="21">
        <f>EXP(-LN(2)/2)*DH177+(1-EXP(-LN(2)/2))/(LN(2)/2)*DB178*DE178*VLOOKUP('Données projet'!$B$13,Paramètres!$A$1:$I$89,3,0)*0.475*44/12</f>
        <v>7.6185966461975774</v>
      </c>
      <c r="DI178" s="22">
        <f t="shared" si="175"/>
        <v>128.18784004411015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69.719376265696241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1.2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4.3999999999999995</v>
      </c>
      <c r="H179" s="67">
        <f t="shared" si="110"/>
        <v>239.06666666666669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1036.3090291392141</v>
      </c>
      <c r="S179" s="59">
        <f ca="1">AVERAGE(OFFSET($R$3,0,0,'Données projet'!$E$9+1,1))-AVERAGE(OFFSET($H$3,0,0,'Données projet'!$E$9+1,1))</f>
        <v>646.69588445509589</v>
      </c>
      <c r="T179" s="59">
        <f t="shared" si="142"/>
        <v>286.36346771084698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3.177547114319168E-13</v>
      </c>
      <c r="AK179" s="13">
        <f t="shared" si="164"/>
        <v>4.1725404435445377E-12</v>
      </c>
      <c r="AL179" s="20">
        <f t="shared" si="165"/>
        <v>7.820597394917325E-12</v>
      </c>
      <c r="AM179" s="59">
        <f t="shared" si="113"/>
        <v>292.32222968706225</v>
      </c>
      <c r="AN179" s="59">
        <f ca="1">AVERAGE(OFFSET($AM$3,0,0,'Données projet'!$E$10+1,1))-AVERAGE(OFFSET($H$3,0,0,'Données projet'!$E$10+1,1))</f>
        <v>391.55758836264408</v>
      </c>
      <c r="AO179" s="59">
        <f t="shared" si="144"/>
        <v>360.80727659978777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28.277984515792724</v>
      </c>
      <c r="AV179" s="21">
        <f>EXP(-LN(2)/25)*AV178+(1-EXP(-LN(2)/25))/(LN(2)/25)*Calculateur!AQ179*Calculateur!AS179*VLOOKUP('Données projet'!$B$10,Paramètres!$A$1:$I$89,3,0)*0.475*44/12</f>
        <v>4.0621201413993147</v>
      </c>
      <c r="AW179" s="21">
        <f>EXP(-LN(2)/2)*AW178+(1-EXP(-LN(2)/2))/(LN(2)/2)*AQ179*AT179*VLOOKUP('Données projet'!$B$10,Paramètres!$A$1:$I$89,3,0)*0.475*44/12</f>
        <v>8.3827971589589444E-15</v>
      </c>
      <c r="AX179" s="21">
        <f t="shared" si="166"/>
        <v>32.340104657192043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5.0249582272954292E-14</v>
      </c>
      <c r="BF179" s="13">
        <f t="shared" si="167"/>
        <v>8.1784820119191593E-13</v>
      </c>
      <c r="BG179" s="20">
        <f t="shared" si="168"/>
        <v>1.5119369728679821E-12</v>
      </c>
      <c r="BH179" s="59">
        <f t="shared" si="116"/>
        <v>292.32222968705594</v>
      </c>
      <c r="BI179" s="59">
        <f ca="1">AVERAGE(OFFSET($BH$3,0,0,'Données projet'!$E$11+1,1))-AVERAGE(OFFSET($H$3,0,0,'Données projet'!$E$11+1,1))</f>
        <v>400.11184625063709</v>
      </c>
      <c r="BJ179" s="59">
        <f t="shared" si="146"/>
        <v>340.02906159605971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30.868727779441674</v>
      </c>
      <c r="BQ179" s="21">
        <f>EXP(-LN(2)/25)*BQ178+(1-EXP(-LN(2)/25))/(LN(2)/25)*Calculateur!BL179*Calculateur!BN179*VLOOKUP('Données projet'!$B$11,Paramètres!$A$1:$I$89,3,0)*0.475*44/12</f>
        <v>5.0205243450710269</v>
      </c>
      <c r="BR179" s="21">
        <f>EXP(-LN(2)/2)*BR178+(1-EXP(-LN(2)/2))/(LN(2)/2)*BL179*BO179*VLOOKUP('Données projet'!$B$11,Paramètres!$A$1:$I$89,3,0)*0.475*44/12</f>
        <v>2.7925711936065575E-13</v>
      </c>
      <c r="BS179" s="22">
        <f t="shared" si="169"/>
        <v>35.889252124512979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6.140000000000005</v>
      </c>
      <c r="BY179" s="12">
        <f>IF('Données projet'!$A$114&gt;35,BY178+BX179-CG178,IF(A179&lt;'Données projet'!$A$114,$BV$205^A179,IF(A179='Données projet'!$A$114,'Données projet'!$B$114,BY178+BX179-CG178)))</f>
        <v>382.80000000000086</v>
      </c>
      <c r="BZ179" s="13">
        <f>BY179*VLOOKUP('Données projet'!$B$12,Paramètres!$A$1:$I$89,3,0)*VLOOKUP('Données projet'!$B$12,Paramètres!$A$1:$I$89,5,0)</f>
        <v>256.78224000000063</v>
      </c>
      <c r="CA179" s="13">
        <f t="shared" si="170"/>
        <v>62.035985226810183</v>
      </c>
      <c r="CB179" s="20">
        <f t="shared" si="171"/>
        <v>555.2750756033621</v>
      </c>
      <c r="CC179" s="59">
        <f t="shared" si="119"/>
        <v>847.59730529041644</v>
      </c>
      <c r="CD179" s="59">
        <f ca="1">AVERAGE(OFFSET($CC$3,0,0,'Données projet'!$E$12+1,1))-AVERAGE(OFFSET($H$3,0,0,'Données projet'!$E$12+1,1))</f>
        <v>493.98227954109774</v>
      </c>
      <c r="CE179" s="59">
        <f t="shared" si="148"/>
        <v>224.32736097997289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83.028969662291132</v>
      </c>
      <c r="CL179" s="21">
        <f>EXP(-LN(2)/25)*CL178+(1-EXP(-LN(2)/25))/(LN(2)/25)*Calculateur!CG179*Calculateur!CI179*VLOOKUP('Données projet'!$B$12,Paramètres!$A$1:$I$89,3,0)*0.475*44/12</f>
        <v>19.518462259349249</v>
      </c>
      <c r="CM179" s="21">
        <f>EXP(-LN(2)/2)*CM178+(1-EXP(-LN(2)/2))/(LN(2)/2)*CG179*CJ179*VLOOKUP('Données projet'!$B$12,Paramètres!$A$1:$I$89,3,0)*0.475*44/12</f>
        <v>3.7975071823116391</v>
      </c>
      <c r="CN179" s="22">
        <f t="shared" si="172"/>
        <v>106.34493910395202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6.140000000000005</v>
      </c>
      <c r="CT179" s="12">
        <f>IF('Données projet'!$A$140&gt;35,CT178+CS179-DB178,IF(A179&lt;'Données projet'!$A$140,$CQ$205^A179,IF(A179='Données projet'!$A$140,'Données projet'!$B$140,CT178+CS179-DB178)))</f>
        <v>382.80000000000086</v>
      </c>
      <c r="CU179" s="17">
        <f>CT179*VLOOKUP('Données projet'!$B$13,Paramètres!$A$1:$I$89,3,0)*VLOOKUP('Données projet'!$B$13,Paramètres!$A$1:$I$89,5,0)</f>
        <v>364.27248000000083</v>
      </c>
      <c r="CV179" s="13">
        <f t="shared" si="173"/>
        <v>84.494491907753954</v>
      </c>
      <c r="CW179" s="20">
        <f t="shared" si="174"/>
        <v>781.60247607267286</v>
      </c>
      <c r="CX179" s="59">
        <f t="shared" si="122"/>
        <v>1073.9247057597272</v>
      </c>
      <c r="CY179" s="59">
        <f ca="1">AVERAGE(OFFSET($CX$3,0,0,'Données projet'!$E$13+1,1))-AVERAGE(OFFSET($H$3,0,0,'Données projet'!$E$13+1,1))</f>
        <v>677.13548994240728</v>
      </c>
      <c r="CZ179" s="59">
        <f t="shared" si="150"/>
        <v>298.72429542440534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95.561644328297305</v>
      </c>
      <c r="DG179" s="21">
        <f>EXP(-LN(2)/25)*DG178+(1-EXP(-LN(2)/25))/(LN(2)/25)*Calculateur!DB179*Calculateur!DD179*VLOOKUP('Données projet'!$B$13,Paramètres!$A$1:$I$89,3,0)*0.475*44/12</f>
        <v>22.464645241892526</v>
      </c>
      <c r="DH179" s="21">
        <f>EXP(-LN(2)/2)*DH178+(1-EXP(-LN(2)/2))/(LN(2)/2)*DB179*DE179*VLOOKUP('Données projet'!$B$13,Paramètres!$A$1:$I$89,3,0)*0.475*44/12</f>
        <v>5.3871613516513959</v>
      </c>
      <c r="DI179" s="22">
        <f t="shared" si="175"/>
        <v>123.41345092184123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69.724244460105737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1.2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4.3999999999999995</v>
      </c>
      <c r="H180" s="67">
        <f t="shared" si="110"/>
        <v>239.06666666666669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1047.9952701526845</v>
      </c>
      <c r="S180" s="59">
        <f ca="1">AVERAGE(OFFSET($R$3,0,0,'Données projet'!$E$9+1,1))-AVERAGE(OFFSET($H$3,0,0,'Données projet'!$E$9+1,1))</f>
        <v>646.69588445509589</v>
      </c>
      <c r="T180" s="59">
        <f t="shared" si="142"/>
        <v>286.36346771084698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3.177547114319168E-13</v>
      </c>
      <c r="AK180" s="13">
        <f t="shared" si="164"/>
        <v>4.1725404435445377E-12</v>
      </c>
      <c r="AL180" s="20">
        <f t="shared" si="165"/>
        <v>7.820597394917325E-12</v>
      </c>
      <c r="AM180" s="59">
        <f t="shared" si="113"/>
        <v>292.33977007483605</v>
      </c>
      <c r="AN180" s="59">
        <f ca="1">AVERAGE(OFFSET($AM$3,0,0,'Données projet'!$E$10+1,1))-AVERAGE(OFFSET($H$3,0,0,'Données projet'!$E$10+1,1))</f>
        <v>391.55758836264408</v>
      </c>
      <c r="AO180" s="59">
        <f t="shared" si="144"/>
        <v>360.80727659978777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27.723470487305498</v>
      </c>
      <c r="AV180" s="21">
        <f>EXP(-LN(2)/25)*AV179+(1-EXP(-LN(2)/25))/(LN(2)/25)*Calculateur!AQ180*Calculateur!AS180*VLOOKUP('Données projet'!$B$10,Paramètres!$A$1:$I$89,3,0)*0.475*44/12</f>
        <v>3.9510412525151364</v>
      </c>
      <c r="AW180" s="21">
        <f>EXP(-LN(2)/2)*AW179+(1-EXP(-LN(2)/2))/(LN(2)/2)*AQ180*AT180*VLOOKUP('Données projet'!$B$10,Paramètres!$A$1:$I$89,3,0)*0.475*44/12</f>
        <v>5.9275327164111947E-15</v>
      </c>
      <c r="AX180" s="21">
        <f t="shared" si="166"/>
        <v>31.674511739820641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5.0249582272954292E-14</v>
      </c>
      <c r="BF180" s="13">
        <f t="shared" si="167"/>
        <v>8.1784820119191593E-13</v>
      </c>
      <c r="BG180" s="20">
        <f t="shared" si="168"/>
        <v>1.5119369728679821E-12</v>
      </c>
      <c r="BH180" s="59">
        <f t="shared" si="116"/>
        <v>292.33977007482974</v>
      </c>
      <c r="BI180" s="59">
        <f ca="1">AVERAGE(OFFSET($BH$3,0,0,'Données projet'!$E$11+1,1))-AVERAGE(OFFSET($H$3,0,0,'Données projet'!$E$11+1,1))</f>
        <v>400.11184625063709</v>
      </c>
      <c r="BJ180" s="59">
        <f t="shared" si="146"/>
        <v>340.02906159605971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30.263410855751651</v>
      </c>
      <c r="BQ180" s="21">
        <f>EXP(-LN(2)/25)*BQ179+(1-EXP(-LN(2)/25))/(LN(2)/25)*Calculateur!BL180*Calculateur!BN180*VLOOKUP('Données projet'!$B$11,Paramètres!$A$1:$I$89,3,0)*0.475*44/12</f>
        <v>4.8832378428371586</v>
      </c>
      <c r="BR180" s="21">
        <f>EXP(-LN(2)/2)*BR179+(1-EXP(-LN(2)/2))/(LN(2)/2)*BL180*BO180*VLOOKUP('Données projet'!$B$11,Paramètres!$A$1:$I$89,3,0)*0.475*44/12</f>
        <v>1.974646027945408E-13</v>
      </c>
      <c r="BS180" s="22">
        <f t="shared" si="169"/>
        <v>35.146648698589011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6.140000000000005</v>
      </c>
      <c r="BX180" s="12">
        <f t="array" ref="BX180">INDEX(BW:BW,MIN(IF(ISNUMBER(BW180:BW376),ROW(BW180:BW376),"")))</f>
        <v>6.140000000000005</v>
      </c>
      <c r="BY180" s="12">
        <f>IF('Données projet'!$A$114&gt;35,BY179+BX180-CG179,IF(A180&lt;'Données projet'!$A$114,$BV$205^A180,IF(A180='Données projet'!$A$114,'Données projet'!$B$114,BY179+BX180-CG179)))</f>
        <v>388.94000000000085</v>
      </c>
      <c r="BZ180" s="13">
        <f>BY180*VLOOKUP('Données projet'!$B$12,Paramètres!$A$1:$I$89,3,0)*VLOOKUP('Données projet'!$B$12,Paramètres!$A$1:$I$89,5,0)</f>
        <v>260.90095200000059</v>
      </c>
      <c r="CA180" s="13">
        <f t="shared" si="170"/>
        <v>62.914385833200292</v>
      </c>
      <c r="CB180" s="20">
        <f t="shared" si="171"/>
        <v>563.97838005949154</v>
      </c>
      <c r="CC180" s="59">
        <f t="shared" si="119"/>
        <v>856.31815013431969</v>
      </c>
      <c r="CD180" s="59">
        <f ca="1">AVERAGE(OFFSET($CC$3,0,0,'Données projet'!$E$12+1,1))-AVERAGE(OFFSET($H$3,0,0,'Données projet'!$E$12+1,1))</f>
        <v>493.98227954109774</v>
      </c>
      <c r="CE180" s="59">
        <f t="shared" si="148"/>
        <v>224.32736097997289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128.66000000000003</v>
      </c>
      <c r="CH180" s="16">
        <f>IF(ISNA(VLOOKUP(A180,'Données projet'!$A$113:$I$133,5,0)),0%,VLOOKUP(A180,'Données projet'!$A$113:$I$133,5,0)*VLOOKUP('Données projet'!$B$12,Paramètres!$A$1:$I$89,7,0))</f>
        <v>0.23850000000000002</v>
      </c>
      <c r="CI180" s="16">
        <f>IF(ISNA(VLOOKUP(A180,'Données projet'!$A$113:$I$133,6,0)),0%,VLOOKUP(A180,'Données projet'!$A$113:$I$133,6,0)*VLOOKUP('Données projet'!$B$12,Paramètres!$A$1:$I$89,7,0))</f>
        <v>2.6500000000000003E-2</v>
      </c>
      <c r="CJ180" s="16">
        <f>IF(ISNA(VLOOKUP(A180,'Données projet'!$A$113:$I$133,7,0)),0%,VLOOKUP(A180,'Données projet'!$A$113:$I$133,7,0))</f>
        <v>0.05</v>
      </c>
      <c r="CK180" s="21">
        <f>EXP(-LN(2)/35)*CK179+(1-EXP(-LN(2)/35))/(LN(2)/35)*CG180*CH180*VLOOKUP('Données projet'!$B$12,Paramètres!$A$1:$I$89,3,0)*0.475*44/12</f>
        <v>104.15557359136783</v>
      </c>
      <c r="CL180" s="21">
        <f>EXP(-LN(2)/25)*CL179+(1-EXP(-LN(2)/25))/(LN(2)/25)*Calculateur!CG180*Calculateur!CI180*VLOOKUP('Données projet'!$B$12,Paramètres!$A$1:$I$89,3,0)*0.475*44/12</f>
        <v>21.503079688553175</v>
      </c>
      <c r="CM180" s="21">
        <f>EXP(-LN(2)/2)*CM179+(1-EXP(-LN(2)/2))/(LN(2)/2)*CG180*CJ180*VLOOKUP('Données projet'!$B$12,Paramètres!$A$1:$I$89,3,0)*0.475*44/12</f>
        <v>6.7568036370403348</v>
      </c>
      <c r="CN180" s="22">
        <f t="shared" si="172"/>
        <v>132.41545691696132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6.140000000000005</v>
      </c>
      <c r="CS180" s="12">
        <f t="array" ref="CS180">INDEX(CR:CR,MIN(IF(ISNUMBER(CR180:CR376),ROW(CR180:CR376),"")))</f>
        <v>6.140000000000005</v>
      </c>
      <c r="CT180" s="12">
        <f>IF('Données projet'!$A$140&gt;35,CT179+CS180-DB179,IF(A180&lt;'Données projet'!$A$140,$CQ$205^A180,IF(A180='Données projet'!$A$140,'Données projet'!$B$140,CT179+CS180-DB179)))</f>
        <v>388.94000000000085</v>
      </c>
      <c r="CU180" s="17">
        <f>CT180*VLOOKUP('Données projet'!$B$13,Paramètres!$A$1:$I$89,3,0)*VLOOKUP('Données projet'!$B$13,Paramètres!$A$1:$I$89,5,0)</f>
        <v>370.11530400000083</v>
      </c>
      <c r="CV180" s="13">
        <f t="shared" si="173"/>
        <v>85.690894490175097</v>
      </c>
      <c r="CW180" s="20">
        <f t="shared" si="174"/>
        <v>793.86246237038984</v>
      </c>
      <c r="CX180" s="59">
        <f t="shared" si="122"/>
        <v>1086.202232445218</v>
      </c>
      <c r="CY180" s="59">
        <f ca="1">AVERAGE(OFFSET($CX$3,0,0,'Données projet'!$E$13+1,1))-AVERAGE(OFFSET($H$3,0,0,'Données projet'!$E$13+1,1))</f>
        <v>677.13548994240728</v>
      </c>
      <c r="CZ180" s="59">
        <f t="shared" si="150"/>
        <v>298.72429542440534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128.66000000000003</v>
      </c>
      <c r="DC180" s="16">
        <f>IF(ISNA(VLOOKUP(A180,'Données projet'!$A$139:$I$159,5,0)),0%,VLOOKUP(A180,'Données projet'!$A$139:$I$159,5,0)*VLOOKUP('Données projet'!$B$13,Paramètres!$A$1:$I$89,7,0))</f>
        <v>0.19350000000000001</v>
      </c>
      <c r="DD180" s="16">
        <f>IF(ISNA(VLOOKUP(A180,'Données projet'!$A$139:$I$159,6,0)),0%,VLOOKUP(A180,'Données projet'!$A$139:$I$159,6,0)*VLOOKUP('Données projet'!$B$13,Paramètres!$A$1:$I$89,7,0))</f>
        <v>2.1500000000000002E-2</v>
      </c>
      <c r="DE180" s="16">
        <f>IF(ISNA(VLOOKUP(A180,'Données projet'!$A$139:$I$159,7,0)),0%,VLOOKUP(A180,'Données projet'!$A$139:$I$159,7,0))</f>
        <v>0.05</v>
      </c>
      <c r="DF180" s="21">
        <f>EXP(-LN(2)/35)*DF179+(1-EXP(-LN(2)/35))/(LN(2)/35)*DB180*DC180*VLOOKUP('Données projet'!$B$13,Paramètres!$A$1:$I$89,3,0)*0.475*44/12</f>
        <v>119.87716960515914</v>
      </c>
      <c r="DG180" s="21">
        <f>EXP(-LN(2)/25)*DG179+(1-EXP(-LN(2)/25))/(LN(2)/25)*Calculateur!DB180*Calculateur!DD180*VLOOKUP('Données projet'!$B$13,Paramètres!$A$1:$I$89,3,0)*0.475*44/12</f>
        <v>24.748827566070627</v>
      </c>
      <c r="DH180" s="21">
        <f>EXP(-LN(2)/2)*DH179+(1-EXP(-LN(2)/2))/(LN(2)/2)*DB180*DE180*VLOOKUP('Données projet'!$B$13,Paramètres!$A$1:$I$89,3,0)*0.475*44/12</f>
        <v>9.5852330664990806</v>
      </c>
      <c r="DI180" s="22">
        <f t="shared" si="175"/>
        <v>154.21123023772884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69.729028202225876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1.2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4.3999999999999995</v>
      </c>
      <c r="H181" s="67">
        <f t="shared" si="110"/>
        <v>239.06666666666669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809.81822357200781</v>
      </c>
      <c r="S181" s="59">
        <f ca="1">AVERAGE(OFFSET($R$3,0,0,'Données projet'!$E$9+1,1))-AVERAGE(OFFSET($H$3,0,0,'Données projet'!$E$9+1,1))</f>
        <v>646.69588445509589</v>
      </c>
      <c r="T181" s="59">
        <f t="shared" si="142"/>
        <v>286.36346771084698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3.177547114319168E-13</v>
      </c>
      <c r="AK181" s="13">
        <f t="shared" si="164"/>
        <v>4.1725404435445377E-12</v>
      </c>
      <c r="AL181" s="20">
        <f t="shared" si="165"/>
        <v>7.820597394917325E-12</v>
      </c>
      <c r="AM181" s="59">
        <f t="shared" si="113"/>
        <v>292.35700617609638</v>
      </c>
      <c r="AN181" s="59">
        <f ca="1">AVERAGE(OFFSET($AM$3,0,0,'Données projet'!$E$10+1,1))-AVERAGE(OFFSET($H$3,0,0,'Données projet'!$E$10+1,1))</f>
        <v>391.55758836264408</v>
      </c>
      <c r="AO181" s="59">
        <f t="shared" si="144"/>
        <v>360.80727659978777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27.179830140696744</v>
      </c>
      <c r="AV181" s="21">
        <f>EXP(-LN(2)/25)*AV180+(1-EXP(-LN(2)/25))/(LN(2)/25)*Calculateur!AQ181*Calculateur!AS181*VLOOKUP('Données projet'!$B$10,Paramètres!$A$1:$I$89,3,0)*0.475*44/12</f>
        <v>3.8429998216888808</v>
      </c>
      <c r="AW181" s="21">
        <f>EXP(-LN(2)/2)*AW180+(1-EXP(-LN(2)/2))/(LN(2)/2)*AQ181*AT181*VLOOKUP('Données projet'!$B$10,Paramètres!$A$1:$I$89,3,0)*0.475*44/12</f>
        <v>4.1913985794794722E-15</v>
      </c>
      <c r="AX181" s="21">
        <f t="shared" si="166"/>
        <v>31.022829962385629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5.0249582272954292E-14</v>
      </c>
      <c r="BF181" s="13">
        <f t="shared" si="167"/>
        <v>8.1784820119191593E-13</v>
      </c>
      <c r="BG181" s="20">
        <f t="shared" si="168"/>
        <v>1.5119369728679821E-12</v>
      </c>
      <c r="BH181" s="59">
        <f t="shared" si="116"/>
        <v>292.35700617609007</v>
      </c>
      <c r="BI181" s="59">
        <f ca="1">AVERAGE(OFFSET($BH$3,0,0,'Données projet'!$E$11+1,1))-AVERAGE(OFFSET($H$3,0,0,'Données projet'!$E$11+1,1))</f>
        <v>400.11184625063709</v>
      </c>
      <c r="BJ181" s="59">
        <f t="shared" si="146"/>
        <v>340.02906159605971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29.669963827728324</v>
      </c>
      <c r="BQ181" s="21">
        <f>EXP(-LN(2)/25)*BQ180+(1-EXP(-LN(2)/25))/(LN(2)/25)*Calculateur!BL181*Calculateur!BN181*VLOOKUP('Données projet'!$B$11,Paramètres!$A$1:$I$89,3,0)*0.475*44/12</f>
        <v>4.749705447226459</v>
      </c>
      <c r="BR181" s="21">
        <f>EXP(-LN(2)/2)*BR180+(1-EXP(-LN(2)/2))/(LN(2)/2)*BL181*BO181*VLOOKUP('Données projet'!$B$11,Paramètres!$A$1:$I$89,3,0)*0.475*44/12</f>
        <v>1.3962855968032788E-13</v>
      </c>
      <c r="BS181" s="22">
        <f t="shared" si="169"/>
        <v>34.419669274954927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3.76000000000001</v>
      </c>
      <c r="BY181" s="12">
        <f>IF('Données projet'!$A$114&gt;35,BY180+BX181-CG180,IF(A181&lt;'Données projet'!$A$114,$BV$205^A181,IF(A181='Données projet'!$A$114,'Données projet'!$B$114,BY180+BX181-CG180)))</f>
        <v>264.04000000000082</v>
      </c>
      <c r="BZ181" s="13">
        <f>BY181*VLOOKUP('Données projet'!$B$12,Paramètres!$A$1:$I$89,3,0)*VLOOKUP('Données projet'!$B$12,Paramètres!$A$1:$I$89,5,0)</f>
        <v>177.11803200000057</v>
      </c>
      <c r="CA181" s="13">
        <f t="shared" si="170"/>
        <v>44.680400314041684</v>
      </c>
      <c r="CB181" s="20">
        <f t="shared" si="171"/>
        <v>386.29893628029026</v>
      </c>
      <c r="CC181" s="59">
        <f t="shared" si="119"/>
        <v>678.65594245637885</v>
      </c>
      <c r="CD181" s="59">
        <f ca="1">AVERAGE(OFFSET($CC$3,0,0,'Données projet'!$E$12+1,1))-AVERAGE(OFFSET($H$3,0,0,'Données projet'!$E$12+1,1))</f>
        <v>493.98227954109774</v>
      </c>
      <c r="CE181" s="59">
        <f t="shared" si="148"/>
        <v>224.32736097997289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102.11314632186806</v>
      </c>
      <c r="CL181" s="21">
        <f>EXP(-LN(2)/25)*CL180+(1-EXP(-LN(2)/25))/(LN(2)/25)*Calculateur!CG181*Calculateur!CI181*VLOOKUP('Données projet'!$B$12,Paramètres!$A$1:$I$89,3,0)*0.475*44/12</f>
        <v>20.915076843671873</v>
      </c>
      <c r="CM181" s="21">
        <f>EXP(-LN(2)/2)*CM180+(1-EXP(-LN(2)/2))/(LN(2)/2)*CG181*CJ181*VLOOKUP('Données projet'!$B$12,Paramètres!$A$1:$I$89,3,0)*0.475*44/12</f>
        <v>4.7777816708971486</v>
      </c>
      <c r="CN181" s="22">
        <f t="shared" si="172"/>
        <v>127.80600483643707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3.76000000000001</v>
      </c>
      <c r="CT181" s="12">
        <f>IF('Données projet'!$A$140&gt;35,CT180+CS181-DB180,IF(A181&lt;'Données projet'!$A$140,$CQ$205^A181,IF(A181='Données projet'!$A$140,'Données projet'!$B$140,CT180+CS181-DB180)))</f>
        <v>264.04000000000082</v>
      </c>
      <c r="CU181" s="17">
        <f>CT181*VLOOKUP('Données projet'!$B$13,Paramètres!$A$1:$I$89,3,0)*VLOOKUP('Données projet'!$B$13,Paramètres!$A$1:$I$89,5,0)</f>
        <v>251.26046400000078</v>
      </c>
      <c r="CV181" s="13">
        <f t="shared" si="173"/>
        <v>60.855771194207591</v>
      </c>
      <c r="CW181" s="20">
        <f t="shared" si="174"/>
        <v>543.60244296324618</v>
      </c>
      <c r="CX181" s="59">
        <f t="shared" si="122"/>
        <v>835.95944913933477</v>
      </c>
      <c r="CY181" s="59">
        <f ca="1">AVERAGE(OFFSET($CX$3,0,0,'Données projet'!$E$13+1,1))-AVERAGE(OFFSET($H$3,0,0,'Données projet'!$E$13+1,1))</f>
        <v>677.13548994240728</v>
      </c>
      <c r="CZ181" s="59">
        <f t="shared" si="150"/>
        <v>298.72429542440534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117.52645142705563</v>
      </c>
      <c r="DG181" s="21">
        <f>EXP(-LN(2)/25)*DG180+(1-EXP(-LN(2)/25))/(LN(2)/25)*Calculateur!DB181*Calculateur!DD181*VLOOKUP('Données projet'!$B$13,Paramètres!$A$1:$I$89,3,0)*0.475*44/12</f>
        <v>24.072069574792149</v>
      </c>
      <c r="DH181" s="21">
        <f>EXP(-LN(2)/2)*DH180+(1-EXP(-LN(2)/2))/(LN(2)/2)*DB181*DE181*VLOOKUP('Données projet'!$B$13,Paramètres!$A$1:$I$89,3,0)*0.475*44/12</f>
        <v>6.7777833005750256</v>
      </c>
      <c r="DI181" s="22">
        <f t="shared" si="175"/>
        <v>148.37630430242282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69.733728957115062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1.2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4.3999999999999995</v>
      </c>
      <c r="H182" s="67">
        <f t="shared" si="110"/>
        <v>239.06666666666669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817.03486533301589</v>
      </c>
      <c r="S182" s="59">
        <f ca="1">AVERAGE(OFFSET($R$3,0,0,'Données projet'!$E$9+1,1))-AVERAGE(OFFSET($H$3,0,0,'Données projet'!$E$9+1,1))</f>
        <v>646.69588445509589</v>
      </c>
      <c r="T182" s="59">
        <f t="shared" si="142"/>
        <v>286.36346771084698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3.177547114319168E-13</v>
      </c>
      <c r="AK182" s="13">
        <f t="shared" si="164"/>
        <v>4.1725404435445377E-12</v>
      </c>
      <c r="AL182" s="20">
        <f t="shared" si="165"/>
        <v>7.820597394917325E-12</v>
      </c>
      <c r="AM182" s="59">
        <f t="shared" si="113"/>
        <v>292.3739432695341</v>
      </c>
      <c r="AN182" s="59">
        <f ca="1">AVERAGE(OFFSET($AM$3,0,0,'Données projet'!$E$10+1,1))-AVERAGE(OFFSET($H$3,0,0,'Données projet'!$E$10+1,1))</f>
        <v>391.55758836264408</v>
      </c>
      <c r="AO182" s="59">
        <f t="shared" si="144"/>
        <v>360.80727659978777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26.64685024969712</v>
      </c>
      <c r="AV182" s="21">
        <f>EXP(-LN(2)/25)*AV181+(1-EXP(-LN(2)/25))/(LN(2)/25)*Calculateur!AQ182*Calculateur!AS182*VLOOKUP('Données projet'!$B$10,Paramètres!$A$1:$I$89,3,0)*0.475*44/12</f>
        <v>3.7379127894702209</v>
      </c>
      <c r="AW182" s="21">
        <f>EXP(-LN(2)/2)*AW181+(1-EXP(-LN(2)/2))/(LN(2)/2)*AQ182*AT182*VLOOKUP('Données projet'!$B$10,Paramètres!$A$1:$I$89,3,0)*0.475*44/12</f>
        <v>2.9637663582055973E-15</v>
      </c>
      <c r="AX182" s="21">
        <f t="shared" si="166"/>
        <v>30.384763039167346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5.0249582272954292E-14</v>
      </c>
      <c r="BF182" s="13">
        <f t="shared" si="167"/>
        <v>8.1784820119191593E-13</v>
      </c>
      <c r="BG182" s="20">
        <f t="shared" si="168"/>
        <v>1.5119369728679821E-12</v>
      </c>
      <c r="BH182" s="59">
        <f t="shared" si="116"/>
        <v>292.37394326952779</v>
      </c>
      <c r="BI182" s="59">
        <f ca="1">AVERAGE(OFFSET($BH$3,0,0,'Données projet'!$E$11+1,1))-AVERAGE(OFFSET($H$3,0,0,'Données projet'!$E$11+1,1))</f>
        <v>400.11184625063709</v>
      </c>
      <c r="BJ182" s="59">
        <f t="shared" si="146"/>
        <v>340.02906159605971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29.088153933957589</v>
      </c>
      <c r="BQ182" s="21">
        <f>EXP(-LN(2)/25)*BQ181+(1-EXP(-LN(2)/25))/(LN(2)/25)*Calculateur!BL182*Calculateur!BN182*VLOOKUP('Données projet'!$B$11,Paramètres!$A$1:$I$89,3,0)*0.475*44/12</f>
        <v>4.6198245019958977</v>
      </c>
      <c r="BR182" s="21">
        <f>EXP(-LN(2)/2)*BR181+(1-EXP(-LN(2)/2))/(LN(2)/2)*BL182*BO182*VLOOKUP('Données projet'!$B$11,Paramètres!$A$1:$I$89,3,0)*0.475*44/12</f>
        <v>9.8732301397270398E-14</v>
      </c>
      <c r="BS182" s="22">
        <f t="shared" si="169"/>
        <v>33.707978435953585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3.76000000000001</v>
      </c>
      <c r="BY182" s="12">
        <f>IF('Données projet'!$A$114&gt;35,BY181+BX182-CG181,IF(A182&lt;'Données projet'!$A$114,$BV$205^A182,IF(A182='Données projet'!$A$114,'Données projet'!$B$114,BY181+BX182-CG181)))</f>
        <v>267.80000000000081</v>
      </c>
      <c r="BZ182" s="13">
        <f>BY182*VLOOKUP('Données projet'!$B$12,Paramètres!$A$1:$I$89,3,0)*VLOOKUP('Données projet'!$B$12,Paramètres!$A$1:$I$89,5,0)</f>
        <v>179.64024000000055</v>
      </c>
      <c r="CA182" s="13">
        <f t="shared" si="170"/>
        <v>45.242136877375053</v>
      </c>
      <c r="CB182" s="20">
        <f t="shared" si="171"/>
        <v>391.67013972809582</v>
      </c>
      <c r="CC182" s="59">
        <f t="shared" si="119"/>
        <v>684.04408299762213</v>
      </c>
      <c r="CD182" s="59">
        <f ca="1">AVERAGE(OFFSET($CC$3,0,0,'Données projet'!$E$12+1,1))-AVERAGE(OFFSET($H$3,0,0,'Données projet'!$E$12+1,1))</f>
        <v>493.98227954109774</v>
      </c>
      <c r="CE182" s="59">
        <f t="shared" si="148"/>
        <v>224.32736097997289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100.11076980536556</v>
      </c>
      <c r="CL182" s="21">
        <f>EXP(-LN(2)/25)*CL181+(1-EXP(-LN(2)/25))/(LN(2)/25)*Calculateur!CG182*Calculateur!CI182*VLOOKUP('Données projet'!$B$12,Paramètres!$A$1:$I$89,3,0)*0.475*44/12</f>
        <v>20.343152967505578</v>
      </c>
      <c r="CM182" s="21">
        <f>EXP(-LN(2)/2)*CM181+(1-EXP(-LN(2)/2))/(LN(2)/2)*CG182*CJ182*VLOOKUP('Données projet'!$B$12,Paramètres!$A$1:$I$89,3,0)*0.475*44/12</f>
        <v>3.3784018185201679</v>
      </c>
      <c r="CN182" s="22">
        <f t="shared" si="172"/>
        <v>123.83232459139131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3.76000000000001</v>
      </c>
      <c r="CT182" s="12">
        <f>IF('Données projet'!$A$140&gt;35,CT181+CS182-DB181,IF(A182&lt;'Données projet'!$A$140,$CQ$205^A182,IF(A182='Données projet'!$A$140,'Données projet'!$B$140,CT181+CS182-DB181)))</f>
        <v>267.80000000000081</v>
      </c>
      <c r="CU182" s="17">
        <f>CT182*VLOOKUP('Données projet'!$B$13,Paramètres!$A$1:$I$89,3,0)*VLOOKUP('Données projet'!$B$13,Paramètres!$A$1:$I$89,5,0)</f>
        <v>254.83848000000077</v>
      </c>
      <c r="CV182" s="13">
        <f t="shared" si="173"/>
        <v>61.620869795145929</v>
      </c>
      <c r="CW182" s="20">
        <f t="shared" si="174"/>
        <v>551.16670089321383</v>
      </c>
      <c r="CX182" s="59">
        <f t="shared" si="122"/>
        <v>843.54064416274014</v>
      </c>
      <c r="CY182" s="59">
        <f ca="1">AVERAGE(OFFSET($CX$3,0,0,'Données projet'!$E$13+1,1))-AVERAGE(OFFSET($H$3,0,0,'Données projet'!$E$13+1,1))</f>
        <v>677.13548994240728</v>
      </c>
      <c r="CZ182" s="59">
        <f t="shared" si="150"/>
        <v>298.72429542440534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115.22182939862823</v>
      </c>
      <c r="DG182" s="21">
        <f>EXP(-LN(2)/25)*DG181+(1-EXP(-LN(2)/25))/(LN(2)/25)*Calculateur!DB182*Calculateur!DD182*VLOOKUP('Données projet'!$B$13,Paramètres!$A$1:$I$89,3,0)*0.475*44/12</f>
        <v>23.413817566374338</v>
      </c>
      <c r="DH182" s="21">
        <f>EXP(-LN(2)/2)*DH181+(1-EXP(-LN(2)/2))/(LN(2)/2)*DB182*DE182*VLOOKUP('Données projet'!$B$13,Paramètres!$A$1:$I$89,3,0)*0.475*44/12</f>
        <v>4.7926165332495412</v>
      </c>
      <c r="DI182" s="22">
        <f t="shared" si="175"/>
        <v>143.42826349825211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69.738348164416252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1.2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4.3999999999999995</v>
      </c>
      <c r="H183" s="67">
        <f t="shared" si="110"/>
        <v>239.06666666666669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824.24913204135498</v>
      </c>
      <c r="S183" s="59">
        <f ca="1">AVERAGE(OFFSET($R$3,0,0,'Données projet'!$E$9+1,1))-AVERAGE(OFFSET($H$3,0,0,'Données projet'!$E$9+1,1))</f>
        <v>646.69588445509589</v>
      </c>
      <c r="T183" s="59">
        <f t="shared" si="142"/>
        <v>286.36346771084698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3.177547114319168E-13</v>
      </c>
      <c r="AK183" s="13">
        <f t="shared" si="164"/>
        <v>4.1725404435445377E-12</v>
      </c>
      <c r="AL183" s="20">
        <f t="shared" si="165"/>
        <v>7.820597394917325E-12</v>
      </c>
      <c r="AM183" s="59">
        <f t="shared" si="113"/>
        <v>292.39058654226631</v>
      </c>
      <c r="AN183" s="59">
        <f ca="1">AVERAGE(OFFSET($AM$3,0,0,'Données projet'!$E$10+1,1))-AVERAGE(OFFSET($H$3,0,0,'Données projet'!$E$10+1,1))</f>
        <v>391.55758836264408</v>
      </c>
      <c r="AO183" s="59">
        <f t="shared" si="144"/>
        <v>360.80727659978777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26.124321769274363</v>
      </c>
      <c r="AV183" s="21">
        <f>EXP(-LN(2)/25)*AV182+(1-EXP(-LN(2)/25))/(LN(2)/25)*Calculateur!AQ183*Calculateur!AS183*VLOOKUP('Données projet'!$B$10,Paramètres!$A$1:$I$89,3,0)*0.475*44/12</f>
        <v>3.6356993676738671</v>
      </c>
      <c r="AW183" s="21">
        <f>EXP(-LN(2)/2)*AW182+(1-EXP(-LN(2)/2))/(LN(2)/2)*AQ183*AT183*VLOOKUP('Données projet'!$B$10,Paramètres!$A$1:$I$89,3,0)*0.475*44/12</f>
        <v>2.0956992897397361E-15</v>
      </c>
      <c r="AX183" s="21">
        <f t="shared" si="166"/>
        <v>29.760021136948236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5.0249582272954292E-14</v>
      </c>
      <c r="BF183" s="13">
        <f t="shared" si="167"/>
        <v>8.1784820119191593E-13</v>
      </c>
      <c r="BG183" s="20">
        <f t="shared" si="168"/>
        <v>1.5119369728679821E-12</v>
      </c>
      <c r="BH183" s="59">
        <f t="shared" si="116"/>
        <v>292.39058654226</v>
      </c>
      <c r="BI183" s="59">
        <f ca="1">AVERAGE(OFFSET($BH$3,0,0,'Données projet'!$E$11+1,1))-AVERAGE(OFFSET($H$3,0,0,'Données projet'!$E$11+1,1))</f>
        <v>400.11184625063709</v>
      </c>
      <c r="BJ183" s="59">
        <f t="shared" si="146"/>
        <v>340.02906159605971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28.517752977334702</v>
      </c>
      <c r="BQ183" s="21">
        <f>EXP(-LN(2)/25)*BQ182+(1-EXP(-LN(2)/25))/(LN(2)/25)*Calculateur!BL183*Calculateur!BN183*VLOOKUP('Données projet'!$B$11,Paramètres!$A$1:$I$89,3,0)*0.475*44/12</f>
        <v>4.4934951580428084</v>
      </c>
      <c r="BR183" s="21">
        <f>EXP(-LN(2)/2)*BR182+(1-EXP(-LN(2)/2))/(LN(2)/2)*BL183*BO183*VLOOKUP('Données projet'!$B$11,Paramètres!$A$1:$I$89,3,0)*0.475*44/12</f>
        <v>6.9814279840163938E-14</v>
      </c>
      <c r="BS183" s="22">
        <f t="shared" si="169"/>
        <v>33.011248135377585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3.76000000000001</v>
      </c>
      <c r="BX183" s="12">
        <f t="array" ref="BX183">INDEX(BW:BW,MIN(IF(ISNUMBER(BW183:BW379),ROW(BW183:BW379),"")))</f>
        <v>3.76000000000001</v>
      </c>
      <c r="BY183" s="12">
        <f>IF('Données projet'!$A$114&gt;35,BY182+BX183-CG182,IF(A183&lt;'Données projet'!$A$114,$BV$205^A183,IF(A183='Données projet'!$A$114,'Données projet'!$B$114,BY182+BX183-CG182)))</f>
        <v>271.5600000000008</v>
      </c>
      <c r="BZ183" s="13">
        <f>BY183*VLOOKUP('Données projet'!$B$12,Paramètres!$A$1:$I$89,3,0)*VLOOKUP('Données projet'!$B$12,Paramètres!$A$1:$I$89,5,0)</f>
        <v>182.16244800000052</v>
      </c>
      <c r="CA183" s="13">
        <f t="shared" si="170"/>
        <v>45.802956115772467</v>
      </c>
      <c r="CB183" s="20">
        <f t="shared" si="171"/>
        <v>397.03974550163798</v>
      </c>
      <c r="CC183" s="59">
        <f t="shared" si="119"/>
        <v>689.43033204389644</v>
      </c>
      <c r="CD183" s="59">
        <f ca="1">AVERAGE(OFFSET($CC$3,0,0,'Données projet'!$E$12+1,1))-AVERAGE(OFFSET($H$3,0,0,'Données projet'!$E$12+1,1))</f>
        <v>493.98227954109774</v>
      </c>
      <c r="CE183" s="59">
        <f t="shared" si="148"/>
        <v>224.32736097997289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86.97</v>
      </c>
      <c r="CH183" s="16">
        <f>IF(ISNA(VLOOKUP(A183,'Données projet'!$A$113:$I$133,5,0)),0%,VLOOKUP(A183,'Données projet'!$A$113:$I$133,5,0)*VLOOKUP('Données projet'!$B$12,Paramètres!$A$1:$I$89,7,0))</f>
        <v>0.23850000000000002</v>
      </c>
      <c r="CI183" s="16">
        <f>IF(ISNA(VLOOKUP(A183,'Données projet'!$A$113:$I$133,6,0)),0%,VLOOKUP(A183,'Données projet'!$A$113:$I$133,6,0)*VLOOKUP('Données projet'!$B$12,Paramètres!$A$1:$I$89,7,0))</f>
        <v>2.6500000000000003E-2</v>
      </c>
      <c r="CJ183" s="16">
        <f>IF(ISNA(VLOOKUP(A183,'Données projet'!$A$113:$I$133,7,0)),0%,VLOOKUP(A183,'Données projet'!$A$113:$I$133,7,0))</f>
        <v>0.05</v>
      </c>
      <c r="CK183" s="21">
        <f>EXP(-LN(2)/35)*CK182+(1-EXP(-LN(2)/35))/(LN(2)/35)*CG183*CH183*VLOOKUP('Données projet'!$B$12,Paramètres!$A$1:$I$89,3,0)*0.475*44/12</f>
        <v>113.52913486912301</v>
      </c>
      <c r="CL183" s="21">
        <f>EXP(-LN(2)/25)*CL182+(1-EXP(-LN(2)/25))/(LN(2)/25)*Calculateur!CG183*Calculateur!CI183*VLOOKUP('Données projet'!$B$12,Paramètres!$A$1:$I$89,3,0)*0.475*44/12</f>
        <v>21.489192098198838</v>
      </c>
      <c r="CM183" s="21">
        <f>EXP(-LN(2)/2)*CM182+(1-EXP(-LN(2)/2))/(LN(2)/2)*CG183*CJ183*VLOOKUP('Données projet'!$B$12,Paramètres!$A$1:$I$89,3,0)*0.475*44/12</f>
        <v>5.1411341249473299</v>
      </c>
      <c r="CN183" s="22">
        <f t="shared" si="172"/>
        <v>140.1594610922692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3.76000000000001</v>
      </c>
      <c r="CS183" s="12">
        <f t="array" ref="CS183">INDEX(CR:CR,MIN(IF(ISNUMBER(CR183:CR379),ROW(CR183:CR379),"")))</f>
        <v>3.76000000000001</v>
      </c>
      <c r="CT183" s="12">
        <f>IF('Données projet'!$A$140&gt;35,CT182+CS183-DB182,IF(A183&lt;'Données projet'!$A$140,$CQ$205^A183,IF(A183='Données projet'!$A$140,'Données projet'!$B$140,CT182+CS183-DB182)))</f>
        <v>271.5600000000008</v>
      </c>
      <c r="CU183" s="17">
        <f>CT183*VLOOKUP('Données projet'!$B$13,Paramètres!$A$1:$I$89,3,0)*VLOOKUP('Données projet'!$B$13,Paramètres!$A$1:$I$89,5,0)</f>
        <v>258.41649600000079</v>
      </c>
      <c r="CV183" s="13">
        <f t="shared" si="173"/>
        <v>62.384718977636233</v>
      </c>
      <c r="CW183" s="20">
        <f t="shared" si="174"/>
        <v>558.72878275271785</v>
      </c>
      <c r="CX183" s="59">
        <f t="shared" si="122"/>
        <v>851.11936929497631</v>
      </c>
      <c r="CY183" s="59">
        <f ca="1">AVERAGE(OFFSET($CX$3,0,0,'Données projet'!$E$13+1,1))-AVERAGE(OFFSET($H$3,0,0,'Données projet'!$E$13+1,1))</f>
        <v>677.13548994240728</v>
      </c>
      <c r="CZ183" s="59">
        <f t="shared" si="150"/>
        <v>298.72429542440534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86.97</v>
      </c>
      <c r="DC183" s="16">
        <f>IF(ISNA(VLOOKUP(A183,'Données projet'!$A$139:$I$159,5,0)),0%,VLOOKUP(A183,'Données projet'!$A$139:$I$159,5,0)*VLOOKUP('Données projet'!$B$13,Paramètres!$A$1:$I$89,7,0))</f>
        <v>0.19350000000000001</v>
      </c>
      <c r="DD183" s="16">
        <f>IF(ISNA(VLOOKUP(A183,'Données projet'!$A$139:$I$159,6,0)),0%,VLOOKUP(A183,'Données projet'!$A$139:$I$159,6,0)*VLOOKUP('Données projet'!$B$13,Paramètres!$A$1:$I$89,7,0))</f>
        <v>2.1500000000000002E-2</v>
      </c>
      <c r="DE183" s="16">
        <f>IF(ISNA(VLOOKUP(A183,'Données projet'!$A$139:$I$159,7,0)),0%,VLOOKUP(A183,'Données projet'!$A$139:$I$159,7,0))</f>
        <v>0.05</v>
      </c>
      <c r="DF183" s="21">
        <f>EXP(-LN(2)/35)*DF182+(1-EXP(-LN(2)/35))/(LN(2)/35)*DB183*DC183*VLOOKUP('Données projet'!$B$13,Paramètres!$A$1:$I$89,3,0)*0.475*44/12</f>
        <v>130.66560805691512</v>
      </c>
      <c r="DG183" s="21">
        <f>EXP(-LN(2)/25)*DG182+(1-EXP(-LN(2)/25))/(LN(2)/25)*Calculateur!DB183*Calculateur!DD183*VLOOKUP('Données projet'!$B$13,Paramètres!$A$1:$I$89,3,0)*0.475*44/12</f>
        <v>24.732843735662808</v>
      </c>
      <c r="DH183" s="21">
        <f>EXP(-LN(2)/2)*DH182+(1-EXP(-LN(2)/2))/(LN(2)/2)*DB183*DE183*VLOOKUP('Données projet'!$B$13,Paramètres!$A$1:$I$89,3,0)*0.475*44/12</f>
        <v>7.2932367819020261</v>
      </c>
      <c r="DI183" s="22">
        <f t="shared" si="175"/>
        <v>162.69168857447997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69.742887238797763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1.2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4.3999999999999995</v>
      </c>
      <c r="H184" s="67">
        <f t="shared" si="110"/>
        <v>239.06666666666669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661.60308533474984</v>
      </c>
      <c r="S184" s="59">
        <f ca="1">AVERAGE(OFFSET($R$3,0,0,'Données projet'!$E$9+1,1))-AVERAGE(OFFSET($H$3,0,0,'Données projet'!$E$9+1,1))</f>
        <v>646.69588445509589</v>
      </c>
      <c r="T184" s="59">
        <f t="shared" si="142"/>
        <v>286.36346771084698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3.177547114319168E-13</v>
      </c>
      <c r="AK184" s="13">
        <f t="shared" si="164"/>
        <v>4.1725404435445377E-12</v>
      </c>
      <c r="AL184" s="20">
        <f t="shared" si="165"/>
        <v>7.820597394917325E-12</v>
      </c>
      <c r="AM184" s="59">
        <f t="shared" si="113"/>
        <v>292.40694109142538</v>
      </c>
      <c r="AN184" s="59">
        <f ca="1">AVERAGE(OFFSET($AM$3,0,0,'Données projet'!$E$10+1,1))-AVERAGE(OFFSET($H$3,0,0,'Données projet'!$E$10+1,1))</f>
        <v>391.55758836264408</v>
      </c>
      <c r="AO184" s="59">
        <f t="shared" si="144"/>
        <v>360.80727659978777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25.612039753641795</v>
      </c>
      <c r="AV184" s="21">
        <f>EXP(-LN(2)/25)*AV183+(1-EXP(-LN(2)/25))/(LN(2)/25)*Calculateur!AQ184*Calculateur!AS184*VLOOKUP('Données projet'!$B$10,Paramètres!$A$1:$I$89,3,0)*0.475*44/12</f>
        <v>3.536280977271705</v>
      </c>
      <c r="AW184" s="21">
        <f>EXP(-LN(2)/2)*AW183+(1-EXP(-LN(2)/2))/(LN(2)/2)*AQ184*AT184*VLOOKUP('Données projet'!$B$10,Paramètres!$A$1:$I$89,3,0)*0.475*44/12</f>
        <v>1.4818831791027987E-15</v>
      </c>
      <c r="AX184" s="21">
        <f t="shared" si="166"/>
        <v>29.1483207309135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5.0249582272954292E-14</v>
      </c>
      <c r="BF184" s="13">
        <f t="shared" si="167"/>
        <v>8.1784820119191593E-13</v>
      </c>
      <c r="BG184" s="20">
        <f t="shared" si="168"/>
        <v>1.5119369728679821E-12</v>
      </c>
      <c r="BH184" s="59">
        <f t="shared" si="116"/>
        <v>292.40694109141907</v>
      </c>
      <c r="BI184" s="59">
        <f ca="1">AVERAGE(OFFSET($BH$3,0,0,'Données projet'!$E$11+1,1))-AVERAGE(OFFSET($H$3,0,0,'Données projet'!$E$11+1,1))</f>
        <v>400.11184625063709</v>
      </c>
      <c r="BJ184" s="59">
        <f t="shared" si="146"/>
        <v>340.02906159605971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27.958537235560957</v>
      </c>
      <c r="BQ184" s="21">
        <f>EXP(-LN(2)/25)*BQ183+(1-EXP(-LN(2)/25))/(LN(2)/25)*Calculateur!BL184*Calculateur!BN184*VLOOKUP('Données projet'!$B$11,Paramètres!$A$1:$I$89,3,0)*0.475*44/12</f>
        <v>4.3706202966434873</v>
      </c>
      <c r="BR184" s="21">
        <f>EXP(-LN(2)/2)*BR183+(1-EXP(-LN(2)/2))/(LN(2)/2)*BL184*BO184*VLOOKUP('Données projet'!$B$11,Paramètres!$A$1:$I$89,3,0)*0.475*44/12</f>
        <v>4.9366150698635199E-14</v>
      </c>
      <c r="BS184" s="22">
        <f t="shared" si="169"/>
        <v>32.329157532204498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2.2933333333333317</v>
      </c>
      <c r="BY184" s="12">
        <f>IF('Données projet'!$A$114&gt;35,BY183+BX184-CG183,IF(A184&lt;'Données projet'!$A$114,$BV$205^A184,IF(A184='Données projet'!$A$114,'Données projet'!$B$114,BY183+BX184-CG183)))</f>
        <v>186.88333333333415</v>
      </c>
      <c r="BZ184" s="13">
        <f>BY184*VLOOKUP('Données projet'!$B$12,Paramètres!$A$1:$I$89,3,0)*VLOOKUP('Données projet'!$B$12,Paramètres!$A$1:$I$89,5,0)</f>
        <v>125.36134000000055</v>
      </c>
      <c r="CA184" s="13">
        <f t="shared" si="170"/>
        <v>32.922245153600208</v>
      </c>
      <c r="CB184" s="20">
        <f t="shared" si="171"/>
        <v>275.67724414252132</v>
      </c>
      <c r="CC184" s="59">
        <f t="shared" si="119"/>
        <v>568.0841852339388</v>
      </c>
      <c r="CD184" s="59">
        <f ca="1">AVERAGE(OFFSET($CC$3,0,0,'Données projet'!$E$12+1,1))-AVERAGE(OFFSET($H$3,0,0,'Données projet'!$E$12+1,1))</f>
        <v>493.98227954109774</v>
      </c>
      <c r="CE184" s="59">
        <f t="shared" si="148"/>
        <v>224.32736097997289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111.30289778027431</v>
      </c>
      <c r="CL184" s="21">
        <f>EXP(-LN(2)/25)*CL183+(1-EXP(-LN(2)/25))/(LN(2)/25)*Calculateur!CG184*Calculateur!CI184*VLOOKUP('Données projet'!$B$12,Paramètres!$A$1:$I$89,3,0)*0.475*44/12</f>
        <v>20.901569010206092</v>
      </c>
      <c r="CM184" s="21">
        <f>EXP(-LN(2)/2)*CM183+(1-EXP(-LN(2)/2))/(LN(2)/2)*CG184*CJ184*VLOOKUP('Données projet'!$B$12,Paramètres!$A$1:$I$89,3,0)*0.475*44/12</f>
        <v>3.6353308027398241</v>
      </c>
      <c r="CN184" s="22">
        <f t="shared" si="172"/>
        <v>135.83979759322023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2.2933333333333317</v>
      </c>
      <c r="CT184" s="12">
        <f>IF('Données projet'!$A$140&gt;35,CT183+CS184-DB183,IF(A184&lt;'Données projet'!$A$140,$CQ$205^A184,IF(A184='Données projet'!$A$140,'Données projet'!$B$140,CT183+CS184-DB183)))</f>
        <v>186.88333333333415</v>
      </c>
      <c r="CU184" s="17">
        <f>CT184*VLOOKUP('Données projet'!$B$13,Paramètres!$A$1:$I$89,3,0)*VLOOKUP('Données projet'!$B$13,Paramètres!$A$1:$I$89,5,0)</f>
        <v>177.83818000000079</v>
      </c>
      <c r="CV184" s="13">
        <f t="shared" si="173"/>
        <v>44.840883344491083</v>
      </c>
      <c r="CW184" s="20">
        <f t="shared" si="174"/>
        <v>387.83270199165668</v>
      </c>
      <c r="CX184" s="59">
        <f t="shared" si="122"/>
        <v>680.23964308307427</v>
      </c>
      <c r="CY184" s="59">
        <f ca="1">AVERAGE(OFFSET($CX$3,0,0,'Données projet'!$E$13+1,1))-AVERAGE(OFFSET($H$3,0,0,'Données projet'!$E$13+1,1))</f>
        <v>677.13548994240728</v>
      </c>
      <c r="CZ184" s="59">
        <f t="shared" si="150"/>
        <v>298.72429542440534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128.10333518107038</v>
      </c>
      <c r="DG184" s="21">
        <f>EXP(-LN(2)/25)*DG183+(1-EXP(-LN(2)/25))/(LN(2)/25)*Calculateur!DB184*Calculateur!DD184*VLOOKUP('Données projet'!$B$13,Paramètres!$A$1:$I$89,3,0)*0.475*44/12</f>
        <v>24.056522823067382</v>
      </c>
      <c r="DH184" s="21">
        <f>EXP(-LN(2)/2)*DH183+(1-EXP(-LN(2)/2))/(LN(2)/2)*DB184*DE184*VLOOKUP('Données projet'!$B$13,Paramètres!$A$1:$I$89,3,0)*0.475*44/12</f>
        <v>5.1570971852820762</v>
      </c>
      <c r="DI184" s="22">
        <f t="shared" si="175"/>
        <v>157.31695518941984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69.747347570386594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1.2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4.3999999999999995</v>
      </c>
      <c r="H185" s="67">
        <f t="shared" si="110"/>
        <v>239.06666666666669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666.04246689047841</v>
      </c>
      <c r="S185" s="59">
        <f ca="1">AVERAGE(OFFSET($R$3,0,0,'Données projet'!$E$9+1,1))-AVERAGE(OFFSET($H$3,0,0,'Données projet'!$E$9+1,1))</f>
        <v>646.69588445509589</v>
      </c>
      <c r="T185" s="59">
        <f t="shared" si="142"/>
        <v>286.36346771084698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3.177547114319168E-13</v>
      </c>
      <c r="AK185" s="13">
        <f t="shared" si="164"/>
        <v>4.1725404435445377E-12</v>
      </c>
      <c r="AL185" s="20">
        <f t="shared" si="165"/>
        <v>7.820597394917325E-12</v>
      </c>
      <c r="AM185" s="59">
        <f t="shared" si="113"/>
        <v>292.42301192571983</v>
      </c>
      <c r="AN185" s="59">
        <f ca="1">AVERAGE(OFFSET($AM$3,0,0,'Données projet'!$E$10+1,1))-AVERAGE(OFFSET($H$3,0,0,'Données projet'!$E$10+1,1))</f>
        <v>391.55758836264408</v>
      </c>
      <c r="AO185" s="59">
        <f t="shared" si="144"/>
        <v>360.80727659978777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25.109803275874604</v>
      </c>
      <c r="AV185" s="21">
        <f>EXP(-LN(2)/25)*AV184+(1-EXP(-LN(2)/25))/(LN(2)/25)*Calculateur!AQ185*Calculateur!AS185*VLOOKUP('Données projet'!$B$10,Paramètres!$A$1:$I$89,3,0)*0.475*44/12</f>
        <v>3.4395811879832761</v>
      </c>
      <c r="AW185" s="21">
        <f>EXP(-LN(2)/2)*AW184+(1-EXP(-LN(2)/2))/(LN(2)/2)*AQ185*AT185*VLOOKUP('Données projet'!$B$10,Paramètres!$A$1:$I$89,3,0)*0.475*44/12</f>
        <v>1.047849644869868E-15</v>
      </c>
      <c r="AX185" s="21">
        <f t="shared" si="166"/>
        <v>28.54938446385788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5.0249582272954292E-14</v>
      </c>
      <c r="BF185" s="13">
        <f t="shared" si="167"/>
        <v>8.1784820119191593E-13</v>
      </c>
      <c r="BG185" s="20">
        <f t="shared" si="168"/>
        <v>1.5119369728679821E-12</v>
      </c>
      <c r="BH185" s="59">
        <f t="shared" si="116"/>
        <v>292.42301192571352</v>
      </c>
      <c r="BI185" s="59">
        <f ca="1">AVERAGE(OFFSET($BH$3,0,0,'Données projet'!$E$11+1,1))-AVERAGE(OFFSET($H$3,0,0,'Données projet'!$E$11+1,1))</f>
        <v>400.11184625063709</v>
      </c>
      <c r="BJ185" s="59">
        <f t="shared" si="146"/>
        <v>340.02906159605971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27.410287373395473</v>
      </c>
      <c r="BQ185" s="21">
        <f>EXP(-LN(2)/25)*BQ184+(1-EXP(-LN(2)/25))/(LN(2)/25)*Calculateur!BL185*Calculateur!BN185*VLOOKUP('Données projet'!$B$11,Paramètres!$A$1:$I$89,3,0)*0.475*44/12</f>
        <v>4.2511054547908387</v>
      </c>
      <c r="BR185" s="21">
        <f>EXP(-LN(2)/2)*BR184+(1-EXP(-LN(2)/2))/(LN(2)/2)*BL185*BO185*VLOOKUP('Données projet'!$B$11,Paramètres!$A$1:$I$89,3,0)*0.475*44/12</f>
        <v>3.4907139920081969E-14</v>
      </c>
      <c r="BS185" s="22">
        <f t="shared" si="169"/>
        <v>31.661392828186347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2.2933333333333317</v>
      </c>
      <c r="BY185" s="12">
        <f>IF('Données projet'!$A$114&gt;35,BY184+BX185-CG184,IF(A185&lt;'Données projet'!$A$114,$BV$205^A185,IF(A185='Données projet'!$A$114,'Données projet'!$B$114,BY184+BX185-CG184)))</f>
        <v>189.17666666666747</v>
      </c>
      <c r="BZ185" s="13">
        <f>BY185*VLOOKUP('Données projet'!$B$12,Paramètres!$A$1:$I$89,3,0)*VLOOKUP('Données projet'!$B$12,Paramètres!$A$1:$I$89,5,0)</f>
        <v>126.89970800000054</v>
      </c>
      <c r="CA185" s="13">
        <f t="shared" si="170"/>
        <v>33.278969612650855</v>
      </c>
      <c r="CB185" s="20">
        <f t="shared" si="171"/>
        <v>278.97786350870115</v>
      </c>
      <c r="CC185" s="59">
        <f t="shared" si="119"/>
        <v>571.40087543441314</v>
      </c>
      <c r="CD185" s="59">
        <f ca="1">AVERAGE(OFFSET($CC$3,0,0,'Données projet'!$E$12+1,1))-AVERAGE(OFFSET($H$3,0,0,'Données projet'!$E$12+1,1))</f>
        <v>493.98227954109774</v>
      </c>
      <c r="CE185" s="59">
        <f t="shared" si="148"/>
        <v>224.32736097997289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109.12031584286738</v>
      </c>
      <c r="CL185" s="21">
        <f>EXP(-LN(2)/25)*CL184+(1-EXP(-LN(2)/25))/(LN(2)/25)*Calculateur!CG185*Calculateur!CI185*VLOOKUP('Données projet'!$B$12,Paramètres!$A$1:$I$89,3,0)*0.475*44/12</f>
        <v>20.330014506456262</v>
      </c>
      <c r="CM185" s="21">
        <f>EXP(-LN(2)/2)*CM184+(1-EXP(-LN(2)/2))/(LN(2)/2)*CG185*CJ185*VLOOKUP('Données projet'!$B$12,Paramètres!$A$1:$I$89,3,0)*0.475*44/12</f>
        <v>2.570567062473665</v>
      </c>
      <c r="CN185" s="22">
        <f t="shared" si="172"/>
        <v>132.02089741179731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2.2933333333333317</v>
      </c>
      <c r="CT185" s="12">
        <f>IF('Données projet'!$A$140&gt;35,CT184+CS185-DB184,IF(A185&lt;'Données projet'!$A$140,$CQ$205^A185,IF(A185='Données projet'!$A$140,'Données projet'!$B$140,CT184+CS185-DB184)))</f>
        <v>189.17666666666747</v>
      </c>
      <c r="CU185" s="17">
        <f>CT185*VLOOKUP('Données projet'!$B$13,Paramètres!$A$1:$I$89,3,0)*VLOOKUP('Données projet'!$B$13,Paramètres!$A$1:$I$89,5,0)</f>
        <v>180.02051600000075</v>
      </c>
      <c r="CV185" s="13">
        <f t="shared" si="173"/>
        <v>45.326750568302394</v>
      </c>
      <c r="CW185" s="20">
        <f t="shared" si="174"/>
        <v>392.47982260646131</v>
      </c>
      <c r="CX185" s="59">
        <f t="shared" si="122"/>
        <v>684.9028345321733</v>
      </c>
      <c r="CY185" s="59">
        <f ca="1">AVERAGE(OFFSET($CX$3,0,0,'Données projet'!$E$13+1,1))-AVERAGE(OFFSET($H$3,0,0,'Données projet'!$E$13+1,1))</f>
        <v>677.13548994240728</v>
      </c>
      <c r="CZ185" s="59">
        <f t="shared" si="150"/>
        <v>298.72429542440534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125.59130691348882</v>
      </c>
      <c r="DG185" s="21">
        <f>EXP(-LN(2)/25)*DG184+(1-EXP(-LN(2)/25))/(LN(2)/25)*Calculateur!DB185*Calculateur!DD185*VLOOKUP('Données projet'!$B$13,Paramètres!$A$1:$I$89,3,0)*0.475*44/12</f>
        <v>23.398695941393051</v>
      </c>
      <c r="DH185" s="21">
        <f>EXP(-LN(2)/2)*DH184+(1-EXP(-LN(2)/2))/(LN(2)/2)*DB185*DE185*VLOOKUP('Données projet'!$B$13,Paramètres!$A$1:$I$89,3,0)*0.475*44/12</f>
        <v>3.6466183909510135</v>
      </c>
      <c r="DI185" s="22">
        <f t="shared" si="175"/>
        <v>152.63662124583288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69.751730525194176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1.2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4.3999999999999995</v>
      </c>
      <c r="H186" s="67">
        <f t="shared" si="110"/>
        <v>239.06666666666669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670.48042838515357</v>
      </c>
      <c r="S186" s="59">
        <f ca="1">AVERAGE(OFFSET($R$3,0,0,'Données projet'!$E$9+1,1))-AVERAGE(OFFSET($H$3,0,0,'Données projet'!$E$9+1,1))</f>
        <v>646.69588445509589</v>
      </c>
      <c r="T186" s="59">
        <f t="shared" si="142"/>
        <v>286.36346771084698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3.177547114319168E-13</v>
      </c>
      <c r="AK186" s="13">
        <f t="shared" si="164"/>
        <v>4.1725404435445377E-12</v>
      </c>
      <c r="AL186" s="20">
        <f t="shared" si="165"/>
        <v>7.820597394917325E-12</v>
      </c>
      <c r="AM186" s="59">
        <f t="shared" si="113"/>
        <v>292.43880396696829</v>
      </c>
      <c r="AN186" s="59">
        <f ca="1">AVERAGE(OFFSET($AM$3,0,0,'Données projet'!$E$10+1,1))-AVERAGE(OFFSET($H$3,0,0,'Données projet'!$E$10+1,1))</f>
        <v>391.55758836264408</v>
      </c>
      <c r="AO186" s="59">
        <f t="shared" si="144"/>
        <v>360.80727659978777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24.617415349102426</v>
      </c>
      <c r="AV186" s="21">
        <f>EXP(-LN(2)/25)*AV185+(1-EXP(-LN(2)/25))/(LN(2)/25)*Calculateur!AQ186*Calculateur!AS186*VLOOKUP('Données projet'!$B$10,Paramètres!$A$1:$I$89,3,0)*0.475*44/12</f>
        <v>3.3455256595181599</v>
      </c>
      <c r="AW186" s="21">
        <f>EXP(-LN(2)/2)*AW185+(1-EXP(-LN(2)/2))/(LN(2)/2)*AQ186*AT186*VLOOKUP('Données projet'!$B$10,Paramètres!$A$1:$I$89,3,0)*0.475*44/12</f>
        <v>7.4094158955139933E-16</v>
      </c>
      <c r="AX186" s="21">
        <f t="shared" si="166"/>
        <v>27.962941008620586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5.0249582272954292E-14</v>
      </c>
      <c r="BF186" s="13">
        <f t="shared" si="167"/>
        <v>8.1784820119191593E-13</v>
      </c>
      <c r="BG186" s="20">
        <f t="shared" si="168"/>
        <v>1.5119369728679821E-12</v>
      </c>
      <c r="BH186" s="59">
        <f t="shared" si="116"/>
        <v>292.43880396696198</v>
      </c>
      <c r="BI186" s="59">
        <f ca="1">AVERAGE(OFFSET($BH$3,0,0,'Données projet'!$E$11+1,1))-AVERAGE(OFFSET($H$3,0,0,'Données projet'!$E$11+1,1))</f>
        <v>400.11184625063709</v>
      </c>
      <c r="BJ186" s="59">
        <f t="shared" si="146"/>
        <v>340.02906159605971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26.872788356627659</v>
      </c>
      <c r="BQ186" s="21">
        <f>EXP(-LN(2)/25)*BQ185+(1-EXP(-LN(2)/25))/(LN(2)/25)*Calculateur!BL186*Calculateur!BN186*VLOOKUP('Données projet'!$B$11,Paramètres!$A$1:$I$89,3,0)*0.475*44/12</f>
        <v>4.1348587525736633</v>
      </c>
      <c r="BR186" s="21">
        <f>EXP(-LN(2)/2)*BR185+(1-EXP(-LN(2)/2))/(LN(2)/2)*BL186*BO186*VLOOKUP('Données projet'!$B$11,Paramètres!$A$1:$I$89,3,0)*0.475*44/12</f>
        <v>2.4683075349317599E-14</v>
      </c>
      <c r="BS186" s="22">
        <f t="shared" si="169"/>
        <v>31.007647109201347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2.2933333333333317</v>
      </c>
      <c r="BX186" s="12">
        <f t="array" ref="BX186">INDEX(BW:BW,MIN(IF(ISNUMBER(BW186:BW382),ROW(BW186:BW382),"")))</f>
        <v>2.2933333333333317</v>
      </c>
      <c r="BY186" s="12">
        <f>IF('Données projet'!$A$114&gt;35,BY185+BX186-CG185,IF(A186&lt;'Données projet'!$A$114,$BV$205^A186,IF(A186='Données projet'!$A$114,'Données projet'!$B$114,BY185+BX186-CG185)))</f>
        <v>191.47000000000079</v>
      </c>
      <c r="BZ186" s="13">
        <f>BY186*VLOOKUP('Données projet'!$B$12,Paramètres!$A$1:$I$89,3,0)*VLOOKUP('Données projet'!$B$12,Paramètres!$A$1:$I$89,5,0)</f>
        <v>128.43807600000054</v>
      </c>
      <c r="CA186" s="13">
        <f t="shared" si="170"/>
        <v>33.635191045791593</v>
      </c>
      <c r="CB186" s="20">
        <f t="shared" si="171"/>
        <v>282.27760677142129</v>
      </c>
      <c r="CC186" s="59">
        <f t="shared" si="119"/>
        <v>574.71641073838168</v>
      </c>
      <c r="CD186" s="59">
        <f ca="1">AVERAGE(OFFSET($CC$3,0,0,'Données projet'!$E$12+1,1))-AVERAGE(OFFSET($H$3,0,0,'Données projet'!$E$12+1,1))</f>
        <v>493.98227954109774</v>
      </c>
      <c r="CE186" s="59">
        <f t="shared" si="148"/>
        <v>224.32736097997289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191.47</v>
      </c>
      <c r="CH186" s="16">
        <f>IF(ISNA(VLOOKUP(A186,'Données projet'!$A$113:$I$133,5,0)),0%,VLOOKUP(A186,'Données projet'!$A$113:$I$133,5,0)*VLOOKUP('Données projet'!$B$12,Paramètres!$A$1:$I$89,7,0))</f>
        <v>0.23850000000000002</v>
      </c>
      <c r="CI186" s="16">
        <f>IF(ISNA(VLOOKUP(A186,'Données projet'!$A$113:$I$133,6,0)),0%,VLOOKUP(A186,'Données projet'!$A$113:$I$133,6,0)*VLOOKUP('Données projet'!$B$12,Paramètres!$A$1:$I$89,7,0))</f>
        <v>2.6500000000000003E-2</v>
      </c>
      <c r="CJ186" s="16">
        <f>IF(ISNA(VLOOKUP(A186,'Données projet'!$A$113:$I$133,7,0)),0%,VLOOKUP(A186,'Données projet'!$A$113:$I$133,7,0))</f>
        <v>0.05</v>
      </c>
      <c r="CK186" s="21">
        <f>EXP(-LN(2)/35)*CK185+(1-EXP(-LN(2)/35))/(LN(2)/35)*CG186*CH186*VLOOKUP('Données projet'!$B$12,Paramètres!$A$1:$I$89,3,0)*0.475*44/12</f>
        <v>140.84383354240464</v>
      </c>
      <c r="CL186" s="21">
        <f>EXP(-LN(2)/25)*CL185+(1-EXP(-LN(2)/25))/(LN(2)/25)*Calculateur!CG186*Calculateur!CI186*VLOOKUP('Données projet'!$B$12,Paramètres!$A$1:$I$89,3,0)*0.475*44/12</f>
        <v>23.521863392807582</v>
      </c>
      <c r="CM186" s="21">
        <f>EXP(-LN(2)/2)*CM185+(1-EXP(-LN(2)/2))/(LN(2)/2)*CG186*CJ186*VLOOKUP('Données projet'!$B$12,Paramètres!$A$1:$I$89,3,0)*0.475*44/12</f>
        <v>7.8769044796765302</v>
      </c>
      <c r="CN186" s="22">
        <f t="shared" si="172"/>
        <v>172.24260141488875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2.2933333333333317</v>
      </c>
      <c r="CS186" s="12">
        <f t="array" ref="CS186">INDEX(CR:CR,MIN(IF(ISNUMBER(CR186:CR382),ROW(CR186:CR382),"")))</f>
        <v>2.2933333333333317</v>
      </c>
      <c r="CT186" s="12">
        <f>IF('Données projet'!$A$140&gt;35,CT185+CS186-DB185,IF(A186&lt;'Données projet'!$A$140,$CQ$205^A186,IF(A186='Données projet'!$A$140,'Données projet'!$B$140,CT185+CS186-DB185)))</f>
        <v>191.47000000000079</v>
      </c>
      <c r="CU186" s="17">
        <f>CT186*VLOOKUP('Données projet'!$B$13,Paramètres!$A$1:$I$89,3,0)*VLOOKUP('Données projet'!$B$13,Paramètres!$A$1:$I$89,5,0)</f>
        <v>182.20285200000077</v>
      </c>
      <c r="CV186" s="13">
        <f t="shared" si="173"/>
        <v>45.811932658823523</v>
      </c>
      <c r="CW186" s="20">
        <f t="shared" si="174"/>
        <v>397.12574994745228</v>
      </c>
      <c r="CX186" s="59">
        <f t="shared" si="122"/>
        <v>689.56455391441273</v>
      </c>
      <c r="CY186" s="59">
        <f ca="1">AVERAGE(OFFSET($CX$3,0,0,'Données projet'!$E$13+1,1))-AVERAGE(OFFSET($H$3,0,0,'Données projet'!$E$13+1,1))</f>
        <v>677.13548994240728</v>
      </c>
      <c r="CZ186" s="59">
        <f t="shared" si="150"/>
        <v>298.72429542440534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191.47</v>
      </c>
      <c r="DC186" s="16">
        <f>IF(ISNA(VLOOKUP(A186,'Données projet'!$A$139:$I$159,5,0)),0%,VLOOKUP(A186,'Données projet'!$A$139:$I$159,5,0)*VLOOKUP('Données projet'!$B$13,Paramètres!$A$1:$I$89,7,0))</f>
        <v>0.19350000000000001</v>
      </c>
      <c r="DD186" s="16">
        <f>IF(ISNA(VLOOKUP(A186,'Données projet'!$A$139:$I$159,6,0)),0%,VLOOKUP(A186,'Données projet'!$A$139:$I$159,6,0)*VLOOKUP('Données projet'!$B$13,Paramètres!$A$1:$I$89,7,0))</f>
        <v>2.1500000000000002E-2</v>
      </c>
      <c r="DE186" s="16">
        <f>IF(ISNA(VLOOKUP(A186,'Données projet'!$A$139:$I$159,7,0)),0%,VLOOKUP(A186,'Données projet'!$A$139:$I$159,7,0))</f>
        <v>0.05</v>
      </c>
      <c r="DF186" s="21">
        <f>EXP(-LN(2)/35)*DF185+(1-EXP(-LN(2)/35))/(LN(2)/35)*DB186*DC186*VLOOKUP('Données projet'!$B$13,Paramètres!$A$1:$I$89,3,0)*0.475*44/12</f>
        <v>162.10328011484302</v>
      </c>
      <c r="DG186" s="21">
        <f>EXP(-LN(2)/25)*DG185+(1-EXP(-LN(2)/25))/(LN(2)/25)*Calculateur!DB186*Calculateur!DD186*VLOOKUP('Données projet'!$B$13,Paramètres!$A$1:$I$89,3,0)*0.475*44/12</f>
        <v>27.072333338891738</v>
      </c>
      <c r="DH186" s="21">
        <f>EXP(-LN(2)/2)*DH185+(1-EXP(-LN(2)/2))/(LN(2)/2)*DB186*DE186*VLOOKUP('Données projet'!$B$13,Paramètres!$A$1:$I$89,3,0)*0.475*44/12</f>
        <v>11.174213331634148</v>
      </c>
      <c r="DI186" s="22">
        <f t="shared" si="175"/>
        <v>200.34982678536889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69.756037445534673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1.2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4.3999999999999995</v>
      </c>
      <c r="H187" s="67">
        <f t="shared" si="110"/>
        <v>239.06666666666669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292.45432205161512</v>
      </c>
      <c r="S187" s="59">
        <f ca="1">AVERAGE(OFFSET($R$3,0,0,'Données projet'!$E$9+1,1))-AVERAGE(OFFSET($H$3,0,0,'Données projet'!$E$9+1,1))</f>
        <v>646.69588445509589</v>
      </c>
      <c r="T187" s="59">
        <f t="shared" si="142"/>
        <v>286.36346771084698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3.177547114319168E-13</v>
      </c>
      <c r="AK187" s="13">
        <f t="shared" si="164"/>
        <v>4.1725404435445377E-12</v>
      </c>
      <c r="AL187" s="20">
        <f t="shared" si="165"/>
        <v>7.820597394917325E-12</v>
      </c>
      <c r="AM187" s="59">
        <f t="shared" si="113"/>
        <v>292.45432205160677</v>
      </c>
      <c r="AN187" s="59">
        <f ca="1">AVERAGE(OFFSET($AM$3,0,0,'Données projet'!$E$10+1,1))-AVERAGE(OFFSET($H$3,0,0,'Données projet'!$E$10+1,1))</f>
        <v>391.55758836264408</v>
      </c>
      <c r="AO187" s="59">
        <f t="shared" si="144"/>
        <v>360.80727659978777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24.13468284924727</v>
      </c>
      <c r="AV187" s="21">
        <f>EXP(-LN(2)/25)*AV186+(1-EXP(-LN(2)/25))/(LN(2)/25)*Calculateur!AQ187*Calculateur!AS187*VLOOKUP('Données projet'!$B$10,Paramètres!$A$1:$I$89,3,0)*0.475*44/12</f>
        <v>3.2540420844250879</v>
      </c>
      <c r="AW187" s="21">
        <f>EXP(-LN(2)/2)*AW186+(1-EXP(-LN(2)/2))/(LN(2)/2)*AQ187*AT187*VLOOKUP('Données projet'!$B$10,Paramètres!$A$1:$I$89,3,0)*0.475*44/12</f>
        <v>5.2392482243493402E-16</v>
      </c>
      <c r="AX187" s="21">
        <f t="shared" si="166"/>
        <v>27.388724933672357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5.0249582272954292E-14</v>
      </c>
      <c r="BF187" s="13">
        <f t="shared" si="167"/>
        <v>8.1784820119191593E-13</v>
      </c>
      <c r="BG187" s="20">
        <f t="shared" si="168"/>
        <v>1.5119369728679821E-12</v>
      </c>
      <c r="BH187" s="59">
        <f t="shared" si="116"/>
        <v>292.45432205160046</v>
      </c>
      <c r="BI187" s="59">
        <f ca="1">AVERAGE(OFFSET($BH$3,0,0,'Données projet'!$E$11+1,1))-AVERAGE(OFFSET($H$3,0,0,'Données projet'!$E$11+1,1))</f>
        <v>400.11184625063709</v>
      </c>
      <c r="BJ187" s="59">
        <f t="shared" si="146"/>
        <v>340.02906159605971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26.345829367736634</v>
      </c>
      <c r="BQ187" s="21">
        <f>EXP(-LN(2)/25)*BQ186+(1-EXP(-LN(2)/25))/(LN(2)/25)*Calculateur!BL187*Calculateur!BN187*VLOOKUP('Données projet'!$B$11,Paramètres!$A$1:$I$89,3,0)*0.475*44/12</f>
        <v>4.0217908225417647</v>
      </c>
      <c r="BR187" s="21">
        <f>EXP(-LN(2)/2)*BR186+(1-EXP(-LN(2)/2))/(LN(2)/2)*BL187*BO187*VLOOKUP('Données projet'!$B$11,Paramètres!$A$1:$I$89,3,0)*0.475*44/12</f>
        <v>1.7453569960040985E-14</v>
      </c>
      <c r="BS187" s="22">
        <f t="shared" si="169"/>
        <v>30.367620190278416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7.9580786405131221E-13</v>
      </c>
      <c r="BZ187" s="13">
        <f>BY187*VLOOKUP('Données projet'!$B$12,Paramètres!$A$1:$I$89,3,0)*VLOOKUP('Données projet'!$B$12,Paramètres!$A$1:$I$89,5,0)</f>
        <v>5.338279152056202E-13</v>
      </c>
      <c r="CA187" s="13">
        <f t="shared" si="170"/>
        <v>6.5990867302231702E-12</v>
      </c>
      <c r="CB187" s="20">
        <f t="shared" si="171"/>
        <v>1.242315967412181E-11</v>
      </c>
      <c r="CC187" s="59">
        <f t="shared" si="119"/>
        <v>292.45432205161137</v>
      </c>
      <c r="CD187" s="59">
        <f ca="1">AVERAGE(OFFSET($CC$3,0,0,'Données projet'!$E$12+1,1))-AVERAGE(OFFSET($H$3,0,0,'Données projet'!$E$12+1,1))</f>
        <v>493.98227954109774</v>
      </c>
      <c r="CE187" s="59">
        <f t="shared" si="148"/>
        <v>224.32736097997289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138.081971872894</v>
      </c>
      <c r="CL187" s="21">
        <f>EXP(-LN(2)/25)*CL186+(1-EXP(-LN(2)/25))/(LN(2)/25)*Calculateur!CG187*Calculateur!CI187*VLOOKUP('Données projet'!$B$12,Paramètres!$A$1:$I$89,3,0)*0.475*44/12</f>
        <v>22.878656801370223</v>
      </c>
      <c r="CM187" s="21">
        <f>EXP(-LN(2)/2)*CM186+(1-EXP(-LN(2)/2))/(LN(2)/2)*CG187*CJ187*VLOOKUP('Données projet'!$B$12,Paramètres!$A$1:$I$89,3,0)*0.475*44/12</f>
        <v>5.5698125723379688</v>
      </c>
      <c r="CN187" s="22">
        <f t="shared" si="172"/>
        <v>166.53044124660221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7.9580786405131221E-13</v>
      </c>
      <c r="CU187" s="17">
        <f>CT187*VLOOKUP('Données projet'!$B$13,Paramètres!$A$1:$I$89,3,0)*VLOOKUP('Données projet'!$B$13,Paramètres!$A$1:$I$89,5,0)</f>
        <v>7.572907634312286E-13</v>
      </c>
      <c r="CV187" s="13">
        <f t="shared" si="173"/>
        <v>8.9881135648416407E-12</v>
      </c>
      <c r="CW187" s="20">
        <f t="shared" si="174"/>
        <v>1.6973245871741914E-11</v>
      </c>
      <c r="CX187" s="59">
        <f t="shared" si="122"/>
        <v>292.45432205161592</v>
      </c>
      <c r="CY187" s="59">
        <f ca="1">AVERAGE(OFFSET($CX$3,0,0,'Données projet'!$E$13+1,1))-AVERAGE(OFFSET($H$3,0,0,'Données projet'!$E$13+1,1))</f>
        <v>677.13548994240728</v>
      </c>
      <c r="CZ187" s="59">
        <f t="shared" si="150"/>
        <v>298.72429542440534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158.92453366502889</v>
      </c>
      <c r="DG187" s="21">
        <f>EXP(-LN(2)/25)*DG186+(1-EXP(-LN(2)/25))/(LN(2)/25)*Calculateur!DB187*Calculateur!DD187*VLOOKUP('Données projet'!$B$13,Paramètres!$A$1:$I$89,3,0)*0.475*44/12</f>
        <v>26.332038960067607</v>
      </c>
      <c r="DH187" s="21">
        <f>EXP(-LN(2)/2)*DH186+(1-EXP(-LN(2)/2))/(LN(2)/2)*DB187*DE187*VLOOKUP('Données projet'!$B$13,Paramètres!$A$1:$I$89,3,0)*0.475*44/12</f>
        <v>7.9013620212236297</v>
      </c>
      <c r="DI187" s="22">
        <f t="shared" si="175"/>
        <v>193.15793464632014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69.760269650436072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1.2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4.3999999999999995</v>
      </c>
      <c r="H188" s="67">
        <f t="shared" si="110"/>
        <v>239.06666666666669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292.46957093217839</v>
      </c>
      <c r="S188" s="59">
        <f ca="1">AVERAGE(OFFSET($R$3,0,0,'Données projet'!$E$9+1,1))-AVERAGE(OFFSET($H$3,0,0,'Données projet'!$E$9+1,1))</f>
        <v>646.69588445509589</v>
      </c>
      <c r="T188" s="59">
        <f t="shared" si="142"/>
        <v>286.36346771084698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3.177547114319168E-13</v>
      </c>
      <c r="AK188" s="13">
        <f t="shared" si="164"/>
        <v>4.1725404435445377E-12</v>
      </c>
      <c r="AL188" s="20">
        <f t="shared" si="165"/>
        <v>7.820597394917325E-12</v>
      </c>
      <c r="AM188" s="59">
        <f t="shared" si="113"/>
        <v>292.46957093217003</v>
      </c>
      <c r="AN188" s="59">
        <f ca="1">AVERAGE(OFFSET($AM$3,0,0,'Données projet'!$E$10+1,1))-AVERAGE(OFFSET($H$3,0,0,'Données projet'!$E$10+1,1))</f>
        <v>391.55758836264408</v>
      </c>
      <c r="AO188" s="59">
        <f t="shared" si="144"/>
        <v>360.80727659978777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23.661416439276518</v>
      </c>
      <c r="AV188" s="21">
        <f>EXP(-LN(2)/25)*AV187+(1-EXP(-LN(2)/25))/(LN(2)/25)*Calculateur!AQ188*Calculateur!AS188*VLOOKUP('Données projet'!$B$10,Paramètres!$A$1:$I$89,3,0)*0.475*44/12</f>
        <v>3.1650601325038479</v>
      </c>
      <c r="AW188" s="21">
        <f>EXP(-LN(2)/2)*AW187+(1-EXP(-LN(2)/2))/(LN(2)/2)*AQ188*AT188*VLOOKUP('Données projet'!$B$10,Paramètres!$A$1:$I$89,3,0)*0.475*44/12</f>
        <v>3.7047079477569967E-16</v>
      </c>
      <c r="AX188" s="21">
        <f t="shared" si="166"/>
        <v>26.826476571780365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5.0249582272954292E-14</v>
      </c>
      <c r="BF188" s="13">
        <f t="shared" si="167"/>
        <v>8.1784820119191593E-13</v>
      </c>
      <c r="BG188" s="20">
        <f t="shared" si="168"/>
        <v>1.5119369728679821E-12</v>
      </c>
      <c r="BH188" s="59">
        <f t="shared" si="116"/>
        <v>292.46957093216372</v>
      </c>
      <c r="BI188" s="59">
        <f ca="1">AVERAGE(OFFSET($BH$3,0,0,'Données projet'!$E$11+1,1))-AVERAGE(OFFSET($H$3,0,0,'Données projet'!$E$11+1,1))</f>
        <v>400.11184625063709</v>
      </c>
      <c r="BJ188" s="59">
        <f t="shared" si="146"/>
        <v>340.02906159605971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25.829203723204515</v>
      </c>
      <c r="BQ188" s="21">
        <f>EXP(-LN(2)/25)*BQ187+(1-EXP(-LN(2)/25))/(LN(2)/25)*Calculateur!BL188*Calculateur!BN188*VLOOKUP('Données projet'!$B$11,Paramètres!$A$1:$I$89,3,0)*0.475*44/12</f>
        <v>3.9118147410025728</v>
      </c>
      <c r="BR188" s="21">
        <f>EXP(-LN(2)/2)*BR187+(1-EXP(-LN(2)/2))/(LN(2)/2)*BL188*BO188*VLOOKUP('Données projet'!$B$11,Paramètres!$A$1:$I$89,3,0)*0.475*44/12</f>
        <v>1.23415376746588E-14</v>
      </c>
      <c r="BS188" s="22">
        <f t="shared" si="169"/>
        <v>29.741018464207098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7.9580786405131221E-13</v>
      </c>
      <c r="BZ188" s="13">
        <f>BY188*VLOOKUP('Données projet'!$B$12,Paramètres!$A$1:$I$89,3,0)*VLOOKUP('Données projet'!$B$12,Paramètres!$A$1:$I$89,5,0)</f>
        <v>5.338279152056202E-13</v>
      </c>
      <c r="CA188" s="13">
        <f t="shared" si="170"/>
        <v>6.5990867302231702E-12</v>
      </c>
      <c r="CB188" s="20">
        <f t="shared" si="171"/>
        <v>1.242315967412181E-11</v>
      </c>
      <c r="CC188" s="59">
        <f t="shared" si="119"/>
        <v>292.46957093217463</v>
      </c>
      <c r="CD188" s="59">
        <f ca="1">AVERAGE(OFFSET($CC$3,0,0,'Données projet'!$E$12+1,1))-AVERAGE(OFFSET($H$3,0,0,'Données projet'!$E$12+1,1))</f>
        <v>493.98227954109774</v>
      </c>
      <c r="CE188" s="59">
        <f t="shared" si="148"/>
        <v>224.32736097997289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135.3742686261532</v>
      </c>
      <c r="CL188" s="21">
        <f>EXP(-LN(2)/25)*CL187+(1-EXP(-LN(2)/25))/(LN(2)/25)*Calculateur!CG188*Calculateur!CI188*VLOOKUP('Données projet'!$B$12,Paramètres!$A$1:$I$89,3,0)*0.475*44/12</f>
        <v>22.253038728000483</v>
      </c>
      <c r="CM188" s="21">
        <f>EXP(-LN(2)/2)*CM187+(1-EXP(-LN(2)/2))/(LN(2)/2)*CG188*CJ188*VLOOKUP('Données projet'!$B$12,Paramètres!$A$1:$I$89,3,0)*0.475*44/12</f>
        <v>3.938452239838266</v>
      </c>
      <c r="CN188" s="22">
        <f t="shared" si="172"/>
        <v>161.56575959399194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7.9580786405131221E-13</v>
      </c>
      <c r="CU188" s="17">
        <f>CT188*VLOOKUP('Données projet'!$B$13,Paramètres!$A$1:$I$89,3,0)*VLOOKUP('Données projet'!$B$13,Paramètres!$A$1:$I$89,5,0)</f>
        <v>7.572907634312286E-13</v>
      </c>
      <c r="CV188" s="13">
        <f t="shared" si="173"/>
        <v>8.9881135648416407E-12</v>
      </c>
      <c r="CW188" s="20">
        <f t="shared" si="174"/>
        <v>1.6973245871741914E-11</v>
      </c>
      <c r="CX188" s="59">
        <f t="shared" si="122"/>
        <v>292.46957093217918</v>
      </c>
      <c r="CY188" s="59">
        <f ca="1">AVERAGE(OFFSET($CX$3,0,0,'Données projet'!$E$13+1,1))-AVERAGE(OFFSET($H$3,0,0,'Données projet'!$E$13+1,1))</f>
        <v>677.13548994240728</v>
      </c>
      <c r="CZ188" s="59">
        <f t="shared" si="150"/>
        <v>298.72429542440534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155.80812049425174</v>
      </c>
      <c r="DG188" s="21">
        <f>EXP(-LN(2)/25)*DG187+(1-EXP(-LN(2)/25))/(LN(2)/25)*Calculateur!DB188*Calculateur!DD188*VLOOKUP('Données projet'!$B$13,Paramètres!$A$1:$I$89,3,0)*0.475*44/12</f>
        <v>25.611987969962811</v>
      </c>
      <c r="DH188" s="21">
        <f>EXP(-LN(2)/2)*DH187+(1-EXP(-LN(2)/2))/(LN(2)/2)*DB188*DE188*VLOOKUP('Données projet'!$B$13,Paramètres!$A$1:$I$89,3,0)*0.475*44/12</f>
        <v>5.5871066658170747</v>
      </c>
      <c r="DI188" s="22">
        <f t="shared" si="175"/>
        <v>187.00721513003162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69.764428436044241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1.2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4.3999999999999995</v>
      </c>
      <c r="H189" s="67">
        <f t="shared" si="110"/>
        <v>239.06666666666669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292.48455527875529</v>
      </c>
      <c r="S189" s="59">
        <f ca="1">AVERAGE(OFFSET($R$3,0,0,'Données projet'!$E$9+1,1))-AVERAGE(OFFSET($H$3,0,0,'Données projet'!$E$9+1,1))</f>
        <v>646.69588445509589</v>
      </c>
      <c r="T189" s="59">
        <f t="shared" si="142"/>
        <v>286.36346771084698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3.177547114319168E-13</v>
      </c>
      <c r="AK189" s="13">
        <f t="shared" si="164"/>
        <v>4.1725404435445377E-12</v>
      </c>
      <c r="AL189" s="20">
        <f t="shared" si="165"/>
        <v>7.820597394917325E-12</v>
      </c>
      <c r="AM189" s="59">
        <f t="shared" si="113"/>
        <v>292.48455527874694</v>
      </c>
      <c r="AN189" s="59">
        <f ca="1">AVERAGE(OFFSET($AM$3,0,0,'Données projet'!$E$10+1,1))-AVERAGE(OFFSET($H$3,0,0,'Données projet'!$E$10+1,1))</f>
        <v>391.55758836264408</v>
      </c>
      <c r="AO189" s="59">
        <f t="shared" si="144"/>
        <v>360.80727659978777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23.197430494941287</v>
      </c>
      <c r="AV189" s="21">
        <f>EXP(-LN(2)/25)*AV188+(1-EXP(-LN(2)/25))/(LN(2)/25)*Calculateur!AQ189*Calculateur!AS189*VLOOKUP('Données projet'!$B$10,Paramètres!$A$1:$I$89,3,0)*0.475*44/12</f>
        <v>3.0785113967372517</v>
      </c>
      <c r="AW189" s="21">
        <f>EXP(-LN(2)/2)*AW188+(1-EXP(-LN(2)/2))/(LN(2)/2)*AQ189*AT189*VLOOKUP('Données projet'!$B$10,Paramètres!$A$1:$I$89,3,0)*0.475*44/12</f>
        <v>2.6196241121746701E-16</v>
      </c>
      <c r="AX189" s="21">
        <f t="shared" si="166"/>
        <v>26.275941891678539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5.0249582272954292E-14</v>
      </c>
      <c r="BF189" s="13">
        <f t="shared" si="167"/>
        <v>8.1784820119191593E-13</v>
      </c>
      <c r="BG189" s="20">
        <f t="shared" si="168"/>
        <v>1.5119369728679821E-12</v>
      </c>
      <c r="BH189" s="59">
        <f t="shared" si="116"/>
        <v>292.48455527874063</v>
      </c>
      <c r="BI189" s="59">
        <f ca="1">AVERAGE(OFFSET($BH$3,0,0,'Données projet'!$E$11+1,1))-AVERAGE(OFFSET($H$3,0,0,'Données projet'!$E$11+1,1))</f>
        <v>400.11184625063709</v>
      </c>
      <c r="BJ189" s="59">
        <f t="shared" si="146"/>
        <v>340.02906159605971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25.322708792451142</v>
      </c>
      <c r="BQ189" s="21">
        <f>EXP(-LN(2)/25)*BQ188+(1-EXP(-LN(2)/25))/(LN(2)/25)*Calculateur!BL189*Calculateur!BN189*VLOOKUP('Données projet'!$B$11,Paramètres!$A$1:$I$89,3,0)*0.475*44/12</f>
        <v>3.8048459611964609</v>
      </c>
      <c r="BR189" s="21">
        <f>EXP(-LN(2)/2)*BR188+(1-EXP(-LN(2)/2))/(LN(2)/2)*BL189*BO189*VLOOKUP('Données projet'!$B$11,Paramètres!$A$1:$I$89,3,0)*0.475*44/12</f>
        <v>8.7267849800204923E-15</v>
      </c>
      <c r="BS189" s="22">
        <f t="shared" si="169"/>
        <v>29.127554753647608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7.9580786405131221E-13</v>
      </c>
      <c r="BZ189" s="13">
        <f>BY189*VLOOKUP('Données projet'!$B$12,Paramètres!$A$1:$I$89,3,0)*VLOOKUP('Données projet'!$B$12,Paramètres!$A$1:$I$89,5,0)</f>
        <v>5.338279152056202E-13</v>
      </c>
      <c r="CA189" s="13">
        <f t="shared" si="170"/>
        <v>6.5990867302231702E-12</v>
      </c>
      <c r="CB189" s="20">
        <f t="shared" si="171"/>
        <v>1.242315967412181E-11</v>
      </c>
      <c r="CC189" s="59">
        <f t="shared" si="119"/>
        <v>292.48455527875154</v>
      </c>
      <c r="CD189" s="59">
        <f ca="1">AVERAGE(OFFSET($CC$3,0,0,'Données projet'!$E$12+1,1))-AVERAGE(OFFSET($H$3,0,0,'Données projet'!$E$12+1,1))</f>
        <v>493.98227954109774</v>
      </c>
      <c r="CE189" s="59">
        <f t="shared" si="148"/>
        <v>224.32736097997289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132.71966178854507</v>
      </c>
      <c r="CL189" s="21">
        <f>EXP(-LN(2)/25)*CL188+(1-EXP(-LN(2)/25))/(LN(2)/25)*Calculateur!CG189*Calculateur!CI189*VLOOKUP('Données projet'!$B$12,Paramètres!$A$1:$I$89,3,0)*0.475*44/12</f>
        <v>21.644528213746863</v>
      </c>
      <c r="CM189" s="21">
        <f>EXP(-LN(2)/2)*CM188+(1-EXP(-LN(2)/2))/(LN(2)/2)*CG189*CJ189*VLOOKUP('Données projet'!$B$12,Paramètres!$A$1:$I$89,3,0)*0.475*44/12</f>
        <v>2.7849062861689848</v>
      </c>
      <c r="CN189" s="22">
        <f t="shared" si="172"/>
        <v>157.14909628846092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7.9580786405131221E-13</v>
      </c>
      <c r="CU189" s="17">
        <f>CT189*VLOOKUP('Données projet'!$B$13,Paramètres!$A$1:$I$89,3,0)*VLOOKUP('Données projet'!$B$13,Paramètres!$A$1:$I$89,5,0)</f>
        <v>7.572907634312286E-13</v>
      </c>
      <c r="CV189" s="13">
        <f t="shared" si="173"/>
        <v>8.9881135648416407E-12</v>
      </c>
      <c r="CW189" s="20">
        <f t="shared" si="174"/>
        <v>1.6973245871741914E-11</v>
      </c>
      <c r="CX189" s="59">
        <f t="shared" si="122"/>
        <v>292.48455527875609</v>
      </c>
      <c r="CY189" s="59">
        <f ca="1">AVERAGE(OFFSET($CX$3,0,0,'Données projet'!$E$13+1,1))-AVERAGE(OFFSET($H$3,0,0,'Données projet'!$E$13+1,1))</f>
        <v>677.13548994240728</v>
      </c>
      <c r="CZ189" s="59">
        <f t="shared" si="150"/>
        <v>298.72429542440534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152.75281828492919</v>
      </c>
      <c r="DG189" s="21">
        <f>EXP(-LN(2)/25)*DG188+(1-EXP(-LN(2)/25))/(LN(2)/25)*Calculateur!DB189*Calculateur!DD189*VLOOKUP('Données projet'!$B$13,Paramètres!$A$1:$I$89,3,0)*0.475*44/12</f>
        <v>24.911626812048269</v>
      </c>
      <c r="DH189" s="21">
        <f>EXP(-LN(2)/2)*DH188+(1-EXP(-LN(2)/2))/(LN(2)/2)*DB189*DE189*VLOOKUP('Données projet'!$B$13,Paramètres!$A$1:$I$89,3,0)*0.475*44/12</f>
        <v>3.9506810106118158</v>
      </c>
      <c r="DI189" s="22">
        <f t="shared" si="175"/>
        <v>181.61512610758928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69.768515076019753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1.2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4.3999999999999995</v>
      </c>
      <c r="H190" s="67">
        <f t="shared" si="110"/>
        <v>239.06666666666669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292.49927968041908</v>
      </c>
      <c r="S190" s="59">
        <f ca="1">AVERAGE(OFFSET($R$3,0,0,'Données projet'!$E$9+1,1))-AVERAGE(OFFSET($H$3,0,0,'Données projet'!$E$9+1,1))</f>
        <v>646.69588445509589</v>
      </c>
      <c r="T190" s="59">
        <f t="shared" si="142"/>
        <v>286.36346771084698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3.177547114319168E-13</v>
      </c>
      <c r="AK190" s="13">
        <f t="shared" si="164"/>
        <v>4.1725404435445377E-12</v>
      </c>
      <c r="AL190" s="20">
        <f t="shared" si="165"/>
        <v>7.820597394917325E-12</v>
      </c>
      <c r="AM190" s="59">
        <f t="shared" si="113"/>
        <v>292.49927968041072</v>
      </c>
      <c r="AN190" s="59">
        <f ca="1">AVERAGE(OFFSET($AM$3,0,0,'Données projet'!$E$10+1,1))-AVERAGE(OFFSET($H$3,0,0,'Données projet'!$E$10+1,1))</f>
        <v>391.55758836264408</v>
      </c>
      <c r="AO190" s="59">
        <f t="shared" si="144"/>
        <v>360.80727659978777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22.742543031970989</v>
      </c>
      <c r="AV190" s="21">
        <f>EXP(-LN(2)/25)*AV189+(1-EXP(-LN(2)/25))/(LN(2)/25)*Calculateur!AQ190*Calculateur!AS190*VLOOKUP('Données projet'!$B$10,Paramètres!$A$1:$I$89,3,0)*0.475*44/12</f>
        <v>2.9943293407015932</v>
      </c>
      <c r="AW190" s="21">
        <f>EXP(-LN(2)/2)*AW189+(1-EXP(-LN(2)/2))/(LN(2)/2)*AQ190*AT190*VLOOKUP('Données projet'!$B$10,Paramètres!$A$1:$I$89,3,0)*0.475*44/12</f>
        <v>1.8523539738784983E-16</v>
      </c>
      <c r="AX190" s="21">
        <f t="shared" si="166"/>
        <v>25.736872372672583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5.0249582272954292E-14</v>
      </c>
      <c r="BF190" s="13">
        <f t="shared" si="167"/>
        <v>8.1784820119191593E-13</v>
      </c>
      <c r="BG190" s="20">
        <f t="shared" si="168"/>
        <v>1.5119369728679821E-12</v>
      </c>
      <c r="BH190" s="59">
        <f t="shared" si="116"/>
        <v>292.49927968040441</v>
      </c>
      <c r="BI190" s="59">
        <f ca="1">AVERAGE(OFFSET($BH$3,0,0,'Données projet'!$E$11+1,1))-AVERAGE(OFFSET($H$3,0,0,'Données projet'!$E$11+1,1))</f>
        <v>400.11184625063709</v>
      </c>
      <c r="BJ190" s="59">
        <f t="shared" si="146"/>
        <v>340.02906159605971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24.826145918358439</v>
      </c>
      <c r="BQ190" s="21">
        <f>EXP(-LN(2)/25)*BQ189+(1-EXP(-LN(2)/25))/(LN(2)/25)*Calculateur!BL190*Calculateur!BN190*VLOOKUP('Données projet'!$B$11,Paramètres!$A$1:$I$89,3,0)*0.475*44/12</f>
        <v>3.7008022482993908</v>
      </c>
      <c r="BR190" s="21">
        <f>EXP(-LN(2)/2)*BR189+(1-EXP(-LN(2)/2))/(LN(2)/2)*BL190*BO190*VLOOKUP('Données projet'!$B$11,Paramètres!$A$1:$I$89,3,0)*0.475*44/12</f>
        <v>6.1707688373293999E-15</v>
      </c>
      <c r="BS190" s="22">
        <f t="shared" si="169"/>
        <v>28.526948166657835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7.9580786405131221E-13</v>
      </c>
      <c r="BZ190" s="13">
        <f>BY190*VLOOKUP('Données projet'!$B$12,Paramètres!$A$1:$I$89,3,0)*VLOOKUP('Données projet'!$B$12,Paramètres!$A$1:$I$89,5,0)</f>
        <v>5.338279152056202E-13</v>
      </c>
      <c r="CA190" s="13">
        <f t="shared" si="170"/>
        <v>6.5990867302231702E-12</v>
      </c>
      <c r="CB190" s="20">
        <f t="shared" si="171"/>
        <v>1.242315967412181E-11</v>
      </c>
      <c r="CC190" s="59">
        <f t="shared" si="119"/>
        <v>292.49927968041533</v>
      </c>
      <c r="CD190" s="59">
        <f ca="1">AVERAGE(OFFSET($CC$3,0,0,'Données projet'!$E$12+1,1))-AVERAGE(OFFSET($H$3,0,0,'Données projet'!$E$12+1,1))</f>
        <v>493.98227954109774</v>
      </c>
      <c r="CE190" s="59">
        <f t="shared" si="148"/>
        <v>224.32736097997289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130.11711017187216</v>
      </c>
      <c r="CL190" s="21">
        <f>EXP(-LN(2)/25)*CL189+(1-EXP(-LN(2)/25))/(LN(2)/25)*Calculateur!CG190*Calculateur!CI190*VLOOKUP('Données projet'!$B$12,Paramètres!$A$1:$I$89,3,0)*0.475*44/12</f>
        <v>21.052657451505684</v>
      </c>
      <c r="CM190" s="21">
        <f>EXP(-LN(2)/2)*CM189+(1-EXP(-LN(2)/2))/(LN(2)/2)*CG190*CJ190*VLOOKUP('Données projet'!$B$12,Paramètres!$A$1:$I$89,3,0)*0.475*44/12</f>
        <v>1.9692261199191332</v>
      </c>
      <c r="CN190" s="22">
        <f t="shared" si="172"/>
        <v>153.13899374329699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7.9580786405131221E-13</v>
      </c>
      <c r="CU190" s="17">
        <f>CT190*VLOOKUP('Données projet'!$B$13,Paramètres!$A$1:$I$89,3,0)*VLOOKUP('Données projet'!$B$13,Paramètres!$A$1:$I$89,5,0)</f>
        <v>7.572907634312286E-13</v>
      </c>
      <c r="CV190" s="13">
        <f t="shared" si="173"/>
        <v>8.9881135648416407E-12</v>
      </c>
      <c r="CW190" s="20">
        <f t="shared" si="174"/>
        <v>1.6973245871741914E-11</v>
      </c>
      <c r="CX190" s="59">
        <f t="shared" si="122"/>
        <v>292.49927968041987</v>
      </c>
      <c r="CY190" s="59">
        <f ca="1">AVERAGE(OFFSET($CX$3,0,0,'Données projet'!$E$13+1,1))-AVERAGE(OFFSET($H$3,0,0,'Données projet'!$E$13+1,1))</f>
        <v>677.13548994240728</v>
      </c>
      <c r="CZ190" s="59">
        <f t="shared" si="150"/>
        <v>298.72429542440534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149.75742868838111</v>
      </c>
      <c r="DG190" s="21">
        <f>EXP(-LN(2)/25)*DG189+(1-EXP(-LN(2)/25))/(LN(2)/25)*Calculateur!DB190*Calculateur!DD190*VLOOKUP('Données projet'!$B$13,Paramètres!$A$1:$I$89,3,0)*0.475*44/12</f>
        <v>24.23041706682729</v>
      </c>
      <c r="DH190" s="21">
        <f>EXP(-LN(2)/2)*DH189+(1-EXP(-LN(2)/2))/(LN(2)/2)*DB190*DE190*VLOOKUP('Données projet'!$B$13,Paramètres!$A$1:$I$89,3,0)*0.475*44/12</f>
        <v>2.7935533329085378</v>
      </c>
      <c r="DI190" s="22">
        <f t="shared" si="175"/>
        <v>176.78139908811696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69.772530821928058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1.2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4.3999999999999995</v>
      </c>
      <c r="H191" s="67">
        <f t="shared" si="110"/>
        <v>239.06666666666669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292.51374864663279</v>
      </c>
      <c r="S191" s="59">
        <f ca="1">AVERAGE(OFFSET($R$3,0,0,'Données projet'!$E$9+1,1))-AVERAGE(OFFSET($H$3,0,0,'Données projet'!$E$9+1,1))</f>
        <v>646.69588445509589</v>
      </c>
      <c r="T191" s="59">
        <f t="shared" si="142"/>
        <v>286.36346771084698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3.177547114319168E-13</v>
      </c>
      <c r="AK191" s="13">
        <f t="shared" si="164"/>
        <v>4.1725404435445377E-12</v>
      </c>
      <c r="AL191" s="20">
        <f t="shared" si="165"/>
        <v>7.820597394917325E-12</v>
      </c>
      <c r="AM191" s="59">
        <f t="shared" si="113"/>
        <v>292.51374864662444</v>
      </c>
      <c r="AN191" s="59">
        <f ca="1">AVERAGE(OFFSET($AM$3,0,0,'Données projet'!$E$10+1,1))-AVERAGE(OFFSET($H$3,0,0,'Données projet'!$E$10+1,1))</f>
        <v>391.55758836264408</v>
      </c>
      <c r="AO191" s="59">
        <f t="shared" si="144"/>
        <v>360.80727659978777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22.296575634695582</v>
      </c>
      <c r="AV191" s="21">
        <f>EXP(-LN(2)/25)*AV190+(1-EXP(-LN(2)/25))/(LN(2)/25)*Calculateur!AQ191*Calculateur!AS191*VLOOKUP('Données projet'!$B$10,Paramètres!$A$1:$I$89,3,0)*0.475*44/12</f>
        <v>2.9124492474151715</v>
      </c>
      <c r="AW191" s="21">
        <f>EXP(-LN(2)/2)*AW190+(1-EXP(-LN(2)/2))/(LN(2)/2)*AQ191*AT191*VLOOKUP('Données projet'!$B$10,Paramètres!$A$1:$I$89,3,0)*0.475*44/12</f>
        <v>1.3098120560873351E-16</v>
      </c>
      <c r="AX191" s="21">
        <f t="shared" si="166"/>
        <v>25.209024882110754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5.0249582272954292E-14</v>
      </c>
      <c r="BF191" s="13">
        <f t="shared" si="167"/>
        <v>8.1784820119191593E-13</v>
      </c>
      <c r="BG191" s="20">
        <f t="shared" si="168"/>
        <v>1.5119369728679821E-12</v>
      </c>
      <c r="BH191" s="59">
        <f t="shared" si="116"/>
        <v>292.51374864661813</v>
      </c>
      <c r="BI191" s="59">
        <f ca="1">AVERAGE(OFFSET($BH$3,0,0,'Données projet'!$E$11+1,1))-AVERAGE(OFFSET($H$3,0,0,'Données projet'!$E$11+1,1))</f>
        <v>400.11184625063709</v>
      </c>
      <c r="BJ191" s="59">
        <f t="shared" si="146"/>
        <v>340.02906159605971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24.339320339353247</v>
      </c>
      <c r="BQ191" s="21">
        <f>EXP(-LN(2)/25)*BQ190+(1-EXP(-LN(2)/25))/(LN(2)/25)*Calculateur!BL191*Calculateur!BN191*VLOOKUP('Données projet'!$B$11,Paramètres!$A$1:$I$89,3,0)*0.475*44/12</f>
        <v>3.5996036162029119</v>
      </c>
      <c r="BR191" s="21">
        <f>EXP(-LN(2)/2)*BR190+(1-EXP(-LN(2)/2))/(LN(2)/2)*BL191*BO191*VLOOKUP('Données projet'!$B$11,Paramètres!$A$1:$I$89,3,0)*0.475*44/12</f>
        <v>4.3633924900102462E-15</v>
      </c>
      <c r="BS191" s="22">
        <f t="shared" si="169"/>
        <v>27.938923955556163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7.9580786405131221E-13</v>
      </c>
      <c r="BZ191" s="13">
        <f>BY191*VLOOKUP('Données projet'!$B$12,Paramètres!$A$1:$I$89,3,0)*VLOOKUP('Données projet'!$B$12,Paramètres!$A$1:$I$89,5,0)</f>
        <v>5.338279152056202E-13</v>
      </c>
      <c r="CA191" s="13">
        <f t="shared" si="170"/>
        <v>6.5990867302231702E-12</v>
      </c>
      <c r="CB191" s="20">
        <f t="shared" si="171"/>
        <v>1.242315967412181E-11</v>
      </c>
      <c r="CC191" s="59">
        <f t="shared" si="119"/>
        <v>292.51374864662904</v>
      </c>
      <c r="CD191" s="59">
        <f ca="1">AVERAGE(OFFSET($CC$3,0,0,'Données projet'!$E$12+1,1))-AVERAGE(OFFSET($H$3,0,0,'Données projet'!$E$12+1,1))</f>
        <v>493.98227954109774</v>
      </c>
      <c r="CE191" s="59">
        <f t="shared" si="148"/>
        <v>224.32736097997289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127.56559300500244</v>
      </c>
      <c r="CL191" s="21">
        <f>EXP(-LN(2)/25)*CL190+(1-EXP(-LN(2)/25))/(LN(2)/25)*Calculateur!CG191*Calculateur!CI191*VLOOKUP('Données projet'!$B$12,Paramètres!$A$1:$I$89,3,0)*0.475*44/12</f>
        <v>20.476971426383123</v>
      </c>
      <c r="CM191" s="21">
        <f>EXP(-LN(2)/2)*CM190+(1-EXP(-LN(2)/2))/(LN(2)/2)*CG191*CJ191*VLOOKUP('Données projet'!$B$12,Paramètres!$A$1:$I$89,3,0)*0.475*44/12</f>
        <v>1.3924531430844926</v>
      </c>
      <c r="CN191" s="22">
        <f t="shared" si="172"/>
        <v>149.43501757447004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7.9580786405131221E-13</v>
      </c>
      <c r="CU191" s="17">
        <f>CT191*VLOOKUP('Données projet'!$B$13,Paramètres!$A$1:$I$89,3,0)*VLOOKUP('Données projet'!$B$13,Paramètres!$A$1:$I$89,5,0)</f>
        <v>7.572907634312286E-13</v>
      </c>
      <c r="CV191" s="13">
        <f t="shared" si="173"/>
        <v>8.9881135648416407E-12</v>
      </c>
      <c r="CW191" s="20">
        <f t="shared" si="174"/>
        <v>1.6973245871741914E-11</v>
      </c>
      <c r="CX191" s="59">
        <f t="shared" si="122"/>
        <v>292.51374864663359</v>
      </c>
      <c r="CY191" s="59">
        <f ca="1">AVERAGE(OFFSET($CX$3,0,0,'Données projet'!$E$13+1,1))-AVERAGE(OFFSET($H$3,0,0,'Données projet'!$E$13+1,1))</f>
        <v>677.13548994240728</v>
      </c>
      <c r="CZ191" s="59">
        <f t="shared" si="150"/>
        <v>298.72429542440534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146.82077685481408</v>
      </c>
      <c r="DG191" s="21">
        <f>EXP(-LN(2)/25)*DG190+(1-EXP(-LN(2)/25))/(LN(2)/25)*Calculateur!DB191*Calculateur!DD191*VLOOKUP('Données projet'!$B$13,Paramètres!$A$1:$I$89,3,0)*0.475*44/12</f>
        <v>23.567835037912644</v>
      </c>
      <c r="DH191" s="21">
        <f>EXP(-LN(2)/2)*DH190+(1-EXP(-LN(2)/2))/(LN(2)/2)*DB191*DE191*VLOOKUP('Données projet'!$B$13,Paramètres!$A$1:$I$89,3,0)*0.475*44/12</f>
        <v>1.9753405053059081</v>
      </c>
      <c r="DI191" s="22">
        <f t="shared" si="175"/>
        <v>172.36395239803261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69.776476903622708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1.2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4.3999999999999995</v>
      </c>
      <c r="H192" s="67">
        <f t="shared" si="110"/>
        <v>239.06666666666669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292.52796660863044</v>
      </c>
      <c r="S192" s="59">
        <f ca="1">AVERAGE(OFFSET($R$3,0,0,'Données projet'!$E$9+1,1))-AVERAGE(OFFSET($H$3,0,0,'Données projet'!$E$9+1,1))</f>
        <v>646.69588445509589</v>
      </c>
      <c r="T192" s="59">
        <f t="shared" si="142"/>
        <v>286.36346771084698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3.177547114319168E-13</v>
      </c>
      <c r="AK192" s="13">
        <f t="shared" si="164"/>
        <v>4.1725404435445377E-12</v>
      </c>
      <c r="AL192" s="20">
        <f t="shared" si="165"/>
        <v>7.820597394917325E-12</v>
      </c>
      <c r="AM192" s="59">
        <f t="shared" si="113"/>
        <v>292.52796660862208</v>
      </c>
      <c r="AN192" s="59">
        <f ca="1">AVERAGE(OFFSET($AM$3,0,0,'Données projet'!$E$10+1,1))-AVERAGE(OFFSET($H$3,0,0,'Données projet'!$E$10+1,1))</f>
        <v>391.55758836264408</v>
      </c>
      <c r="AO192" s="59">
        <f t="shared" si="144"/>
        <v>360.80727659978777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21.859353386067493</v>
      </c>
      <c r="AV192" s="21">
        <f>EXP(-LN(2)/25)*AV191+(1-EXP(-LN(2)/25))/(LN(2)/25)*Calculateur!AQ192*Calculateur!AS192*VLOOKUP('Données projet'!$B$10,Paramètres!$A$1:$I$89,3,0)*0.475*44/12</f>
        <v>2.832808169585554</v>
      </c>
      <c r="AW192" s="21">
        <f>EXP(-LN(2)/2)*AW191+(1-EXP(-LN(2)/2))/(LN(2)/2)*AQ192*AT192*VLOOKUP('Données projet'!$B$10,Paramètres!$A$1:$I$89,3,0)*0.475*44/12</f>
        <v>9.2617698693924917E-17</v>
      </c>
      <c r="AX192" s="21">
        <f t="shared" si="166"/>
        <v>24.692161555653048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5.0249582272954292E-14</v>
      </c>
      <c r="BF192" s="13">
        <f t="shared" si="167"/>
        <v>8.1784820119191593E-13</v>
      </c>
      <c r="BG192" s="20">
        <f t="shared" si="168"/>
        <v>1.5119369728679821E-12</v>
      </c>
      <c r="BH192" s="59">
        <f t="shared" si="116"/>
        <v>292.52796660861577</v>
      </c>
      <c r="BI192" s="59">
        <f ca="1">AVERAGE(OFFSET($BH$3,0,0,'Données projet'!$E$11+1,1))-AVERAGE(OFFSET($H$3,0,0,'Données projet'!$E$11+1,1))</f>
        <v>400.11184625063709</v>
      </c>
      <c r="BJ192" s="59">
        <f t="shared" si="146"/>
        <v>340.02906159605971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23.862041113018062</v>
      </c>
      <c r="BQ192" s="21">
        <f>EXP(-LN(2)/25)*BQ191+(1-EXP(-LN(2)/25))/(LN(2)/25)*Calculateur!BL192*Calculateur!BN192*VLOOKUP('Données projet'!$B$11,Paramètres!$A$1:$I$89,3,0)*0.475*44/12</f>
        <v>3.5011722660229161</v>
      </c>
      <c r="BR192" s="21">
        <f>EXP(-LN(2)/2)*BR191+(1-EXP(-LN(2)/2))/(LN(2)/2)*BL192*BO192*VLOOKUP('Données projet'!$B$11,Paramètres!$A$1:$I$89,3,0)*0.475*44/12</f>
        <v>3.0853844186646999E-15</v>
      </c>
      <c r="BS192" s="22">
        <f t="shared" si="169"/>
        <v>27.363213379040982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7.9580786405131221E-13</v>
      </c>
      <c r="BZ192" s="13">
        <f>BY192*VLOOKUP('Données projet'!$B$12,Paramètres!$A$1:$I$89,3,0)*VLOOKUP('Données projet'!$B$12,Paramètres!$A$1:$I$89,5,0)</f>
        <v>5.338279152056202E-13</v>
      </c>
      <c r="CA192" s="13">
        <f t="shared" si="170"/>
        <v>6.5990867302231702E-12</v>
      </c>
      <c r="CB192" s="20">
        <f t="shared" si="171"/>
        <v>1.242315967412181E-11</v>
      </c>
      <c r="CC192" s="59">
        <f t="shared" si="119"/>
        <v>292.52796660862668</v>
      </c>
      <c r="CD192" s="59">
        <f ca="1">AVERAGE(OFFSET($CC$3,0,0,'Données projet'!$E$12+1,1))-AVERAGE(OFFSET($H$3,0,0,'Données projet'!$E$12+1,1))</f>
        <v>493.98227954109774</v>
      </c>
      <c r="CE192" s="59">
        <f t="shared" si="148"/>
        <v>224.32736097997289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125.06410953350324</v>
      </c>
      <c r="CL192" s="21">
        <f>EXP(-LN(2)/25)*CL191+(1-EXP(-LN(2)/25))/(LN(2)/25)*Calculateur!CG192*Calculateur!CI192*VLOOKUP('Données projet'!$B$12,Paramètres!$A$1:$I$89,3,0)*0.475*44/12</f>
        <v>19.917027565891551</v>
      </c>
      <c r="CM192" s="21">
        <f>EXP(-LN(2)/2)*CM191+(1-EXP(-LN(2)/2))/(LN(2)/2)*CG192*CJ192*VLOOKUP('Données projet'!$B$12,Paramètres!$A$1:$I$89,3,0)*0.475*44/12</f>
        <v>0.98461305995956672</v>
      </c>
      <c r="CN192" s="22">
        <f t="shared" si="172"/>
        <v>145.96575015935437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7.9580786405131221E-13</v>
      </c>
      <c r="CU192" s="17">
        <f>CT192*VLOOKUP('Données projet'!$B$13,Paramètres!$A$1:$I$89,3,0)*VLOOKUP('Données projet'!$B$13,Paramètres!$A$1:$I$89,5,0)</f>
        <v>7.572907634312286E-13</v>
      </c>
      <c r="CV192" s="13">
        <f t="shared" si="173"/>
        <v>8.9881135648416407E-12</v>
      </c>
      <c r="CW192" s="20">
        <f t="shared" si="174"/>
        <v>1.6973245871741914E-11</v>
      </c>
      <c r="CX192" s="59">
        <f t="shared" si="122"/>
        <v>292.52796660863123</v>
      </c>
      <c r="CY192" s="59">
        <f ca="1">AVERAGE(OFFSET($CX$3,0,0,'Données projet'!$E$13+1,1))-AVERAGE(OFFSET($H$3,0,0,'Données projet'!$E$13+1,1))</f>
        <v>677.13548994240728</v>
      </c>
      <c r="CZ192" s="59">
        <f t="shared" si="150"/>
        <v>298.72429542440534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143.94171097252254</v>
      </c>
      <c r="DG192" s="21">
        <f>EXP(-LN(2)/25)*DG191+(1-EXP(-LN(2)/25))/(LN(2)/25)*Calculateur!DB192*Calculateur!DD192*VLOOKUP('Données projet'!$B$13,Paramètres!$A$1:$I$89,3,0)*0.475*44/12</f>
        <v>22.923371349422343</v>
      </c>
      <c r="DH192" s="21">
        <f>EXP(-LN(2)/2)*DH191+(1-EXP(-LN(2)/2))/(LN(2)/2)*DB192*DE192*VLOOKUP('Données projet'!$B$13,Paramètres!$A$1:$I$89,3,0)*0.475*44/12</f>
        <v>1.3967766664542691</v>
      </c>
      <c r="DI192" s="22">
        <f t="shared" si="175"/>
        <v>168.26185898839915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69.780354529622073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1.2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4.3999999999999995</v>
      </c>
      <c r="H193" s="67">
        <f t="shared" si="110"/>
        <v>239.06666666666669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292.5419379207741</v>
      </c>
      <c r="S193" s="59">
        <f ca="1">AVERAGE(OFFSET($R$3,0,0,'Données projet'!$E$9+1,1))-AVERAGE(OFFSET($H$3,0,0,'Données projet'!$E$9+1,1))</f>
        <v>646.69588445509589</v>
      </c>
      <c r="T193" s="59">
        <f t="shared" si="142"/>
        <v>286.36346771084698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3.177547114319168E-13</v>
      </c>
      <c r="AK193" s="13">
        <f t="shared" si="164"/>
        <v>4.1725404435445377E-12</v>
      </c>
      <c r="AL193" s="20">
        <f t="shared" si="165"/>
        <v>7.820597394917325E-12</v>
      </c>
      <c r="AM193" s="59">
        <f t="shared" si="113"/>
        <v>292.54193792076575</v>
      </c>
      <c r="AN193" s="59">
        <f ca="1">AVERAGE(OFFSET($AM$3,0,0,'Données projet'!$E$10+1,1))-AVERAGE(OFFSET($H$3,0,0,'Données projet'!$E$10+1,1))</f>
        <v>391.55758836264408</v>
      </c>
      <c r="AO193" s="59">
        <f t="shared" si="144"/>
        <v>360.80727659978777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21.430704799055761</v>
      </c>
      <c r="AV193" s="21">
        <f>EXP(-LN(2)/25)*AV192+(1-EXP(-LN(2)/25))/(LN(2)/25)*Calculateur!AQ193*Calculateur!AS193*VLOOKUP('Données projet'!$B$10,Paramètres!$A$1:$I$89,3,0)*0.475*44/12</f>
        <v>2.7553448812173298</v>
      </c>
      <c r="AW193" s="21">
        <f>EXP(-LN(2)/2)*AW192+(1-EXP(-LN(2)/2))/(LN(2)/2)*AQ193*AT193*VLOOKUP('Données projet'!$B$10,Paramètres!$A$1:$I$89,3,0)*0.475*44/12</f>
        <v>6.5490602804366753E-17</v>
      </c>
      <c r="AX193" s="21">
        <f t="shared" si="166"/>
        <v>24.18604968027309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5.0249582272954292E-14</v>
      </c>
      <c r="BF193" s="13">
        <f t="shared" si="167"/>
        <v>8.1784820119191593E-13</v>
      </c>
      <c r="BG193" s="20">
        <f t="shared" si="168"/>
        <v>1.5119369728679821E-12</v>
      </c>
      <c r="BH193" s="59">
        <f t="shared" si="116"/>
        <v>292.54193792075944</v>
      </c>
      <c r="BI193" s="59">
        <f ca="1">AVERAGE(OFFSET($BH$3,0,0,'Données projet'!$E$11+1,1))-AVERAGE(OFFSET($H$3,0,0,'Données projet'!$E$11+1,1))</f>
        <v>400.11184625063709</v>
      </c>
      <c r="BJ193" s="59">
        <f t="shared" si="146"/>
        <v>340.02906159605971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23.394121041199728</v>
      </c>
      <c r="BQ193" s="21">
        <f>EXP(-LN(2)/25)*BQ192+(1-EXP(-LN(2)/25))/(LN(2)/25)*Calculateur!BL193*Calculateur!BN193*VLOOKUP('Données projet'!$B$11,Paramètres!$A$1:$I$89,3,0)*0.475*44/12</f>
        <v>3.4054325262898719</v>
      </c>
      <c r="BR193" s="21">
        <f>EXP(-LN(2)/2)*BR192+(1-EXP(-LN(2)/2))/(LN(2)/2)*BL193*BO193*VLOOKUP('Données projet'!$B$11,Paramètres!$A$1:$I$89,3,0)*0.475*44/12</f>
        <v>2.1816962450051231E-15</v>
      </c>
      <c r="BS193" s="22">
        <f t="shared" si="169"/>
        <v>26.799553567489603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7.9580786405131221E-13</v>
      </c>
      <c r="BZ193" s="13">
        <f>BY193*VLOOKUP('Données projet'!$B$12,Paramètres!$A$1:$I$89,3,0)*VLOOKUP('Données projet'!$B$12,Paramètres!$A$1:$I$89,5,0)</f>
        <v>5.338279152056202E-13</v>
      </c>
      <c r="CA193" s="13">
        <f t="shared" si="170"/>
        <v>6.5990867302231702E-12</v>
      </c>
      <c r="CB193" s="20">
        <f t="shared" si="171"/>
        <v>1.242315967412181E-11</v>
      </c>
      <c r="CC193" s="59">
        <f t="shared" si="119"/>
        <v>292.54193792077035</v>
      </c>
      <c r="CD193" s="59">
        <f ca="1">AVERAGE(OFFSET($CC$3,0,0,'Données projet'!$E$12+1,1))-AVERAGE(OFFSET($H$3,0,0,'Données projet'!$E$12+1,1))</f>
        <v>493.98227954109774</v>
      </c>
      <c r="CE193" s="59">
        <f t="shared" si="148"/>
        <v>224.32736097997289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122.61167862712588</v>
      </c>
      <c r="CL193" s="21">
        <f>EXP(-LN(2)/25)*CL192+(1-EXP(-LN(2)/25))/(LN(2)/25)*Calculateur!CG193*Calculateur!CI193*VLOOKUP('Données projet'!$B$12,Paramètres!$A$1:$I$89,3,0)*0.475*44/12</f>
        <v>19.372395399711287</v>
      </c>
      <c r="CM193" s="21">
        <f>EXP(-LN(2)/2)*CM192+(1-EXP(-LN(2)/2))/(LN(2)/2)*CG193*CJ193*VLOOKUP('Données projet'!$B$12,Paramètres!$A$1:$I$89,3,0)*0.475*44/12</f>
        <v>0.69622657154224643</v>
      </c>
      <c r="CN193" s="22">
        <f t="shared" si="172"/>
        <v>142.6803005983794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7.9580786405131221E-13</v>
      </c>
      <c r="CU193" s="17">
        <f>CT193*VLOOKUP('Données projet'!$B$13,Paramètres!$A$1:$I$89,3,0)*VLOOKUP('Données projet'!$B$13,Paramètres!$A$1:$I$89,5,0)</f>
        <v>7.572907634312286E-13</v>
      </c>
      <c r="CV193" s="13">
        <f t="shared" si="173"/>
        <v>8.9881135648416407E-12</v>
      </c>
      <c r="CW193" s="20">
        <f t="shared" si="174"/>
        <v>1.6973245871741914E-11</v>
      </c>
      <c r="CX193" s="59">
        <f t="shared" si="122"/>
        <v>292.5419379207749</v>
      </c>
      <c r="CY193" s="59">
        <f ca="1">AVERAGE(OFFSET($CX$3,0,0,'Données projet'!$E$13+1,1))-AVERAGE(OFFSET($H$3,0,0,'Données projet'!$E$13+1,1))</f>
        <v>677.13548994240728</v>
      </c>
      <c r="CZ193" s="59">
        <f t="shared" si="150"/>
        <v>298.72429542440534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141.11910181612595</v>
      </c>
      <c r="DG193" s="21">
        <f>EXP(-LN(2)/25)*DG192+(1-EXP(-LN(2)/25))/(LN(2)/25)*Calculateur!DB193*Calculateur!DD193*VLOOKUP('Données projet'!$B$13,Paramètres!$A$1:$I$89,3,0)*0.475*44/12</f>
        <v>22.296530554384681</v>
      </c>
      <c r="DH193" s="21">
        <f>EXP(-LN(2)/2)*DH192+(1-EXP(-LN(2)/2))/(LN(2)/2)*DB193*DE193*VLOOKUP('Données projet'!$B$13,Paramètres!$A$1:$I$89,3,0)*0.475*44/12</f>
        <v>0.98767025265295427</v>
      </c>
      <c r="DI193" s="22">
        <f t="shared" si="175"/>
        <v>164.40330262316357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69.78416488747942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1.2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4.3999999999999995</v>
      </c>
      <c r="H194" s="67">
        <f t="shared" si="110"/>
        <v>239.06666666666669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292.55566686188718</v>
      </c>
      <c r="S194" s="59">
        <f ca="1">AVERAGE(OFFSET($R$3,0,0,'Données projet'!$E$9+1,1))-AVERAGE(OFFSET($H$3,0,0,'Données projet'!$E$9+1,1))</f>
        <v>646.69588445509589</v>
      </c>
      <c r="T194" s="59">
        <f t="shared" si="142"/>
        <v>286.36346771084698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3.177547114319168E-13</v>
      </c>
      <c r="AK194" s="13">
        <f t="shared" si="164"/>
        <v>4.1725404435445377E-12</v>
      </c>
      <c r="AL194" s="20">
        <f t="shared" si="165"/>
        <v>7.820597394917325E-12</v>
      </c>
      <c r="AM194" s="59">
        <f t="shared" si="113"/>
        <v>292.55566686187882</v>
      </c>
      <c r="AN194" s="59">
        <f ca="1">AVERAGE(OFFSET($AM$3,0,0,'Données projet'!$E$10+1,1))-AVERAGE(OFFSET($H$3,0,0,'Données projet'!$E$10+1,1))</f>
        <v>391.55758836264408</v>
      </c>
      <c r="AO194" s="59">
        <f t="shared" si="144"/>
        <v>360.80727659978777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21.010461749385506</v>
      </c>
      <c r="AV194" s="21">
        <f>EXP(-LN(2)/25)*AV193+(1-EXP(-LN(2)/25))/(LN(2)/25)*Calculateur!AQ194*Calculateur!AS194*VLOOKUP('Données projet'!$B$10,Paramètres!$A$1:$I$89,3,0)*0.475*44/12</f>
        <v>2.6799998305431521</v>
      </c>
      <c r="AW194" s="21">
        <f>EXP(-LN(2)/2)*AW193+(1-EXP(-LN(2)/2))/(LN(2)/2)*AQ194*AT194*VLOOKUP('Données projet'!$B$10,Paramètres!$A$1:$I$89,3,0)*0.475*44/12</f>
        <v>4.6308849346962458E-17</v>
      </c>
      <c r="AX194" s="21">
        <f t="shared" si="166"/>
        <v>23.690461579928659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5.0249582272954292E-14</v>
      </c>
      <c r="BF194" s="13">
        <f t="shared" si="167"/>
        <v>8.1784820119191593E-13</v>
      </c>
      <c r="BG194" s="20">
        <f t="shared" si="168"/>
        <v>1.5119369728679821E-12</v>
      </c>
      <c r="BH194" s="59">
        <f t="shared" si="116"/>
        <v>292.55566686187251</v>
      </c>
      <c r="BI194" s="59">
        <f ca="1">AVERAGE(OFFSET($BH$3,0,0,'Données projet'!$E$11+1,1))-AVERAGE(OFFSET($H$3,0,0,'Données projet'!$E$11+1,1))</f>
        <v>400.11184625063709</v>
      </c>
      <c r="BJ194" s="59">
        <f t="shared" si="146"/>
        <v>340.02906159605971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22.935376596586689</v>
      </c>
      <c r="BQ194" s="21">
        <f>EXP(-LN(2)/25)*BQ193+(1-EXP(-LN(2)/25))/(LN(2)/25)*Calculateur!BL194*Calculateur!BN194*VLOOKUP('Données projet'!$B$11,Paramètres!$A$1:$I$89,3,0)*0.475*44/12</f>
        <v>3.3123107947745623</v>
      </c>
      <c r="BR194" s="21">
        <f>EXP(-LN(2)/2)*BR193+(1-EXP(-LN(2)/2))/(LN(2)/2)*BL194*BO194*VLOOKUP('Données projet'!$B$11,Paramètres!$A$1:$I$89,3,0)*0.475*44/12</f>
        <v>1.54269220933235E-15</v>
      </c>
      <c r="BS194" s="22">
        <f t="shared" si="169"/>
        <v>26.24768739136125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7.9580786405131221E-13</v>
      </c>
      <c r="BZ194" s="13">
        <f>BY194*VLOOKUP('Données projet'!$B$12,Paramètres!$A$1:$I$89,3,0)*VLOOKUP('Données projet'!$B$12,Paramètres!$A$1:$I$89,5,0)</f>
        <v>5.338279152056202E-13</v>
      </c>
      <c r="CA194" s="13">
        <f t="shared" si="170"/>
        <v>6.5990867302231702E-12</v>
      </c>
      <c r="CB194" s="20">
        <f t="shared" si="171"/>
        <v>1.242315967412181E-11</v>
      </c>
      <c r="CC194" s="59">
        <f t="shared" si="119"/>
        <v>292.55566686188342</v>
      </c>
      <c r="CD194" s="59">
        <f ca="1">AVERAGE(OFFSET($CC$3,0,0,'Données projet'!$E$12+1,1))-AVERAGE(OFFSET($H$3,0,0,'Données projet'!$E$12+1,1))</f>
        <v>493.98227954109774</v>
      </c>
      <c r="CE194" s="59">
        <f t="shared" si="148"/>
        <v>224.32736097997289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120.20733839498743</v>
      </c>
      <c r="CL194" s="21">
        <f>EXP(-LN(2)/25)*CL193+(1-EXP(-LN(2)/25))/(LN(2)/25)*Calculateur!CG194*Calculateur!CI194*VLOOKUP('Données projet'!$B$12,Paramètres!$A$1:$I$89,3,0)*0.475*44/12</f>
        <v>18.842656228756184</v>
      </c>
      <c r="CM194" s="21">
        <f>EXP(-LN(2)/2)*CM193+(1-EXP(-LN(2)/2))/(LN(2)/2)*CG194*CJ194*VLOOKUP('Données projet'!$B$12,Paramètres!$A$1:$I$89,3,0)*0.475*44/12</f>
        <v>0.49230652997978347</v>
      </c>
      <c r="CN194" s="22">
        <f t="shared" si="172"/>
        <v>139.54230115372337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7.9580786405131221E-13</v>
      </c>
      <c r="CU194" s="17">
        <f>CT194*VLOOKUP('Données projet'!$B$13,Paramètres!$A$1:$I$89,3,0)*VLOOKUP('Données projet'!$B$13,Paramètres!$A$1:$I$89,5,0)</f>
        <v>7.572907634312286E-13</v>
      </c>
      <c r="CV194" s="13">
        <f t="shared" si="173"/>
        <v>8.9881135648416407E-12</v>
      </c>
      <c r="CW194" s="20">
        <f t="shared" si="174"/>
        <v>1.6973245871741914E-11</v>
      </c>
      <c r="CX194" s="59">
        <f t="shared" si="122"/>
        <v>292.55566686188797</v>
      </c>
      <c r="CY194" s="59">
        <f ca="1">AVERAGE(OFFSET($CX$3,0,0,'Données projet'!$E$13+1,1))-AVERAGE(OFFSET($H$3,0,0,'Données projet'!$E$13+1,1))</f>
        <v>677.13548994240728</v>
      </c>
      <c r="CZ194" s="59">
        <f t="shared" si="150"/>
        <v>298.72429542440534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138.35184230366471</v>
      </c>
      <c r="DG194" s="21">
        <f>EXP(-LN(2)/25)*DG193+(1-EXP(-LN(2)/25))/(LN(2)/25)*Calculateur!DB194*Calculateur!DD194*VLOOKUP('Données projet'!$B$13,Paramètres!$A$1:$I$89,3,0)*0.475*44/12</f>
        <v>21.686830753851449</v>
      </c>
      <c r="DH194" s="21">
        <f>EXP(-LN(2)/2)*DH193+(1-EXP(-LN(2)/2))/(LN(2)/2)*DB194*DE194*VLOOKUP('Données projet'!$B$13,Paramètres!$A$1:$I$89,3,0)*0.475*44/12</f>
        <v>0.69838833322713467</v>
      </c>
      <c r="DI194" s="22">
        <f t="shared" si="175"/>
        <v>160.73706139074329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69.787909144146624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1.2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4.3999999999999995</v>
      </c>
      <c r="H195" s="67">
        <f t="shared" si="110"/>
        <v>239.06666666666669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292.56915763656531</v>
      </c>
      <c r="S195" s="59">
        <f ca="1">AVERAGE(OFFSET($R$3,0,0,'Données projet'!$E$9+1,1))-AVERAGE(OFFSET($H$3,0,0,'Données projet'!$E$9+1,1))</f>
        <v>646.69588445509589</v>
      </c>
      <c r="T195" s="59">
        <f t="shared" si="142"/>
        <v>286.36346771084698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3.177547114319168E-13</v>
      </c>
      <c r="AK195" s="13">
        <f t="shared" si="164"/>
        <v>4.1725404435445377E-12</v>
      </c>
      <c r="AL195" s="20">
        <f t="shared" si="165"/>
        <v>7.820597394917325E-12</v>
      </c>
      <c r="AM195" s="59">
        <f t="shared" si="113"/>
        <v>292.56915763655695</v>
      </c>
      <c r="AN195" s="59">
        <f ca="1">AVERAGE(OFFSET($AM$3,0,0,'Données projet'!$E$10+1,1))-AVERAGE(OFFSET($H$3,0,0,'Données projet'!$E$10+1,1))</f>
        <v>391.55758836264408</v>
      </c>
      <c r="AO195" s="59">
        <f t="shared" si="144"/>
        <v>360.80727659978777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20.598459409596337</v>
      </c>
      <c r="AV195" s="21">
        <f>EXP(-LN(2)/25)*AV194+(1-EXP(-LN(2)/25))/(LN(2)/25)*Calculateur!AQ195*Calculateur!AS195*VLOOKUP('Données projet'!$B$10,Paramètres!$A$1:$I$89,3,0)*0.475*44/12</f>
        <v>2.6067150942418835</v>
      </c>
      <c r="AW195" s="21">
        <f>EXP(-LN(2)/2)*AW194+(1-EXP(-LN(2)/2))/(LN(2)/2)*AQ195*AT195*VLOOKUP('Données projet'!$B$10,Paramètres!$A$1:$I$89,3,0)*0.475*44/12</f>
        <v>3.2745301402183376E-17</v>
      </c>
      <c r="AX195" s="21">
        <f t="shared" si="166"/>
        <v>23.205174503838222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5.0249582272954292E-14</v>
      </c>
      <c r="BF195" s="13">
        <f t="shared" si="167"/>
        <v>8.1784820119191593E-13</v>
      </c>
      <c r="BG195" s="20">
        <f t="shared" si="168"/>
        <v>1.5119369728679821E-12</v>
      </c>
      <c r="BH195" s="59">
        <f t="shared" si="116"/>
        <v>292.56915763655064</v>
      </c>
      <c r="BI195" s="59">
        <f ca="1">AVERAGE(OFFSET($BH$3,0,0,'Données projet'!$E$11+1,1))-AVERAGE(OFFSET($H$3,0,0,'Données projet'!$E$11+1,1))</f>
        <v>400.11184625063709</v>
      </c>
      <c r="BJ195" s="59">
        <f t="shared" si="146"/>
        <v>340.02906159605971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22.485627850726029</v>
      </c>
      <c r="BQ195" s="21">
        <f>EXP(-LN(2)/25)*BQ194+(1-EXP(-LN(2)/25))/(LN(2)/25)*Calculateur!BL195*Calculateur!BN195*VLOOKUP('Données projet'!$B$11,Paramètres!$A$1:$I$89,3,0)*0.475*44/12</f>
        <v>3.2217354819045974</v>
      </c>
      <c r="BR195" s="21">
        <f>EXP(-LN(2)/2)*BR194+(1-EXP(-LN(2)/2))/(LN(2)/2)*BL195*BO195*VLOOKUP('Données projet'!$B$11,Paramètres!$A$1:$I$89,3,0)*0.475*44/12</f>
        <v>1.0908481225025615E-15</v>
      </c>
      <c r="BS195" s="22">
        <f t="shared" si="169"/>
        <v>25.707363332630628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7.9580786405131221E-13</v>
      </c>
      <c r="BZ195" s="13">
        <f>BY195*VLOOKUP('Données projet'!$B$12,Paramètres!$A$1:$I$89,3,0)*VLOOKUP('Données projet'!$B$12,Paramètres!$A$1:$I$89,5,0)</f>
        <v>5.338279152056202E-13</v>
      </c>
      <c r="CA195" s="13">
        <f t="shared" si="170"/>
        <v>6.5990867302231702E-12</v>
      </c>
      <c r="CB195" s="20">
        <f t="shared" si="171"/>
        <v>1.242315967412181E-11</v>
      </c>
      <c r="CC195" s="59">
        <f t="shared" si="119"/>
        <v>292.56915763656156</v>
      </c>
      <c r="CD195" s="59">
        <f ca="1">AVERAGE(OFFSET($CC$3,0,0,'Données projet'!$E$12+1,1))-AVERAGE(OFFSET($H$3,0,0,'Données projet'!$E$12+1,1))</f>
        <v>493.98227954109774</v>
      </c>
      <c r="CE195" s="59">
        <f t="shared" si="148"/>
        <v>224.32736097997289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117.85014580829848</v>
      </c>
      <c r="CL195" s="21">
        <f>EXP(-LN(2)/25)*CL194+(1-EXP(-LN(2)/25))/(LN(2)/25)*Calculateur!CG195*Calculateur!CI195*VLOOKUP('Données projet'!$B$12,Paramètres!$A$1:$I$89,3,0)*0.475*44/12</f>
        <v>18.327402803288621</v>
      </c>
      <c r="CM195" s="21">
        <f>EXP(-LN(2)/2)*CM194+(1-EXP(-LN(2)/2))/(LN(2)/2)*CG195*CJ195*VLOOKUP('Données projet'!$B$12,Paramètres!$A$1:$I$89,3,0)*0.475*44/12</f>
        <v>0.34811328577112327</v>
      </c>
      <c r="CN195" s="22">
        <f t="shared" si="172"/>
        <v>136.52566189735822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7.9580786405131221E-13</v>
      </c>
      <c r="CU195" s="17">
        <f>CT195*VLOOKUP('Données projet'!$B$13,Paramètres!$A$1:$I$89,3,0)*VLOOKUP('Données projet'!$B$13,Paramètres!$A$1:$I$89,5,0)</f>
        <v>7.572907634312286E-13</v>
      </c>
      <c r="CV195" s="13">
        <f t="shared" si="173"/>
        <v>8.9881135648416407E-12</v>
      </c>
      <c r="CW195" s="20">
        <f t="shared" si="174"/>
        <v>1.6973245871741914E-11</v>
      </c>
      <c r="CX195" s="59">
        <f t="shared" si="122"/>
        <v>292.5691576365661</v>
      </c>
      <c r="CY195" s="59">
        <f ca="1">AVERAGE(OFFSET($CX$3,0,0,'Données projet'!$E$13+1,1))-AVERAGE(OFFSET($H$3,0,0,'Données projet'!$E$13+1,1))</f>
        <v>677.13548994240728</v>
      </c>
      <c r="CZ195" s="59">
        <f t="shared" si="150"/>
        <v>298.72429542440534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135.63884706238119</v>
      </c>
      <c r="DG195" s="21">
        <f>EXP(-LN(2)/25)*DG194+(1-EXP(-LN(2)/25))/(LN(2)/25)*Calculateur!DB195*Calculateur!DD195*VLOOKUP('Données projet'!$B$13,Paramètres!$A$1:$I$89,3,0)*0.475*44/12</f>
        <v>21.09380322642652</v>
      </c>
      <c r="DH195" s="21">
        <f>EXP(-LN(2)/2)*DH194+(1-EXP(-LN(2)/2))/(LN(2)/2)*DB195*DE195*VLOOKUP('Données projet'!$B$13,Paramètres!$A$1:$I$89,3,0)*0.475*44/12</f>
        <v>0.49383512632647719</v>
      </c>
      <c r="DI195" s="22">
        <f t="shared" si="175"/>
        <v>157.22648541513419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69.791588446331573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1.2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4.3999999999999995</v>
      </c>
      <c r="H196" s="67">
        <f t="shared" ref="H196:H203" si="192">(B196+E196+F196)*44/12+(C196+D196)*0.475*44/12</f>
        <v>239.06666666666669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292.58241437646359</v>
      </c>
      <c r="S196" s="59">
        <f ca="1">AVERAGE(OFFSET($R$3,0,0,'Données projet'!$E$9+1,1))-AVERAGE(OFFSET($H$3,0,0,'Données projet'!$E$9+1,1))</f>
        <v>646.69588445509589</v>
      </c>
      <c r="T196" s="59">
        <f t="shared" si="142"/>
        <v>286.36346771084698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3.177547114319168E-13</v>
      </c>
      <c r="AK196" s="13">
        <f t="shared" si="164"/>
        <v>4.1725404435445377E-12</v>
      </c>
      <c r="AL196" s="20">
        <f t="shared" si="165"/>
        <v>7.820597394917325E-12</v>
      </c>
      <c r="AM196" s="59">
        <f t="shared" ref="AM196:AM203" si="193">AL196+(AD196+AE196)*44/12</f>
        <v>292.58241437645523</v>
      </c>
      <c r="AN196" s="59">
        <f ca="1">AVERAGE(OFFSET($AM$3,0,0,'Données projet'!$E$10+1,1))-AVERAGE(OFFSET($H$3,0,0,'Données projet'!$E$10+1,1))</f>
        <v>391.55758836264408</v>
      </c>
      <c r="AO196" s="59">
        <f t="shared" si="144"/>
        <v>360.80727659978777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20.194536184393819</v>
      </c>
      <c r="AV196" s="21">
        <f>EXP(-LN(2)/25)*AV195+(1-EXP(-LN(2)/25))/(LN(2)/25)*Calculateur!AQ196*Calculateur!AS196*VLOOKUP('Données projet'!$B$10,Paramètres!$A$1:$I$89,3,0)*0.475*44/12</f>
        <v>2.5354343329086499</v>
      </c>
      <c r="AW196" s="21">
        <f>EXP(-LN(2)/2)*AW195+(1-EXP(-LN(2)/2))/(LN(2)/2)*AQ196*AT196*VLOOKUP('Données projet'!$B$10,Paramètres!$A$1:$I$89,3,0)*0.475*44/12</f>
        <v>2.3154424673481229E-17</v>
      </c>
      <c r="AX196" s="21">
        <f t="shared" si="166"/>
        <v>22.729970517302469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5.0249582272954292E-14</v>
      </c>
      <c r="BF196" s="13">
        <f t="shared" si="167"/>
        <v>8.1784820119191593E-13</v>
      </c>
      <c r="BG196" s="20">
        <f t="shared" si="168"/>
        <v>1.5119369728679821E-12</v>
      </c>
      <c r="BH196" s="59">
        <f t="shared" ref="BH196:BH203" si="194">BG196+(AY196+AZ196)*44/12</f>
        <v>292.58241437644892</v>
      </c>
      <c r="BI196" s="59">
        <f ca="1">AVERAGE(OFFSET($BH$3,0,0,'Données projet'!$E$11+1,1))-AVERAGE(OFFSET($H$3,0,0,'Données projet'!$E$11+1,1))</f>
        <v>400.11184625063709</v>
      </c>
      <c r="BJ196" s="59">
        <f t="shared" si="146"/>
        <v>340.02906159605971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22.044698403452049</v>
      </c>
      <c r="BQ196" s="21">
        <f>EXP(-LN(2)/25)*BQ195+(1-EXP(-LN(2)/25))/(LN(2)/25)*Calculateur!BL196*Calculateur!BN196*VLOOKUP('Données projet'!$B$11,Paramètres!$A$1:$I$89,3,0)*0.475*44/12</f>
        <v>3.1336369557282104</v>
      </c>
      <c r="BR196" s="21">
        <f>EXP(-LN(2)/2)*BR195+(1-EXP(-LN(2)/2))/(LN(2)/2)*BL196*BO196*VLOOKUP('Données projet'!$B$11,Paramètres!$A$1:$I$89,3,0)*0.475*44/12</f>
        <v>7.7134610466617498E-16</v>
      </c>
      <c r="BS196" s="22">
        <f t="shared" si="169"/>
        <v>25.178335359180259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7.9580786405131221E-13</v>
      </c>
      <c r="BZ196" s="13">
        <f>BY196*VLOOKUP('Données projet'!$B$12,Paramètres!$A$1:$I$89,3,0)*VLOOKUP('Données projet'!$B$12,Paramètres!$A$1:$I$89,5,0)</f>
        <v>5.338279152056202E-13</v>
      </c>
      <c r="CA196" s="13">
        <f t="shared" si="170"/>
        <v>6.5990867302231702E-12</v>
      </c>
      <c r="CB196" s="20">
        <f t="shared" si="171"/>
        <v>1.242315967412181E-11</v>
      </c>
      <c r="CC196" s="59">
        <f t="shared" ref="CC196:CC203" si="195">CB196+(BT196+BU196)*44/12</f>
        <v>292.58241437645984</v>
      </c>
      <c r="CD196" s="59">
        <f ca="1">AVERAGE(OFFSET($CC$3,0,0,'Données projet'!$E$12+1,1))-AVERAGE(OFFSET($H$3,0,0,'Données projet'!$E$12+1,1))</f>
        <v>493.98227954109774</v>
      </c>
      <c r="CE196" s="59">
        <f t="shared" si="148"/>
        <v>224.32736097997289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115.53917633048898</v>
      </c>
      <c r="CL196" s="21">
        <f>EXP(-LN(2)/25)*CL195+(1-EXP(-LN(2)/25))/(LN(2)/25)*Calculateur!CG196*Calculateur!CI196*VLOOKUP('Données projet'!$B$12,Paramètres!$A$1:$I$89,3,0)*0.475*44/12</f>
        <v>17.826239009836467</v>
      </c>
      <c r="CM196" s="21">
        <f>EXP(-LN(2)/2)*CM195+(1-EXP(-LN(2)/2))/(LN(2)/2)*CG196*CJ196*VLOOKUP('Données projet'!$B$12,Paramètres!$A$1:$I$89,3,0)*0.475*44/12</f>
        <v>0.24615326498989176</v>
      </c>
      <c r="CN196" s="22">
        <f t="shared" si="172"/>
        <v>133.61156860531534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7.9580786405131221E-13</v>
      </c>
      <c r="CU196" s="17">
        <f>CT196*VLOOKUP('Données projet'!$B$13,Paramètres!$A$1:$I$89,3,0)*VLOOKUP('Données projet'!$B$13,Paramètres!$A$1:$I$89,5,0)</f>
        <v>7.572907634312286E-13</v>
      </c>
      <c r="CV196" s="13">
        <f t="shared" si="173"/>
        <v>8.9881135648416407E-12</v>
      </c>
      <c r="CW196" s="20">
        <f t="shared" si="174"/>
        <v>1.6973245871741914E-11</v>
      </c>
      <c r="CX196" s="59">
        <f t="shared" ref="CX196:CX203" si="196">CW196+(CO196+CP196)*44/12</f>
        <v>292.58241437646438</v>
      </c>
      <c r="CY196" s="59">
        <f ca="1">AVERAGE(OFFSET($CX$3,0,0,'Données projet'!$E$13+1,1))-AVERAGE(OFFSET($H$3,0,0,'Données projet'!$E$13+1,1))</f>
        <v>677.13548994240728</v>
      </c>
      <c r="CZ196" s="59">
        <f t="shared" si="150"/>
        <v>298.72429542440534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132.97905200301554</v>
      </c>
      <c r="DG196" s="21">
        <f>EXP(-LN(2)/25)*DG195+(1-EXP(-LN(2)/25))/(LN(2)/25)*Calculateur!DB196*Calculateur!DD196*VLOOKUP('Données projet'!$B$13,Paramètres!$A$1:$I$89,3,0)*0.475*44/12</f>
        <v>20.516992067924985</v>
      </c>
      <c r="DH196" s="21">
        <f>EXP(-LN(2)/2)*DH195+(1-EXP(-LN(2)/2))/(LN(2)/2)*DB196*DE196*VLOOKUP('Données projet'!$B$13,Paramètres!$A$1:$I$89,3,0)*0.475*44/12</f>
        <v>0.34919416661356739</v>
      </c>
      <c r="DI196" s="22">
        <f t="shared" si="175"/>
        <v>153.84523823755407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69.795203920849289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1.2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4.3999999999999995</v>
      </c>
      <c r="H197" s="67">
        <f t="shared" si="192"/>
        <v>239.06666666666669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292.59544114156228</v>
      </c>
      <c r="S197" s="59">
        <f ca="1">AVERAGE(OFFSET($R$3,0,0,'Données projet'!$E$9+1,1))-AVERAGE(OFFSET($H$3,0,0,'Données projet'!$E$9+1,1))</f>
        <v>646.69588445509589</v>
      </c>
      <c r="T197" s="59">
        <f t="shared" ref="T197:T203" si="204">$T$3</f>
        <v>286.36346771084698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3.177547114319168E-13</v>
      </c>
      <c r="AK197" s="13">
        <f t="shared" si="164"/>
        <v>4.1725404435445377E-12</v>
      </c>
      <c r="AL197" s="20">
        <f t="shared" si="165"/>
        <v>7.820597394917325E-12</v>
      </c>
      <c r="AM197" s="59">
        <f t="shared" si="193"/>
        <v>292.59544114155392</v>
      </c>
      <c r="AN197" s="59">
        <f ca="1">AVERAGE(OFFSET($AM$3,0,0,'Données projet'!$E$10+1,1))-AVERAGE(OFFSET($H$3,0,0,'Données projet'!$E$10+1,1))</f>
        <v>391.55758836264408</v>
      </c>
      <c r="AO197" s="59">
        <f t="shared" ref="AO197:AO203" si="205">$AO$3</f>
        <v>360.80727659978777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19.79853364726868</v>
      </c>
      <c r="AV197" s="21">
        <f>EXP(-LN(2)/25)*AV196+(1-EXP(-LN(2)/25))/(LN(2)/25)*Calculateur!AQ197*Calculateur!AS197*VLOOKUP('Données projet'!$B$10,Paramètres!$A$1:$I$89,3,0)*0.475*44/12</f>
        <v>2.4661027477425663</v>
      </c>
      <c r="AW197" s="21">
        <f>EXP(-LN(2)/2)*AW196+(1-EXP(-LN(2)/2))/(LN(2)/2)*AQ197*AT197*VLOOKUP('Données projet'!$B$10,Paramètres!$A$1:$I$89,3,0)*0.475*44/12</f>
        <v>1.6372650701091688E-17</v>
      </c>
      <c r="AX197" s="21">
        <f t="shared" si="166"/>
        <v>22.264636395011248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5.0249582272954292E-14</v>
      </c>
      <c r="BF197" s="13">
        <f t="shared" si="167"/>
        <v>8.1784820119191593E-13</v>
      </c>
      <c r="BG197" s="20">
        <f t="shared" si="168"/>
        <v>1.5119369728679821E-12</v>
      </c>
      <c r="BH197" s="59">
        <f t="shared" si="194"/>
        <v>292.59544114154761</v>
      </c>
      <c r="BI197" s="59">
        <f ca="1">AVERAGE(OFFSET($BH$3,0,0,'Données projet'!$E$11+1,1))-AVERAGE(OFFSET($H$3,0,0,'Données projet'!$E$11+1,1))</f>
        <v>400.11184625063709</v>
      </c>
      <c r="BJ197" s="59">
        <f t="shared" ref="BJ197:BJ203" si="206">$BJ$3</f>
        <v>340.02906159605971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21.612415313698705</v>
      </c>
      <c r="BQ197" s="21">
        <f>EXP(-LN(2)/25)*BQ196+(1-EXP(-LN(2)/25))/(LN(2)/25)*Calculateur!BL197*Calculateur!BN197*VLOOKUP('Données projet'!$B$11,Paramètres!$A$1:$I$89,3,0)*0.475*44/12</f>
        <v>3.0479474883830169</v>
      </c>
      <c r="BR197" s="21">
        <f>EXP(-LN(2)/2)*BR196+(1-EXP(-LN(2)/2))/(LN(2)/2)*BL197*BO197*VLOOKUP('Données projet'!$B$11,Paramètres!$A$1:$I$89,3,0)*0.475*44/12</f>
        <v>5.4542406125128077E-16</v>
      </c>
      <c r="BS197" s="22">
        <f t="shared" si="169"/>
        <v>24.660362802081721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7.9580786405131221E-13</v>
      </c>
      <c r="BZ197" s="13">
        <f>BY197*VLOOKUP('Données projet'!$B$12,Paramètres!$A$1:$I$89,3,0)*VLOOKUP('Données projet'!$B$12,Paramètres!$A$1:$I$89,5,0)</f>
        <v>5.338279152056202E-13</v>
      </c>
      <c r="CA197" s="13">
        <f t="shared" si="170"/>
        <v>6.5990867302231702E-12</v>
      </c>
      <c r="CB197" s="20">
        <f t="shared" si="171"/>
        <v>1.242315967412181E-11</v>
      </c>
      <c r="CC197" s="59">
        <f t="shared" si="195"/>
        <v>292.59544114155852</v>
      </c>
      <c r="CD197" s="59">
        <f ca="1">AVERAGE(OFFSET($CC$3,0,0,'Données projet'!$E$12+1,1))-AVERAGE(OFFSET($H$3,0,0,'Données projet'!$E$12+1,1))</f>
        <v>493.98227954109774</v>
      </c>
      <c r="CE197" s="59">
        <f t="shared" ref="CE197:CE203" si="207">$CE$3</f>
        <v>224.32736097997289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113.27352355458713</v>
      </c>
      <c r="CL197" s="21">
        <f>EXP(-LN(2)/25)*CL196+(1-EXP(-LN(2)/25))/(LN(2)/25)*Calculateur!CG197*Calculateur!CI197*VLOOKUP('Données projet'!$B$12,Paramètres!$A$1:$I$89,3,0)*0.475*44/12</f>
        <v>17.33877956667132</v>
      </c>
      <c r="CM197" s="21">
        <f>EXP(-LN(2)/2)*CM196+(1-EXP(-LN(2)/2))/(LN(2)/2)*CG197*CJ197*VLOOKUP('Données projet'!$B$12,Paramètres!$A$1:$I$89,3,0)*0.475*44/12</f>
        <v>0.17405664288556166</v>
      </c>
      <c r="CN197" s="22">
        <f t="shared" si="172"/>
        <v>130.78635976414401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7.9580786405131221E-13</v>
      </c>
      <c r="CU197" s="17">
        <f>CT197*VLOOKUP('Données projet'!$B$13,Paramètres!$A$1:$I$89,3,0)*VLOOKUP('Données projet'!$B$13,Paramètres!$A$1:$I$89,5,0)</f>
        <v>7.572907634312286E-13</v>
      </c>
      <c r="CV197" s="13">
        <f t="shared" si="173"/>
        <v>8.9881135648416407E-12</v>
      </c>
      <c r="CW197" s="20">
        <f t="shared" si="174"/>
        <v>1.6973245871741914E-11</v>
      </c>
      <c r="CX197" s="59">
        <f t="shared" si="196"/>
        <v>292.59544114156307</v>
      </c>
      <c r="CY197" s="59">
        <f ca="1">AVERAGE(OFFSET($CX$3,0,0,'Données projet'!$E$13+1,1))-AVERAGE(OFFSET($H$3,0,0,'Données projet'!$E$13+1,1))</f>
        <v>677.13548994240728</v>
      </c>
      <c r="CZ197" s="59">
        <f t="shared" ref="CZ197:CZ203" si="208">$CZ$3</f>
        <v>298.72429542440534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130.37141390244926</v>
      </c>
      <c r="DG197" s="21">
        <f>EXP(-LN(2)/25)*DG196+(1-EXP(-LN(2)/25))/(LN(2)/25)*Calculateur!DB197*Calculateur!DD197*VLOOKUP('Données projet'!$B$13,Paramètres!$A$1:$I$89,3,0)*0.475*44/12</f>
        <v>19.955953840885854</v>
      </c>
      <c r="DH197" s="21">
        <f>EXP(-LN(2)/2)*DH196+(1-EXP(-LN(2)/2))/(LN(2)/2)*DB197*DE197*VLOOKUP('Données projet'!$B$13,Paramètres!$A$1:$I$89,3,0)*0.475*44/12</f>
        <v>0.24691756316323862</v>
      </c>
      <c r="DI197" s="22">
        <f t="shared" si="175"/>
        <v>150.57428530649835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69.798756674967109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1.2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4.3999999999999995</v>
      </c>
      <c r="H198" s="67">
        <f t="shared" si="192"/>
        <v>239.06666666666669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292.60824192140996</v>
      </c>
      <c r="S198" s="59">
        <f ca="1">AVERAGE(OFFSET($R$3,0,0,'Données projet'!$E$9+1,1))-AVERAGE(OFFSET($H$3,0,0,'Données projet'!$E$9+1,1))</f>
        <v>646.69588445509589</v>
      </c>
      <c r="T198" s="59">
        <f t="shared" si="204"/>
        <v>286.36346771084698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3.177547114319168E-13</v>
      </c>
      <c r="AK198" s="13">
        <f t="shared" si="164"/>
        <v>4.1725404435445377E-12</v>
      </c>
      <c r="AL198" s="20">
        <f t="shared" si="165"/>
        <v>7.820597394917325E-12</v>
      </c>
      <c r="AM198" s="59">
        <f t="shared" si="193"/>
        <v>292.6082419214016</v>
      </c>
      <c r="AN198" s="59">
        <f ca="1">AVERAGE(OFFSET($AM$3,0,0,'Données projet'!$E$10+1,1))-AVERAGE(OFFSET($H$3,0,0,'Données projet'!$E$10+1,1))</f>
        <v>391.55758836264408</v>
      </c>
      <c r="AO198" s="59">
        <f t="shared" si="205"/>
        <v>360.80727659978777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19.41029647835887</v>
      </c>
      <c r="AV198" s="21">
        <f>EXP(-LN(2)/25)*AV197+(1-EXP(-LN(2)/25))/(LN(2)/25)*Calculateur!AQ198*Calculateur!AS198*VLOOKUP('Données projet'!$B$10,Paramètres!$A$1:$I$89,3,0)*0.475*44/12</f>
        <v>2.3986670384188389</v>
      </c>
      <c r="AW198" s="21">
        <f>EXP(-LN(2)/2)*AW197+(1-EXP(-LN(2)/2))/(LN(2)/2)*AQ198*AT198*VLOOKUP('Données projet'!$B$10,Paramètres!$A$1:$I$89,3,0)*0.475*44/12</f>
        <v>1.1577212336740615E-17</v>
      </c>
      <c r="AX198" s="21">
        <f t="shared" si="166"/>
        <v>21.808963516777709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5.0249582272954292E-14</v>
      </c>
      <c r="BF198" s="13">
        <f t="shared" si="167"/>
        <v>8.1784820119191593E-13</v>
      </c>
      <c r="BG198" s="20">
        <f t="shared" si="168"/>
        <v>1.5119369728679821E-12</v>
      </c>
      <c r="BH198" s="59">
        <f t="shared" si="194"/>
        <v>292.60824192139529</v>
      </c>
      <c r="BI198" s="59">
        <f ca="1">AVERAGE(OFFSET($BH$3,0,0,'Données projet'!$E$11+1,1))-AVERAGE(OFFSET($H$3,0,0,'Données projet'!$E$11+1,1))</f>
        <v>400.11184625063709</v>
      </c>
      <c r="BJ198" s="59">
        <f t="shared" si="206"/>
        <v>340.02906159605971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21.188609031668772</v>
      </c>
      <c r="BQ198" s="21">
        <f>EXP(-LN(2)/25)*BQ197+(1-EXP(-LN(2)/25))/(LN(2)/25)*Calculateur!BL198*Calculateur!BN198*VLOOKUP('Données projet'!$B$11,Paramètres!$A$1:$I$89,3,0)*0.475*44/12</f>
        <v>2.964601204028591</v>
      </c>
      <c r="BR198" s="21">
        <f>EXP(-LN(2)/2)*BR197+(1-EXP(-LN(2)/2))/(LN(2)/2)*BL198*BO198*VLOOKUP('Données projet'!$B$11,Paramètres!$A$1:$I$89,3,0)*0.475*44/12</f>
        <v>3.8567305233308749E-16</v>
      </c>
      <c r="BS198" s="22">
        <f t="shared" si="169"/>
        <v>24.153210235697362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7.9580786405131221E-13</v>
      </c>
      <c r="BZ198" s="13">
        <f>BY198*VLOOKUP('Données projet'!$B$12,Paramètres!$A$1:$I$89,3,0)*VLOOKUP('Données projet'!$B$12,Paramètres!$A$1:$I$89,5,0)</f>
        <v>5.338279152056202E-13</v>
      </c>
      <c r="CA198" s="13">
        <f t="shared" si="170"/>
        <v>6.5990867302231702E-12</v>
      </c>
      <c r="CB198" s="20">
        <f t="shared" si="171"/>
        <v>1.242315967412181E-11</v>
      </c>
      <c r="CC198" s="59">
        <f t="shared" si="195"/>
        <v>292.6082419214062</v>
      </c>
      <c r="CD198" s="59">
        <f ca="1">AVERAGE(OFFSET($CC$3,0,0,'Données projet'!$E$12+1,1))-AVERAGE(OFFSET($H$3,0,0,'Données projet'!$E$12+1,1))</f>
        <v>493.98227954109774</v>
      </c>
      <c r="CE198" s="59">
        <f t="shared" si="207"/>
        <v>224.32736097997289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111.05229884770897</v>
      </c>
      <c r="CL198" s="21">
        <f>EXP(-LN(2)/25)*CL197+(1-EXP(-LN(2)/25))/(LN(2)/25)*Calculateur!CG198*Calculateur!CI198*VLOOKUP('Données projet'!$B$12,Paramètres!$A$1:$I$89,3,0)*0.475*44/12</f>
        <v>16.864649727613905</v>
      </c>
      <c r="CM198" s="21">
        <f>EXP(-LN(2)/2)*CM197+(1-EXP(-LN(2)/2))/(LN(2)/2)*CG198*CJ198*VLOOKUP('Données projet'!$B$12,Paramètres!$A$1:$I$89,3,0)*0.475*44/12</f>
        <v>0.12307663249494591</v>
      </c>
      <c r="CN198" s="22">
        <f t="shared" si="172"/>
        <v>128.04002520781782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7.9580786405131221E-13</v>
      </c>
      <c r="CU198" s="17">
        <f>CT198*VLOOKUP('Données projet'!$B$13,Paramètres!$A$1:$I$89,3,0)*VLOOKUP('Données projet'!$B$13,Paramètres!$A$1:$I$89,5,0)</f>
        <v>7.572907634312286E-13</v>
      </c>
      <c r="CV198" s="13">
        <f t="shared" si="173"/>
        <v>8.9881135648416407E-12</v>
      </c>
      <c r="CW198" s="20">
        <f t="shared" si="174"/>
        <v>1.6973245871741914E-11</v>
      </c>
      <c r="CX198" s="59">
        <f t="shared" si="196"/>
        <v>292.60824192141075</v>
      </c>
      <c r="CY198" s="59">
        <f ca="1">AVERAGE(OFFSET($CX$3,0,0,'Données projet'!$E$13+1,1))-AVERAGE(OFFSET($H$3,0,0,'Données projet'!$E$13+1,1))</f>
        <v>677.13548994240728</v>
      </c>
      <c r="CZ198" s="59">
        <f t="shared" si="208"/>
        <v>298.72429542440534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127.8149099945329</v>
      </c>
      <c r="DG198" s="21">
        <f>EXP(-LN(2)/25)*DG197+(1-EXP(-LN(2)/25))/(LN(2)/25)*Calculateur!DB198*Calculateur!DD198*VLOOKUP('Données projet'!$B$13,Paramètres!$A$1:$I$89,3,0)*0.475*44/12</f>
        <v>19.41025723366883</v>
      </c>
      <c r="DH198" s="21">
        <f>EXP(-LN(2)/2)*DH197+(1-EXP(-LN(2)/2))/(LN(2)/2)*DB198*DE198*VLOOKUP('Données projet'!$B$13,Paramètres!$A$1:$I$89,3,0)*0.475*44/12</f>
        <v>0.17459708330678372</v>
      </c>
      <c r="DI198" s="22">
        <f t="shared" si="175"/>
        <v>147.39976431150851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69.802247796743757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1.2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4.3999999999999995</v>
      </c>
      <c r="H199" s="67">
        <f t="shared" si="192"/>
        <v>239.06666666666669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292.62082063634557</v>
      </c>
      <c r="S199" s="59">
        <f ca="1">AVERAGE(OFFSET($R$3,0,0,'Données projet'!$E$9+1,1))-AVERAGE(OFFSET($H$3,0,0,'Données projet'!$E$9+1,1))</f>
        <v>646.69588445509589</v>
      </c>
      <c r="T199" s="59">
        <f t="shared" si="204"/>
        <v>286.36346771084698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3.177547114319168E-13</v>
      </c>
      <c r="AK199" s="13">
        <f t="shared" si="164"/>
        <v>4.1725404435445377E-12</v>
      </c>
      <c r="AL199" s="20">
        <f t="shared" si="165"/>
        <v>7.820597394917325E-12</v>
      </c>
      <c r="AM199" s="59">
        <f t="shared" si="193"/>
        <v>292.62082063633721</v>
      </c>
      <c r="AN199" s="59">
        <f ca="1">AVERAGE(OFFSET($AM$3,0,0,'Données projet'!$E$10+1,1))-AVERAGE(OFFSET($H$3,0,0,'Données projet'!$E$10+1,1))</f>
        <v>391.55758836264408</v>
      </c>
      <c r="AO199" s="59">
        <f t="shared" si="205"/>
        <v>360.80727659978777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19.029672403530089</v>
      </c>
      <c r="AV199" s="21">
        <f>EXP(-LN(2)/25)*AV198+(1-EXP(-LN(2)/25))/(LN(2)/25)*Calculateur!AQ199*Calculateur!AS199*VLOOKUP('Données projet'!$B$10,Paramètres!$A$1:$I$89,3,0)*0.475*44/12</f>
        <v>2.3330753621128584</v>
      </c>
      <c r="AW199" s="21">
        <f>EXP(-LN(2)/2)*AW198+(1-EXP(-LN(2)/2))/(LN(2)/2)*AQ199*AT199*VLOOKUP('Données projet'!$B$10,Paramètres!$A$1:$I$89,3,0)*0.475*44/12</f>
        <v>8.1863253505458441E-18</v>
      </c>
      <c r="AX199" s="21">
        <f t="shared" si="166"/>
        <v>21.362747765642947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5.0249582272954292E-14</v>
      </c>
      <c r="BF199" s="13">
        <f t="shared" si="167"/>
        <v>8.1784820119191593E-13</v>
      </c>
      <c r="BG199" s="20">
        <f t="shared" si="168"/>
        <v>1.5119369728679821E-12</v>
      </c>
      <c r="BH199" s="59">
        <f t="shared" si="194"/>
        <v>292.6208206363309</v>
      </c>
      <c r="BI199" s="59">
        <f ca="1">AVERAGE(OFFSET($BH$3,0,0,'Données projet'!$E$11+1,1))-AVERAGE(OFFSET($H$3,0,0,'Données projet'!$E$11+1,1))</f>
        <v>400.11184625063709</v>
      </c>
      <c r="BJ199" s="59">
        <f t="shared" si="206"/>
        <v>340.02906159605971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20.773113332333139</v>
      </c>
      <c r="BQ199" s="21">
        <f>EXP(-LN(2)/25)*BQ198+(1-EXP(-LN(2)/25))/(LN(2)/25)*Calculateur!BL199*Calculateur!BN199*VLOOKUP('Données projet'!$B$11,Paramètres!$A$1:$I$89,3,0)*0.475*44/12</f>
        <v>2.8835340282028277</v>
      </c>
      <c r="BR199" s="21">
        <f>EXP(-LN(2)/2)*BR198+(1-EXP(-LN(2)/2))/(LN(2)/2)*BL199*BO199*VLOOKUP('Données projet'!$B$11,Paramètres!$A$1:$I$89,3,0)*0.475*44/12</f>
        <v>2.7271203062564038E-16</v>
      </c>
      <c r="BS199" s="22">
        <f t="shared" si="169"/>
        <v>23.656647360535967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7.9580786405131221E-13</v>
      </c>
      <c r="BZ199" s="13">
        <f>BY199*VLOOKUP('Données projet'!$B$12,Paramètres!$A$1:$I$89,3,0)*VLOOKUP('Données projet'!$B$12,Paramètres!$A$1:$I$89,5,0)</f>
        <v>5.338279152056202E-13</v>
      </c>
      <c r="CA199" s="13">
        <f t="shared" si="170"/>
        <v>6.5990867302231702E-12</v>
      </c>
      <c r="CB199" s="20">
        <f t="shared" si="171"/>
        <v>1.242315967412181E-11</v>
      </c>
      <c r="CC199" s="59">
        <f t="shared" si="195"/>
        <v>292.62082063634182</v>
      </c>
      <c r="CD199" s="59">
        <f ca="1">AVERAGE(OFFSET($CC$3,0,0,'Données projet'!$E$12+1,1))-AVERAGE(OFFSET($H$3,0,0,'Données projet'!$E$12+1,1))</f>
        <v>493.98227954109774</v>
      </c>
      <c r="CE199" s="59">
        <f t="shared" si="207"/>
        <v>224.32736097997289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108.87463100251939</v>
      </c>
      <c r="CL199" s="21">
        <f>EXP(-LN(2)/25)*CL198+(1-EXP(-LN(2)/25))/(LN(2)/25)*Calculateur!CG199*Calculateur!CI199*VLOOKUP('Données projet'!$B$12,Paramètres!$A$1:$I$89,3,0)*0.475*44/12</f>
        <v>16.403484993938918</v>
      </c>
      <c r="CM199" s="21">
        <f>EXP(-LN(2)/2)*CM198+(1-EXP(-LN(2)/2))/(LN(2)/2)*CG199*CJ199*VLOOKUP('Données projet'!$B$12,Paramètres!$A$1:$I$89,3,0)*0.475*44/12</f>
        <v>8.7028321442780845E-2</v>
      </c>
      <c r="CN199" s="22">
        <f t="shared" si="172"/>
        <v>125.3651443179011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7.9580786405131221E-13</v>
      </c>
      <c r="CU199" s="17">
        <f>CT199*VLOOKUP('Données projet'!$B$13,Paramètres!$A$1:$I$89,3,0)*VLOOKUP('Données projet'!$B$13,Paramètres!$A$1:$I$89,5,0)</f>
        <v>7.572907634312286E-13</v>
      </c>
      <c r="CV199" s="13">
        <f t="shared" si="173"/>
        <v>8.9881135648416407E-12</v>
      </c>
      <c r="CW199" s="20">
        <f t="shared" si="174"/>
        <v>1.6973245871741914E-11</v>
      </c>
      <c r="CX199" s="59">
        <f t="shared" si="196"/>
        <v>292.62082063634637</v>
      </c>
      <c r="CY199" s="59">
        <f ca="1">AVERAGE(OFFSET($CX$3,0,0,'Données projet'!$E$13+1,1))-AVERAGE(OFFSET($H$3,0,0,'Données projet'!$E$13+1,1))</f>
        <v>677.13548994240728</v>
      </c>
      <c r="CZ199" s="59">
        <f t="shared" si="208"/>
        <v>298.72429542440534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125.30853756893735</v>
      </c>
      <c r="DG199" s="21">
        <f>EXP(-LN(2)/25)*DG198+(1-EXP(-LN(2)/25))/(LN(2)/25)*Calculateur!DB199*Calculateur!DD199*VLOOKUP('Données projet'!$B$13,Paramètres!$A$1:$I$89,3,0)*0.475*44/12</f>
        <v>18.879482728873089</v>
      </c>
      <c r="DH199" s="21">
        <f>EXP(-LN(2)/2)*DH198+(1-EXP(-LN(2)/2))/(LN(2)/2)*DB199*DE199*VLOOKUP('Données projet'!$B$13,Paramètres!$A$1:$I$89,3,0)*0.475*44/12</f>
        <v>0.12345878158161934</v>
      </c>
      <c r="DI199" s="22">
        <f t="shared" si="175"/>
        <v>144.31147907939209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69.805678355362559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1.2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4.3999999999999995</v>
      </c>
      <c r="H200" s="67">
        <f t="shared" si="192"/>
        <v>239.06666666666669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292.63318113869889</v>
      </c>
      <c r="S200" s="59">
        <f ca="1">AVERAGE(OFFSET($R$3,0,0,'Données projet'!$E$9+1,1))-AVERAGE(OFFSET($H$3,0,0,'Données projet'!$E$9+1,1))</f>
        <v>646.69588445509589</v>
      </c>
      <c r="T200" s="59">
        <f t="shared" si="204"/>
        <v>286.36346771084698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3.177547114319168E-13</v>
      </c>
      <c r="AK200" s="13">
        <f t="shared" si="164"/>
        <v>4.1725404435445377E-12</v>
      </c>
      <c r="AL200" s="20">
        <f t="shared" si="165"/>
        <v>7.820597394917325E-12</v>
      </c>
      <c r="AM200" s="59">
        <f t="shared" si="193"/>
        <v>292.63318113869053</v>
      </c>
      <c r="AN200" s="59">
        <f ca="1">AVERAGE(OFFSET($AM$3,0,0,'Données projet'!$E$10+1,1))-AVERAGE(OFFSET($H$3,0,0,'Données projet'!$E$10+1,1))</f>
        <v>391.55758836264408</v>
      </c>
      <c r="AO200" s="59">
        <f t="shared" si="205"/>
        <v>360.80727659978777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18.656512134650939</v>
      </c>
      <c r="AV200" s="21">
        <f>EXP(-LN(2)/25)*AV199+(1-EXP(-LN(2)/25))/(LN(2)/25)*Calculateur!AQ200*Calculateur!AS200*VLOOKUP('Données projet'!$B$10,Paramètres!$A$1:$I$89,3,0)*0.475*44/12</f>
        <v>2.2692772936447811</v>
      </c>
      <c r="AW200" s="21">
        <f>EXP(-LN(2)/2)*AW199+(1-EXP(-LN(2)/2))/(LN(2)/2)*AQ200*AT200*VLOOKUP('Données projet'!$B$10,Paramètres!$A$1:$I$89,3,0)*0.475*44/12</f>
        <v>5.7886061683703073E-18</v>
      </c>
      <c r="AX200" s="21">
        <f t="shared" si="166"/>
        <v>20.925789428295719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5.0249582272954292E-14</v>
      </c>
      <c r="BF200" s="13">
        <f t="shared" si="167"/>
        <v>8.1784820119191593E-13</v>
      </c>
      <c r="BG200" s="20">
        <f t="shared" si="168"/>
        <v>1.5119369728679821E-12</v>
      </c>
      <c r="BH200" s="59">
        <f t="shared" si="194"/>
        <v>292.63318113868422</v>
      </c>
      <c r="BI200" s="59">
        <f ca="1">AVERAGE(OFFSET($BH$3,0,0,'Données projet'!$E$11+1,1))-AVERAGE(OFFSET($H$3,0,0,'Données projet'!$E$11+1,1))</f>
        <v>400.11184625063709</v>
      </c>
      <c r="BJ200" s="59">
        <f t="shared" si="206"/>
        <v>340.02906159605971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20.365765250234126</v>
      </c>
      <c r="BQ200" s="21">
        <f>EXP(-LN(2)/25)*BQ199+(1-EXP(-LN(2)/25))/(LN(2)/25)*Calculateur!BL200*Calculateur!BN200*VLOOKUP('Données projet'!$B$11,Paramètres!$A$1:$I$89,3,0)*0.475*44/12</f>
        <v>2.8046836385631573</v>
      </c>
      <c r="BR200" s="21">
        <f>EXP(-LN(2)/2)*BR199+(1-EXP(-LN(2)/2))/(LN(2)/2)*BL200*BO200*VLOOKUP('Données projet'!$B$11,Paramètres!$A$1:$I$89,3,0)*0.475*44/12</f>
        <v>1.9283652616654375E-16</v>
      </c>
      <c r="BS200" s="22">
        <f t="shared" si="169"/>
        <v>23.170448888797285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7.9580786405131221E-13</v>
      </c>
      <c r="BZ200" s="13">
        <f>BY200*VLOOKUP('Données projet'!$B$12,Paramètres!$A$1:$I$89,3,0)*VLOOKUP('Données projet'!$B$12,Paramètres!$A$1:$I$89,5,0)</f>
        <v>5.338279152056202E-13</v>
      </c>
      <c r="CA200" s="13">
        <f t="shared" si="170"/>
        <v>6.5990867302231702E-12</v>
      </c>
      <c r="CB200" s="20">
        <f t="shared" si="171"/>
        <v>1.242315967412181E-11</v>
      </c>
      <c r="CC200" s="59">
        <f t="shared" si="195"/>
        <v>292.63318113869514</v>
      </c>
      <c r="CD200" s="59">
        <f ca="1">AVERAGE(OFFSET($CC$3,0,0,'Données projet'!$E$12+1,1))-AVERAGE(OFFSET($H$3,0,0,'Données projet'!$E$12+1,1))</f>
        <v>493.98227954109774</v>
      </c>
      <c r="CE200" s="59">
        <f t="shared" si="207"/>
        <v>224.32736097997289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106.73966589552775</v>
      </c>
      <c r="CL200" s="21">
        <f>EXP(-LN(2)/25)*CL199+(1-EXP(-LN(2)/25))/(LN(2)/25)*Calculateur!CG200*Calculateur!CI200*VLOOKUP('Données projet'!$B$12,Paramètres!$A$1:$I$89,3,0)*0.475*44/12</f>
        <v>15.954930834157873</v>
      </c>
      <c r="CM200" s="21">
        <f>EXP(-LN(2)/2)*CM199+(1-EXP(-LN(2)/2))/(LN(2)/2)*CG200*CJ200*VLOOKUP('Données projet'!$B$12,Paramètres!$A$1:$I$89,3,0)*0.475*44/12</f>
        <v>6.1538316247472961E-2</v>
      </c>
      <c r="CN200" s="22">
        <f t="shared" si="172"/>
        <v>122.75613504593311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7.9580786405131221E-13</v>
      </c>
      <c r="CU200" s="17">
        <f>CT200*VLOOKUP('Données projet'!$B$13,Paramètres!$A$1:$I$89,3,0)*VLOOKUP('Données projet'!$B$13,Paramètres!$A$1:$I$89,5,0)</f>
        <v>7.572907634312286E-13</v>
      </c>
      <c r="CV200" s="13">
        <f t="shared" si="173"/>
        <v>8.9881135648416407E-12</v>
      </c>
      <c r="CW200" s="20">
        <f t="shared" si="174"/>
        <v>1.6973245871741914E-11</v>
      </c>
      <c r="CX200" s="59">
        <f t="shared" si="196"/>
        <v>292.63318113869968</v>
      </c>
      <c r="CY200" s="59">
        <f ca="1">AVERAGE(OFFSET($CX$3,0,0,'Données projet'!$E$13+1,1))-AVERAGE(OFFSET($H$3,0,0,'Données projet'!$E$13+1,1))</f>
        <v>677.13548994240728</v>
      </c>
      <c r="CZ200" s="59">
        <f t="shared" si="208"/>
        <v>298.72429542440534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122.85131357787151</v>
      </c>
      <c r="DG200" s="21">
        <f>EXP(-LN(2)/25)*DG199+(1-EXP(-LN(2)/25))/(LN(2)/25)*Calculateur!DB200*Calculateur!DD200*VLOOKUP('Données projet'!$B$13,Paramètres!$A$1:$I$89,3,0)*0.475*44/12</f>
        <v>18.363222280823209</v>
      </c>
      <c r="DH200" s="21">
        <f>EXP(-LN(2)/2)*DH199+(1-EXP(-LN(2)/2))/(LN(2)/2)*DB200*DE200*VLOOKUP('Données projet'!$B$13,Paramètres!$A$1:$I$89,3,0)*0.475*44/12</f>
        <v>8.7298541653391876E-2</v>
      </c>
      <c r="DI200" s="22">
        <f t="shared" si="175"/>
        <v>141.3018344003481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69.809049401458907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1.2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4.3999999999999995</v>
      </c>
      <c r="H201" s="67">
        <f t="shared" si="192"/>
        <v>239.06666666666669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292.64532721397029</v>
      </c>
      <c r="S201" s="59">
        <f ca="1">AVERAGE(OFFSET($R$3,0,0,'Données projet'!$E$9+1,1))-AVERAGE(OFFSET($H$3,0,0,'Données projet'!$E$9+1,1))</f>
        <v>646.69588445509589</v>
      </c>
      <c r="T201" s="59">
        <f t="shared" si="204"/>
        <v>286.36346771084698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3.177547114319168E-13</v>
      </c>
      <c r="AK201" s="13">
        <f t="shared" si="164"/>
        <v>4.1725404435445377E-12</v>
      </c>
      <c r="AL201" s="20">
        <f t="shared" si="165"/>
        <v>7.820597394917325E-12</v>
      </c>
      <c r="AM201" s="59">
        <f t="shared" si="193"/>
        <v>292.64532721396193</v>
      </c>
      <c r="AN201" s="59">
        <f ca="1">AVERAGE(OFFSET($AM$3,0,0,'Données projet'!$E$10+1,1))-AVERAGE(OFFSET($H$3,0,0,'Données projet'!$E$10+1,1))</f>
        <v>391.55758836264408</v>
      </c>
      <c r="AO201" s="59">
        <f t="shared" si="205"/>
        <v>360.80727659978777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18.290669311039217</v>
      </c>
      <c r="AV201" s="21">
        <f>EXP(-LN(2)/25)*AV200+(1-EXP(-LN(2)/25))/(LN(2)/25)*Calculateur!AQ201*Calculateur!AS201*VLOOKUP('Données projet'!$B$10,Paramètres!$A$1:$I$89,3,0)*0.475*44/12</f>
        <v>2.2072237867139584</v>
      </c>
      <c r="AW201" s="21">
        <f>EXP(-LN(2)/2)*AW200+(1-EXP(-LN(2)/2))/(LN(2)/2)*AQ201*AT201*VLOOKUP('Données projet'!$B$10,Paramètres!$A$1:$I$89,3,0)*0.475*44/12</f>
        <v>4.0931626752729221E-18</v>
      </c>
      <c r="AX201" s="21">
        <f t="shared" si="166"/>
        <v>20.497893097753174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5.0249582272954292E-14</v>
      </c>
      <c r="BF201" s="13">
        <f t="shared" si="167"/>
        <v>8.1784820119191593E-13</v>
      </c>
      <c r="BG201" s="20">
        <f t="shared" si="168"/>
        <v>1.5119369728679821E-12</v>
      </c>
      <c r="BH201" s="59">
        <f t="shared" si="194"/>
        <v>292.64532721395562</v>
      </c>
      <c r="BI201" s="59">
        <f ca="1">AVERAGE(OFFSET($BH$3,0,0,'Données projet'!$E$11+1,1))-AVERAGE(OFFSET($H$3,0,0,'Données projet'!$E$11+1,1))</f>
        <v>400.11184625063709</v>
      </c>
      <c r="BJ201" s="59">
        <f t="shared" si="206"/>
        <v>340.02906159605971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19.966405015567279</v>
      </c>
      <c r="BQ201" s="21">
        <f>EXP(-LN(2)/25)*BQ200+(1-EXP(-LN(2)/25))/(LN(2)/25)*Calculateur!BL201*Calculateur!BN201*VLOOKUP('Données projet'!$B$11,Paramètres!$A$1:$I$89,3,0)*0.475*44/12</f>
        <v>2.7279894169747454</v>
      </c>
      <c r="BR201" s="21">
        <f>EXP(-LN(2)/2)*BR200+(1-EXP(-LN(2)/2))/(LN(2)/2)*BL201*BO201*VLOOKUP('Données projet'!$B$11,Paramètres!$A$1:$I$89,3,0)*0.475*44/12</f>
        <v>1.3635601531282019E-16</v>
      </c>
      <c r="BS201" s="22">
        <f t="shared" si="169"/>
        <v>22.694394432542026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7.9580786405131221E-13</v>
      </c>
      <c r="BZ201" s="13">
        <f>BY201*VLOOKUP('Données projet'!$B$12,Paramètres!$A$1:$I$89,3,0)*VLOOKUP('Données projet'!$B$12,Paramètres!$A$1:$I$89,5,0)</f>
        <v>5.338279152056202E-13</v>
      </c>
      <c r="CA201" s="13">
        <f t="shared" si="170"/>
        <v>6.5990867302231702E-12</v>
      </c>
      <c r="CB201" s="20">
        <f t="shared" si="171"/>
        <v>1.242315967412181E-11</v>
      </c>
      <c r="CC201" s="59">
        <f t="shared" si="195"/>
        <v>292.64532721396654</v>
      </c>
      <c r="CD201" s="59">
        <f ca="1">AVERAGE(OFFSET($CC$3,0,0,'Données projet'!$E$12+1,1))-AVERAGE(OFFSET($H$3,0,0,'Données projet'!$E$12+1,1))</f>
        <v>493.98227954109774</v>
      </c>
      <c r="CE201" s="59">
        <f t="shared" si="207"/>
        <v>224.32736097997289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104.64656615208409</v>
      </c>
      <c r="CL201" s="21">
        <f>EXP(-LN(2)/25)*CL200+(1-EXP(-LN(2)/25))/(LN(2)/25)*Calculateur!CG201*Calculateur!CI201*VLOOKUP('Données projet'!$B$12,Paramètres!$A$1:$I$89,3,0)*0.475*44/12</f>
        <v>15.518642411464478</v>
      </c>
      <c r="CM201" s="21">
        <f>EXP(-LN(2)/2)*CM200+(1-EXP(-LN(2)/2))/(LN(2)/2)*CG201*CJ201*VLOOKUP('Données projet'!$B$12,Paramètres!$A$1:$I$89,3,0)*0.475*44/12</f>
        <v>4.351416072139043E-2</v>
      </c>
      <c r="CN201" s="22">
        <f t="shared" si="172"/>
        <v>120.20872272426996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7.9580786405131221E-13</v>
      </c>
      <c r="CU201" s="17">
        <f>CT201*VLOOKUP('Données projet'!$B$13,Paramètres!$A$1:$I$89,3,0)*VLOOKUP('Données projet'!$B$13,Paramètres!$A$1:$I$89,5,0)</f>
        <v>7.572907634312286E-13</v>
      </c>
      <c r="CV201" s="13">
        <f t="shared" si="173"/>
        <v>8.9881135648416407E-12</v>
      </c>
      <c r="CW201" s="20">
        <f t="shared" si="174"/>
        <v>1.6973245871741914E-11</v>
      </c>
      <c r="CX201" s="59">
        <f t="shared" si="196"/>
        <v>292.64532721397109</v>
      </c>
      <c r="CY201" s="59">
        <f ca="1">AVERAGE(OFFSET($CX$3,0,0,'Données projet'!$E$13+1,1))-AVERAGE(OFFSET($H$3,0,0,'Données projet'!$E$13+1,1))</f>
        <v>677.13548994240728</v>
      </c>
      <c r="CZ201" s="59">
        <f t="shared" si="208"/>
        <v>298.72429542440534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120.44227425051182</v>
      </c>
      <c r="DG201" s="21">
        <f>EXP(-LN(2)/25)*DG200+(1-EXP(-LN(2)/25))/(LN(2)/25)*Calculateur!DB201*Calculateur!DD201*VLOOKUP('Données projet'!$B$13,Paramètres!$A$1:$I$89,3,0)*0.475*44/12</f>
        <v>17.861079001874209</v>
      </c>
      <c r="DH201" s="21">
        <f>EXP(-LN(2)/2)*DH200+(1-EXP(-LN(2)/2))/(LN(2)/2)*DB201*DE201*VLOOKUP('Données projet'!$B$13,Paramètres!$A$1:$I$89,3,0)*0.475*44/12</f>
        <v>6.1729390790809677E-2</v>
      </c>
      <c r="DI201" s="22">
        <f t="shared" si="175"/>
        <v>138.36508264317683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69.812361967442015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1.2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4.3999999999999995</v>
      </c>
      <c r="H202" s="67">
        <f t="shared" si="192"/>
        <v>239.06666666666669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292.65726258199021</v>
      </c>
      <c r="S202" s="59">
        <f ca="1">AVERAGE(OFFSET($R$3,0,0,'Données projet'!$E$9+1,1))-AVERAGE(OFFSET($H$3,0,0,'Données projet'!$E$9+1,1))</f>
        <v>646.69588445509589</v>
      </c>
      <c r="T202" s="59">
        <f t="shared" si="204"/>
        <v>286.36346771084698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3.177547114319168E-13</v>
      </c>
      <c r="AK202" s="13">
        <f t="shared" si="164"/>
        <v>4.1725404435445377E-12</v>
      </c>
      <c r="AL202" s="20">
        <f t="shared" si="165"/>
        <v>7.820597394917325E-12</v>
      </c>
      <c r="AM202" s="59">
        <f t="shared" si="193"/>
        <v>292.65726258198185</v>
      </c>
      <c r="AN202" s="59">
        <f ca="1">AVERAGE(OFFSET($AM$3,0,0,'Données projet'!$E$10+1,1))-AVERAGE(OFFSET($H$3,0,0,'Données projet'!$E$10+1,1))</f>
        <v>391.55758836264408</v>
      </c>
      <c r="AO202" s="59">
        <f t="shared" si="205"/>
        <v>360.80727659978777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17.932000442056435</v>
      </c>
      <c r="AV202" s="21">
        <f>EXP(-LN(2)/25)*AV201+(1-EXP(-LN(2)/25))/(LN(2)/25)*Calculateur!AQ202*Calculateur!AS202*VLOOKUP('Données projet'!$B$10,Paramètres!$A$1:$I$89,3,0)*0.475*44/12</f>
        <v>2.1468671361934111</v>
      </c>
      <c r="AW202" s="21">
        <f>EXP(-LN(2)/2)*AW201+(1-EXP(-LN(2)/2))/(LN(2)/2)*AQ202*AT202*VLOOKUP('Données projet'!$B$10,Paramètres!$A$1:$I$89,3,0)*0.475*44/12</f>
        <v>2.8943030841851536E-18</v>
      </c>
      <c r="AX202" s="21">
        <f t="shared" si="166"/>
        <v>20.078867578249845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5.0249582272954292E-14</v>
      </c>
      <c r="BF202" s="13">
        <f t="shared" si="167"/>
        <v>8.1784820119191593E-13</v>
      </c>
      <c r="BG202" s="20">
        <f t="shared" si="168"/>
        <v>1.5119369728679821E-12</v>
      </c>
      <c r="BH202" s="59">
        <f t="shared" si="194"/>
        <v>292.65726258197554</v>
      </c>
      <c r="BI202" s="59">
        <f ca="1">AVERAGE(OFFSET($BH$3,0,0,'Données projet'!$E$11+1,1))-AVERAGE(OFFSET($H$3,0,0,'Données projet'!$E$11+1,1))</f>
        <v>400.11184625063709</v>
      </c>
      <c r="BJ202" s="59">
        <f t="shared" si="206"/>
        <v>340.02906159605971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19.574875991516556</v>
      </c>
      <c r="BQ202" s="21">
        <f>EXP(-LN(2)/25)*BQ201+(1-EXP(-LN(2)/25))/(LN(2)/25)*Calculateur!BL202*Calculateur!BN202*VLOOKUP('Données projet'!$B$11,Paramètres!$A$1:$I$89,3,0)*0.475*44/12</f>
        <v>2.6533924029088425</v>
      </c>
      <c r="BR202" s="21">
        <f>EXP(-LN(2)/2)*BR201+(1-EXP(-LN(2)/2))/(LN(2)/2)*BL202*BO202*VLOOKUP('Données projet'!$B$11,Paramètres!$A$1:$I$89,3,0)*0.475*44/12</f>
        <v>9.6418263083271873E-17</v>
      </c>
      <c r="BS202" s="22">
        <f t="shared" si="169"/>
        <v>22.228268394425399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7.9580786405131221E-13</v>
      </c>
      <c r="BZ202" s="13">
        <f>BY202*VLOOKUP('Données projet'!$B$12,Paramètres!$A$1:$I$89,3,0)*VLOOKUP('Données projet'!$B$12,Paramètres!$A$1:$I$89,5,0)</f>
        <v>5.338279152056202E-13</v>
      </c>
      <c r="CA202" s="13">
        <f t="shared" si="170"/>
        <v>6.5990867302231702E-12</v>
      </c>
      <c r="CB202" s="20">
        <f t="shared" si="171"/>
        <v>1.242315967412181E-11</v>
      </c>
      <c r="CC202" s="59">
        <f t="shared" si="195"/>
        <v>292.65726258198646</v>
      </c>
      <c r="CD202" s="59">
        <f ca="1">AVERAGE(OFFSET($CC$3,0,0,'Données projet'!$E$12+1,1))-AVERAGE(OFFSET($H$3,0,0,'Données projet'!$E$12+1,1))</f>
        <v>493.98227954109774</v>
      </c>
      <c r="CE202" s="59">
        <f t="shared" si="207"/>
        <v>224.32736097997289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102.59451081794457</v>
      </c>
      <c r="CL202" s="21">
        <f>EXP(-LN(2)/25)*CL201+(1-EXP(-LN(2)/25))/(LN(2)/25)*Calculateur!CG202*Calculateur!CI202*VLOOKUP('Données projet'!$B$12,Paramètres!$A$1:$I$89,3,0)*0.475*44/12</f>
        <v>15.094284318633045</v>
      </c>
      <c r="CM202" s="21">
        <f>EXP(-LN(2)/2)*CM201+(1-EXP(-LN(2)/2))/(LN(2)/2)*CG202*CJ202*VLOOKUP('Données projet'!$B$12,Paramètres!$A$1:$I$89,3,0)*0.475*44/12</f>
        <v>3.0769158123736484E-2</v>
      </c>
      <c r="CN202" s="22">
        <f t="shared" si="172"/>
        <v>117.71956429470134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7.9580786405131221E-13</v>
      </c>
      <c r="CU202" s="17">
        <f>CT202*VLOOKUP('Données projet'!$B$13,Paramètres!$A$1:$I$89,3,0)*VLOOKUP('Données projet'!$B$13,Paramètres!$A$1:$I$89,5,0)</f>
        <v>7.572907634312286E-13</v>
      </c>
      <c r="CV202" s="13">
        <f t="shared" si="173"/>
        <v>8.9881135648416407E-12</v>
      </c>
      <c r="CW202" s="20">
        <f t="shared" si="174"/>
        <v>1.6973245871741914E-11</v>
      </c>
      <c r="CX202" s="59">
        <f t="shared" si="196"/>
        <v>292.65726258199101</v>
      </c>
      <c r="CY202" s="59">
        <f ca="1">AVERAGE(OFFSET($CX$3,0,0,'Données projet'!$E$13+1,1))-AVERAGE(OFFSET($H$3,0,0,'Données projet'!$E$13+1,1))</f>
        <v>677.13548994240728</v>
      </c>
      <c r="CZ202" s="59">
        <f t="shared" si="208"/>
        <v>298.72429542440534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118.08047471499275</v>
      </c>
      <c r="DG202" s="21">
        <f>EXP(-LN(2)/25)*DG201+(1-EXP(-LN(2)/25))/(LN(2)/25)*Calculateur!DB202*Calculateur!DD202*VLOOKUP('Données projet'!$B$13,Paramètres!$A$1:$I$89,3,0)*0.475*44/12</f>
        <v>17.372666857294636</v>
      </c>
      <c r="DH202" s="21">
        <f>EXP(-LN(2)/2)*DH201+(1-EXP(-LN(2)/2))/(LN(2)/2)*DB202*DE202*VLOOKUP('Données projet'!$B$13,Paramètres!$A$1:$I$89,3,0)*0.475*44/12</f>
        <v>4.3649270826695945E-2</v>
      </c>
      <c r="DI202" s="22">
        <f t="shared" si="175"/>
        <v>135.4967908431141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69.81561706781109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1.2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64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4.3999999999999995</v>
      </c>
      <c r="H203" s="67">
        <f t="shared" si="192"/>
        <v>239.06666666666669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292.6689908980585</v>
      </c>
      <c r="S203" s="59">
        <f ca="1">AVERAGE(OFFSET($R$3,0,0,'Données projet'!$E$9+1,1))-AVERAGE(OFFSET($H$3,0,0,'Données projet'!$E$9+1,1))</f>
        <v>646.69588445509589</v>
      </c>
      <c r="T203" s="59">
        <f t="shared" si="204"/>
        <v>286.36346771084698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3.177547114319168E-13</v>
      </c>
      <c r="AK203" s="13">
        <f t="shared" si="164"/>
        <v>4.1725404435445377E-12</v>
      </c>
      <c r="AL203" s="20">
        <f t="shared" si="165"/>
        <v>7.820597394917325E-12</v>
      </c>
      <c r="AM203" s="59">
        <f t="shared" si="193"/>
        <v>292.66899089805014</v>
      </c>
      <c r="AN203" s="59">
        <f ca="1">AVERAGE(OFFSET($AM$3,0,0,'Données projet'!$E$10+1,1))-AVERAGE(OFFSET($H$3,0,0,'Données projet'!$E$10+1,1))</f>
        <v>391.55758836264408</v>
      </c>
      <c r="AO203" s="59">
        <f t="shared" si="205"/>
        <v>360.80727659978777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17.580364850827994</v>
      </c>
      <c r="AV203" s="21">
        <f>EXP(-LN(2)/25)*AV202+(1-EXP(-LN(2)/25))/(LN(2)/25)*Calculateur!AQ203*Calculateur!AS203*VLOOKUP('Données projet'!$B$10,Paramètres!$A$1:$I$89,3,0)*0.475*44/12</f>
        <v>2.0881609414553663</v>
      </c>
      <c r="AW203" s="21">
        <f>EXP(-LN(2)/2)*AW202+(1-EXP(-LN(2)/2))/(LN(2)/2)*AQ203*AT203*VLOOKUP('Données projet'!$B$10,Paramètres!$A$1:$I$89,3,0)*0.475*44/12</f>
        <v>2.046581337636461E-18</v>
      </c>
      <c r="AX203" s="21">
        <f t="shared" si="166"/>
        <v>19.668525792283361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5.0249582272954292E-14</v>
      </c>
      <c r="BF203" s="13">
        <f t="shared" si="167"/>
        <v>8.1784820119191593E-13</v>
      </c>
      <c r="BG203" s="20">
        <f t="shared" si="168"/>
        <v>1.5119369728679821E-12</v>
      </c>
      <c r="BH203" s="59">
        <f t="shared" si="194"/>
        <v>292.66899089804383</v>
      </c>
      <c r="BI203" s="59">
        <f ca="1">AVERAGE(OFFSET($BH$3,0,0,'Données projet'!$E$11+1,1))-AVERAGE(OFFSET($H$3,0,0,'Données projet'!$E$11+1,1))</f>
        <v>400.11184625063709</v>
      </c>
      <c r="BJ203" s="59">
        <f t="shared" si="206"/>
        <v>340.02906159605971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19.191024612818346</v>
      </c>
      <c r="BQ203" s="21">
        <f>EXP(-LN(2)/25)*BQ202+(1-EXP(-LN(2)/25))/(LN(2)/25)*Calculateur!BL203*Calculateur!BN203*VLOOKUP('Données projet'!$B$11,Paramètres!$A$1:$I$89,3,0)*0.475*44/12</f>
        <v>2.5808352481154579</v>
      </c>
      <c r="BR203" s="21">
        <f>EXP(-LN(2)/2)*BR202+(1-EXP(-LN(2)/2))/(LN(2)/2)*BL203*BO203*VLOOKUP('Données projet'!$B$11,Paramètres!$A$1:$I$89,3,0)*0.475*44/12</f>
        <v>6.8178007656410096E-17</v>
      </c>
      <c r="BS203" s="22">
        <f t="shared" si="169"/>
        <v>21.771859860933805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7.9580786405131221E-13</v>
      </c>
      <c r="BZ203" s="13">
        <f>BY203*VLOOKUP('Données projet'!$B$12,Paramètres!$A$1:$I$89,3,0)*VLOOKUP('Données projet'!$B$12,Paramètres!$A$1:$I$89,5,0)</f>
        <v>5.338279152056202E-13</v>
      </c>
      <c r="CA203" s="13">
        <f t="shared" si="170"/>
        <v>6.5990867302231702E-12</v>
      </c>
      <c r="CB203" s="20">
        <f t="shared" si="171"/>
        <v>1.242315967412181E-11</v>
      </c>
      <c r="CC203" s="59">
        <f t="shared" si="195"/>
        <v>292.66899089805474</v>
      </c>
      <c r="CD203" s="59">
        <f ca="1">AVERAGE(OFFSET($CC$3,0,0,'Données projet'!$E$12+1,1))-AVERAGE(OFFSET($H$3,0,0,'Données projet'!$E$12+1,1))</f>
        <v>493.98227954109774</v>
      </c>
      <c r="CE203" s="59">
        <f t="shared" si="207"/>
        <v>224.32736097997289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100.58269503727736</v>
      </c>
      <c r="CL203" s="21">
        <f>EXP(-LN(2)/25)*CL202+(1-EXP(-LN(2)/25))/(LN(2)/25)*Calculateur!CG203*Calculateur!CI203*VLOOKUP('Données projet'!$B$12,Paramètres!$A$1:$I$89,3,0)*0.475*44/12</f>
        <v>14.681530320166111</v>
      </c>
      <c r="CM203" s="21">
        <f>EXP(-LN(2)/2)*CM202+(1-EXP(-LN(2)/2))/(LN(2)/2)*CG203*CJ203*VLOOKUP('Données projet'!$B$12,Paramètres!$A$1:$I$89,3,0)*0.475*44/12</f>
        <v>2.1757080360695218E-2</v>
      </c>
      <c r="CN203" s="22">
        <f t="shared" si="172"/>
        <v>115.28598243780418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7.9580786405131221E-13</v>
      </c>
      <c r="CU203" s="17">
        <f>CT203*VLOOKUP('Données projet'!$B$13,Paramètres!$A$1:$I$89,3,0)*VLOOKUP('Données projet'!$B$13,Paramètres!$A$1:$I$89,5,0)</f>
        <v>7.572907634312286E-13</v>
      </c>
      <c r="CV203" s="13">
        <f t="shared" si="173"/>
        <v>8.9881135648416407E-12</v>
      </c>
      <c r="CW203" s="20">
        <f t="shared" si="174"/>
        <v>1.6973245871741914E-11</v>
      </c>
      <c r="CX203" s="59">
        <f t="shared" si="196"/>
        <v>292.66899089805929</v>
      </c>
      <c r="CY203" s="59">
        <f ca="1">AVERAGE(OFFSET($CX$3,0,0,'Données projet'!$E$13+1,1))-AVERAGE(OFFSET($H$3,0,0,'Données projet'!$E$13+1,1))</f>
        <v>677.13548994240728</v>
      </c>
      <c r="CZ203" s="59">
        <f t="shared" si="208"/>
        <v>298.72429542440534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115.76498862780973</v>
      </c>
      <c r="DG203" s="21">
        <f>EXP(-LN(2)/25)*DG202+(1-EXP(-LN(2)/25))/(LN(2)/25)*Calculateur!DB203*Calculateur!DD203*VLOOKUP('Données projet'!$B$13,Paramètres!$A$1:$I$89,3,0)*0.475*44/12</f>
        <v>16.897610368493069</v>
      </c>
      <c r="DH203" s="21">
        <f>EXP(-LN(2)/2)*DH202+(1-EXP(-LN(2)/2))/(LN(2)/2)*DB203*DE203*VLOOKUP('Données projet'!$B$13,Paramètres!$A$1:$I$89,3,0)*0.475*44/12</f>
        <v>3.0864695395404845E-2</v>
      </c>
      <c r="DI203" s="22">
        <f t="shared" si="175"/>
        <v>132.69346369169818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69.818815699466086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1.2855297099408214</v>
      </c>
      <c r="BA205" s="82">
        <f>EXP(LN('Données projet'!B88)/'Données projet'!A88)</f>
        <v>1.277483324775911</v>
      </c>
      <c r="BV205" s="82">
        <f>EXP(LN('Données projet'!B114)/'Données projet'!A114)</f>
        <v>1.1303799945549604</v>
      </c>
      <c r="CQ205" s="82">
        <f>EXP(LN('Données projet'!B140)/'Données projet'!A140)</f>
        <v>1.1303799945549604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zoomScale="90" zoomScaleNormal="90" workbookViewId="0">
      <selection activeCell="M25" sqref="M25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3.2080000000000002</v>
      </c>
      <c r="C6" s="147">
        <f ca="1">IF(OR('Données projet'!B9="",'Données projet'!C9="",'Données projet'!C9=0%),0,Calculateur!S3)</f>
        <v>646.69588445509589</v>
      </c>
      <c r="D6" s="147">
        <f>IF(OR('Données projet'!B9="",'Données projet'!C9="",'Données projet'!C9=0%),0,Calculateur!T3)</f>
        <v>286.36346771084698</v>
      </c>
      <c r="E6" s="147">
        <f ca="1">MIN(C6,D6)</f>
        <v>286.36346771084698</v>
      </c>
      <c r="F6" s="147">
        <f ca="1">E6*B6</f>
        <v>918.65400441639713</v>
      </c>
      <c r="G6" s="147">
        <f ca="1">F6*(100%-'Données projet'!$C$24)*(100%-'Données projet'!$C$25)*(100%-'Données projet'!$C$26)*(100%-'Données projet'!$C$27)</f>
        <v>785.44917377601951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785.44917377601951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Douglas</v>
      </c>
      <c r="B7" s="154">
        <f>'Données projet'!D10</f>
        <v>0.20050000000000001</v>
      </c>
      <c r="C7" s="147">
        <f ca="1">IF(OR('Données projet'!B10="",'Données projet'!C10="",'Données projet'!C10=0%),0,Calculateur!AN3)</f>
        <v>391.55758836264408</v>
      </c>
      <c r="D7" s="147">
        <f>IF(OR('Données projet'!B10="",'Données projet'!C10="",'Données projet'!C10=0%),0,Calculateur!AO3)</f>
        <v>360.80727659978777</v>
      </c>
      <c r="E7" s="147">
        <f t="shared" ref="E7:E15" ca="1" si="0">MIN(C7,D7)</f>
        <v>360.80727659978777</v>
      </c>
      <c r="F7" s="147">
        <f t="shared" ref="F7:F15" ca="1" si="1">E7*B7</f>
        <v>72.341858958257447</v>
      </c>
      <c r="G7" s="147">
        <f ca="1">F7*(100%-'Données projet'!$C$24)*(100%-'Données projet'!$C$25)*(100%-'Données projet'!$C$26)*(100%-'Données projet'!$C$27)</f>
        <v>61.85228940931011</v>
      </c>
      <c r="H7" s="155">
        <f>IF(OR('Données projet'!B10="",'Données projet'!C10="",'Données projet'!C10=0%),0,AVERAGE(Calculateur!$AX$3:$AX$33)*B7)</f>
        <v>1.8341780249852853</v>
      </c>
      <c r="I7" s="149">
        <f>H7*(100%-'Données projet'!$C$24)*(100%-'Données projet'!$C$25)*(100%-'Données projet'!$C$26)*(100%-'Données projet'!$C$27)</f>
        <v>1.5682222113624189</v>
      </c>
      <c r="J7" s="150">
        <f>IF(OR('Données projet'!B10="",'Données projet'!C10="",'Données projet'!C10=0%),0,SUM(Calculateur!$AQ$3:$AQ$33)*VLOOKUP('Données projet'!$B$10,Paramètres!$A$1:$I$89,9,0)*B7)</f>
        <v>11.4010716</v>
      </c>
      <c r="K7" s="151">
        <f>J7*(100%-'Données projet'!$C$24)*(100%-'Données projet'!$C$25)*(100%-'Données projet'!$C$26)*(100%-'Données projet'!$C$27)</f>
        <v>9.7479162180000003</v>
      </c>
      <c r="L7" s="152">
        <f t="shared" ref="L7:L15" ca="1" si="2">G7+I7+K7</f>
        <v>73.168427838672528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Séquoia toujours vert</v>
      </c>
      <c r="B8" s="154">
        <f>'Données projet'!D11</f>
        <v>0.20050000000000001</v>
      </c>
      <c r="C8" s="147">
        <f ca="1">IF(OR('Données projet'!B11="",'Données projet'!C11="",'Données projet'!C11=0%),0,Calculateur!BI3)</f>
        <v>400.11184625063709</v>
      </c>
      <c r="D8" s="147">
        <f>IF(OR('Données projet'!B11="",'Données projet'!C11="",'Données projet'!C11=0%),0,Calculateur!BJ3)</f>
        <v>340.02906159605971</v>
      </c>
      <c r="E8" s="147">
        <f t="shared" ca="1" si="0"/>
        <v>340.02906159605971</v>
      </c>
      <c r="F8" s="147">
        <f t="shared" ca="1" si="1"/>
        <v>68.175826850009969</v>
      </c>
      <c r="G8" s="147">
        <f ca="1">F8*(100%-'Données projet'!$C$24)*(100%-'Données projet'!$C$25)*(100%-'Données projet'!$C$26)*(100%-'Données projet'!$C$27)</f>
        <v>58.290331956758521</v>
      </c>
      <c r="H8" s="155">
        <f>IF(OR('Données projet'!B11="",'Données projet'!C11="",'Données projet'!C11=0%),0,AVERAGE(Calculateur!$BS$3:$BS$33)*B8)</f>
        <v>0.9328675001761455</v>
      </c>
      <c r="I8" s="149">
        <f>H8*(100%-'Données projet'!$C$24)*(100%-'Données projet'!$C$25)*(100%-'Données projet'!$C$26)*(100%-'Données projet'!$C$27)</f>
        <v>0.79760171265060442</v>
      </c>
      <c r="J8" s="150">
        <f>IF(OR('Données projet'!B11="",'Données projet'!C11="",'Données projet'!C11=0%),0,SUM(Calculateur!$BL$3:$BL$33)*VLOOKUP('Données projet'!$B$11,Paramètres!$A$1:$I$89,9,0)*B8)</f>
        <v>11.294165</v>
      </c>
      <c r="K8" s="151">
        <f>J8*(100%-'Données projet'!$C$24)*(100%-'Données projet'!$C$25)*(100%-'Données projet'!$C$26)*(100%-'Données projet'!$C$27)</f>
        <v>9.6565110749999992</v>
      </c>
      <c r="L8" s="152">
        <f t="shared" ca="1" si="2"/>
        <v>68.744444744409122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Tilleul</v>
      </c>
      <c r="B9" s="154">
        <f>'Données projet'!D12</f>
        <v>0.20050000000000001</v>
      </c>
      <c r="C9" s="147">
        <f ca="1">IF(OR('Données projet'!B12="",'Données projet'!C12="",'Données projet'!C12=0%),0,Calculateur!CD3)</f>
        <v>493.98227954109774</v>
      </c>
      <c r="D9" s="147">
        <f>IF(OR('Données projet'!B12="",'Données projet'!C12="",'Données projet'!C12=0%),0,Calculateur!CE3)</f>
        <v>224.32736097997289</v>
      </c>
      <c r="E9" s="147">
        <f t="shared" ca="1" si="0"/>
        <v>224.32736097997289</v>
      </c>
      <c r="F9" s="147">
        <f t="shared" ca="1" si="1"/>
        <v>44.97763587648457</v>
      </c>
      <c r="G9" s="147">
        <f ca="1">F9*(100%-'Données projet'!$C$24)*(100%-'Données projet'!$C$25)*(100%-'Données projet'!$C$26)*(100%-'Données projet'!$C$27)</f>
        <v>38.455878674394306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38.455878674394306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Charme</v>
      </c>
      <c r="B10" s="154">
        <f>'Données projet'!D13</f>
        <v>0.20050000000000001</v>
      </c>
      <c r="C10" s="147">
        <f ca="1">IF(OR('Données projet'!B13="",'Données projet'!C13="",'Données projet'!C13=0%),0,Calculateur!CY3)</f>
        <v>677.13548994240728</v>
      </c>
      <c r="D10" s="147">
        <f>IF(OR('Données projet'!B13="",'Données projet'!C13="",'Données projet'!C13=0%),0,Calculateur!CZ3)</f>
        <v>298.72429542440534</v>
      </c>
      <c r="E10" s="147">
        <f t="shared" ca="1" si="0"/>
        <v>298.72429542440534</v>
      </c>
      <c r="F10" s="147">
        <f t="shared" ca="1" si="1"/>
        <v>59.894221232593274</v>
      </c>
      <c r="G10" s="147">
        <f ca="1">F10*(100%-'Données projet'!$C$24)*(100%-'Données projet'!$C$25)*(100%-'Données projet'!$C$26)*(100%-'Données projet'!$C$27)</f>
        <v>51.209559153867254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51.209559153867254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1164.0435473337425</v>
      </c>
      <c r="G16" s="166">
        <f t="shared" ca="1" si="3"/>
        <v>995.25723297034972</v>
      </c>
      <c r="H16" s="167">
        <f t="shared" si="3"/>
        <v>2.7670455251614308</v>
      </c>
      <c r="I16" s="167">
        <f t="shared" si="3"/>
        <v>2.3658239240130232</v>
      </c>
      <c r="J16" s="168">
        <f t="shared" si="3"/>
        <v>22.695236600000001</v>
      </c>
      <c r="K16" s="168">
        <f t="shared" si="3"/>
        <v>19.404427292999998</v>
      </c>
      <c r="L16" s="169">
        <f t="shared" ca="1" si="3"/>
        <v>1017.0274841873628</v>
      </c>
      <c r="M16" s="257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Séquoia toujours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4" zoomScale="80" zoomScaleNormal="80" workbookViewId="0">
      <selection activeCell="W21" sqref="W21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3.2080000000000002</v>
      </c>
      <c r="V10" s="177">
        <f>U10*T10</f>
        <v>2764.3462854268118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4834.5895484657394</v>
      </c>
      <c r="U11" s="178">
        <f>'Données projet'!D10</f>
        <v>0.20050000000000001</v>
      </c>
      <c r="V11" s="177">
        <f t="shared" ref="V11" si="0">U11*T11</f>
        <v>969.33520446738078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Séquoia toujours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2342.7791323031806</v>
      </c>
      <c r="U12" s="178">
        <f>'Données projet'!D11</f>
        <v>0.20050000000000001</v>
      </c>
      <c r="V12" s="177">
        <f t="shared" ref="V12:V19" si="1">U12*T12</f>
        <v>469.72721602678774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Tilleul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861.70395431010343</v>
      </c>
      <c r="U13" s="178">
        <f>'Données projet'!D12</f>
        <v>0.20050000000000001</v>
      </c>
      <c r="V13" s="177">
        <f t="shared" si="1"/>
        <v>172.77164283917574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861.70395431010343</v>
      </c>
      <c r="U14" s="178">
        <f>'Données projet'!D13</f>
        <v>0.20050000000000001</v>
      </c>
      <c r="V14" s="177">
        <f t="shared" si="1"/>
        <v>172.77164283917574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18672+600+1500</f>
        <v>20772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5354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5354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4</v>
      </c>
      <c r="I23" s="191">
        <v>6372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-156465.53792803889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>
        <v>5</v>
      </c>
      <c r="I24" s="191">
        <v>6652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12464.265603737722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140</v>
      </c>
      <c r="Q25" s="234"/>
      <c r="R25" s="23"/>
      <c r="S25" s="186" t="s">
        <v>266</v>
      </c>
      <c r="T25" s="304">
        <f ca="1">T23-T24</f>
        <v>-168929.80353177662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3108.2956617799805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140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133.97129186602871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128.20219317323324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122.6815245676873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117.39858810305009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112.34314651009578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107.50540335894335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102.87598407554387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98.445917775640098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94.206619880995319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90.149875484206063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86.267823429862261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82.552941081207919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78.998029742782691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75.59620071079685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72.340861924207516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69.225705190629228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66.244693962324618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63.392051638588164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60.662250371854704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58.050000355841838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21</v>
      </c>
      <c r="B54" s="181">
        <f>'Données projet'!D62</f>
        <v>64.599999999999994</v>
      </c>
      <c r="C54" s="191">
        <v>16.875</v>
      </c>
      <c r="D54" s="179">
        <f>B54*C54</f>
        <v>1090.125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55.550239574968259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28</v>
      </c>
      <c r="B55" s="181">
        <f>'Données projet'!D63</f>
        <v>67.639999999999986</v>
      </c>
      <c r="C55" s="191">
        <v>16.875</v>
      </c>
      <c r="D55" s="179">
        <f t="shared" ref="D55:D73" si="4">B55*C55</f>
        <v>1141.4249999999997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53.158123995184958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35</v>
      </c>
      <c r="B56" s="181">
        <f>'Données projet'!D64</f>
        <v>86.700000000000045</v>
      </c>
      <c r="C56" s="191">
        <v>41</v>
      </c>
      <c r="D56" s="179">
        <f t="shared" si="4"/>
        <v>3554.7000000000016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50.869018177210478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42</v>
      </c>
      <c r="B57" s="181">
        <f>'Données projet'!D65</f>
        <v>100.04000000000002</v>
      </c>
      <c r="C57" s="191">
        <v>41</v>
      </c>
      <c r="D57" s="179">
        <f t="shared" si="4"/>
        <v>4101.6400000000012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48.678486293981329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49</v>
      </c>
      <c r="B58" s="181">
        <f>'Données projet'!D66</f>
        <v>112.69999999999999</v>
      </c>
      <c r="C58" s="191">
        <v>41</v>
      </c>
      <c r="D58" s="179">
        <f t="shared" si="4"/>
        <v>4620.7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46.582283534910367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94.669999999999959</v>
      </c>
      <c r="C59" s="191">
        <v>41</v>
      </c>
      <c r="D59" s="179">
        <f t="shared" si="4"/>
        <v>3881.4699999999984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44.576347880297014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63</v>
      </c>
      <c r="B60" s="181">
        <f>'Données projet'!D68</f>
        <v>99.599999999999966</v>
      </c>
      <c r="C60" s="191">
        <v>41</v>
      </c>
      <c r="D60" s="179">
        <f t="shared" si="4"/>
        <v>4083.5999999999985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42.656792229949296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70</v>
      </c>
      <c r="B61" s="181">
        <f>'Données projet'!D69</f>
        <v>586.86</v>
      </c>
      <c r="C61" s="191">
        <v>72</v>
      </c>
      <c r="D61" s="179">
        <f t="shared" si="4"/>
        <v>42253.919999999998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40.819896870764886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39.062102268674522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37.380002170980418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35.770337005722887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34.229987565285072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32.755968961995293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31.345424844014637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29.995621860301089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28.703944363924492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27.467889343468414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26.28506157269705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25.153168969088089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24.070018152237409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23.033510193528624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22.041636548831224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Séquoia toujours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21.092475166345668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20.184186762053272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19.315011255553372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18.48326435938122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17.68733431519734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16.925678770523778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16.196821789974905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15.499350995191302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14.831914827934259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20</v>
      </c>
      <c r="B85" s="181">
        <f>'Données projet'!D88</f>
        <v>5</v>
      </c>
      <c r="C85" s="191">
        <v>13.396875</v>
      </c>
      <c r="D85" s="179">
        <f>B85*C85</f>
        <v>66.984375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14.193219931037572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25</v>
      </c>
      <c r="B86" s="181">
        <f>'Données projet'!D89</f>
        <v>63</v>
      </c>
      <c r="C86" s="191">
        <v>13.396875</v>
      </c>
      <c r="D86" s="179">
        <f t="shared" ref="D86:D104" si="6">B86*C86</f>
        <v>844.00312499999995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13.582028642141216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63</v>
      </c>
      <c r="C87" s="191">
        <v>13.396875</v>
      </c>
      <c r="D87" s="179">
        <f t="shared" si="6"/>
        <v>844.00312499999995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12.997156595350452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35</v>
      </c>
      <c r="B88" s="181">
        <f>'Données projet'!D91</f>
        <v>63</v>
      </c>
      <c r="C88" s="191">
        <v>13.396875</v>
      </c>
      <c r="D88" s="179">
        <f t="shared" si="6"/>
        <v>844.00312499999995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12.437470426172679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40</v>
      </c>
      <c r="B89" s="181">
        <f>'Données projet'!D92</f>
        <v>63</v>
      </c>
      <c r="C89" s="191">
        <v>13.396875</v>
      </c>
      <c r="D89" s="179">
        <f t="shared" si="6"/>
        <v>844.00312499999995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11.901885575284863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45</v>
      </c>
      <c r="B90" s="181">
        <f>'Données projet'!D93</f>
        <v>63</v>
      </c>
      <c r="C90" s="191">
        <v>29.599999999999998</v>
      </c>
      <c r="D90" s="179">
        <f t="shared" si="6"/>
        <v>1864.8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11.389364186875468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50</v>
      </c>
      <c r="B91" s="181">
        <f>'Données projet'!D94</f>
        <v>63</v>
      </c>
      <c r="C91" s="191">
        <v>29.599999999999998</v>
      </c>
      <c r="D91" s="179">
        <f t="shared" si="6"/>
        <v>1864.8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10.898913097488489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55</v>
      </c>
      <c r="B92" s="181">
        <f>'Données projet'!D95</f>
        <v>60</v>
      </c>
      <c r="C92" s="191">
        <v>29.599999999999998</v>
      </c>
      <c r="D92" s="179">
        <f t="shared" si="6"/>
        <v>1775.9999999999998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10.429581911472239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60</v>
      </c>
      <c r="B93" s="181">
        <f>'Données projet'!D96</f>
        <v>53</v>
      </c>
      <c r="C93" s="191">
        <v>29.599999999999998</v>
      </c>
      <c r="D93" s="179">
        <f t="shared" si="6"/>
        <v>1568.8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9.9804611593035784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65</v>
      </c>
      <c r="B94" s="181">
        <f>'Données projet'!D97</f>
        <v>48</v>
      </c>
      <c r="C94" s="191">
        <v>29.599999999999998</v>
      </c>
      <c r="D94" s="179">
        <f t="shared" si="6"/>
        <v>1420.8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9.5506805352187349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70</v>
      </c>
      <c r="B95" s="181">
        <f>'Données projet'!D98</f>
        <v>45</v>
      </c>
      <c r="C95" s="191">
        <v>29.599999999999998</v>
      </c>
      <c r="D95" s="179">
        <f t="shared" si="6"/>
        <v>1332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9.1394072107356354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75</v>
      </c>
      <c r="B96" s="181">
        <f>'Données projet'!D99</f>
        <v>43</v>
      </c>
      <c r="C96" s="191">
        <v>29.599999999999998</v>
      </c>
      <c r="D96" s="179">
        <f t="shared" si="6"/>
        <v>1272.8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8.7458442207996487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80</v>
      </c>
      <c r="B97" s="181">
        <f>'Données projet'!D100</f>
        <v>776</v>
      </c>
      <c r="C97" s="191">
        <v>29.599999999999998</v>
      </c>
      <c r="D97" s="179">
        <f t="shared" si="6"/>
        <v>22969.599999999999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8.3692289194255061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8.0088315018425895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7.6639535902799922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7.3339268806507096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7.0181118475126425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6.7158965047967873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6.4266952199012337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42</v>
      </c>
      <c r="B116" s="181">
        <f>'Données projet'!D114</f>
        <v>44.510000000000005</v>
      </c>
      <c r="C116" s="191">
        <v>15</v>
      </c>
      <c r="D116" s="179">
        <f>B116*C116</f>
        <v>667.65000000000009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50</v>
      </c>
      <c r="B117" s="181">
        <f>'Données projet'!D115</f>
        <v>37.54000000000002</v>
      </c>
      <c r="C117" s="191">
        <v>15</v>
      </c>
      <c r="D117" s="179">
        <f t="shared" ref="D117:D135" si="8">B117*C117</f>
        <v>563.10000000000036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58</v>
      </c>
      <c r="B118" s="181">
        <f>'Données projet'!D116</f>
        <v>47.789999999999992</v>
      </c>
      <c r="C118" s="191">
        <v>15</v>
      </c>
      <c r="D118" s="179">
        <f t="shared" si="8"/>
        <v>716.84999999999991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66</v>
      </c>
      <c r="B119" s="181">
        <f>'Données projet'!D117</f>
        <v>53.679999999999978</v>
      </c>
      <c r="C119" s="191">
        <v>59.875</v>
      </c>
      <c r="D119" s="179">
        <f t="shared" si="8"/>
        <v>3214.0899999999988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74</v>
      </c>
      <c r="B120" s="181">
        <f>'Données projet'!D118</f>
        <v>51.339999999999975</v>
      </c>
      <c r="C120" s="191">
        <v>59.875</v>
      </c>
      <c r="D120" s="179">
        <f t="shared" si="8"/>
        <v>3073.9824999999987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84</v>
      </c>
      <c r="B121" s="181">
        <f>'Données projet'!D119</f>
        <v>66.69</v>
      </c>
      <c r="C121" s="191">
        <v>59.875</v>
      </c>
      <c r="D121" s="179">
        <f t="shared" si="8"/>
        <v>3993.0637499999998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94</v>
      </c>
      <c r="B122" s="181">
        <f>'Données projet'!D120</f>
        <v>67.350000000000023</v>
      </c>
      <c r="C122" s="191">
        <v>59.875</v>
      </c>
      <c r="D122" s="179">
        <f t="shared" si="8"/>
        <v>4032.5812500000015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104</v>
      </c>
      <c r="B123" s="181">
        <f>'Données projet'!D121</f>
        <v>66.089999999999975</v>
      </c>
      <c r="C123" s="191">
        <v>59.875</v>
      </c>
      <c r="D123" s="179">
        <f t="shared" si="8"/>
        <v>3957.1387499999987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114</v>
      </c>
      <c r="B124" s="181">
        <f>'Données projet'!D122</f>
        <v>61.860000000000014</v>
      </c>
      <c r="C124" s="191">
        <v>59.875</v>
      </c>
      <c r="D124" s="179">
        <f t="shared" si="8"/>
        <v>3703.8675000000007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124</v>
      </c>
      <c r="B125" s="181">
        <f>'Données projet'!D123</f>
        <v>57.81</v>
      </c>
      <c r="C125" s="191">
        <v>59.875</v>
      </c>
      <c r="D125" s="179">
        <f t="shared" si="8"/>
        <v>3461.3737500000002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134</v>
      </c>
      <c r="B126" s="181">
        <f>'Données projet'!D124</f>
        <v>60.779999999999973</v>
      </c>
      <c r="C126" s="191">
        <v>179.75</v>
      </c>
      <c r="D126" s="179">
        <f t="shared" si="8"/>
        <v>10925.204999999994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144</v>
      </c>
      <c r="B127" s="181">
        <f>'Données projet'!D125</f>
        <v>61.800000000000068</v>
      </c>
      <c r="C127" s="191">
        <v>179.75</v>
      </c>
      <c r="D127" s="179">
        <f t="shared" si="8"/>
        <v>11108.550000000012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154</v>
      </c>
      <c r="B128" s="181">
        <f>'Données projet'!D126</f>
        <v>61.050000000000011</v>
      </c>
      <c r="C128" s="191">
        <v>179.75</v>
      </c>
      <c r="D128" s="179">
        <f t="shared" si="8"/>
        <v>10973.737500000003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164</v>
      </c>
      <c r="B129" s="181">
        <f>'Données projet'!D127</f>
        <v>66.020000000000095</v>
      </c>
      <c r="C129" s="191">
        <v>179.75</v>
      </c>
      <c r="D129" s="179">
        <f t="shared" si="8"/>
        <v>11867.095000000018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174</v>
      </c>
      <c r="B130" s="181">
        <f>'Données projet'!D128</f>
        <v>240</v>
      </c>
      <c r="C130" s="191">
        <v>234.375</v>
      </c>
      <c r="D130" s="179">
        <f t="shared" si="8"/>
        <v>56250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177</v>
      </c>
      <c r="B131" s="181">
        <f>'Données projet'!D129</f>
        <v>128.66000000000003</v>
      </c>
      <c r="C131" s="191">
        <v>234.375</v>
      </c>
      <c r="D131" s="179">
        <f t="shared" si="8"/>
        <v>30154.687500000007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180</v>
      </c>
      <c r="B132" s="181">
        <f>'Données projet'!D130</f>
        <v>86.97</v>
      </c>
      <c r="C132" s="191">
        <v>234.375</v>
      </c>
      <c r="D132" s="179">
        <f t="shared" si="8"/>
        <v>20383.59375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183</v>
      </c>
      <c r="B133" s="181">
        <f>'Données projet'!D131</f>
        <v>191.47</v>
      </c>
      <c r="C133" s="191">
        <v>234.375</v>
      </c>
      <c r="D133" s="179">
        <f t="shared" si="8"/>
        <v>44875.78125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42</v>
      </c>
      <c r="B147" s="175">
        <f>'Données projet'!D140</f>
        <v>44.510000000000005</v>
      </c>
      <c r="C147" s="191">
        <v>15</v>
      </c>
      <c r="D147" s="182">
        <f>B147*C147</f>
        <v>667.65000000000009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50</v>
      </c>
      <c r="B148" s="175">
        <f>'Données projet'!D141</f>
        <v>37.54000000000002</v>
      </c>
      <c r="C148" s="191">
        <v>15</v>
      </c>
      <c r="D148" s="182">
        <f t="shared" ref="D148:D166" si="10">B148*C148</f>
        <v>563.10000000000036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58</v>
      </c>
      <c r="B149" s="175">
        <f>'Données projet'!D142</f>
        <v>47.789999999999992</v>
      </c>
      <c r="C149" s="191">
        <v>15</v>
      </c>
      <c r="D149" s="182">
        <f t="shared" si="10"/>
        <v>716.84999999999991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66</v>
      </c>
      <c r="B150" s="175">
        <f>'Données projet'!D143</f>
        <v>53.679999999999978</v>
      </c>
      <c r="C150" s="191">
        <v>59.875</v>
      </c>
      <c r="D150" s="182">
        <f t="shared" si="10"/>
        <v>3214.0899999999988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74</v>
      </c>
      <c r="B151" s="175">
        <f>'Données projet'!D144</f>
        <v>51.339999999999975</v>
      </c>
      <c r="C151" s="191">
        <v>59.875</v>
      </c>
      <c r="D151" s="182">
        <f t="shared" si="10"/>
        <v>3073.9824999999987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84</v>
      </c>
      <c r="B152" s="175">
        <f>'Données projet'!D145</f>
        <v>66.69</v>
      </c>
      <c r="C152" s="191">
        <v>59.875</v>
      </c>
      <c r="D152" s="182">
        <f t="shared" si="10"/>
        <v>3993.0637499999998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94</v>
      </c>
      <c r="B153" s="175">
        <f>'Données projet'!D146</f>
        <v>67.350000000000023</v>
      </c>
      <c r="C153" s="191">
        <v>59.875</v>
      </c>
      <c r="D153" s="182">
        <f t="shared" si="10"/>
        <v>4032.5812500000015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104</v>
      </c>
      <c r="B154" s="175">
        <f>'Données projet'!D147</f>
        <v>66.089999999999975</v>
      </c>
      <c r="C154" s="191">
        <v>59.875</v>
      </c>
      <c r="D154" s="182">
        <f t="shared" si="10"/>
        <v>3957.1387499999987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114</v>
      </c>
      <c r="B155" s="175">
        <f>'Données projet'!D148</f>
        <v>61.860000000000014</v>
      </c>
      <c r="C155" s="191">
        <v>59.875</v>
      </c>
      <c r="D155" s="182">
        <f t="shared" si="10"/>
        <v>3703.8675000000007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124</v>
      </c>
      <c r="B156" s="175">
        <f>'Données projet'!D149</f>
        <v>57.81</v>
      </c>
      <c r="C156" s="191">
        <v>59.875</v>
      </c>
      <c r="D156" s="182">
        <f t="shared" si="10"/>
        <v>3461.3737500000002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134</v>
      </c>
      <c r="B157" s="175">
        <f>'Données projet'!D150</f>
        <v>60.779999999999973</v>
      </c>
      <c r="C157" s="191">
        <v>179.75</v>
      </c>
      <c r="D157" s="182">
        <f t="shared" si="10"/>
        <v>10925.204999999994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144</v>
      </c>
      <c r="B158" s="175">
        <f>'Données projet'!D151</f>
        <v>61.800000000000068</v>
      </c>
      <c r="C158" s="191">
        <v>179.75</v>
      </c>
      <c r="D158" s="182">
        <f t="shared" si="10"/>
        <v>11108.550000000012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154</v>
      </c>
      <c r="B159" s="175">
        <f>'Données projet'!D152</f>
        <v>61.050000000000011</v>
      </c>
      <c r="C159" s="191">
        <v>179.75</v>
      </c>
      <c r="D159" s="182">
        <f t="shared" si="10"/>
        <v>10973.737500000003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164</v>
      </c>
      <c r="B160" s="175">
        <f>'Données projet'!D153</f>
        <v>66.020000000000095</v>
      </c>
      <c r="C160" s="191">
        <v>179.75</v>
      </c>
      <c r="D160" s="182">
        <f t="shared" si="10"/>
        <v>11867.095000000018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174</v>
      </c>
      <c r="B161" s="175">
        <f>'Données projet'!D154</f>
        <v>240</v>
      </c>
      <c r="C161" s="191">
        <v>234.375</v>
      </c>
      <c r="D161" s="182">
        <f t="shared" si="10"/>
        <v>56250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177</v>
      </c>
      <c r="B162" s="175">
        <f>'Données projet'!D155</f>
        <v>128.66000000000003</v>
      </c>
      <c r="C162" s="191">
        <v>234.375</v>
      </c>
      <c r="D162" s="182">
        <f t="shared" si="10"/>
        <v>30154.687500000007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180</v>
      </c>
      <c r="B163" s="175">
        <f>'Données projet'!D156</f>
        <v>86.97</v>
      </c>
      <c r="C163" s="191">
        <v>234.375</v>
      </c>
      <c r="D163" s="182">
        <f t="shared" si="10"/>
        <v>20383.59375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183</v>
      </c>
      <c r="B164" s="175">
        <f>'Données projet'!D157</f>
        <v>191.47</v>
      </c>
      <c r="C164" s="191">
        <v>234.375</v>
      </c>
      <c r="D164" s="182">
        <f t="shared" si="10"/>
        <v>44875.78125</v>
      </c>
      <c r="E164" s="193">
        <v>60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50249F1F-92B5-4629-B8EF-E6A950D0B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2024-06-19T15:15:58Z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