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8_Le Mans\Plantation 2025 dossier 2024\Pépinvast (50)\"/>
    </mc:Choice>
  </mc:AlternateContent>
  <xr:revisionPtr revIDLastSave="0" documentId="13_ncr:1_{08F81184-E263-4001-8806-990C437439F2}" xr6:coauthVersionLast="47" xr6:coauthVersionMax="47" xr10:uidLastSave="{00000000-0000-0000-0000-000000000000}"/>
  <bookViews>
    <workbookView xWindow="-108" yWindow="-108" windowWidth="23256" windowHeight="12576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<sst xmlns="http://schemas.openxmlformats.org/spreadsheetml/2006/main" count="1172" uniqueCount="324">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</sst>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252.8669001492398</c:v>
                </c:pt>
                <c:pt idx="155">
                  <c:v>256.5075597411099</c:v>
                </c:pt>
                <c:pt idx="156">
                  <c:v>260.14705039921705</c:v>
                </c:pt>
                <c:pt idx="157">
                  <c:v>263.7853908188913</c:v>
                </c:pt>
                <c:pt idx="158">
                  <c:v>176.83468552294786</c:v>
                </c:pt>
                <c:pt idx="159">
                  <c:v>179.11325863950739</c:v>
                </c:pt>
                <c:pt idx="160">
                  <c:v>181.39115234734427</c:v>
                </c:pt>
                <c:pt idx="161">
                  <c:v>183.66837640937317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2.6221659006031532</c:v>
                </c:pt>
                <c:pt idx="2">
                  <c:v>3.1322083665241549</c:v>
                </c:pt>
                <c:pt idx="3">
                  <c:v>3.7418290992150331</c:v>
                </c:pt>
                <c:pt idx="4">
                  <c:v>4.4705372894252742</c:v>
                </c:pt>
                <c:pt idx="5">
                  <c:v>5.3416768206533467</c:v>
                </c:pt>
                <c:pt idx="6">
                  <c:v>6.3831822949956036</c:v>
                </c:pt>
                <c:pt idx="7">
                  <c:v>7.6284845295207901</c:v>
                </c:pt>
                <c:pt idx="8">
                  <c:v>9.1175951501293113</c:v>
                </c:pt>
                <c:pt idx="9">
                  <c:v>10.898405796042995</c:v>
                </c:pt>
                <c:pt idx="10">
                  <c:v>13.028244506192046</c:v>
                </c:pt>
                <c:pt idx="11">
                  <c:v>15.575740322601375</c:v>
                </c:pt>
                <c:pt idx="12">
                  <c:v>18.623057295923882</c:v>
                </c:pt>
                <c:pt idx="13">
                  <c:v>22.268571251084154</c:v>
                </c:pt>
                <c:pt idx="14">
                  <c:v>26.630077270432324</c:v>
                </c:pt>
                <c:pt idx="15">
                  <c:v>31.848633362475322</c:v>
                </c:pt>
                <c:pt idx="16">
                  <c:v>38.093166787700099</c:v>
                </c:pt>
                <c:pt idx="17">
                  <c:v>45.565994707132809</c:v>
                </c:pt>
                <c:pt idx="18">
                  <c:v>54.509441041660921</c:v>
                </c:pt>
                <c:pt idx="19">
                  <c:v>65.213767686010328</c:v>
                </c:pt>
                <c:pt idx="20">
                  <c:v>78.026681717112226</c:v>
                </c:pt>
                <c:pt idx="21">
                  <c:v>82.388011748887735</c:v>
                </c:pt>
                <c:pt idx="22">
                  <c:v>94.305360186337609</c:v>
                </c:pt>
                <c:pt idx="23">
                  <c:v>106.18511445791337</c:v>
                </c:pt>
                <c:pt idx="24">
                  <c:v>118.03208120289025</c:v>
                </c:pt>
                <c:pt idx="25">
                  <c:v>129.85002000252635</c:v>
                </c:pt>
                <c:pt idx="26">
                  <c:v>141.64194831023977</c:v>
                </c:pt>
                <c:pt idx="27">
                  <c:v>153.41033898523892</c:v>
                </c:pt>
                <c:pt idx="28">
                  <c:v>165.15725377990333</c:v>
                </c:pt>
                <c:pt idx="29">
                  <c:v>176.88443672655623</c:v>
                </c:pt>
                <c:pt idx="30">
                  <c:v>188.59338138830176</c:v>
                </c:pt>
                <c:pt idx="31">
                  <c:v>165.52984007722179</c:v>
                </c:pt>
                <c:pt idx="32">
                  <c:v>183.3915707178659</c:v>
                </c:pt>
                <c:pt idx="33">
                  <c:v>201.21262563029904</c:v>
                </c:pt>
                <c:pt idx="34">
                  <c:v>218.99711535784954</c:v>
                </c:pt>
                <c:pt idx="35">
                  <c:v>236.74842754536431</c:v>
                </c:pt>
                <c:pt idx="36">
                  <c:v>254.46939993854008</c:v>
                </c:pt>
                <c:pt idx="37">
                  <c:v>272.16244255683904</c:v>
                </c:pt>
                <c:pt idx="38">
                  <c:v>289.82962637569977</c:v>
                </c:pt>
                <c:pt idx="39">
                  <c:v>307.47274922302034</c:v>
                </c:pt>
                <c:pt idx="40">
                  <c:v>325.09338574282259</c:v>
                </c:pt>
                <c:pt idx="41">
                  <c:v>250.77990843042707</c:v>
                </c:pt>
                <c:pt idx="42">
                  <c:v>270.32065694935739</c:v>
                </c:pt>
                <c:pt idx="43">
                  <c:v>289.82962637569977</c:v>
                </c:pt>
                <c:pt idx="44">
                  <c:v>309.3092561029556</c:v>
                </c:pt>
                <c:pt idx="45">
                  <c:v>328.76165316889791</c:v>
                </c:pt>
                <c:pt idx="46">
                  <c:v>348.18865493629534</c:v>
                </c:pt>
                <c:pt idx="47">
                  <c:v>367.59187704260927</c:v>
                </c:pt>
                <c:pt idx="48">
                  <c:v>386.97275069119155</c:v>
                </c:pt>
                <c:pt idx="49">
                  <c:v>406.33255207904011</c:v>
                </c:pt>
                <c:pt idx="50">
                  <c:v>425.67242592235556</c:v>
                </c:pt>
                <c:pt idx="51">
                  <c:v>328.39486727133874</c:v>
                </c:pt>
                <c:pt idx="52">
                  <c:v>348.18865493629534</c:v>
                </c:pt>
                <c:pt idx="53">
                  <c:v>367.95775652370872</c:v>
                </c:pt>
                <c:pt idx="54">
                  <c:v>387.70368425262296</c:v>
                </c:pt>
                <c:pt idx="55">
                  <c:v>407.42778379371663</c:v>
                </c:pt>
                <c:pt idx="56">
                  <c:v>427.13125995293143</c:v>
                </c:pt>
                <c:pt idx="57">
                  <c:v>446.81519736841233</c:v>
                </c:pt>
                <c:pt idx="58">
                  <c:v>466.4805773703319</c:v>
                </c:pt>
                <c:pt idx="59">
                  <c:v>486.12829184993842</c:v>
                </c:pt>
                <c:pt idx="60">
                  <c:v>505.75915477017446</c:v>
                </c:pt>
                <c:pt idx="61">
                  <c:v>399.57720542478529</c:v>
                </c:pt>
                <c:pt idx="62">
                  <c:v>419.10633532774767</c:v>
                </c:pt>
                <c:pt idx="63">
                  <c:v>438.61586616499397</c:v>
                </c:pt>
                <c:pt idx="64">
                  <c:v>458.1067918371786</c:v>
                </c:pt>
                <c:pt idx="65">
                  <c:v>477.58001482002169</c:v>
                </c:pt>
                <c:pt idx="66">
                  <c:v>497.036358035185</c:v>
                </c:pt>
                <c:pt idx="67">
                  <c:v>516.47657476615097</c:v>
                </c:pt>
                <c:pt idx="68">
                  <c:v>535.90135700397661</c:v>
                </c:pt>
                <c:pt idx="69">
                  <c:v>555.31134252056279</c:v>
                </c:pt>
                <c:pt idx="70">
                  <c:v>574.70712090201835</c:v>
                </c:pt>
                <c:pt idx="71">
                  <c:v>462.294089204675</c:v>
                </c:pt>
                <c:pt idx="72">
                  <c:v>480.67231718549561</c:v>
                </c:pt>
                <c:pt idx="73">
                  <c:v>499.03561650475189</c:v>
                </c:pt>
                <c:pt idx="74">
                  <c:v>517.38461348648957</c:v>
                </c:pt>
                <c:pt idx="75">
                  <c:v>535.71988643466068</c:v>
                </c:pt>
                <c:pt idx="76">
                  <c:v>554.04197086588488</c:v>
                </c:pt>
                <c:pt idx="77">
                  <c:v>572.35136401433954</c:v>
                </c:pt>
                <c:pt idx="78">
                  <c:v>590.64852873052894</c:v>
                </c:pt>
                <c:pt idx="79">
                  <c:v>608.93389687209947</c:v>
                </c:pt>
                <c:pt idx="80">
                  <c:v>627.20787226644893</c:v>
                </c:pt>
                <c:pt idx="81">
                  <c:v>518.65581121947082</c:v>
                </c:pt>
                <c:pt idx="82">
                  <c:v>535.17546696939337</c:v>
                </c:pt>
                <c:pt idx="83">
                  <c:v>551.68440454363065</c:v>
                </c:pt>
                <c:pt idx="84">
                  <c:v>568.18298966438704</c:v>
                </c:pt>
                <c:pt idx="85">
                  <c:v>584.67156509530366</c:v>
                </c:pt>
                <c:pt idx="86">
                  <c:v>601.1504527028269</c:v>
                </c:pt>
                <c:pt idx="87">
                  <c:v>617.61995527992087</c:v>
                </c:pt>
                <c:pt idx="88">
                  <c:v>634.08035816525512</c:v>
                </c:pt>
                <c:pt idx="89">
                  <c:v>650.53193068562337</c:v>
                </c:pt>
                <c:pt idx="90">
                  <c:v>666.97492744496378</c:v>
                </c:pt>
                <c:pt idx="91">
                  <c:v>560.93211702074007</c:v>
                </c:pt>
                <c:pt idx="92">
                  <c:v>576.15671718544536</c:v>
                </c:pt>
                <c:pt idx="93">
                  <c:v>591.3729233222266</c:v>
                </c:pt>
                <c:pt idx="94">
                  <c:v>606.58098171901827</c:v>
                </c:pt>
                <c:pt idx="95">
                  <c:v>621.7811253140419</c:v>
                </c:pt>
                <c:pt idx="96">
                  <c:v>636.97357473480702</c:v>
                </c:pt>
                <c:pt idx="97">
                  <c:v>652.15853923289103</c:v>
                </c:pt>
                <c:pt idx="98">
                  <c:v>667.33621752718682</c:v>
                </c:pt>
                <c:pt idx="99">
                  <c:v>682.50679856649674</c:v>
                </c:pt>
                <c:pt idx="100">
                  <c:v>697.67046222084502</c:v>
                </c:pt>
                <c:pt idx="101">
                  <c:v>597.52953409477198</c:v>
                </c:pt>
                <c:pt idx="102">
                  <c:v>611.28662331597275</c:v>
                </c:pt>
                <c:pt idx="103">
                  <c:v>625.03729061656554</c:v>
                </c:pt>
                <c:pt idx="104">
                  <c:v>638.78169711460112</c:v>
                </c:pt>
                <c:pt idx="105">
                  <c:v>652.51999643294278</c:v>
                </c:pt>
                <c:pt idx="106">
                  <c:v>666.25233520168399</c:v>
                </c:pt>
                <c:pt idx="107">
                  <c:v>679.97885351701518</c:v>
                </c:pt>
                <c:pt idx="108">
                  <c:v>693.69968536113538</c:v>
                </c:pt>
                <c:pt idx="109">
                  <c:v>707.41495898723531</c:v>
                </c:pt>
                <c:pt idx="110">
                  <c:v>721.1247972730938</c:v>
                </c:pt>
                <c:pt idx="111">
                  <c:v>628.6548402981233</c:v>
                </c:pt>
                <c:pt idx="112">
                  <c:v>640.95130444493554</c:v>
                </c:pt>
                <c:pt idx="113">
                  <c:v>653.24289845337205</c:v>
                </c:pt>
                <c:pt idx="114">
                  <c:v>665.52972683667122</c:v>
                </c:pt>
                <c:pt idx="115">
                  <c:v>677.8118899361674</c:v>
                </c:pt>
                <c:pt idx="116">
                  <c:v>690.08948416197961</c:v>
                </c:pt>
                <c:pt idx="117">
                  <c:v>702.36260221569603</c:v>
                </c:pt>
                <c:pt idx="118">
                  <c:v>714.63133329669063</c:v>
                </c:pt>
                <c:pt idx="119">
                  <c:v>726.89576329354441</c:v>
                </c:pt>
                <c:pt idx="120">
                  <c:v>739.15597496188423</c:v>
                </c:pt>
                <c:pt idx="121">
                  <c:v>654.14650279389639</c:v>
                </c:pt>
                <c:pt idx="122">
                  <c:v>664.8071023299367</c:v>
                </c:pt>
                <c:pt idx="123">
                  <c:v>675.46418548841041</c:v>
                </c:pt>
                <c:pt idx="124">
                  <c:v>686.11781555021241</c:v>
                </c:pt>
                <c:pt idx="125">
                  <c:v>696.76805367152656</c:v>
                </c:pt>
                <c:pt idx="126">
                  <c:v>707.41495898723531</c:v>
                </c:pt>
                <c:pt idx="127">
                  <c:v>718.05858870778468</c:v>
                </c:pt>
                <c:pt idx="128">
                  <c:v>728.69899821000888</c:v>
                </c:pt>
                <c:pt idx="129">
                  <c:v>739.33624112237851</c:v>
                </c:pt>
                <c:pt idx="130">
                  <c:v>749.97036940508951</c:v>
                </c:pt>
                <c:pt idx="131">
                  <c:v>674.38057308941836</c:v>
                </c:pt>
                <c:pt idx="132">
                  <c:v>683.59014472488514</c:v>
                </c:pt>
                <c:pt idx="133">
                  <c:v>692.7971712341091</c:v>
                </c:pt>
                <c:pt idx="134">
                  <c:v>702.00169120082239</c:v>
                </c:pt>
                <c:pt idx="135">
                  <c:v>711.20374211472051</c:v>
                </c:pt>
                <c:pt idx="136">
                  <c:v>720.40336041654052</c:v>
                </c:pt>
                <c:pt idx="137">
                  <c:v>729.60058154071328</c:v>
                </c:pt>
                <c:pt idx="138">
                  <c:v>738.79543995575875</c:v>
                </c:pt>
                <c:pt idx="139">
                  <c:v>747.98796920256325</c:v>
                </c:pt>
                <c:pt idx="140">
                  <c:v>757.17820193068076</c:v>
                </c:pt>
                <c:pt idx="141">
                  <c:v>691.35309850617239</c:v>
                </c:pt>
                <c:pt idx="142">
                  <c:v>699.47520765710851</c:v>
                </c:pt>
                <c:pt idx="143">
                  <c:v>707.59538662085424</c:v>
                </c:pt>
                <c:pt idx="144">
                  <c:v>715.71366066651626</c:v>
                </c:pt>
                <c:pt idx="145">
                  <c:v>723.83005444332548</c:v>
                </c:pt>
                <c:pt idx="146">
                  <c:v>731.94459200277345</c:v>
                </c:pt>
                <c:pt idx="147">
                  <c:v>740.05729681971332</c:v>
                </c:pt>
                <c:pt idx="148">
                  <c:v>748.16819181249014</c:v>
                </c:pt>
                <c:pt idx="149">
                  <c:v>756.27729936215337</c:v>
                </c:pt>
                <c:pt idx="150">
                  <c:v>764.3846413308014</c:v>
                </c:pt>
                <c:pt idx="151">
                  <c:v>697.67046222084571</c:v>
                </c:pt>
                <c:pt idx="152">
                  <c:v>697.67046222084571</c:v>
                </c:pt>
                <c:pt idx="153">
                  <c:v>697.67046222084571</c:v>
                </c:pt>
                <c:pt idx="154">
                  <c:v>697.67046222084571</c:v>
                </c:pt>
                <c:pt idx="155">
                  <c:v>697.67046222084571</c:v>
                </c:pt>
                <c:pt idx="156">
                  <c:v>697.67046222084571</c:v>
                </c:pt>
                <c:pt idx="157">
                  <c:v>697.67046222084571</c:v>
                </c:pt>
                <c:pt idx="158">
                  <c:v>697.67046222084571</c:v>
                </c:pt>
                <c:pt idx="159">
                  <c:v>697.67046222084571</c:v>
                </c:pt>
                <c:pt idx="160">
                  <c:v>697.67046222084571</c:v>
                </c:pt>
                <c:pt idx="161">
                  <c:v>697.67046222084571</c:v>
                </c:pt>
                <c:pt idx="162">
                  <c:v>697.67046222084571</c:v>
                </c:pt>
                <c:pt idx="163">
                  <c:v>697.67046222084571</c:v>
                </c:pt>
                <c:pt idx="164">
                  <c:v>697.67046222084571</c:v>
                </c:pt>
                <c:pt idx="165">
                  <c:v>697.67046222084571</c:v>
                </c:pt>
                <c:pt idx="166">
                  <c:v>697.67046222084571</c:v>
                </c:pt>
                <c:pt idx="167">
                  <c:v>697.67046222084571</c:v>
                </c:pt>
                <c:pt idx="168">
                  <c:v>697.67046222084571</c:v>
                </c:pt>
                <c:pt idx="169">
                  <c:v>697.67046222084571</c:v>
                </c:pt>
                <c:pt idx="170">
                  <c:v>697.67046222084571</c:v>
                </c:pt>
                <c:pt idx="171">
                  <c:v>697.67046222084571</c:v>
                </c:pt>
                <c:pt idx="172">
                  <c:v>697.67046222084571</c:v>
                </c:pt>
                <c:pt idx="173">
                  <c:v>697.67046222084571</c:v>
                </c:pt>
                <c:pt idx="174">
                  <c:v>697.67046222084571</c:v>
                </c:pt>
                <c:pt idx="175">
                  <c:v>697.67046222084571</c:v>
                </c:pt>
                <c:pt idx="176">
                  <c:v>697.67046222084571</c:v>
                </c:pt>
                <c:pt idx="177">
                  <c:v>697.67046222084571</c:v>
                </c:pt>
                <c:pt idx="178">
                  <c:v>697.67046222084571</c:v>
                </c:pt>
                <c:pt idx="179">
                  <c:v>697.67046222084571</c:v>
                </c:pt>
                <c:pt idx="180">
                  <c:v>697.67046222084571</c:v>
                </c:pt>
                <c:pt idx="181">
                  <c:v>697.67046222084571</c:v>
                </c:pt>
                <c:pt idx="182">
                  <c:v>697.67046222084571</c:v>
                </c:pt>
                <c:pt idx="183">
                  <c:v>697.67046222084571</c:v>
                </c:pt>
                <c:pt idx="184">
                  <c:v>697.67046222084571</c:v>
                </c:pt>
                <c:pt idx="185">
                  <c:v>697.67046222084571</c:v>
                </c:pt>
                <c:pt idx="186">
                  <c:v>697.67046222084571</c:v>
                </c:pt>
                <c:pt idx="187">
                  <c:v>697.67046222084571</c:v>
                </c:pt>
                <c:pt idx="188">
                  <c:v>697.67046222084571</c:v>
                </c:pt>
                <c:pt idx="189">
                  <c:v>697.67046222084571</c:v>
                </c:pt>
                <c:pt idx="190">
                  <c:v>697.67046222084571</c:v>
                </c:pt>
                <c:pt idx="191">
                  <c:v>697.67046222084571</c:v>
                </c:pt>
                <c:pt idx="192">
                  <c:v>697.67046222084571</c:v>
                </c:pt>
                <c:pt idx="193">
                  <c:v>697.67046222084571</c:v>
                </c:pt>
                <c:pt idx="194">
                  <c:v>697.67046222084571</c:v>
                </c:pt>
                <c:pt idx="195">
                  <c:v>697.67046222084571</c:v>
                </c:pt>
                <c:pt idx="196">
                  <c:v>697.67046222084571</c:v>
                </c:pt>
                <c:pt idx="197">
                  <c:v>697.67046222084571</c:v>
                </c:pt>
                <c:pt idx="198">
                  <c:v>697.67046222084571</c:v>
                </c:pt>
                <c:pt idx="199">
                  <c:v>697.67046222084571</c:v>
                </c:pt>
                <c:pt idx="200">
                  <c:v>697.67046222084571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2.977401826982129</c:v>
                </c:pt>
                <c:pt idx="2">
                  <c:v>3.438098770388518</c:v>
                </c:pt>
                <c:pt idx="3">
                  <c:v>3.9703351178845452</c:v>
                </c:pt>
                <c:pt idx="4">
                  <c:v>4.5852573015286637</c:v>
                </c:pt>
                <c:pt idx="5">
                  <c:v>5.2957539278577626</c:v>
                </c:pt>
                <c:pt idx="6">
                  <c:v>6.1167288740020034</c:v>
                </c:pt>
                <c:pt idx="7">
                  <c:v>7.0654173088118783</c:v>
                </c:pt>
                <c:pt idx="8">
                  <c:v>8.1617514026441196</c:v>
                </c:pt>
                <c:pt idx="9">
                  <c:v>9.4287835576083463</c:v>
                </c:pt>
                <c:pt idx="10">
                  <c:v>10.89317622726889</c:v>
                </c:pt>
                <c:pt idx="11">
                  <c:v>12.585768827826234</c:v>
                </c:pt>
                <c:pt idx="12">
                  <c:v>14.542233902726723</c:v>
                </c:pt>
                <c:pt idx="13">
                  <c:v>16.803836625457432</c:v>
                </c:pt>
                <c:pt idx="14">
                  <c:v>19.418313952683437</c:v>
                </c:pt>
                <c:pt idx="15">
                  <c:v>22.440892320212768</c:v>
                </c:pt>
                <c:pt idx="16">
                  <c:v>25.935465763549008</c:v>
                </c:pt>
                <c:pt idx="17">
                  <c:v>29.975959807936576</c:v>
                </c:pt>
                <c:pt idx="18">
                  <c:v>34.647910485066539</c:v>
                </c:pt>
                <c:pt idx="19">
                  <c:v>40.050292482206309</c:v>
                </c:pt>
                <c:pt idx="20">
                  <c:v>46.297635815531201</c:v>
                </c:pt>
                <c:pt idx="21">
                  <c:v>53.522476660040105</c:v>
                </c:pt>
                <c:pt idx="22">
                  <c:v>61.87819519944594</c:v>
                </c:pt>
                <c:pt idx="23">
                  <c:v>71.542301738272556</c:v>
                </c:pt>
                <c:pt idx="24">
                  <c:v>82.720242027555841</c:v>
                </c:pt>
                <c:pt idx="25">
                  <c:v>95.649804006577554</c:v>
                </c:pt>
                <c:pt idx="26">
                  <c:v>110.60622120119054</c:v>
                </c:pt>
                <c:pt idx="27">
                  <c:v>127.90808312880368</c:v>
                </c:pt>
                <c:pt idx="28">
                  <c:v>147.92418057055872</c:v>
                </c:pt>
                <c:pt idx="29">
                  <c:v>171.08143386472219</c:v>
                </c:pt>
                <c:pt idx="30">
                  <c:v>197.87407589479196</c:v>
                </c:pt>
                <c:pt idx="31">
                  <c:v>209.45478878808422</c:v>
                </c:pt>
                <c:pt idx="32">
                  <c:v>221.02072960652848</c:v>
                </c:pt>
                <c:pt idx="33">
                  <c:v>232.57278079298169</c:v>
                </c:pt>
                <c:pt idx="34">
                  <c:v>244.11172989442721</c:v>
                </c:pt>
                <c:pt idx="35">
                  <c:v>255.63828386730665</c:v>
                </c:pt>
                <c:pt idx="36">
                  <c:v>267.15308066489769</c:v>
                </c:pt>
                <c:pt idx="37">
                  <c:v>278.65669872045373</c:v>
                </c:pt>
                <c:pt idx="38">
                  <c:v>290.14966478112262</c:v>
                </c:pt>
                <c:pt idx="39">
                  <c:v>301.6324604347717</c:v>
                </c:pt>
                <c:pt idx="40">
                  <c:v>313.10552759029611</c:v>
                </c:pt>
                <c:pt idx="41">
                  <c:v>324.5692731121938</c:v>
                </c:pt>
                <c:pt idx="42">
                  <c:v>336.02407276580362</c:v>
                </c:pt>
                <c:pt idx="43">
                  <c:v>347.47027459621967</c:v>
                </c:pt>
                <c:pt idx="44">
                  <c:v>358.90820183854044</c:v>
                </c:pt>
                <c:pt idx="45">
                  <c:v>234.75680759932285</c:v>
                </c:pt>
                <c:pt idx="46">
                  <c:v>249.72074991679361</c:v>
                </c:pt>
                <c:pt idx="47">
                  <c:v>264.66436111300339</c:v>
                </c:pt>
                <c:pt idx="48">
                  <c:v>279.58895091717909</c:v>
                </c:pt>
                <c:pt idx="49">
                  <c:v>294.49567776558769</c:v>
                </c:pt>
                <c:pt idx="50">
                  <c:v>309.38557321413464</c:v>
                </c:pt>
                <c:pt idx="51">
                  <c:v>324.25956140199474</c:v>
                </c:pt>
                <c:pt idx="52">
                  <c:v>255.52152068618025</c:v>
                </c:pt>
                <c:pt idx="53">
                  <c:v>269.40803136843118</c:v>
                </c:pt>
                <c:pt idx="54">
                  <c:v>283.27843407113056</c:v>
                </c:pt>
                <c:pt idx="55">
                  <c:v>297.13362873980577</c:v>
                </c:pt>
                <c:pt idx="56">
                  <c:v>310.97442451357341</c:v>
                </c:pt>
                <c:pt idx="57">
                  <c:v>324.80155260722586</c:v>
                </c:pt>
                <c:pt idx="58">
                  <c:v>338.61567688382667</c:v>
                </c:pt>
                <c:pt idx="59">
                  <c:v>352.41740261109879</c:v>
                </c:pt>
                <c:pt idx="60">
                  <c:v>280.83184541341706</c:v>
                </c:pt>
                <c:pt idx="61">
                  <c:v>293.87490695294537</c:v>
                </c:pt>
                <c:pt idx="62">
                  <c:v>306.9050523897962</c:v>
                </c:pt>
                <c:pt idx="63">
                  <c:v>319.92290747907714</c:v>
                </c:pt>
                <c:pt idx="64">
                  <c:v>332.92904287941286</c:v>
                </c:pt>
                <c:pt idx="65">
                  <c:v>345.92398101265053</c:v>
                </c:pt>
                <c:pt idx="66">
                  <c:v>358.90820183854049</c:v>
                </c:pt>
                <c:pt idx="67">
                  <c:v>371.88214774985954</c:v>
                </c:pt>
                <c:pt idx="68">
                  <c:v>314.77143848876943</c:v>
                </c:pt>
                <c:pt idx="69">
                  <c:v>326.96931790120061</c:v>
                </c:pt>
                <c:pt idx="70">
                  <c:v>339.15715083453068</c:v>
                </c:pt>
                <c:pt idx="71">
                  <c:v>351.33534928144695</c:v>
                </c:pt>
                <c:pt idx="72">
                  <c:v>363.50429433440468</c:v>
                </c:pt>
                <c:pt idx="73">
                  <c:v>375.66433948206554</c:v>
                </c:pt>
                <c:pt idx="74">
                  <c:v>387.81581345652609</c:v>
                </c:pt>
                <c:pt idx="75">
                  <c:v>399.95902270499568</c:v>
                </c:pt>
                <c:pt idx="76">
                  <c:v>344.96176619709246</c:v>
                </c:pt>
                <c:pt idx="77">
                  <c:v>356.98527220818193</c:v>
                </c:pt>
                <c:pt idx="78">
                  <c:v>368.99991517871928</c:v>
                </c:pt>
                <c:pt idx="79">
                  <c:v>381.00602441682275</c:v>
                </c:pt>
                <c:pt idx="80">
                  <c:v>393.00390677875492</c:v>
                </c:pt>
                <c:pt idx="81">
                  <c:v>404.99384885292989</c:v>
                </c:pt>
                <c:pt idx="82">
                  <c:v>416.97611887175293</c:v>
                </c:pt>
                <c:pt idx="83">
                  <c:v>428.95096839221861</c:v>
                </c:pt>
                <c:pt idx="84">
                  <c:v>440.91863377904133</c:v>
                </c:pt>
                <c:pt idx="85">
                  <c:v>376.68478839776452</c:v>
                </c:pt>
                <c:pt idx="86">
                  <c:v>387.96577939828484</c:v>
                </c:pt>
                <c:pt idx="87">
                  <c:v>399.23965023576648</c:v>
                </c:pt>
                <c:pt idx="88">
                  <c:v>410.50663035556499</c:v>
                </c:pt>
                <c:pt idx="89">
                  <c:v>421.76693557786808</c:v>
                </c:pt>
                <c:pt idx="90">
                  <c:v>433.02076925672145</c:v>
                </c:pt>
                <c:pt idx="91">
                  <c:v>444.26832331226962</c:v>
                </c:pt>
                <c:pt idx="92">
                  <c:v>455.50977915300967</c:v>
                </c:pt>
                <c:pt idx="93">
                  <c:v>466.74530850225364</c:v>
                </c:pt>
                <c:pt idx="94">
                  <c:v>413.54995800723356</c:v>
                </c:pt>
                <c:pt idx="95">
                  <c:v>424.97612632602937</c:v>
                </c:pt>
                <c:pt idx="96">
                  <c:v>436.39568638418808</c:v>
                </c:pt>
                <c:pt idx="97">
                  <c:v>447.80883549913915</c:v>
                </c:pt>
                <c:pt idx="98">
                  <c:v>459.21576010891346</c:v>
                </c:pt>
                <c:pt idx="99">
                  <c:v>470.61663663308531</c:v>
                </c:pt>
                <c:pt idx="100">
                  <c:v>482.01163224594302</c:v>
                </c:pt>
                <c:pt idx="101">
                  <c:v>493.40090557274101</c:v>
                </c:pt>
                <c:pt idx="102">
                  <c:v>504.7846073183207</c:v>
                </c:pt>
                <c:pt idx="103">
                  <c:v>516.16288083607787</c:v>
                </c:pt>
                <c:pt idx="104">
                  <c:v>441.13398732603946</c:v>
                </c:pt>
                <c:pt idx="105">
                  <c:v>452.11405687747151</c:v>
                </c:pt>
                <c:pt idx="106">
                  <c:v>463.08842558285983</c:v>
                </c:pt>
                <c:pt idx="107">
                  <c:v>474.05724759922788</c:v>
                </c:pt>
                <c:pt idx="108">
                  <c:v>485.02066936729352</c:v>
                </c:pt>
                <c:pt idx="109">
                  <c:v>495.97883016711165</c:v>
                </c:pt>
                <c:pt idx="110">
                  <c:v>506.93186262205592</c:v>
                </c:pt>
                <c:pt idx="111">
                  <c:v>517.87989315697894</c:v>
                </c:pt>
                <c:pt idx="112">
                  <c:v>528.82304241561644</c:v>
                </c:pt>
                <c:pt idx="113">
                  <c:v>539.76142564164661</c:v>
                </c:pt>
                <c:pt idx="114">
                  <c:v>482.5131660805373</c:v>
                </c:pt>
                <c:pt idx="115">
                  <c:v>493.97380232550307</c:v>
                </c:pt>
                <c:pt idx="116">
                  <c:v>505.42880415532346</c:v>
                </c:pt>
                <c:pt idx="117">
                  <c:v>516.87831726084312</c:v>
                </c:pt>
                <c:pt idx="118">
                  <c:v>528.32248035244049</c:v>
                </c:pt>
                <c:pt idx="119">
                  <c:v>539.76142564164661</c:v>
                </c:pt>
                <c:pt idx="120">
                  <c:v>551.19527927981949</c:v>
                </c:pt>
                <c:pt idx="121">
                  <c:v>562.6241617585307</c:v>
                </c:pt>
                <c:pt idx="122">
                  <c:v>574.04818827573661</c:v>
                </c:pt>
                <c:pt idx="123">
                  <c:v>585.46746907129102</c:v>
                </c:pt>
                <c:pt idx="124">
                  <c:v>596.88210973492619</c:v>
                </c:pt>
                <c:pt idx="125">
                  <c:v>608.29221148945874</c:v>
                </c:pt>
                <c:pt idx="126">
                  <c:v>516.69946011497882</c:v>
                </c:pt>
                <c:pt idx="127">
                  <c:v>527.96492990820877</c:v>
                </c:pt>
                <c:pt idx="128">
                  <c:v>539.22533978418392</c:v>
                </c:pt>
                <c:pt idx="129">
                  <c:v>550.48081028975696</c:v>
                </c:pt>
                <c:pt idx="130">
                  <c:v>561.73145664081733</c:v>
                </c:pt>
                <c:pt idx="131">
                  <c:v>572.97738906235247</c:v>
                </c:pt>
                <c:pt idx="132">
                  <c:v>584.21871310043014</c:v>
                </c:pt>
                <c:pt idx="133">
                  <c:v>595.45552990892577</c:v>
                </c:pt>
                <c:pt idx="134">
                  <c:v>606.68793651348562</c:v>
                </c:pt>
                <c:pt idx="135">
                  <c:v>617.91602605493279</c:v>
                </c:pt>
                <c:pt idx="136">
                  <c:v>629.1398880140664</c:v>
                </c:pt>
                <c:pt idx="137">
                  <c:v>640.35960841959184</c:v>
                </c:pt>
                <c:pt idx="138">
                  <c:v>542.08433525163457</c:v>
                </c:pt>
                <c:pt idx="139">
                  <c:v>552.98136686891917</c:v>
                </c:pt>
                <c:pt idx="140">
                  <c:v>563.87389914697917</c:v>
                </c:pt>
                <c:pt idx="141">
                  <c:v>574.76203124191625</c:v>
                </c:pt>
                <c:pt idx="142">
                  <c:v>585.64585824723281</c:v>
                </c:pt>
                <c:pt idx="143">
                  <c:v>596.52547143428922</c:v>
                </c:pt>
                <c:pt idx="144">
                  <c:v>607.40095847431473</c:v>
                </c:pt>
                <c:pt idx="145">
                  <c:v>618.27240364369368</c:v>
                </c:pt>
                <c:pt idx="146">
                  <c:v>629.13988801406629</c:v>
                </c:pt>
                <c:pt idx="147">
                  <c:v>640.00348962861858</c:v>
                </c:pt>
                <c:pt idx="148">
                  <c:v>650.86328366578198</c:v>
                </c:pt>
                <c:pt idx="149">
                  <c:v>661.71934259144484</c:v>
                </c:pt>
                <c:pt idx="150">
                  <c:v>409.12858577876631</c:v>
                </c:pt>
                <c:pt idx="151">
                  <c:v>416.13760433977177</c:v>
                </c:pt>
                <c:pt idx="152">
                  <c:v>423.14407785571052</c:v>
                </c:pt>
                <c:pt idx="153">
                  <c:v>430.14805444118105</c:v>
                </c:pt>
                <c:pt idx="154">
                  <c:v>282.46295734757138</c:v>
                </c:pt>
                <c:pt idx="155">
                  <c:v>286.26806670430142</c:v>
                </c:pt>
                <c:pt idx="156">
                  <c:v>290.07204425126901</c:v>
                </c:pt>
                <c:pt idx="157">
                  <c:v>293.87490695294485</c:v>
                </c:pt>
                <c:pt idx="158">
                  <c:v>196.22961390794049</c:v>
                </c:pt>
                <c:pt idx="159">
                  <c:v>198.97020746342079</c:v>
                </c:pt>
                <c:pt idx="160">
                  <c:v>201.70992536890867</c:v>
                </c:pt>
                <c:pt idx="161">
                  <c:v>204.44878122951886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/>
  <cols>
    <col min="1" max="1" width="6.6640625" customWidth="1"/>
    <col min="2" max="13" width="15.88671875" customWidth="1"/>
  </cols>
  <sheetData>
    <row r="12" spans="2:13" ht="15" customHeight="1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7" sqref="C27"/>
    </sheetView>
  </sheetViews>
  <sheetFormatPr baseColWidth="10" defaultColWidth="11.44140625" defaultRowHeight="14.4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>
      <c r="A5" s="269" t="s">
        <v>231</v>
      </c>
      <c r="B5" s="269"/>
      <c r="C5" s="24">
        <v>3.46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165</v>
      </c>
      <c r="B9" s="31" t="s">
        <v>14</v>
      </c>
      <c r="C9" s="32">
        <v>0.8</v>
      </c>
      <c r="D9" s="33">
        <f t="shared" ref="D9:D18" si="0">C9*$C$5</f>
        <v>2.7680000000000002</v>
      </c>
      <c r="E9" s="34">
        <v>161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166</v>
      </c>
      <c r="B10" s="31" t="s">
        <v>25</v>
      </c>
      <c r="C10" s="32">
        <v>0.1</v>
      </c>
      <c r="D10" s="33">
        <f t="shared" si="0"/>
        <v>0.34600000000000003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167</v>
      </c>
      <c r="B11" s="31" t="s">
        <v>12</v>
      </c>
      <c r="C11" s="32">
        <v>0.1</v>
      </c>
      <c r="D11" s="33">
        <f t="shared" si="0"/>
        <v>0.34600000000000003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175</v>
      </c>
      <c r="C19" s="37">
        <f>SUM(C9:C18)</f>
        <v>1</v>
      </c>
      <c r="D19" s="38">
        <f>SUM(D9:D18)</f>
        <v>3.4600000000000004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30</v>
      </c>
      <c r="B36" s="257">
        <v>87.705128205128204</v>
      </c>
      <c r="C36" s="257"/>
      <c r="D36" s="257"/>
      <c r="E36" s="51"/>
      <c r="F36" s="51"/>
      <c r="G36" s="51"/>
      <c r="H36" s="51"/>
      <c r="I36" s="49">
        <f>IFERROR(B36/A36,"")</f>
        <v>2.9235042735042733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44</v>
      </c>
      <c r="B37" s="257">
        <v>162.42307692307691</v>
      </c>
      <c r="C37" s="257">
        <v>1</v>
      </c>
      <c r="D37" s="257">
        <v>64.416666666666657</v>
      </c>
      <c r="E37" s="51"/>
      <c r="F37" s="51"/>
      <c r="G37" s="51"/>
      <c r="H37" s="51"/>
      <c r="I37" s="53">
        <f t="shared" ref="I37:I55" si="1">IF(A37&lt;&gt;0,(B37-(B36-D36))/(A37-A36),"")</f>
        <v>5.3369963369963358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51</v>
      </c>
      <c r="B38" s="257">
        <v>145.78846153846155</v>
      </c>
      <c r="C38" s="257">
        <v>2</v>
      </c>
      <c r="D38" s="257">
        <v>37.685897435897431</v>
      </c>
      <c r="E38" s="51"/>
      <c r="F38" s="51"/>
      <c r="G38" s="51"/>
      <c r="H38" s="51"/>
      <c r="I38" s="53">
        <f t="shared" si="1"/>
        <v>6.8260073260073284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>
        <v>59</v>
      </c>
      <c r="B39" s="257">
        <v>159.25641025641025</v>
      </c>
      <c r="C39" s="257">
        <v>3</v>
      </c>
      <c r="D39" s="257">
        <v>38.942307692307693</v>
      </c>
      <c r="E39" s="51"/>
      <c r="F39" s="51"/>
      <c r="G39" s="51"/>
      <c r="H39" s="51"/>
      <c r="I39" s="49">
        <f t="shared" si="1"/>
        <v>6.3942307692307665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>
        <v>67</v>
      </c>
      <c r="B40" s="257">
        <v>167.85897435897436</v>
      </c>
      <c r="C40" s="257">
        <v>4</v>
      </c>
      <c r="D40" s="257">
        <v>31.993589743589741</v>
      </c>
      <c r="E40" s="51"/>
      <c r="F40" s="51"/>
      <c r="G40" s="51"/>
      <c r="H40" s="51"/>
      <c r="I40" s="49">
        <f t="shared" si="1"/>
        <v>5.9431089743589762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>
        <v>75</v>
      </c>
      <c r="B41" s="257">
        <v>181.38461538461536</v>
      </c>
      <c r="C41" s="257">
        <v>5</v>
      </c>
      <c r="D41" s="257">
        <v>30.916666666666664</v>
      </c>
      <c r="E41" s="51"/>
      <c r="F41" s="51"/>
      <c r="G41" s="51"/>
      <c r="H41" s="51"/>
      <c r="I41" s="53">
        <f t="shared" si="1"/>
        <v>5.6899038461538431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>
        <v>84</v>
      </c>
      <c r="B42" s="257">
        <v>200.00641025641025</v>
      </c>
      <c r="C42" s="257">
        <v>6</v>
      </c>
      <c r="D42" s="257">
        <v>35.083333333333329</v>
      </c>
      <c r="E42" s="51"/>
      <c r="F42" s="51"/>
      <c r="G42" s="51"/>
      <c r="H42" s="51"/>
      <c r="I42" s="53">
        <f t="shared" si="1"/>
        <v>5.5042735042735051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>
        <v>93</v>
      </c>
      <c r="B43" s="58">
        <v>212.26923076923075</v>
      </c>
      <c r="C43" s="58">
        <v>7</v>
      </c>
      <c r="D43" s="58">
        <v>30.083333333333332</v>
      </c>
      <c r="E43" s="51"/>
      <c r="F43" s="51"/>
      <c r="G43" s="51"/>
      <c r="H43" s="51"/>
      <c r="I43" s="49">
        <f t="shared" si="1"/>
        <v>5.2606837606837598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>
        <v>103</v>
      </c>
      <c r="B44" s="58">
        <v>234.76923076923077</v>
      </c>
      <c r="C44" s="58">
        <v>8</v>
      </c>
      <c r="D44" s="58">
        <v>39.512820512820511</v>
      </c>
      <c r="E44" s="51"/>
      <c r="F44" s="51"/>
      <c r="G44" s="51"/>
      <c r="H44" s="51"/>
      <c r="I44" s="49">
        <f t="shared" si="1"/>
        <v>5.2583333333333373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>
        <v>113</v>
      </c>
      <c r="B45" s="58">
        <v>246.21794871794873</v>
      </c>
      <c r="C45" s="58">
        <v>9</v>
      </c>
      <c r="D45" s="58">
        <v>31.602564102564099</v>
      </c>
      <c r="E45" s="51"/>
      <c r="F45" s="51"/>
      <c r="G45" s="51"/>
      <c r="H45" s="51"/>
      <c r="I45" s="49">
        <f t="shared" si="1"/>
        <v>5.0961538461538449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>
        <v>125</v>
      </c>
      <c r="B46" s="58">
        <v>278.29487179487177</v>
      </c>
      <c r="C46" s="58">
        <v>10</v>
      </c>
      <c r="D46" s="58">
        <v>48.160256410256409</v>
      </c>
      <c r="E46" s="51"/>
      <c r="F46" s="51"/>
      <c r="G46" s="51"/>
      <c r="H46" s="51"/>
      <c r="I46" s="49">
        <f t="shared" si="1"/>
        <v>5.3066239316239274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>
        <v>137</v>
      </c>
      <c r="B47" s="58">
        <v>293.07051282051282</v>
      </c>
      <c r="C47" s="58">
        <v>11</v>
      </c>
      <c r="D47" s="58">
        <v>51.160256410256409</v>
      </c>
      <c r="E47" s="51"/>
      <c r="F47" s="51"/>
      <c r="G47" s="51"/>
      <c r="H47" s="51"/>
      <c r="I47" s="49">
        <f t="shared" si="1"/>
        <v>5.2446581196581219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>
        <v>149</v>
      </c>
      <c r="B48" s="58">
        <v>303.18589743589746</v>
      </c>
      <c r="C48" s="58">
        <v>12</v>
      </c>
      <c r="D48" s="58">
        <v>120.50641025641026</v>
      </c>
      <c r="E48" s="51"/>
      <c r="F48" s="51"/>
      <c r="G48" s="51"/>
      <c r="H48" s="51"/>
      <c r="I48" s="49">
        <f t="shared" si="1"/>
        <v>5.1063034188034209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>
        <v>153</v>
      </c>
      <c r="B49" s="58">
        <v>195.05769230769232</v>
      </c>
      <c r="C49" s="58">
        <v>13</v>
      </c>
      <c r="D49" s="58">
        <v>70.115384615384613</v>
      </c>
      <c r="E49" s="51"/>
      <c r="F49" s="51"/>
      <c r="G49" s="51"/>
      <c r="H49" s="51"/>
      <c r="I49" s="49">
        <f t="shared" si="1"/>
        <v>3.0945512820512846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>
        <v>157</v>
      </c>
      <c r="B50" s="58">
        <v>132.42948717948718</v>
      </c>
      <c r="C50" s="58">
        <v>14</v>
      </c>
      <c r="D50" s="58">
        <v>45.71153846153846</v>
      </c>
      <c r="E50" s="51"/>
      <c r="F50" s="51"/>
      <c r="G50" s="51"/>
      <c r="H50" s="51"/>
      <c r="I50" s="49">
        <f t="shared" si="1"/>
        <v>1.8717948717948687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>
        <v>161</v>
      </c>
      <c r="B51" s="58">
        <v>91.365384615384613</v>
      </c>
      <c r="C51" s="58">
        <v>15</v>
      </c>
      <c r="D51" s="58">
        <v>91.365384615384613</v>
      </c>
      <c r="E51" s="51"/>
      <c r="F51" s="51"/>
      <c r="G51" s="51"/>
      <c r="H51" s="51"/>
      <c r="I51" s="49">
        <f t="shared" si="1"/>
        <v>1.1618589743589709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166</v>
      </c>
      <c r="B58" s="52" t="str">
        <f>IF(B10="","",B10)</f>
        <v>Hêtre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5">
        <v>20</v>
      </c>
      <c r="B62" s="55">
        <v>40</v>
      </c>
      <c r="C62" s="55">
        <v>1</v>
      </c>
      <c r="D62" s="55">
        <v>4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5">
        <v>30</v>
      </c>
      <c r="B63" s="55">
        <v>99</v>
      </c>
      <c r="C63" s="55">
        <v>2</v>
      </c>
      <c r="D63" s="55">
        <v>22</v>
      </c>
      <c r="E63" s="51"/>
      <c r="F63" s="51">
        <v>0.5</v>
      </c>
      <c r="G63" s="51">
        <v>0.5</v>
      </c>
      <c r="H63" s="51"/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5">
        <v>40</v>
      </c>
      <c r="B64" s="55">
        <v>173</v>
      </c>
      <c r="C64" s="55">
        <v>3</v>
      </c>
      <c r="D64" s="55">
        <v>51</v>
      </c>
      <c r="E64" s="51"/>
      <c r="F64" s="51"/>
      <c r="G64" s="51"/>
      <c r="H64" s="51"/>
      <c r="I64" s="49">
        <f>IF(A64&lt;&gt;0,(B64-(B63-D63))/(A64-A63),"")</f>
        <v>9.6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5">
        <v>50</v>
      </c>
      <c r="B65" s="55">
        <v>228</v>
      </c>
      <c r="C65" s="55">
        <v>4</v>
      </c>
      <c r="D65" s="55">
        <v>64</v>
      </c>
      <c r="E65" s="51"/>
      <c r="F65" s="51"/>
      <c r="G65" s="51"/>
      <c r="H65" s="51"/>
      <c r="I65" s="49">
        <f>IF(A65&lt;&gt;0,(B65-(B64-D64))/(A65-A64),"")</f>
        <v>10.6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5">
        <v>60</v>
      </c>
      <c r="B66" s="55">
        <v>272</v>
      </c>
      <c r="C66" s="55">
        <v>5</v>
      </c>
      <c r="D66" s="55">
        <v>69</v>
      </c>
      <c r="E66" s="51"/>
      <c r="F66" s="51"/>
      <c r="G66" s="51"/>
      <c r="H66" s="51"/>
      <c r="I66" s="49">
        <f t="shared" ref="I66:I81" si="2">IF(A66&lt;&gt;0,(B66-(B65-D65))/(A66-A65),"")</f>
        <v>10.8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5">
        <v>70</v>
      </c>
      <c r="B67" s="55">
        <v>310</v>
      </c>
      <c r="C67" s="55">
        <v>6</v>
      </c>
      <c r="D67" s="55">
        <v>72</v>
      </c>
      <c r="E67" s="51"/>
      <c r="F67" s="51"/>
      <c r="G67" s="51"/>
      <c r="H67" s="51"/>
      <c r="I67" s="49">
        <f t="shared" si="2"/>
        <v>10.7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5">
        <v>80</v>
      </c>
      <c r="B68" s="55">
        <v>339</v>
      </c>
      <c r="C68" s="55">
        <v>7</v>
      </c>
      <c r="D68" s="55">
        <v>69</v>
      </c>
      <c r="E68" s="51"/>
      <c r="F68" s="51"/>
      <c r="G68" s="51"/>
      <c r="H68" s="51"/>
      <c r="I68" s="49">
        <f t="shared" si="2"/>
        <v>10.1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5">
        <v>90</v>
      </c>
      <c r="B69" s="55">
        <v>361</v>
      </c>
      <c r="C69" s="55">
        <v>8</v>
      </c>
      <c r="D69" s="55">
        <v>67</v>
      </c>
      <c r="E69" s="51"/>
      <c r="F69" s="51"/>
      <c r="G69" s="51"/>
      <c r="H69" s="51"/>
      <c r="I69" s="49">
        <f t="shared" si="2"/>
        <v>9.1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5">
        <v>100</v>
      </c>
      <c r="B70" s="55">
        <v>378</v>
      </c>
      <c r="C70" s="55">
        <v>9</v>
      </c>
      <c r="D70" s="55">
        <v>63</v>
      </c>
      <c r="E70" s="51"/>
      <c r="F70" s="51"/>
      <c r="G70" s="51"/>
      <c r="H70" s="51"/>
      <c r="I70" s="49">
        <f t="shared" si="2"/>
        <v>8.4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5">
        <v>110</v>
      </c>
      <c r="B71" s="55">
        <v>391</v>
      </c>
      <c r="C71" s="55">
        <v>10</v>
      </c>
      <c r="D71" s="55">
        <v>58</v>
      </c>
      <c r="E71" s="51"/>
      <c r="F71" s="51"/>
      <c r="G71" s="51"/>
      <c r="H71" s="51"/>
      <c r="I71" s="49">
        <f t="shared" si="2"/>
        <v>7.6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5">
        <v>120</v>
      </c>
      <c r="B72" s="55">
        <v>401</v>
      </c>
      <c r="C72" s="55">
        <v>11</v>
      </c>
      <c r="D72" s="55">
        <v>53</v>
      </c>
      <c r="E72" s="51"/>
      <c r="F72" s="51"/>
      <c r="G72" s="51"/>
      <c r="H72" s="51"/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5">
        <v>130</v>
      </c>
      <c r="B73" s="55">
        <v>407</v>
      </c>
      <c r="C73" s="55">
        <v>12</v>
      </c>
      <c r="D73" s="55">
        <v>47</v>
      </c>
      <c r="E73" s="51"/>
      <c r="F73" s="51"/>
      <c r="G73" s="51"/>
      <c r="H73" s="51"/>
      <c r="I73" s="49">
        <f t="shared" si="2"/>
        <v>5.9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5">
        <v>140</v>
      </c>
      <c r="B74" s="55">
        <v>411</v>
      </c>
      <c r="C74" s="55">
        <v>13</v>
      </c>
      <c r="D74" s="55">
        <v>41</v>
      </c>
      <c r="E74" s="51"/>
      <c r="F74" s="51"/>
      <c r="G74" s="51"/>
      <c r="H74" s="51"/>
      <c r="I74" s="49">
        <f t="shared" si="2"/>
        <v>5.0999999999999996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5">
        <v>150</v>
      </c>
      <c r="B75" s="55">
        <v>415</v>
      </c>
      <c r="C75" s="55">
        <v>14</v>
      </c>
      <c r="D75" s="55">
        <v>37</v>
      </c>
      <c r="E75" s="51"/>
      <c r="F75" s="51"/>
      <c r="G75" s="51"/>
      <c r="H75" s="51"/>
      <c r="I75" s="49">
        <f t="shared" si="2"/>
        <v>4.5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>
        <v>30</v>
      </c>
      <c r="B88" s="60">
        <v>88</v>
      </c>
      <c r="C88" s="60"/>
      <c r="D88" s="60"/>
      <c r="E88" s="51"/>
      <c r="F88" s="51"/>
      <c r="G88" s="51"/>
      <c r="H88" s="87"/>
      <c r="I88" s="53">
        <f>IFERROR(B88/A88,"")</f>
        <v>2.9333333333333331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>
        <v>44</v>
      </c>
      <c r="B89" s="60">
        <v>162</v>
      </c>
      <c r="C89" s="60">
        <v>1</v>
      </c>
      <c r="D89" s="60">
        <v>64</v>
      </c>
      <c r="E89" s="51"/>
      <c r="F89" s="51"/>
      <c r="G89" s="51"/>
      <c r="H89" s="87"/>
      <c r="I89" s="53">
        <f t="shared" ref="I89:I107" si="3">IF(A89&lt;&gt;0,(B89-(B88-D88))/(A89-A88),"")</f>
        <v>5.2857142857142856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>
        <v>51</v>
      </c>
      <c r="B90" s="60">
        <v>146</v>
      </c>
      <c r="C90" s="60">
        <v>2</v>
      </c>
      <c r="D90" s="60">
        <v>38</v>
      </c>
      <c r="E90" s="87"/>
      <c r="F90" s="87"/>
      <c r="G90" s="87"/>
      <c r="H90" s="87"/>
      <c r="I90" s="53">
        <f t="shared" si="3"/>
        <v>6.8571428571428568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>
        <v>59</v>
      </c>
      <c r="B91" s="60">
        <v>159</v>
      </c>
      <c r="C91" s="60">
        <v>3</v>
      </c>
      <c r="D91" s="60">
        <v>39</v>
      </c>
      <c r="E91" s="87"/>
      <c r="F91" s="87"/>
      <c r="G91" s="87"/>
      <c r="H91" s="87"/>
      <c r="I91" s="53">
        <f t="shared" si="3"/>
        <v>6.375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>
        <v>67</v>
      </c>
      <c r="B92" s="60">
        <v>168</v>
      </c>
      <c r="C92" s="60">
        <v>4</v>
      </c>
      <c r="D92" s="60">
        <v>32</v>
      </c>
      <c r="E92" s="87"/>
      <c r="F92" s="87"/>
      <c r="G92" s="87"/>
      <c r="H92" s="87"/>
      <c r="I92" s="53">
        <f t="shared" si="3"/>
        <v>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>
        <v>75</v>
      </c>
      <c r="B93" s="60">
        <v>181</v>
      </c>
      <c r="C93" s="60">
        <v>5</v>
      </c>
      <c r="D93" s="60">
        <v>31</v>
      </c>
      <c r="E93" s="87"/>
      <c r="F93" s="87"/>
      <c r="G93" s="87"/>
      <c r="H93" s="87"/>
      <c r="I93" s="53">
        <f t="shared" si="3"/>
        <v>5.625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>
        <v>84</v>
      </c>
      <c r="B94" s="60">
        <v>200</v>
      </c>
      <c r="C94" s="60">
        <v>6</v>
      </c>
      <c r="D94" s="60">
        <v>35</v>
      </c>
      <c r="E94" s="87"/>
      <c r="F94" s="87"/>
      <c r="G94" s="87"/>
      <c r="H94" s="87"/>
      <c r="I94" s="53">
        <f t="shared" si="3"/>
        <v>5.5555555555555554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>
        <v>93</v>
      </c>
      <c r="B95" s="60">
        <v>212</v>
      </c>
      <c r="C95" s="60">
        <v>7</v>
      </c>
      <c r="D95" s="60">
        <v>30</v>
      </c>
      <c r="E95" s="87"/>
      <c r="F95" s="87"/>
      <c r="G95" s="87"/>
      <c r="H95" s="87"/>
      <c r="I95" s="53">
        <f t="shared" si="3"/>
        <v>5.2222222222222223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>
        <v>103</v>
      </c>
      <c r="B96" s="60">
        <v>235</v>
      </c>
      <c r="C96" s="60">
        <v>8</v>
      </c>
      <c r="D96" s="60">
        <v>40</v>
      </c>
      <c r="E96" s="87"/>
      <c r="F96" s="87"/>
      <c r="G96" s="87"/>
      <c r="H96" s="87"/>
      <c r="I96" s="53">
        <f t="shared" si="3"/>
        <v>5.3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>
        <v>113</v>
      </c>
      <c r="B97" s="60">
        <v>246</v>
      </c>
      <c r="C97" s="60">
        <v>9</v>
      </c>
      <c r="D97" s="60">
        <v>32</v>
      </c>
      <c r="E97" s="87"/>
      <c r="F97" s="87"/>
      <c r="G97" s="87"/>
      <c r="H97" s="87"/>
      <c r="I97" s="53">
        <f t="shared" si="3"/>
        <v>5.0999999999999996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>
        <v>125</v>
      </c>
      <c r="B98" s="60">
        <v>278</v>
      </c>
      <c r="C98" s="60">
        <v>10</v>
      </c>
      <c r="D98" s="60">
        <v>48</v>
      </c>
      <c r="E98" s="87"/>
      <c r="F98" s="87"/>
      <c r="G98" s="87"/>
      <c r="H98" s="87"/>
      <c r="I98" s="53">
        <f t="shared" si="3"/>
        <v>5.333333333333333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>
        <v>137</v>
      </c>
      <c r="B99" s="60">
        <v>293</v>
      </c>
      <c r="C99" s="60">
        <v>11</v>
      </c>
      <c r="D99" s="60">
        <v>51</v>
      </c>
      <c r="E99" s="87"/>
      <c r="F99" s="87"/>
      <c r="G99" s="87"/>
      <c r="H99" s="87"/>
      <c r="I99" s="53">
        <f t="shared" si="3"/>
        <v>5.25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>
        <v>149</v>
      </c>
      <c r="B100" s="60">
        <v>303</v>
      </c>
      <c r="C100" s="60">
        <v>12</v>
      </c>
      <c r="D100" s="60">
        <v>121</v>
      </c>
      <c r="E100" s="65"/>
      <c r="F100" s="65"/>
      <c r="G100" s="65"/>
      <c r="H100" s="65"/>
      <c r="I100" s="53">
        <f t="shared" si="3"/>
        <v>5.083333333333333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>
        <v>153</v>
      </c>
      <c r="B101" s="60">
        <v>195</v>
      </c>
      <c r="C101" s="60">
        <v>13</v>
      </c>
      <c r="D101" s="60">
        <v>70</v>
      </c>
      <c r="E101" s="65"/>
      <c r="F101" s="65"/>
      <c r="G101" s="65"/>
      <c r="H101" s="65"/>
      <c r="I101" s="53">
        <f t="shared" si="3"/>
        <v>3.25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>
        <v>157</v>
      </c>
      <c r="B102" s="50">
        <v>132</v>
      </c>
      <c r="C102" s="60">
        <v>14</v>
      </c>
      <c r="D102" s="50">
        <v>46</v>
      </c>
      <c r="E102" s="54"/>
      <c r="F102" s="54"/>
      <c r="G102" s="54"/>
      <c r="H102" s="54"/>
      <c r="I102" s="53">
        <f t="shared" si="3"/>
        <v>1.75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>
        <v>161</v>
      </c>
      <c r="B103" s="50">
        <v>91</v>
      </c>
      <c r="C103" s="60">
        <v>15</v>
      </c>
      <c r="D103" s="50">
        <v>91</v>
      </c>
      <c r="E103" s="54"/>
      <c r="F103" s="54"/>
      <c r="G103" s="54"/>
      <c r="H103" s="54"/>
      <c r="I103" s="53">
        <f t="shared" si="3"/>
        <v>1.25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G15" sqref="G15"/>
    </sheetView>
  </sheetViews>
  <sheetFormatPr baseColWidth="10" defaultColWidth="11.44140625" defaultRowHeight="14.4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295</v>
      </c>
      <c r="C15" s="4"/>
      <c r="D15" s="23"/>
      <c r="E15" s="4"/>
      <c r="F15" s="4"/>
      <c r="G15" s="2" t="s">
        <v>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Hêtre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pubescent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180.68512008344129</v>
      </c>
      <c r="T3" s="59">
        <f>IF('Données projet'!E9&gt;30,$R$33-$H$33,LOOKUP('Données projet'!$E$9,$A$3:$A$203,R3:R203)-LOOKUP('Données projet'!$E$9,$A$3:$A$203,$H$3:$H$203))</f>
        <v>125.86231758828899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335.81667389179631</v>
      </c>
      <c r="AO3" s="59">
        <f>IF('Données projet'!E10&gt;30,$AM$33-$H$33,LOOKUP('Données projet'!$E$10,$A$3:$A$203,AM3:AM203)-LOOKUP('Données projet'!$E$10,$A$3:$A$203,$H$3:$H$203))</f>
        <v>137.96364450570718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217.20784862627357</v>
      </c>
      <c r="BJ3" s="59">
        <f>IF('Données projet'!E11&gt;30,$BH$33-$H$33,LOOKUP('Données projet'!$E$11,$A$3:$A$203,BH3:BH203)-LOOKUP('Données projet'!$E$11,$A$3:$A$203,$H$3:$H$203))</f>
        <v>147.24433901219732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1">
        <f>IFERROR(EXP(-1.0587+0.8836*LN(C4)+0.284),0)</f>
        <v>0.35031814074723205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67">
        <f t="shared" ref="H4:H67" si="1">(B4+E4+F4)*44/12+(C4+D4)*0.475*44/12</f>
        <v>295.22046076180141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2.9235042735042733</v>
      </c>
      <c r="N4" s="13">
        <f>IF('Données projet'!$A$36&gt;35,N3+M4-V3,IF(A4&lt;'Données projet'!$A$36,$K$205^A4,IF(A4='Données projet'!$A$36,'Données projet'!$B$36,N3+M4-V3)))</f>
        <v>1.1608269964373037</v>
      </c>
      <c r="O4" s="13">
        <f>N4*VLOOKUP('Données projet'!$B$9,Paramètres!$A$1:$I$89,3,0)*VLOOKUP('Données projet'!$B$9,Paramètres!$A$1:$I$89,5,0)</f>
        <v>1.0503162663764722</v>
      </c>
      <c r="P4" s="13">
        <f>EXP(-1.0587+0.8836*LN(O4)+0.284)</f>
        <v>0.48127189162287909</v>
      </c>
      <c r="Q4" s="20">
        <f t="shared" ref="Q4:Q34" si="2">(O4+P4)*0.475*44/12</f>
        <v>2.6675160418488701</v>
      </c>
      <c r="R4" s="59">
        <f t="shared" si="0"/>
        <v>296.00084937518216</v>
      </c>
      <c r="S4" s="59">
        <f ca="1">AVERAGE(OFFSET($R$3,0,0,'Données projet'!$E$9+1,1))-AVERAGE(OFFSET($H$3,0,0,'Données projet'!$E$9+1,1))</f>
        <v>180.68512008344129</v>
      </c>
      <c r="T4" s="59">
        <f>$T$3</f>
        <v>125.86231758828899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</v>
      </c>
      <c r="AI4" s="13">
        <f>IF('Données projet'!$A$62&gt;35,AI3+AH4-AQ3,IF(A4&lt;'Données projet'!$A$62,$AF$205^A4,IF(A4='Données projet'!$A$62,'Données projet'!$B$62,AI3+AH4-AQ3)))</f>
        <v>1.2025496037968351</v>
      </c>
      <c r="AJ4" s="13">
        <f>AI4*VLOOKUP('Données projet'!$B$10,Paramètres!$A$1:$I$89,3,0)*VLOOKUP('Données projet'!$B$10,Paramètres!$A$1:$I$89,5,0)</f>
        <v>1.0317875600576847</v>
      </c>
      <c r="AK4" s="13">
        <f>EXP(-1.0587+0.8836*LN(AJ4)+0.284)</f>
        <v>0.47376223933168582</v>
      </c>
      <c r="AL4" s="20">
        <f t="shared" ref="AL4:AL67" si="4">(AJ4+AK4)*0.475*44/12</f>
        <v>2.6221659006031532</v>
      </c>
      <c r="AM4" s="59">
        <f t="shared" ref="AM4:AM67" si="5">AL4+(AD4+AE4)*44/12</f>
        <v>295.95549923393645</v>
      </c>
      <c r="AN4" s="59">
        <f ca="1">AVERAGE(OFFSET($AM$3,0,0,'Données projet'!$E$10+1,1))-AVERAGE(OFFSET($H$3,0,0,'Données projet'!$E$10+1,1))</f>
        <v>335.81667389179631</v>
      </c>
      <c r="AO4" s="59">
        <f>$AO$3</f>
        <v>137.96364450570718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2.9333333333333331</v>
      </c>
      <c r="BD4" s="12">
        <f>IF('Données projet'!$A$88&gt;35,BD3+BC4-BL3,IF(A4&lt;'Données projet'!$A$88,$BA$205^A4,IF(A4='Données projet'!$A$88,'Données projet'!$B$88,BD3+BC4-BL3)))</f>
        <v>1.1609568786681319</v>
      </c>
      <c r="BE4" s="13">
        <f>BD4*VLOOKUP('Données projet'!$B$11,Paramètres!$A$1:$I$89,3,0)*VLOOKUP('Données projet'!$B$11,Paramètres!$A$1:$I$89,5,0)</f>
        <v>1.1772102749694857</v>
      </c>
      <c r="BF4" s="13">
        <f>EXP(-1.0587+0.8836*LN(BE4)+0.284)</f>
        <v>0.5323027357379565</v>
      </c>
      <c r="BG4" s="20">
        <f t="shared" ref="BG4:BG67" si="7">(BE4+BF4)*0.475*44/12</f>
        <v>2.977401826982129</v>
      </c>
      <c r="BH4" s="59">
        <f t="shared" ref="BH4:BH67" si="8">BG4+(AY4+AZ4)*44/12</f>
        <v>296.31073516031546</v>
      </c>
      <c r="BI4" s="59">
        <f ca="1">AVERAGE(OFFSET($BH$3,0,0,'Données projet'!$E$11+1,1))-AVERAGE(OFFSET($H$3,0,0,'Données projet'!$E$11+1,1))</f>
        <v>217.20784862627357</v>
      </c>
      <c r="BJ4" s="59">
        <f>$BJ$3</f>
        <v>147.24433901219732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1">
        <f t="shared" ref="D5:D68" si="32">IFERROR(EXP(-1.0587+0.8836*LN(C5)+0.284),0)</f>
        <v>0.64632764391155073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67">
        <f t="shared" si="1"/>
        <v>297.01300064647927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2.9235042735042733</v>
      </c>
      <c r="N5" s="13">
        <f>IF('Données projet'!$A$36&gt;35,N4+M5-V4,IF(A5&lt;'Données projet'!$A$36,$K$205^A5,IF(A5='Données projet'!$A$36,'Données projet'!$B$36,N4+M5-V4)))</f>
        <v>1.3475193156576519</v>
      </c>
      <c r="O5" s="13">
        <f>N5*VLOOKUP('Données projet'!$B$9,Paramètres!$A$1:$I$89,3,0)*VLOOKUP('Données projet'!$B$9,Paramètres!$A$1:$I$89,5,0)</f>
        <v>1.2192354768070435</v>
      </c>
      <c r="P5" s="13">
        <f t="shared" ref="P5:P68" si="33">EXP(-1.0587+0.8836*LN(O5)+0.284)</f>
        <v>0.54905905766229002</v>
      </c>
      <c r="Q5" s="20">
        <f t="shared" si="2"/>
        <v>3.0797796475340888</v>
      </c>
      <c r="R5" s="59">
        <f t="shared" si="0"/>
        <v>296.41311298086742</v>
      </c>
      <c r="S5" s="59">
        <f ca="1">AVERAGE(OFFSET($R$3,0,0,'Données projet'!$E$9+1,1))-AVERAGE(OFFSET($H$3,0,0,'Données projet'!$E$9+1,1))</f>
        <v>180.68512008344129</v>
      </c>
      <c r="T5" s="59">
        <f t="shared" ref="T5:T68" si="34">$T$3</f>
        <v>125.86231758828899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</v>
      </c>
      <c r="AI5" s="13">
        <f>IF('Données projet'!$A$62&gt;35,AI4+AH5-AQ4,IF(A5&lt;'Données projet'!$A$62,$AF$205^A5,IF(A5='Données projet'!$A$62,'Données projet'!$B$62,AI4+AH5-AQ4)))</f>
        <v>1.446125549591925</v>
      </c>
      <c r="AJ5" s="13">
        <f>AI5*VLOOKUP('Données projet'!$B$10,Paramètres!$A$1:$I$89,3,0)*VLOOKUP('Données projet'!$B$10,Paramètres!$A$1:$I$89,5,0)</f>
        <v>1.2407757215498718</v>
      </c>
      <c r="AK5" s="13">
        <f t="shared" ref="AK5:AK68" si="35">EXP(-1.0587+0.8836*LN(AJ5)+0.284)</f>
        <v>0.55762142669366221</v>
      </c>
      <c r="AL5" s="20">
        <f t="shared" si="4"/>
        <v>3.1322083665241549</v>
      </c>
      <c r="AM5" s="59">
        <f t="shared" si="5"/>
        <v>296.46554169985745</v>
      </c>
      <c r="AN5" s="59">
        <f ca="1">AVERAGE(OFFSET($AM$3,0,0,'Données projet'!$E$10+1,1))-AVERAGE(OFFSET($H$3,0,0,'Données projet'!$E$10+1,1))</f>
        <v>335.81667389179631</v>
      </c>
      <c r="AO5" s="59">
        <f t="shared" ref="AO5:AO68" si="36">$AO$3</f>
        <v>137.96364450570718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2.9333333333333331</v>
      </c>
      <c r="BD5" s="12">
        <f>IF('Données projet'!$A$88&gt;35,BD4+BC5-BL4,IF(A5&lt;'Données projet'!$A$88,$BA$205^A5,IF(A5='Données projet'!$A$88,'Données projet'!$B$88,BD4+BC5-BL4)))</f>
        <v>1.3478208741268516</v>
      </c>
      <c r="BE5" s="13">
        <f>BD5*VLOOKUP('Données projet'!$B$11,Paramètres!$A$1:$I$89,3,0)*VLOOKUP('Données projet'!$B$11,Paramètres!$A$1:$I$89,5,0)</f>
        <v>1.3666903663646277</v>
      </c>
      <c r="BF5" s="13">
        <f t="shared" ref="BF5:BF68" si="37">EXP(-1.0587+0.8836*LN(BE5)+0.284)</f>
        <v>0.60733763577232092</v>
      </c>
      <c r="BG5" s="20">
        <f t="shared" si="7"/>
        <v>3.438098770388518</v>
      </c>
      <c r="BH5" s="59">
        <f t="shared" si="8"/>
        <v>296.77143210372185</v>
      </c>
      <c r="BI5" s="59">
        <f ca="1">AVERAGE(OFFSET($BH$3,0,0,'Données projet'!$E$11+1,1))-AVERAGE(OFFSET($H$3,0,0,'Données projet'!$E$11+1,1))</f>
        <v>217.20784862627357</v>
      </c>
      <c r="BJ5" s="59">
        <f t="shared" ref="BJ5:BJ68" si="38">$BJ$3</f>
        <v>147.24433901219732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1">
        <f t="shared" si="32"/>
        <v>0.92479818325965968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67">
        <f t="shared" si="1"/>
        <v>298.77499350251054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2.9235042735042733</v>
      </c>
      <c r="N6" s="13">
        <f>IF('Données projet'!$A$36&gt;35,N5+M6-V5,IF(A6&lt;'Données projet'!$A$36,$K$205^A6,IF(A6='Données projet'!$A$36,'Données projet'!$B$36,N5+M6-V5)))</f>
        <v>1.5642367998361231</v>
      </c>
      <c r="O6" s="13">
        <f>N6*VLOOKUP('Données projet'!$B$9,Paramètres!$A$1:$I$89,3,0)*VLOOKUP('Données projet'!$B$9,Paramètres!$A$1:$I$89,5,0)</f>
        <v>1.415321456491724</v>
      </c>
      <c r="P6" s="13">
        <f t="shared" si="33"/>
        <v>0.62639404887004735</v>
      </c>
      <c r="Q6" s="20">
        <f t="shared" si="2"/>
        <v>3.5559878385050854</v>
      </c>
      <c r="R6" s="59">
        <f t="shared" si="0"/>
        <v>296.88932117183839</v>
      </c>
      <c r="S6" s="59">
        <f ca="1">AVERAGE(OFFSET($R$3,0,0,'Données projet'!$E$9+1,1))-AVERAGE(OFFSET($H$3,0,0,'Données projet'!$E$9+1,1))</f>
        <v>180.68512008344129</v>
      </c>
      <c r="T6" s="59">
        <f t="shared" si="34"/>
        <v>125.86231758828899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</v>
      </c>
      <c r="AI6" s="13">
        <f>IF('Données projet'!$A$62&gt;35,AI5+AH6-AQ5,IF(A6&lt;'Données projet'!$A$62,$AF$205^A6,IF(A6='Données projet'!$A$62,'Données projet'!$B$62,AI5+AH6-AQ5)))</f>
        <v>1.7390377067022498</v>
      </c>
      <c r="AJ6" s="13">
        <f>AI6*VLOOKUP('Données projet'!$B$10,Paramètres!$A$1:$I$89,3,0)*VLOOKUP('Données projet'!$B$10,Paramètres!$A$1:$I$89,5,0)</f>
        <v>1.4920943523505306</v>
      </c>
      <c r="AK6" s="13">
        <f t="shared" si="35"/>
        <v>0.65632426920833997</v>
      </c>
      <c r="AL6" s="20">
        <f t="shared" si="4"/>
        <v>3.7418290992150331</v>
      </c>
      <c r="AM6" s="59">
        <f t="shared" si="5"/>
        <v>297.07516243254832</v>
      </c>
      <c r="AN6" s="59">
        <f ca="1">AVERAGE(OFFSET($AM$3,0,0,'Données projet'!$E$10+1,1))-AVERAGE(OFFSET($H$3,0,0,'Données projet'!$E$10+1,1))</f>
        <v>335.81667389179631</v>
      </c>
      <c r="AO6" s="59">
        <f t="shared" si="36"/>
        <v>137.96364450570718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2.9333333333333331</v>
      </c>
      <c r="BD6" s="12">
        <f>IF('Données projet'!$A$88&gt;35,BD5+BC6-BL5,IF(A6&lt;'Données projet'!$A$88,$BA$205^A6,IF(A6='Données projet'!$A$88,'Données projet'!$B$88,BD5+BC6-BL5)))</f>
        <v>1.5647619150300627</v>
      </c>
      <c r="BE6" s="13">
        <f>BD6*VLOOKUP('Données projet'!$B$11,Paramètres!$A$1:$I$89,3,0)*VLOOKUP('Données projet'!$B$11,Paramètres!$A$1:$I$89,5,0)</f>
        <v>1.5866685818404835</v>
      </c>
      <c r="BF6" s="13">
        <f t="shared" si="37"/>
        <v>0.69294966766260446</v>
      </c>
      <c r="BG6" s="20">
        <f t="shared" si="7"/>
        <v>3.9703351178845452</v>
      </c>
      <c r="BH6" s="59">
        <f t="shared" si="8"/>
        <v>297.30366845121785</v>
      </c>
      <c r="BI6" s="59">
        <f ca="1">AVERAGE(OFFSET($BH$3,0,0,'Données projet'!$E$11+1,1))-AVERAGE(OFFSET($H$3,0,0,'Données projet'!$E$11+1,1))</f>
        <v>217.20784862627357</v>
      </c>
      <c r="BJ6" s="59">
        <f t="shared" si="38"/>
        <v>147.24433901219732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1">
        <f t="shared" si="32"/>
        <v>1.1924572972247856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67">
        <f t="shared" si="1"/>
        <v>300.51815645933317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2.9235042735042733</v>
      </c>
      <c r="N7" s="13">
        <f>IF('Données projet'!$A$36&gt;35,N6+M7-V6,IF(A7&lt;'Données projet'!$A$36,$K$205^A7,IF(A7='Données projet'!$A$36,'Données projet'!$B$36,N6+M7-V6)))</f>
        <v>1.8158083060704666</v>
      </c>
      <c r="O7" s="13">
        <f>N7*VLOOKUP('Données projet'!$B$9,Paramètres!$A$1:$I$89,3,0)*VLOOKUP('Données projet'!$B$9,Paramètres!$A$1:$I$89,5,0)</f>
        <v>1.6429433553325583</v>
      </c>
      <c r="P7" s="13">
        <f t="shared" si="33"/>
        <v>0.71462167681995736</v>
      </c>
      <c r="Q7" s="20">
        <f t="shared" si="2"/>
        <v>4.1060924309989639</v>
      </c>
      <c r="R7" s="59">
        <f t="shared" si="0"/>
        <v>297.43942576433227</v>
      </c>
      <c r="S7" s="59">
        <f ca="1">AVERAGE(OFFSET($R$3,0,0,'Données projet'!$E$9+1,1))-AVERAGE(OFFSET($H$3,0,0,'Données projet'!$E$9+1,1))</f>
        <v>180.68512008344129</v>
      </c>
      <c r="T7" s="59">
        <f t="shared" si="34"/>
        <v>125.86231758828899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</v>
      </c>
      <c r="AI7" s="13">
        <f>IF('Données projet'!$A$62&gt;35,AI6+AH7-AQ6,IF(A7&lt;'Données projet'!$A$62,$AF$205^A7,IF(A7='Données projet'!$A$62,'Données projet'!$B$62,AI6+AH7-AQ6)))</f>
        <v>2.0912791051825472</v>
      </c>
      <c r="AJ7" s="13">
        <f>AI7*VLOOKUP('Données projet'!$B$10,Paramètres!$A$1:$I$89,3,0)*VLOOKUP('Données projet'!$B$10,Paramètres!$A$1:$I$89,5,0)</f>
        <v>1.794317472246626</v>
      </c>
      <c r="AK7" s="13">
        <f t="shared" si="35"/>
        <v>0.7724981963229095</v>
      </c>
      <c r="AL7" s="20">
        <f t="shared" si="4"/>
        <v>4.4705372894252742</v>
      </c>
      <c r="AM7" s="59">
        <f t="shared" si="5"/>
        <v>297.80387062275861</v>
      </c>
      <c r="AN7" s="59">
        <f ca="1">AVERAGE(OFFSET($AM$3,0,0,'Données projet'!$E$10+1,1))-AVERAGE(OFFSET($H$3,0,0,'Données projet'!$E$10+1,1))</f>
        <v>335.81667389179631</v>
      </c>
      <c r="AO7" s="59">
        <f t="shared" si="36"/>
        <v>137.96364450570718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2.9333333333333331</v>
      </c>
      <c r="BD7" s="12">
        <f>IF('Données projet'!$A$88&gt;35,BD6+BC7-BL6,IF(A7&lt;'Données projet'!$A$88,$BA$205^A7,IF(A7='Données projet'!$A$88,'Données projet'!$B$88,BD6+BC7-BL6)))</f>
        <v>1.8166211087320703</v>
      </c>
      <c r="BE7" s="13">
        <f>BD7*VLOOKUP('Données projet'!$B$11,Paramètres!$A$1:$I$89,3,0)*VLOOKUP('Données projet'!$B$11,Paramètres!$A$1:$I$89,5,0)</f>
        <v>1.8420538042543193</v>
      </c>
      <c r="BF7" s="13">
        <f t="shared" si="37"/>
        <v>0.79062981384826281</v>
      </c>
      <c r="BG7" s="20">
        <f t="shared" si="7"/>
        <v>4.5852573015286637</v>
      </c>
      <c r="BH7" s="59">
        <f t="shared" si="8"/>
        <v>297.91859063486197</v>
      </c>
      <c r="BI7" s="59">
        <f ca="1">AVERAGE(OFFSET($BH$3,0,0,'Données projet'!$E$11+1,1))-AVERAGE(OFFSET($H$3,0,0,'Données projet'!$E$11+1,1))</f>
        <v>217.20784862627357</v>
      </c>
      <c r="BJ7" s="59">
        <f t="shared" si="38"/>
        <v>147.24433901219732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1">
        <f t="shared" si="32"/>
        <v>1.4523541267681601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67">
        <f t="shared" si="1"/>
        <v>302.24780010412121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2.9235042735042733</v>
      </c>
      <c r="N8" s="13">
        <f>IF('Données projet'!$A$36&gt;35,N7+M8-V7,IF(A8&lt;'Données projet'!$A$36,$K$205^A8,IF(A8='Données projet'!$A$36,'Données projet'!$B$36,N7+M8-V7)))</f>
        <v>2.1078393020416879</v>
      </c>
      <c r="O8" s="13">
        <f>N8*VLOOKUP('Données projet'!$B$9,Paramètres!$A$1:$I$89,3,0)*VLOOKUP('Données projet'!$B$9,Paramètres!$A$1:$I$89,5,0)</f>
        <v>1.9071730004873191</v>
      </c>
      <c r="P8" s="13">
        <f t="shared" si="33"/>
        <v>0.81527616985217366</v>
      </c>
      <c r="Q8" s="20">
        <f t="shared" si="2"/>
        <v>4.7415989716746161</v>
      </c>
      <c r="R8" s="59">
        <f t="shared" si="0"/>
        <v>298.07493230500791</v>
      </c>
      <c r="S8" s="59">
        <f ca="1">AVERAGE(OFFSET($R$3,0,0,'Données projet'!$E$9+1,1))-AVERAGE(OFFSET($H$3,0,0,'Données projet'!$E$9+1,1))</f>
        <v>180.68512008344129</v>
      </c>
      <c r="T8" s="59">
        <f t="shared" si="34"/>
        <v>125.86231758828899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</v>
      </c>
      <c r="AI8" s="13">
        <f>IF('Données projet'!$A$62&gt;35,AI7+AH8-AQ7,IF(A8&lt;'Données projet'!$A$62,$AF$205^A8,IF(A8='Données projet'!$A$62,'Données projet'!$B$62,AI7+AH8-AQ7)))</f>
        <v>2.5148668593658718</v>
      </c>
      <c r="AJ8" s="13">
        <f>AI8*VLOOKUP('Données projet'!$B$10,Paramètres!$A$1:$I$89,3,0)*VLOOKUP('Données projet'!$B$10,Paramètres!$A$1:$I$89,5,0)</f>
        <v>2.1577557653359185</v>
      </c>
      <c r="AK8" s="13">
        <f t="shared" si="35"/>
        <v>0.90923571063729491</v>
      </c>
      <c r="AL8" s="20">
        <f t="shared" si="4"/>
        <v>5.3416768206533467</v>
      </c>
      <c r="AM8" s="59">
        <f t="shared" si="5"/>
        <v>298.67501015398665</v>
      </c>
      <c r="AN8" s="59">
        <f ca="1">AVERAGE(OFFSET($AM$3,0,0,'Données projet'!$E$10+1,1))-AVERAGE(OFFSET($H$3,0,0,'Données projet'!$E$10+1,1))</f>
        <v>335.81667389179631</v>
      </c>
      <c r="AO8" s="59">
        <f t="shared" si="36"/>
        <v>137.96364450570718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2.9333333333333331</v>
      </c>
      <c r="BD8" s="12">
        <f>IF('Données projet'!$A$88&gt;35,BD7+BC8-BL7,IF(A8&lt;'Données projet'!$A$88,$BA$205^A8,IF(A8='Données projet'!$A$88,'Données projet'!$B$88,BD7+BC8-BL7)))</f>
        <v>2.1090187721162255</v>
      </c>
      <c r="BE8" s="13">
        <f>BD8*VLOOKUP('Données projet'!$B$11,Paramètres!$A$1:$I$89,3,0)*VLOOKUP('Données projet'!$B$11,Paramètres!$A$1:$I$89,5,0)</f>
        <v>2.1385450349258526</v>
      </c>
      <c r="BF8" s="13">
        <f t="shared" si="37"/>
        <v>0.90207922987286326</v>
      </c>
      <c r="BG8" s="20">
        <f t="shared" si="7"/>
        <v>5.2957539278577626</v>
      </c>
      <c r="BH8" s="59">
        <f t="shared" si="8"/>
        <v>298.6290872611911</v>
      </c>
      <c r="BI8" s="59">
        <f ca="1">AVERAGE(OFFSET($BH$3,0,0,'Données projet'!$E$11+1,1))-AVERAGE(OFFSET($H$3,0,0,'Données projet'!$E$11+1,1))</f>
        <v>217.20784862627357</v>
      </c>
      <c r="BJ8" s="59">
        <f t="shared" si="38"/>
        <v>147.24433901219732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1">
        <f t="shared" si="32"/>
        <v>1.7062280291992591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67">
        <f t="shared" si="1"/>
        <v>303.96695381752204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2.9235042735042733</v>
      </c>
      <c r="N9" s="13">
        <f>IF('Données projet'!$A$36&gt;35,N8+M9-V8,IF(A9&lt;'Données projet'!$A$36,$K$205^A9,IF(A9='Données projet'!$A$36,'Données projet'!$B$36,N8+M9-V8)))</f>
        <v>2.4468367659615553</v>
      </c>
      <c r="O9" s="13">
        <f>N9*VLOOKUP('Données projet'!$B$9,Paramètres!$A$1:$I$89,3,0)*VLOOKUP('Données projet'!$B$9,Paramètres!$A$1:$I$89,5,0)</f>
        <v>2.2138979058420154</v>
      </c>
      <c r="P9" s="13">
        <f t="shared" si="33"/>
        <v>0.93010785243265093</v>
      </c>
      <c r="Q9" s="20">
        <f t="shared" si="2"/>
        <v>5.4758100289950429</v>
      </c>
      <c r="R9" s="59">
        <f t="shared" si="0"/>
        <v>298.80914336232837</v>
      </c>
      <c r="S9" s="59">
        <f ca="1">AVERAGE(OFFSET($R$3,0,0,'Données projet'!$E$9+1,1))-AVERAGE(OFFSET($H$3,0,0,'Données projet'!$E$9+1,1))</f>
        <v>180.68512008344129</v>
      </c>
      <c r="T9" s="59">
        <f t="shared" si="34"/>
        <v>125.86231758828899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</v>
      </c>
      <c r="AI9" s="13">
        <f>IF('Données projet'!$A$62&gt;35,AI8+AH9-AQ8,IF(A9&lt;'Données projet'!$A$62,$AF$205^A9,IF(A9='Données projet'!$A$62,'Données projet'!$B$62,AI8+AH9-AQ8)))</f>
        <v>3.0242521453322202</v>
      </c>
      <c r="AJ9" s="13">
        <f>AI9*VLOOKUP('Données projet'!$B$10,Paramètres!$A$1:$I$89,3,0)*VLOOKUP('Données projet'!$B$10,Paramètres!$A$1:$I$89,5,0)</f>
        <v>2.5948083406950451</v>
      </c>
      <c r="AK9" s="13">
        <f t="shared" si="35"/>
        <v>1.0701767090631968</v>
      </c>
      <c r="AL9" s="20">
        <f t="shared" si="4"/>
        <v>6.3831822949956036</v>
      </c>
      <c r="AM9" s="59">
        <f t="shared" si="5"/>
        <v>299.71651562832892</v>
      </c>
      <c r="AN9" s="59">
        <f ca="1">AVERAGE(OFFSET($AM$3,0,0,'Données projet'!$E$10+1,1))-AVERAGE(OFFSET($H$3,0,0,'Données projet'!$E$10+1,1))</f>
        <v>335.81667389179631</v>
      </c>
      <c r="AO9" s="59">
        <f t="shared" si="36"/>
        <v>137.96364450570718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2.9333333333333331</v>
      </c>
      <c r="BD9" s="12">
        <f>IF('Données projet'!$A$88&gt;35,BD8+BC9-BL8,IF(A9&lt;'Données projet'!$A$88,$BA$205^A9,IF(A9='Données projet'!$A$88,'Données projet'!$B$88,BD8+BC9-BL8)))</f>
        <v>2.4484798507285492</v>
      </c>
      <c r="BE9" s="13">
        <f>BD9*VLOOKUP('Données projet'!$B$11,Paramètres!$A$1:$I$89,3,0)*VLOOKUP('Données projet'!$B$11,Paramètres!$A$1:$I$89,5,0)</f>
        <v>2.4827585686387494</v>
      </c>
      <c r="BF9" s="13">
        <f t="shared" si="37"/>
        <v>1.0292388709796263</v>
      </c>
      <c r="BG9" s="20">
        <f t="shared" si="7"/>
        <v>6.1167288740020034</v>
      </c>
      <c r="BH9" s="59">
        <f t="shared" si="8"/>
        <v>299.45006220733529</v>
      </c>
      <c r="BI9" s="59">
        <f ca="1">AVERAGE(OFFSET($BH$3,0,0,'Données projet'!$E$11+1,1))-AVERAGE(OFFSET($H$3,0,0,'Données projet'!$E$11+1,1))</f>
        <v>217.20784862627357</v>
      </c>
      <c r="BJ9" s="59">
        <f t="shared" si="38"/>
        <v>147.24433901219732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1">
        <f t="shared" si="32"/>
        <v>1.9552003009222731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67">
        <f t="shared" si="1"/>
        <v>305.67757052410627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2.9235042735042733</v>
      </c>
      <c r="N10" s="13">
        <f>IF('Données projet'!$A$36&gt;35,N9+M10-V9,IF(A10&lt;'Données projet'!$A$36,$K$205^A10,IF(A10='Données projet'!$A$36,'Données projet'!$B$36,N9+M10-V9)))</f>
        <v>2.8403541738035183</v>
      </c>
      <c r="O10" s="13">
        <f>N10*VLOOKUP('Données projet'!$B$9,Paramètres!$A$1:$I$89,3,0)*VLOOKUP('Données projet'!$B$9,Paramètres!$A$1:$I$89,5,0)</f>
        <v>2.5699524564574232</v>
      </c>
      <c r="P10" s="13">
        <f t="shared" si="33"/>
        <v>1.0611135823014897</v>
      </c>
      <c r="Q10" s="20">
        <f t="shared" si="2"/>
        <v>6.3241066841717739</v>
      </c>
      <c r="R10" s="59">
        <f t="shared" si="0"/>
        <v>299.65744001750511</v>
      </c>
      <c r="S10" s="59">
        <f ca="1">AVERAGE(OFFSET($R$3,0,0,'Données projet'!$E$9+1,1))-AVERAGE(OFFSET($H$3,0,0,'Données projet'!$E$9+1,1))</f>
        <v>180.68512008344129</v>
      </c>
      <c r="T10" s="59">
        <f t="shared" si="34"/>
        <v>125.86231758828899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</v>
      </c>
      <c r="AI10" s="13">
        <f>IF('Données projet'!$A$62&gt;35,AI9+AH10-AQ9,IF(A10&lt;'Données projet'!$A$62,$AF$205^A10,IF(A10='Données projet'!$A$62,'Données projet'!$B$62,AI9+AH10-AQ9)))</f>
        <v>3.6368132191509899</v>
      </c>
      <c r="AJ10" s="13">
        <f>AI10*VLOOKUP('Données projet'!$B$10,Paramètres!$A$1:$I$89,3,0)*VLOOKUP('Données projet'!$B$10,Paramètres!$A$1:$I$89,5,0)</f>
        <v>3.1203857420315497</v>
      </c>
      <c r="AK10" s="13">
        <f t="shared" si="35"/>
        <v>1.2596053753966556</v>
      </c>
      <c r="AL10" s="20">
        <f t="shared" si="4"/>
        <v>7.6284845295207901</v>
      </c>
      <c r="AM10" s="59">
        <f t="shared" si="5"/>
        <v>300.9618178628541</v>
      </c>
      <c r="AN10" s="59">
        <f ca="1">AVERAGE(OFFSET($AM$3,0,0,'Données projet'!$E$10+1,1))-AVERAGE(OFFSET($H$3,0,0,'Données projet'!$E$10+1,1))</f>
        <v>335.81667389179631</v>
      </c>
      <c r="AO10" s="59">
        <f t="shared" si="36"/>
        <v>137.96364450570718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2.9333333333333331</v>
      </c>
      <c r="BD10" s="12">
        <f>IF('Données projet'!$A$88&gt;35,BD9+BC10-BL9,IF(A10&lt;'Données projet'!$A$88,$BA$205^A10,IF(A10='Données projet'!$A$88,'Données projet'!$B$88,BD9+BC10-BL9)))</f>
        <v>2.8425795249836301</v>
      </c>
      <c r="BE10" s="13">
        <f>BD10*VLOOKUP('Données projet'!$B$11,Paramètres!$A$1:$I$89,3,0)*VLOOKUP('Données projet'!$B$11,Paramètres!$A$1:$I$89,5,0)</f>
        <v>2.8823756383334009</v>
      </c>
      <c r="BF10" s="13">
        <f t="shared" si="37"/>
        <v>1.1743232949557159</v>
      </c>
      <c r="BG10" s="20">
        <f t="shared" si="7"/>
        <v>7.0654173088118783</v>
      </c>
      <c r="BH10" s="59">
        <f t="shared" si="8"/>
        <v>300.39875064214522</v>
      </c>
      <c r="BI10" s="59">
        <f ca="1">AVERAGE(OFFSET($BH$3,0,0,'Données projet'!$E$11+1,1))-AVERAGE(OFFSET($H$3,0,0,'Données projet'!$E$11+1,1))</f>
        <v>217.20784862627357</v>
      </c>
      <c r="BJ10" s="59">
        <f t="shared" si="38"/>
        <v>147.24433901219732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1">
        <f t="shared" si="32"/>
        <v>2.2000519691514757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67">
        <f t="shared" si="1"/>
        <v>307.38101051293881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2.9235042735042733</v>
      </c>
      <c r="N11" s="13">
        <f>IF('Données projet'!$A$36&gt;35,N10+M11-V10,IF(A11&lt;'Données projet'!$A$36,$K$205^A11,IF(A11='Données projet'!$A$36,'Données projet'!$B$36,N10+M11-V10)))</f>
        <v>3.2971598043944974</v>
      </c>
      <c r="O11" s="13">
        <f>N11*VLOOKUP('Données projet'!$B$9,Paramètres!$A$1:$I$89,3,0)*VLOOKUP('Données projet'!$B$9,Paramètres!$A$1:$I$89,5,0)</f>
        <v>2.9832701910161412</v>
      </c>
      <c r="P11" s="13">
        <f t="shared" si="33"/>
        <v>1.2105714746948997</v>
      </c>
      <c r="Q11" s="20">
        <f t="shared" si="2"/>
        <v>7.3042742344467291</v>
      </c>
      <c r="R11" s="59">
        <f t="shared" si="0"/>
        <v>300.63760756778004</v>
      </c>
      <c r="S11" s="59">
        <f ca="1">AVERAGE(OFFSET($R$3,0,0,'Données projet'!$E$9+1,1))-AVERAGE(OFFSET($H$3,0,0,'Données projet'!$E$9+1,1))</f>
        <v>180.68512008344129</v>
      </c>
      <c r="T11" s="59">
        <f t="shared" si="34"/>
        <v>125.86231758828899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</v>
      </c>
      <c r="AI11" s="13">
        <f>IF('Données projet'!$A$62&gt;35,AI10+AH11-AQ10,IF(A11&lt;'Données projet'!$A$62,$AF$205^A11,IF(A11='Données projet'!$A$62,'Données projet'!$B$62,AI10+AH11-AQ10)))</f>
        <v>4.3734482957731151</v>
      </c>
      <c r="AJ11" s="13">
        <f>AI11*VLOOKUP('Données projet'!$B$10,Paramètres!$A$1:$I$89,3,0)*VLOOKUP('Données projet'!$B$10,Paramètres!$A$1:$I$89,5,0)</f>
        <v>3.7524186377733333</v>
      </c>
      <c r="AK11" s="13">
        <f t="shared" si="35"/>
        <v>1.4825642235449319</v>
      </c>
      <c r="AL11" s="20">
        <f t="shared" si="4"/>
        <v>9.1175951501293113</v>
      </c>
      <c r="AM11" s="59">
        <f t="shared" si="5"/>
        <v>302.45092848346263</v>
      </c>
      <c r="AN11" s="59">
        <f ca="1">AVERAGE(OFFSET($AM$3,0,0,'Données projet'!$E$10+1,1))-AVERAGE(OFFSET($H$3,0,0,'Données projet'!$E$10+1,1))</f>
        <v>335.81667389179631</v>
      </c>
      <c r="AO11" s="59">
        <f t="shared" si="36"/>
        <v>137.96364450570718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2.9333333333333331</v>
      </c>
      <c r="BD11" s="12">
        <f>IF('Données projet'!$A$88&gt;35,BD10+BC11-BL10,IF(A11&lt;'Données projet'!$A$88,$BA$205^A11,IF(A11='Données projet'!$A$88,'Données projet'!$B$88,BD10+BC11-BL10)))</f>
        <v>3.3001122526909361</v>
      </c>
      <c r="BE11" s="13">
        <f>BD11*VLOOKUP('Données projet'!$B$11,Paramètres!$A$1:$I$89,3,0)*VLOOKUP('Données projet'!$B$11,Paramètres!$A$1:$I$89,5,0)</f>
        <v>3.3463138242286092</v>
      </c>
      <c r="BF11" s="13">
        <f t="shared" si="37"/>
        <v>1.3398592299211243</v>
      </c>
      <c r="BG11" s="20">
        <f t="shared" si="7"/>
        <v>8.1617514026441196</v>
      </c>
      <c r="BH11" s="59">
        <f t="shared" si="8"/>
        <v>301.49508473597746</v>
      </c>
      <c r="BI11" s="59">
        <f ca="1">AVERAGE(OFFSET($BH$3,0,0,'Données projet'!$E$11+1,1))-AVERAGE(OFFSET($H$3,0,0,'Données projet'!$E$11+1,1))</f>
        <v>217.20784862627357</v>
      </c>
      <c r="BJ11" s="59">
        <f t="shared" si="38"/>
        <v>147.24433901219732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1">
        <f t="shared" si="32"/>
        <v>2.4413570988248194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67">
        <f t="shared" si="1"/>
        <v>309.07827361378656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2.9235042735042733</v>
      </c>
      <c r="N12" s="13">
        <f>IF('Données projet'!$A$36&gt;35,N11+M12-V11,IF(A12&lt;'Données projet'!$A$36,$K$205^A12,IF(A12='Données projet'!$A$36,'Données projet'!$B$36,N11+M12-V11)))</f>
        <v>3.8274321125090722</v>
      </c>
      <c r="O12" s="13">
        <f>N12*VLOOKUP('Données projet'!$B$9,Paramètres!$A$1:$I$89,3,0)*VLOOKUP('Données projet'!$B$9,Paramètres!$A$1:$I$89,5,0)</f>
        <v>3.4630605753982087</v>
      </c>
      <c r="P12" s="13">
        <f t="shared" si="33"/>
        <v>1.3810805174752749</v>
      </c>
      <c r="Q12" s="20">
        <f t="shared" si="2"/>
        <v>8.4368790700879845</v>
      </c>
      <c r="R12" s="59">
        <f t="shared" si="0"/>
        <v>301.77021240342128</v>
      </c>
      <c r="S12" s="59">
        <f ca="1">AVERAGE(OFFSET($R$3,0,0,'Données projet'!$E$9+1,1))-AVERAGE(OFFSET($H$3,0,0,'Données projet'!$E$9+1,1))</f>
        <v>180.68512008344129</v>
      </c>
      <c r="T12" s="59">
        <f t="shared" si="34"/>
        <v>125.86231758828899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</v>
      </c>
      <c r="AI12" s="13">
        <f>IF('Données projet'!$A$62&gt;35,AI11+AH12-AQ11,IF(A12&lt;'Données projet'!$A$62,$AF$205^A12,IF(A12='Données projet'!$A$62,'Données projet'!$B$62,AI11+AH12-AQ11)))</f>
        <v>5.2592885153079028</v>
      </c>
      <c r="AJ12" s="13">
        <f>AI12*VLOOKUP('Données projet'!$B$10,Paramètres!$A$1:$I$89,3,0)*VLOOKUP('Données projet'!$B$10,Paramètres!$A$1:$I$89,5,0)</f>
        <v>4.5124695461341817</v>
      </c>
      <c r="AK12" s="13">
        <f t="shared" si="35"/>
        <v>1.7449883271919417</v>
      </c>
      <c r="AL12" s="20">
        <f t="shared" si="4"/>
        <v>10.898405796042995</v>
      </c>
      <c r="AM12" s="59">
        <f t="shared" si="5"/>
        <v>304.23173912937631</v>
      </c>
      <c r="AN12" s="59">
        <f ca="1">AVERAGE(OFFSET($AM$3,0,0,'Données projet'!$E$10+1,1))-AVERAGE(OFFSET($H$3,0,0,'Données projet'!$E$10+1,1))</f>
        <v>335.81667389179631</v>
      </c>
      <c r="AO12" s="59">
        <f t="shared" si="36"/>
        <v>137.96364450570718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2.9333333333333331</v>
      </c>
      <c r="BD12" s="12">
        <f>IF('Données projet'!$A$88&gt;35,BD11+BC12-BL11,IF(A12&lt;'Données projet'!$A$88,$BA$205^A12,IF(A12='Données projet'!$A$88,'Données projet'!$B$88,BD11+BC12-BL11)))</f>
        <v>3.8312880201385267</v>
      </c>
      <c r="BE12" s="13">
        <f>BD12*VLOOKUP('Données projet'!$B$11,Paramètres!$A$1:$I$89,3,0)*VLOOKUP('Données projet'!$B$11,Paramètres!$A$1:$I$89,5,0)</f>
        <v>3.8849260524204663</v>
      </c>
      <c r="BF12" s="13">
        <f t="shared" si="37"/>
        <v>1.5287295787422206</v>
      </c>
      <c r="BG12" s="20">
        <f t="shared" si="7"/>
        <v>9.4287835576083463</v>
      </c>
      <c r="BH12" s="59">
        <f t="shared" si="8"/>
        <v>302.76211689094168</v>
      </c>
      <c r="BI12" s="59">
        <f ca="1">AVERAGE(OFFSET($BH$3,0,0,'Données projet'!$E$11+1,1))-AVERAGE(OFFSET($H$3,0,0,'Données projet'!$E$11+1,1))</f>
        <v>217.20784862627357</v>
      </c>
      <c r="BJ12" s="59">
        <f t="shared" si="38"/>
        <v>147.24433901219732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1">
        <f t="shared" si="32"/>
        <v>2.6795547009841778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67">
        <f t="shared" si="1"/>
        <v>310.77012443754745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2.9235042735042733</v>
      </c>
      <c r="N13" s="13">
        <f>IF('Données projet'!$A$36&gt;35,N12+M13-V12,IF(A13&lt;'Données projet'!$A$36,$K$205^A13,IF(A13='Données projet'!$A$36,'Données projet'!$B$36,N12+M13-V12)))</f>
        <v>4.4429865232315908</v>
      </c>
      <c r="O13" s="13">
        <f>N13*VLOOKUP('Données projet'!$B$9,Paramètres!$A$1:$I$89,3,0)*VLOOKUP('Données projet'!$B$9,Paramètres!$A$1:$I$89,5,0)</f>
        <v>4.0200142062199431</v>
      </c>
      <c r="P13" s="13">
        <f t="shared" si="33"/>
        <v>1.5756057660539962</v>
      </c>
      <c r="Q13" s="20">
        <f t="shared" si="2"/>
        <v>9.7457047850437757</v>
      </c>
      <c r="R13" s="59">
        <f t="shared" si="0"/>
        <v>303.07903811837707</v>
      </c>
      <c r="S13" s="59">
        <f ca="1">AVERAGE(OFFSET($R$3,0,0,'Données projet'!$E$9+1,1))-AVERAGE(OFFSET($H$3,0,0,'Données projet'!$E$9+1,1))</f>
        <v>180.68512008344129</v>
      </c>
      <c r="T13" s="59">
        <f t="shared" si="34"/>
        <v>125.86231758828899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</v>
      </c>
      <c r="AI13" s="13">
        <f>IF('Données projet'!$A$62&gt;35,AI12+AH13-AQ12,IF(A13&lt;'Données projet'!$A$62,$AF$205^A13,IF(A13='Données projet'!$A$62,'Données projet'!$B$62,AI12+AH13-AQ12)))</f>
        <v>6.3245553203367635</v>
      </c>
      <c r="AJ13" s="13">
        <f>AI13*VLOOKUP('Données projet'!$B$10,Paramètres!$A$1:$I$89,3,0)*VLOOKUP('Données projet'!$B$10,Paramètres!$A$1:$I$89,5,0)</f>
        <v>5.4264684648489441</v>
      </c>
      <c r="AK13" s="13">
        <f t="shared" si="35"/>
        <v>2.0538633090412262</v>
      </c>
      <c r="AL13" s="20">
        <f t="shared" si="4"/>
        <v>13.028244506192046</v>
      </c>
      <c r="AM13" s="59">
        <f t="shared" si="5"/>
        <v>306.36157783952535</v>
      </c>
      <c r="AN13" s="59">
        <f ca="1">AVERAGE(OFFSET($AM$3,0,0,'Données projet'!$E$10+1,1))-AVERAGE(OFFSET($H$3,0,0,'Données projet'!$E$10+1,1))</f>
        <v>335.81667389179631</v>
      </c>
      <c r="AO13" s="59">
        <f t="shared" si="36"/>
        <v>137.96364450570718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2.9333333333333331</v>
      </c>
      <c r="BD13" s="12">
        <f>IF('Données projet'!$A$88&gt;35,BD12+BC13-BL12,IF(A13&lt;'Données projet'!$A$88,$BA$205^A13,IF(A13='Données projet'!$A$88,'Données projet'!$B$88,BD12+BC13-BL12)))</f>
        <v>4.4479601811386305</v>
      </c>
      <c r="BE13" s="13">
        <f>BD13*VLOOKUP('Données projet'!$B$11,Paramètres!$A$1:$I$89,3,0)*VLOOKUP('Données projet'!$B$11,Paramètres!$A$1:$I$89,5,0)</f>
        <v>4.5102316236745716</v>
      </c>
      <c r="BF13" s="13">
        <f t="shared" si="37"/>
        <v>1.7442236264319684</v>
      </c>
      <c r="BG13" s="20">
        <f t="shared" si="7"/>
        <v>10.89317622726889</v>
      </c>
      <c r="BH13" s="59">
        <f t="shared" si="8"/>
        <v>304.22650956060221</v>
      </c>
      <c r="BI13" s="59">
        <f ca="1">AVERAGE(OFFSET($BH$3,0,0,'Données projet'!$E$11+1,1))-AVERAGE(OFFSET($H$3,0,0,'Données projet'!$E$11+1,1))</f>
        <v>217.20784862627357</v>
      </c>
      <c r="BJ13" s="59">
        <f t="shared" si="38"/>
        <v>147.24433901219732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1">
        <f t="shared" si="32"/>
        <v>2.9149909035839161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67">
        <f t="shared" si="1"/>
        <v>312.45716582374195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2.9235042735042733</v>
      </c>
      <c r="N14" s="13">
        <f>IF('Données projet'!$A$36&gt;35,N13+M14-V13,IF(A14&lt;'Données projet'!$A$36,$K$205^A14,IF(A14='Données projet'!$A$36,'Données projet'!$B$36,N13+M14-V13)))</f>
        <v>5.1575387009743459</v>
      </c>
      <c r="O14" s="13">
        <f>N14*VLOOKUP('Données projet'!$B$9,Paramètres!$A$1:$I$89,3,0)*VLOOKUP('Données projet'!$B$9,Paramètres!$A$1:$I$89,5,0)</f>
        <v>4.6665410166415882</v>
      </c>
      <c r="P14" s="13">
        <f t="shared" si="33"/>
        <v>1.7975299040209971</v>
      </c>
      <c r="Q14" s="20">
        <f t="shared" si="2"/>
        <v>11.258256853487337</v>
      </c>
      <c r="R14" s="59">
        <f t="shared" si="0"/>
        <v>304.59159018682067</v>
      </c>
      <c r="S14" s="59">
        <f ca="1">AVERAGE(OFFSET($R$3,0,0,'Données projet'!$E$9+1,1))-AVERAGE(OFFSET($H$3,0,0,'Données projet'!$E$9+1,1))</f>
        <v>180.68512008344129</v>
      </c>
      <c r="T14" s="59">
        <f t="shared" si="34"/>
        <v>125.86231758828899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</v>
      </c>
      <c r="AI14" s="13">
        <f>IF('Données projet'!$A$62&gt;35,AI13+AH14-AQ13,IF(A14&lt;'Données projet'!$A$62,$AF$205^A14,IF(A14='Données projet'!$A$62,'Données projet'!$B$62,AI13+AH14-AQ13)))</f>
        <v>7.605591494662141</v>
      </c>
      <c r="AJ14" s="13">
        <f>AI14*VLOOKUP('Données projet'!$B$10,Paramètres!$A$1:$I$89,3,0)*VLOOKUP('Données projet'!$B$10,Paramètres!$A$1:$I$89,5,0)</f>
        <v>6.5255975024201174</v>
      </c>
      <c r="AK14" s="13">
        <f t="shared" si="35"/>
        <v>2.4174112952457434</v>
      </c>
      <c r="AL14" s="20">
        <f t="shared" si="4"/>
        <v>15.575740322601375</v>
      </c>
      <c r="AM14" s="59">
        <f t="shared" si="5"/>
        <v>308.90907365593466</v>
      </c>
      <c r="AN14" s="59">
        <f ca="1">AVERAGE(OFFSET($AM$3,0,0,'Données projet'!$E$10+1,1))-AVERAGE(OFFSET($H$3,0,0,'Données projet'!$E$10+1,1))</f>
        <v>335.81667389179631</v>
      </c>
      <c r="AO14" s="59">
        <f t="shared" si="36"/>
        <v>137.96364450570718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2.9333333333333331</v>
      </c>
      <c r="BD14" s="12">
        <f>IF('Données projet'!$A$88&gt;35,BD13+BC14-BL13,IF(A14&lt;'Données projet'!$A$88,$BA$205^A14,IF(A14='Données projet'!$A$88,'Données projet'!$B$88,BD13+BC14-BL13)))</f>
        <v>5.1638899683348436</v>
      </c>
      <c r="BE14" s="13">
        <f>BD14*VLOOKUP('Données projet'!$B$11,Paramètres!$A$1:$I$89,3,0)*VLOOKUP('Données projet'!$B$11,Paramètres!$A$1:$I$89,5,0)</f>
        <v>5.2361844278915317</v>
      </c>
      <c r="BF14" s="13">
        <f t="shared" si="37"/>
        <v>1.9900943249273595</v>
      </c>
      <c r="BG14" s="20">
        <f t="shared" si="7"/>
        <v>12.585768827826234</v>
      </c>
      <c r="BH14" s="59">
        <f t="shared" si="8"/>
        <v>305.91910216115957</v>
      </c>
      <c r="BI14" s="59">
        <f ca="1">AVERAGE(OFFSET($BH$3,0,0,'Données projet'!$E$11+1,1))-AVERAGE(OFFSET($H$3,0,0,'Données projet'!$E$11+1,1))</f>
        <v>217.20784862627357</v>
      </c>
      <c r="BJ14" s="59">
        <f t="shared" si="38"/>
        <v>147.24433901219732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1">
        <f t="shared" si="32"/>
        <v>3.1479452926301796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67">
        <f t="shared" si="1"/>
        <v>314.13988471799752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2.9235042735042733</v>
      </c>
      <c r="N15" s="13">
        <f>IF('Données projet'!$A$36&gt;35,N14+M15-V14,IF(A15&lt;'Données projet'!$A$36,$K$205^A15,IF(A15='Données projet'!$A$36,'Données projet'!$B$36,N14+M15-V14)))</f>
        <v>5.9870101592612031</v>
      </c>
      <c r="O15" s="13">
        <f>N15*VLOOKUP('Données projet'!$B$9,Paramètres!$A$1:$I$89,3,0)*VLOOKUP('Données projet'!$B$9,Paramètres!$A$1:$I$89,5,0)</f>
        <v>5.4170467920995362</v>
      </c>
      <c r="P15" s="13">
        <f t="shared" si="33"/>
        <v>2.05071206609116</v>
      </c>
      <c r="Q15" s="20">
        <f t="shared" si="2"/>
        <v>13.006346678015461</v>
      </c>
      <c r="R15" s="59">
        <f t="shared" si="0"/>
        <v>306.33968001134878</v>
      </c>
      <c r="S15" s="59">
        <f ca="1">AVERAGE(OFFSET($R$3,0,0,'Données projet'!$E$9+1,1))-AVERAGE(OFFSET($H$3,0,0,'Données projet'!$E$9+1,1))</f>
        <v>180.68512008344129</v>
      </c>
      <c r="T15" s="59">
        <f t="shared" si="34"/>
        <v>125.86231758828899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</v>
      </c>
      <c r="AI15" s="13">
        <f>IF('Données projet'!$A$62&gt;35,AI14+AH15-AQ14,IF(A15&lt;'Données projet'!$A$62,$AF$205^A15,IF(A15='Données projet'!$A$62,'Données projet'!$B$62,AI14+AH15-AQ14)))</f>
        <v>9.1461010385465364</v>
      </c>
      <c r="AJ15" s="13">
        <f>AI15*VLOOKUP('Données projet'!$B$10,Paramètres!$A$1:$I$89,3,0)*VLOOKUP('Données projet'!$B$10,Paramètres!$A$1:$I$89,5,0)</f>
        <v>7.8473546910729288</v>
      </c>
      <c r="AK15" s="13">
        <f t="shared" si="35"/>
        <v>2.8453097850556142</v>
      </c>
      <c r="AL15" s="20">
        <f t="shared" si="4"/>
        <v>18.623057295923882</v>
      </c>
      <c r="AM15" s="59">
        <f t="shared" si="5"/>
        <v>311.95639062925721</v>
      </c>
      <c r="AN15" s="59">
        <f ca="1">AVERAGE(OFFSET($AM$3,0,0,'Données projet'!$E$10+1,1))-AVERAGE(OFFSET($H$3,0,0,'Données projet'!$E$10+1,1))</f>
        <v>335.81667389179631</v>
      </c>
      <c r="AO15" s="59">
        <f t="shared" si="36"/>
        <v>137.96364450570718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2.9333333333333331</v>
      </c>
      <c r="BD15" s="12">
        <f>IF('Données projet'!$A$88&gt;35,BD14+BC15-BL14,IF(A15&lt;'Données projet'!$A$88,$BA$205^A15,IF(A15='Données projet'!$A$88,'Données projet'!$B$88,BD14+BC15-BL14)))</f>
        <v>5.9950535794236988</v>
      </c>
      <c r="BE15" s="13">
        <f>BD15*VLOOKUP('Données projet'!$B$11,Paramètres!$A$1:$I$89,3,0)*VLOOKUP('Données projet'!$B$11,Paramètres!$A$1:$I$89,5,0)</f>
        <v>6.0789843295356309</v>
      </c>
      <c r="BF15" s="13">
        <f t="shared" si="37"/>
        <v>2.2706236528911954</v>
      </c>
      <c r="BG15" s="20">
        <f t="shared" si="7"/>
        <v>14.542233902726723</v>
      </c>
      <c r="BH15" s="59">
        <f t="shared" si="8"/>
        <v>307.87556723606002</v>
      </c>
      <c r="BI15" s="59">
        <f ca="1">AVERAGE(OFFSET($BH$3,0,0,'Données projet'!$E$11+1,1))-AVERAGE(OFFSET($H$3,0,0,'Données projet'!$E$11+1,1))</f>
        <v>217.20784862627357</v>
      </c>
      <c r="BJ15" s="59">
        <f t="shared" si="38"/>
        <v>147.24433901219732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1">
        <f t="shared" si="32"/>
        <v>3.3786481992658062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67">
        <f t="shared" si="1"/>
        <v>315.81868228038792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2.9235042735042733</v>
      </c>
      <c r="N16" s="13">
        <f>IF('Données projet'!$A$36&gt;35,N15+M16-V15,IF(A16&lt;'Données projet'!$A$36,$K$205^A16,IF(A16='Données projet'!$A$36,'Données projet'!$B$36,N15+M16-V15)))</f>
        <v>6.9498830208148057</v>
      </c>
      <c r="O16" s="13">
        <f>N16*VLOOKUP('Données projet'!$B$9,Paramètres!$A$1:$I$89,3,0)*VLOOKUP('Données projet'!$B$9,Paramètres!$A$1:$I$89,5,0)</f>
        <v>6.2882541572332364</v>
      </c>
      <c r="P16" s="13">
        <f t="shared" si="33"/>
        <v>2.3395549462651668</v>
      </c>
      <c r="Q16" s="20">
        <f t="shared" si="2"/>
        <v>15.026767521926386</v>
      </c>
      <c r="R16" s="59">
        <f t="shared" si="0"/>
        <v>308.3601008552597</v>
      </c>
      <c r="S16" s="59">
        <f ca="1">AVERAGE(OFFSET($R$3,0,0,'Données projet'!$E$9+1,1))-AVERAGE(OFFSET($H$3,0,0,'Données projet'!$E$9+1,1))</f>
        <v>180.68512008344129</v>
      </c>
      <c r="T16" s="59">
        <f t="shared" si="34"/>
        <v>125.86231758828899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</v>
      </c>
      <c r="AI16" s="13">
        <f>IF('Données projet'!$A$62&gt;35,AI15+AH16-AQ15,IF(A16&lt;'Données projet'!$A$62,$AF$205^A16,IF(A16='Données projet'!$A$62,'Données projet'!$B$62,AI15+AH16-AQ15)))</f>
        <v>10.998640180189959</v>
      </c>
      <c r="AJ16" s="13">
        <f>AI16*VLOOKUP('Données projet'!$B$10,Paramètres!$A$1:$I$89,3,0)*VLOOKUP('Données projet'!$B$10,Paramètres!$A$1:$I$89,5,0)</f>
        <v>9.4368332746029857</v>
      </c>
      <c r="AK16" s="13">
        <f t="shared" si="35"/>
        <v>3.348949261904663</v>
      </c>
      <c r="AL16" s="20">
        <f t="shared" si="4"/>
        <v>22.268571251084154</v>
      </c>
      <c r="AM16" s="59">
        <f t="shared" si="5"/>
        <v>315.60190458441747</v>
      </c>
      <c r="AN16" s="59">
        <f ca="1">AVERAGE(OFFSET($AM$3,0,0,'Données projet'!$E$10+1,1))-AVERAGE(OFFSET($H$3,0,0,'Données projet'!$E$10+1,1))</f>
        <v>335.81667389179631</v>
      </c>
      <c r="AO16" s="59">
        <f t="shared" si="36"/>
        <v>137.96364450570718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2.9333333333333331</v>
      </c>
      <c r="BD16" s="12">
        <f>IF('Données projet'!$A$88&gt;35,BD15+BC16-BL15,IF(A16&lt;'Données projet'!$A$88,$BA$205^A16,IF(A16='Données projet'!$A$88,'Données projet'!$B$88,BD15+BC16-BL15)))</f>
        <v>6.959998691015949</v>
      </c>
      <c r="BE16" s="13">
        <f>BD16*VLOOKUP('Données projet'!$B$11,Paramètres!$A$1:$I$89,3,0)*VLOOKUP('Données projet'!$B$11,Paramètres!$A$1:$I$89,5,0)</f>
        <v>7.0574386726901723</v>
      </c>
      <c r="BF16" s="13">
        <f t="shared" si="37"/>
        <v>2.5906971888164865</v>
      </c>
      <c r="BG16" s="20">
        <f t="shared" si="7"/>
        <v>16.803836625457432</v>
      </c>
      <c r="BH16" s="59">
        <f t="shared" si="8"/>
        <v>310.13716995879076</v>
      </c>
      <c r="BI16" s="59">
        <f ca="1">AVERAGE(OFFSET($BH$3,0,0,'Données projet'!$E$11+1,1))-AVERAGE(OFFSET($H$3,0,0,'Données projet'!$E$11+1,1))</f>
        <v>217.20784862627357</v>
      </c>
      <c r="BJ16" s="59">
        <f t="shared" si="38"/>
        <v>147.24433901219732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1">
        <f t="shared" si="32"/>
        <v>3.6072925061053467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67">
        <f t="shared" si="1"/>
        <v>317.49389444813346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2.9235042735042733</v>
      </c>
      <c r="N17" s="13">
        <f>IF('Données projet'!$A$36&gt;35,N16+M17-V16,IF(A17&lt;'Données projet'!$A$36,$K$205^A17,IF(A17='Données projet'!$A$36,'Données projet'!$B$36,N16+M17-V16)))</f>
        <v>8.0676118326430668</v>
      </c>
      <c r="O17" s="13">
        <f>N17*VLOOKUP('Données projet'!$B$9,Paramètres!$A$1:$I$89,3,0)*VLOOKUP('Données projet'!$B$9,Paramètres!$A$1:$I$89,5,0)</f>
        <v>7.2995751861754465</v>
      </c>
      <c r="P17" s="13">
        <f t="shared" si="33"/>
        <v>2.6690813581776105</v>
      </c>
      <c r="Q17" s="20">
        <f t="shared" si="2"/>
        <v>17.362076814748239</v>
      </c>
      <c r="R17" s="59">
        <f t="shared" si="0"/>
        <v>310.69541014808158</v>
      </c>
      <c r="S17" s="59">
        <f ca="1">AVERAGE(OFFSET($R$3,0,0,'Données projet'!$E$9+1,1))-AVERAGE(OFFSET($H$3,0,0,'Données projet'!$E$9+1,1))</f>
        <v>180.68512008344129</v>
      </c>
      <c r="T17" s="59">
        <f t="shared" si="34"/>
        <v>125.86231758828899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</v>
      </c>
      <c r="AI17" s="13">
        <f>IF('Données projet'!$A$62&gt;35,AI16+AH17-AQ16,IF(A17&lt;'Données projet'!$A$62,$AF$205^A17,IF(A17='Données projet'!$A$62,'Données projet'!$B$62,AI16+AH17-AQ16)))</f>
        <v>13.226410390991386</v>
      </c>
      <c r="AJ17" s="13">
        <f>AI17*VLOOKUP('Données projet'!$B$10,Paramètres!$A$1:$I$89,3,0)*VLOOKUP('Données projet'!$B$10,Paramètres!$A$1:$I$89,5,0)</f>
        <v>11.348260115470611</v>
      </c>
      <c r="AK17" s="13">
        <f t="shared" si="35"/>
        <v>3.9417364034379001</v>
      </c>
      <c r="AL17" s="20">
        <f t="shared" si="4"/>
        <v>26.630077270432324</v>
      </c>
      <c r="AM17" s="59">
        <f t="shared" si="5"/>
        <v>319.96341060376562</v>
      </c>
      <c r="AN17" s="59">
        <f ca="1">AVERAGE(OFFSET($AM$3,0,0,'Données projet'!$E$10+1,1))-AVERAGE(OFFSET($H$3,0,0,'Données projet'!$E$10+1,1))</f>
        <v>335.81667389179631</v>
      </c>
      <c r="AO17" s="59">
        <f t="shared" si="36"/>
        <v>137.96364450570718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2.9333333333333331</v>
      </c>
      <c r="BD17" s="12">
        <f>IF('Données projet'!$A$88&gt;35,BD16+BC17-BL16,IF(A17&lt;'Données projet'!$A$88,$BA$205^A17,IF(A17='Données projet'!$A$88,'Données projet'!$B$88,BD16+BC17-BL16)))</f>
        <v>8.0802583558561594</v>
      </c>
      <c r="BE17" s="13">
        <f>BD17*VLOOKUP('Données projet'!$B$11,Paramètres!$A$1:$I$89,3,0)*VLOOKUP('Données projet'!$B$11,Paramètres!$A$1:$I$89,5,0)</f>
        <v>8.1933819728381465</v>
      </c>
      <c r="BF17" s="13">
        <f t="shared" si="37"/>
        <v>2.955889196166698</v>
      </c>
      <c r="BG17" s="20">
        <f t="shared" si="7"/>
        <v>19.418313952683437</v>
      </c>
      <c r="BH17" s="59">
        <f t="shared" si="8"/>
        <v>312.75164728601675</v>
      </c>
      <c r="BI17" s="59">
        <f ca="1">AVERAGE(OFFSET($BH$3,0,0,'Données projet'!$E$11+1,1))-AVERAGE(OFFSET($H$3,0,0,'Données projet'!$E$11+1,1))</f>
        <v>217.20784862627357</v>
      </c>
      <c r="BJ17" s="59">
        <f t="shared" si="38"/>
        <v>147.24433901219732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1">
        <f t="shared" si="32"/>
        <v>3.8340419797271834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67">
        <f t="shared" si="1"/>
        <v>319.1658064480248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2.9235042735042733</v>
      </c>
      <c r="N18" s="13">
        <f>IF('Données projet'!$A$36&gt;35,N17+M18-V17,IF(A18&lt;'Données projet'!$A$36,$K$205^A18,IF(A18='Données projet'!$A$36,'Données projet'!$B$36,N17+M18-V17)))</f>
        <v>9.3651016121091022</v>
      </c>
      <c r="O18" s="13">
        <f>N18*VLOOKUP('Données projet'!$B$9,Paramètres!$A$1:$I$89,3,0)*VLOOKUP('Données projet'!$B$9,Paramètres!$A$1:$I$89,5,0)</f>
        <v>8.4735439386363147</v>
      </c>
      <c r="P18" s="13">
        <f t="shared" si="33"/>
        <v>3.045021578973337</v>
      </c>
      <c r="Q18" s="20">
        <f t="shared" si="2"/>
        <v>20.06150160983681</v>
      </c>
      <c r="R18" s="59">
        <f t="shared" si="0"/>
        <v>313.39483494317011</v>
      </c>
      <c r="S18" s="59">
        <f ca="1">AVERAGE(OFFSET($R$3,0,0,'Données projet'!$E$9+1,1))-AVERAGE(OFFSET($H$3,0,0,'Données projet'!$E$9+1,1))</f>
        <v>180.68512008344129</v>
      </c>
      <c r="T18" s="59">
        <f t="shared" si="34"/>
        <v>125.86231758828899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</v>
      </c>
      <c r="AI18" s="13">
        <f>IF('Données projet'!$A$62&gt;35,AI17+AH18-AQ17,IF(A18&lt;'Données projet'!$A$62,$AF$205^A18,IF(A18='Données projet'!$A$62,'Données projet'!$B$62,AI17+AH18-AQ17)))</f>
        <v>15.905414575341034</v>
      </c>
      <c r="AJ18" s="13">
        <f>AI18*VLOOKUP('Données projet'!$B$10,Paramètres!$A$1:$I$89,3,0)*VLOOKUP('Données projet'!$B$10,Paramètres!$A$1:$I$89,5,0)</f>
        <v>13.646845705642608</v>
      </c>
      <c r="AK18" s="13">
        <f t="shared" si="35"/>
        <v>4.639450961807337</v>
      </c>
      <c r="AL18" s="20">
        <f t="shared" si="4"/>
        <v>31.848633362475322</v>
      </c>
      <c r="AM18" s="59">
        <f t="shared" si="5"/>
        <v>325.18196669580863</v>
      </c>
      <c r="AN18" s="59">
        <f ca="1">AVERAGE(OFFSET($AM$3,0,0,'Données projet'!$E$10+1,1))-AVERAGE(OFFSET($H$3,0,0,'Données projet'!$E$10+1,1))</f>
        <v>335.81667389179631</v>
      </c>
      <c r="AO18" s="59">
        <f t="shared" si="36"/>
        <v>137.96364450570718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2.9333333333333331</v>
      </c>
      <c r="BD18" s="12">
        <f>IF('Données projet'!$A$88&gt;35,BD17+BC18-BL17,IF(A18&lt;'Données projet'!$A$88,$BA$205^A18,IF(A18='Données projet'!$A$88,'Données projet'!$B$88,BD17+BC18-BL17)))</f>
        <v>9.3808315196468595</v>
      </c>
      <c r="BE18" s="13">
        <f>BD18*VLOOKUP('Données projet'!$B$11,Paramètres!$A$1:$I$89,3,0)*VLOOKUP('Données projet'!$B$11,Paramètres!$A$1:$I$89,5,0)</f>
        <v>9.5121631609219168</v>
      </c>
      <c r="BF18" s="13">
        <f t="shared" si="37"/>
        <v>3.3725597023581444</v>
      </c>
      <c r="BG18" s="20">
        <f t="shared" si="7"/>
        <v>22.440892320212768</v>
      </c>
      <c r="BH18" s="59">
        <f t="shared" si="8"/>
        <v>315.77422565354607</v>
      </c>
      <c r="BI18" s="59">
        <f ca="1">AVERAGE(OFFSET($BH$3,0,0,'Données projet'!$E$11+1,1))-AVERAGE(OFFSET($H$3,0,0,'Données projet'!$E$11+1,1))</f>
        <v>217.20784862627357</v>
      </c>
      <c r="BJ18" s="59">
        <f t="shared" si="38"/>
        <v>147.24433901219732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1">
        <f t="shared" si="32"/>
        <v>4.0590373158284008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67">
        <f t="shared" si="1"/>
        <v>320.83466332506777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2.9235042735042733</v>
      </c>
      <c r="N19" s="13">
        <f>IF('Données projet'!$A$36&gt;35,N18+M19-V18,IF(A19&lt;'Données projet'!$A$36,$K$205^A19,IF(A19='Données projet'!$A$36,'Données projet'!$B$36,N18+M19-V18)))</f>
        <v>10.87126277571476</v>
      </c>
      <c r="O19" s="13">
        <f>N19*VLOOKUP('Données projet'!$B$9,Paramètres!$A$1:$I$89,3,0)*VLOOKUP('Données projet'!$B$9,Paramètres!$A$1:$I$89,5,0)</f>
        <v>9.8363185594667133</v>
      </c>
      <c r="P19" s="13">
        <f t="shared" si="33"/>
        <v>3.4739129955724146</v>
      </c>
      <c r="Q19" s="20">
        <f t="shared" si="2"/>
        <v>23.181986625026479</v>
      </c>
      <c r="R19" s="59">
        <f t="shared" si="0"/>
        <v>316.51531995835978</v>
      </c>
      <c r="S19" s="59">
        <f ca="1">AVERAGE(OFFSET($R$3,0,0,'Données projet'!$E$9+1,1))-AVERAGE(OFFSET($H$3,0,0,'Données projet'!$E$9+1,1))</f>
        <v>180.68512008344129</v>
      </c>
      <c r="T19" s="59">
        <f t="shared" si="34"/>
        <v>125.86231758828899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</v>
      </c>
      <c r="AI19" s="13">
        <f>IF('Données projet'!$A$62&gt;35,AI18+AH19-AQ18,IF(A19&lt;'Données projet'!$A$62,$AF$205^A19,IF(A19='Données projet'!$A$62,'Données projet'!$B$62,AI18+AH19-AQ18)))</f>
        <v>19.127049995800764</v>
      </c>
      <c r="AJ19" s="13">
        <f>AI19*VLOOKUP('Données projet'!$B$10,Paramètres!$A$1:$I$89,3,0)*VLOOKUP('Données projet'!$B$10,Paramètres!$A$1:$I$89,5,0)</f>
        <v>16.411008896397057</v>
      </c>
      <c r="AK19" s="13">
        <f t="shared" si="35"/>
        <v>5.4606658142441473</v>
      </c>
      <c r="AL19" s="20">
        <f t="shared" si="4"/>
        <v>38.093166787700099</v>
      </c>
      <c r="AM19" s="59">
        <f t="shared" si="5"/>
        <v>331.42650012103343</v>
      </c>
      <c r="AN19" s="59">
        <f ca="1">AVERAGE(OFFSET($AM$3,0,0,'Données projet'!$E$10+1,1))-AVERAGE(OFFSET($H$3,0,0,'Données projet'!$E$10+1,1))</f>
        <v>335.81667389179631</v>
      </c>
      <c r="AO19" s="59">
        <f t="shared" si="36"/>
        <v>137.96364450570718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2.9333333333333331</v>
      </c>
      <c r="BD19" s="12">
        <f>IF('Données projet'!$A$88&gt;35,BD18+BC19-BL18,IF(A19&lt;'Données projet'!$A$88,$BA$205^A19,IF(A19='Données projet'!$A$88,'Données projet'!$B$88,BD18+BC19-BL18)))</f>
        <v>10.890740880360845</v>
      </c>
      <c r="BE19" s="13">
        <f>BD19*VLOOKUP('Données projet'!$B$11,Paramètres!$A$1:$I$89,3,0)*VLOOKUP('Données projet'!$B$11,Paramètres!$A$1:$I$89,5,0)</f>
        <v>11.043211252685897</v>
      </c>
      <c r="BF19" s="13">
        <f t="shared" si="37"/>
        <v>3.8479652622704745</v>
      </c>
      <c r="BG19" s="20">
        <f t="shared" si="7"/>
        <v>25.935465763549008</v>
      </c>
      <c r="BH19" s="59">
        <f t="shared" si="8"/>
        <v>319.26879909688233</v>
      </c>
      <c r="BI19" s="59">
        <f ca="1">AVERAGE(OFFSET($BH$3,0,0,'Données projet'!$E$11+1,1))-AVERAGE(OFFSET($H$3,0,0,'Données projet'!$E$11+1,1))</f>
        <v>217.20784862627357</v>
      </c>
      <c r="BJ19" s="59">
        <f t="shared" si="38"/>
        <v>147.24433901219732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1">
        <f t="shared" si="32"/>
        <v>4.2824006291256396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67">
        <f t="shared" si="1"/>
        <v>322.50067776239382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2.9235042735042733</v>
      </c>
      <c r="N20" s="13">
        <f>IF('Données projet'!$A$36&gt;35,N19+M20-V19,IF(A20&lt;'Données projet'!$A$36,$K$205^A20,IF(A20='Données projet'!$A$36,'Données projet'!$B$36,N19+M20-V19)))</f>
        <v>12.619655315413629</v>
      </c>
      <c r="O20" s="13">
        <f>N20*VLOOKUP('Données projet'!$B$9,Paramètres!$A$1:$I$89,3,0)*VLOOKUP('Données projet'!$B$9,Paramètres!$A$1:$I$89,5,0)</f>
        <v>11.418264129386252</v>
      </c>
      <c r="P20" s="13">
        <f t="shared" si="33"/>
        <v>3.9632137861156949</v>
      </c>
      <c r="Q20" s="20">
        <f t="shared" si="2"/>
        <v>26.789407369499227</v>
      </c>
      <c r="R20" s="59">
        <f t="shared" si="0"/>
        <v>320.12274070283252</v>
      </c>
      <c r="S20" s="59">
        <f ca="1">AVERAGE(OFFSET($R$3,0,0,'Données projet'!$E$9+1,1))-AVERAGE(OFFSET($H$3,0,0,'Données projet'!$E$9+1,1))</f>
        <v>180.68512008344129</v>
      </c>
      <c r="T20" s="59">
        <f t="shared" si="34"/>
        <v>125.86231758828899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</v>
      </c>
      <c r="AI20" s="13">
        <f>IF('Données projet'!$A$62&gt;35,AI19+AH20-AQ19,IF(A20&lt;'Données projet'!$A$62,$AF$205^A20,IF(A20='Données projet'!$A$62,'Données projet'!$B$62,AI19+AH20-AQ19)))</f>
        <v>23.001226394252466</v>
      </c>
      <c r="AJ20" s="13">
        <f>AI20*VLOOKUP('Données projet'!$B$10,Paramètres!$A$1:$I$89,3,0)*VLOOKUP('Données projet'!$B$10,Paramètres!$A$1:$I$89,5,0)</f>
        <v>19.735052246268616</v>
      </c>
      <c r="AK20" s="13">
        <f t="shared" si="35"/>
        <v>6.4272413654822858</v>
      </c>
      <c r="AL20" s="20">
        <f t="shared" si="4"/>
        <v>45.565994707132809</v>
      </c>
      <c r="AM20" s="59">
        <f t="shared" si="5"/>
        <v>338.89932804046612</v>
      </c>
      <c r="AN20" s="59">
        <f ca="1">AVERAGE(OFFSET($AM$3,0,0,'Données projet'!$E$10+1,1))-AVERAGE(OFFSET($H$3,0,0,'Données projet'!$E$10+1,1))</f>
        <v>335.81667389179631</v>
      </c>
      <c r="AO20" s="59">
        <f t="shared" si="36"/>
        <v>137.96364450570718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2.9333333333333331</v>
      </c>
      <c r="BD20" s="12">
        <f>IF('Données projet'!$A$88&gt;35,BD19+BC20-BL19,IF(A20&lt;'Données projet'!$A$88,$BA$205^A20,IF(A20='Données projet'!$A$88,'Données projet'!$B$88,BD19+BC20-BL19)))</f>
        <v>12.64368053884715</v>
      </c>
      <c r="BE20" s="13">
        <f>BD20*VLOOKUP('Données projet'!$B$11,Paramètres!$A$1:$I$89,3,0)*VLOOKUP('Données projet'!$B$11,Paramètres!$A$1:$I$89,5,0)</f>
        <v>12.820692066391011</v>
      </c>
      <c r="BF20" s="13">
        <f t="shared" si="37"/>
        <v>4.3903853352950639</v>
      </c>
      <c r="BG20" s="20">
        <f t="shared" si="7"/>
        <v>29.975959807936576</v>
      </c>
      <c r="BH20" s="59">
        <f t="shared" si="8"/>
        <v>323.3092931412699</v>
      </c>
      <c r="BI20" s="59">
        <f ca="1">AVERAGE(OFFSET($BH$3,0,0,'Données projet'!$E$11+1,1))-AVERAGE(OFFSET($H$3,0,0,'Données projet'!$E$11+1,1))</f>
        <v>217.20784862627357</v>
      </c>
      <c r="BJ20" s="59">
        <f t="shared" si="38"/>
        <v>147.24433901219732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1">
        <f t="shared" si="32"/>
        <v>4.504238856327774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67">
        <f t="shared" si="1"/>
        <v>324.16403600810418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2.9235042735042733</v>
      </c>
      <c r="N21" s="13">
        <f>IF('Données projet'!$A$36&gt;35,N20+M21-V20,IF(A21&lt;'Données projet'!$A$36,$K$205^A21,IF(A21='Données projet'!$A$36,'Données projet'!$B$36,N20+M21-V20)))</f>
        <v>14.649236575865659</v>
      </c>
      <c r="O21" s="13">
        <f>N21*VLOOKUP('Données projet'!$B$9,Paramètres!$A$1:$I$89,3,0)*VLOOKUP('Données projet'!$B$9,Paramètres!$A$1:$I$89,5,0)</f>
        <v>13.254629253843246</v>
      </c>
      <c r="P21" s="13">
        <f t="shared" si="33"/>
        <v>4.5214326134467182</v>
      </c>
      <c r="Q21" s="20">
        <f t="shared" si="2"/>
        <v>30.959974418863357</v>
      </c>
      <c r="R21" s="59">
        <f t="shared" si="0"/>
        <v>324.29330775219665</v>
      </c>
      <c r="S21" s="59">
        <f ca="1">AVERAGE(OFFSET($R$3,0,0,'Données projet'!$E$9+1,1))-AVERAGE(OFFSET($H$3,0,0,'Données projet'!$E$9+1,1))</f>
        <v>180.68512008344129</v>
      </c>
      <c r="T21" s="59">
        <f t="shared" si="34"/>
        <v>125.86231758828899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</v>
      </c>
      <c r="AI21" s="13">
        <f>IF('Données projet'!$A$62&gt;35,AI20+AH21-AQ20,IF(A21&lt;'Données projet'!$A$62,$AF$205^A21,IF(A21='Données projet'!$A$62,'Données projet'!$B$62,AI20+AH21-AQ20)))</f>
        <v>27.660115687249608</v>
      </c>
      <c r="AJ21" s="13">
        <f>AI21*VLOOKUP('Données projet'!$B$10,Paramètres!$A$1:$I$89,3,0)*VLOOKUP('Données projet'!$B$10,Paramètres!$A$1:$I$89,5,0)</f>
        <v>23.732379259660167</v>
      </c>
      <c r="AK21" s="13">
        <f t="shared" si="35"/>
        <v>7.5649074628245767</v>
      </c>
      <c r="AL21" s="20">
        <f t="shared" si="4"/>
        <v>54.509441041660921</v>
      </c>
      <c r="AM21" s="59">
        <f t="shared" si="5"/>
        <v>347.84277437499424</v>
      </c>
      <c r="AN21" s="59">
        <f ca="1">AVERAGE(OFFSET($AM$3,0,0,'Données projet'!$E$10+1,1))-AVERAGE(OFFSET($H$3,0,0,'Données projet'!$E$10+1,1))</f>
        <v>335.81667389179631</v>
      </c>
      <c r="AO21" s="59">
        <f t="shared" si="36"/>
        <v>137.96364450570718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2.9333333333333331</v>
      </c>
      <c r="BD21" s="12">
        <f>IF('Données projet'!$A$88&gt;35,BD20+BC21-BL20,IF(A21&lt;'Données projet'!$A$88,$BA$205^A21,IF(A21='Données projet'!$A$88,'Données projet'!$B$88,BD20+BC21-BL20)))</f>
        <v>14.678767893256991</v>
      </c>
      <c r="BE21" s="13">
        <f>BD21*VLOOKUP('Données projet'!$B$11,Paramètres!$A$1:$I$89,3,0)*VLOOKUP('Données projet'!$B$11,Paramètres!$A$1:$I$89,5,0)</f>
        <v>14.884270643762591</v>
      </c>
      <c r="BF21" s="13">
        <f t="shared" si="37"/>
        <v>5.0092664768497777</v>
      </c>
      <c r="BG21" s="20">
        <f t="shared" si="7"/>
        <v>34.647910485066539</v>
      </c>
      <c r="BH21" s="59">
        <f t="shared" si="8"/>
        <v>327.98124381839983</v>
      </c>
      <c r="BI21" s="59">
        <f ca="1">AVERAGE(OFFSET($BH$3,0,0,'Données projet'!$E$11+1,1))-AVERAGE(OFFSET($H$3,0,0,'Données projet'!$E$11+1,1))</f>
        <v>217.20784862627357</v>
      </c>
      <c r="BJ21" s="59">
        <f t="shared" si="38"/>
        <v>147.24433901219732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1">
        <f t="shared" si="32"/>
        <v>4.7246463812124082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67">
        <f t="shared" si="1"/>
        <v>325.82490244727825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2.9235042735042733</v>
      </c>
      <c r="N22" s="13">
        <f>IF('Données projet'!$A$36&gt;35,N21+M22-V21,IF(A22&lt;'Données projet'!$A$36,$K$205^A22,IF(A22='Données projet'!$A$36,'Données projet'!$B$36,N21+M22-V21)))</f>
        <v>17.005229294461625</v>
      </c>
      <c r="O22" s="13">
        <f>N22*VLOOKUP('Données projet'!$B$9,Paramètres!$A$1:$I$89,3,0)*VLOOKUP('Données projet'!$B$9,Paramètres!$A$1:$I$89,5,0)</f>
        <v>15.386331465628878</v>
      </c>
      <c r="P22" s="13">
        <f t="shared" si="33"/>
        <v>5.1582765859259734</v>
      </c>
      <c r="Q22" s="20">
        <f t="shared" si="2"/>
        <v>35.781859023124703</v>
      </c>
      <c r="R22" s="59">
        <f t="shared" si="0"/>
        <v>329.11519235645801</v>
      </c>
      <c r="S22" s="59">
        <f ca="1">AVERAGE(OFFSET($R$3,0,0,'Données projet'!$E$9+1,1))-AVERAGE(OFFSET($H$3,0,0,'Données projet'!$E$9+1,1))</f>
        <v>180.68512008344129</v>
      </c>
      <c r="T22" s="59">
        <f t="shared" si="34"/>
        <v>125.86231758828899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</v>
      </c>
      <c r="AI22" s="13">
        <f>IF('Données projet'!$A$62&gt;35,AI21+AH22-AQ21,IF(A22&lt;'Données projet'!$A$62,$AF$205^A22,IF(A22='Données projet'!$A$62,'Données projet'!$B$62,AI21+AH22-AQ21)))</f>
        <v>33.262661160676636</v>
      </c>
      <c r="AJ22" s="13">
        <f>AI22*VLOOKUP('Données projet'!$B$10,Paramètres!$A$1:$I$89,3,0)*VLOOKUP('Données projet'!$B$10,Paramètres!$A$1:$I$89,5,0)</f>
        <v>28.539363275860556</v>
      </c>
      <c r="AK22" s="13">
        <f t="shared" si="35"/>
        <v>8.9039483141932294</v>
      </c>
      <c r="AL22" s="20">
        <f t="shared" si="4"/>
        <v>65.213767686010328</v>
      </c>
      <c r="AM22" s="59">
        <f t="shared" si="5"/>
        <v>358.54710101934364</v>
      </c>
      <c r="AN22" s="59">
        <f ca="1">AVERAGE(OFFSET($AM$3,0,0,'Données projet'!$E$10+1,1))-AVERAGE(OFFSET($H$3,0,0,'Données projet'!$E$10+1,1))</f>
        <v>335.81667389179631</v>
      </c>
      <c r="AO22" s="59">
        <f t="shared" si="36"/>
        <v>137.96364450570718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2.9333333333333331</v>
      </c>
      <c r="BD22" s="12">
        <f>IF('Données projet'!$A$88&gt;35,BD21+BC22-BL21,IF(A22&lt;'Données projet'!$A$88,$BA$205^A22,IF(A22='Données projet'!$A$88,'Données projet'!$B$88,BD21+BC22-BL21)))</f>
        <v>17.041416556049626</v>
      </c>
      <c r="BE22" s="13">
        <f>BD22*VLOOKUP('Données projet'!$B$11,Paramètres!$A$1:$I$89,3,0)*VLOOKUP('Données projet'!$B$11,Paramètres!$A$1:$I$89,5,0)</f>
        <v>17.279996387834323</v>
      </c>
      <c r="BF22" s="13">
        <f t="shared" si="37"/>
        <v>5.7153868555377221</v>
      </c>
      <c r="BG22" s="20">
        <f t="shared" si="7"/>
        <v>40.050292482206309</v>
      </c>
      <c r="BH22" s="59">
        <f t="shared" si="8"/>
        <v>333.38362581553963</v>
      </c>
      <c r="BI22" s="59">
        <f ca="1">AVERAGE(OFFSET($BH$3,0,0,'Données projet'!$E$11+1,1))-AVERAGE(OFFSET($H$3,0,0,'Données projet'!$E$11+1,1))</f>
        <v>217.20784862627357</v>
      </c>
      <c r="BJ22" s="59">
        <f t="shared" si="38"/>
        <v>147.24433901219732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1">
        <f t="shared" si="32"/>
        <v>4.9437070912888705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67">
        <f t="shared" si="1"/>
        <v>327.48342318399477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2.9235042735042733</v>
      </c>
      <c r="N23" s="13">
        <f>IF('Données projet'!$A$36&gt;35,N22+M23-V22,IF(A23&lt;'Données projet'!$A$36,$K$205^A23,IF(A23='Données projet'!$A$36,'Données projet'!$B$36,N22+M23-V22)))</f>
        <v>19.740129245617538</v>
      </c>
      <c r="O23" s="13">
        <f>N23*VLOOKUP('Données projet'!$B$9,Paramètres!$A$1:$I$89,3,0)*VLOOKUP('Données projet'!$B$9,Paramètres!$A$1:$I$89,5,0)</f>
        <v>17.860868941434749</v>
      </c>
      <c r="P23" s="13">
        <f t="shared" si="33"/>
        <v>5.8848200585320249</v>
      </c>
      <c r="Q23" s="20">
        <f t="shared" si="2"/>
        <v>41.357075008275459</v>
      </c>
      <c r="R23" s="59">
        <f t="shared" si="0"/>
        <v>334.69040834160876</v>
      </c>
      <c r="S23" s="59">
        <f ca="1">AVERAGE(OFFSET($R$3,0,0,'Données projet'!$E$9+1,1))-AVERAGE(OFFSET($H$3,0,0,'Données projet'!$E$9+1,1))</f>
        <v>180.68512008344129</v>
      </c>
      <c r="T23" s="59">
        <f t="shared" si="34"/>
        <v>125.86231758828899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40</v>
      </c>
      <c r="AG23" s="12">
        <f>VLOOKUP(A23,'Données projet'!$A$61:$I$81,9,0)</f>
        <v>2</v>
      </c>
      <c r="AH23" s="12">
        <f t="array" ref="AH23">INDEX(AG:AG,MIN(IF(ISNUMBER(AG23:AG219),ROW(AG23:AG219),"")))</f>
        <v>2</v>
      </c>
      <c r="AI23" s="13">
        <f>IF('Données projet'!$A$62&gt;35,AI22+AH23-AQ22,IF(A23&lt;'Données projet'!$A$62,$AF$205^A23,IF(A23='Données projet'!$A$62,'Données projet'!$B$62,AI22+AH23-AQ22)))</f>
        <v>40</v>
      </c>
      <c r="AJ23" s="13">
        <f>AI23*VLOOKUP('Données projet'!$B$10,Paramètres!$A$1:$I$89,3,0)*VLOOKUP('Données projet'!$B$10,Paramètres!$A$1:$I$89,5,0)</f>
        <v>34.32</v>
      </c>
      <c r="AK23" s="13">
        <f t="shared" si="35"/>
        <v>10.480008641404153</v>
      </c>
      <c r="AL23" s="20">
        <f t="shared" si="4"/>
        <v>78.026681717112226</v>
      </c>
      <c r="AM23" s="59">
        <f t="shared" si="5"/>
        <v>371.36001505044555</v>
      </c>
      <c r="AN23" s="59">
        <f ca="1">AVERAGE(OFFSET($AM$3,0,0,'Données projet'!$E$10+1,1))-AVERAGE(OFFSET($H$3,0,0,'Données projet'!$E$10+1,1))</f>
        <v>335.81667389179631</v>
      </c>
      <c r="AO23" s="59">
        <f t="shared" si="36"/>
        <v>137.96364450570718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0.50072227264375646</v>
      </c>
      <c r="AW23" s="21">
        <f>EXP(-LN(2)/2)*AW22+(1-EXP(-LN(2)/2))/(LN(2)/2)*AQ23*AT23*VLOOKUP('Données projet'!$B$10,Paramètres!$A$1:$I$89,3,0)*0.475*44/12</f>
        <v>0.80954609273142319</v>
      </c>
      <c r="AX23" s="21">
        <f t="shared" si="6"/>
        <v>1.3102683653751797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2.9333333333333331</v>
      </c>
      <c r="BD23" s="12">
        <f>IF('Données projet'!$A$88&gt;35,BD22+BC23-BL22,IF(A23&lt;'Données projet'!$A$88,$BA$205^A23,IF(A23='Données projet'!$A$88,'Données projet'!$B$88,BD22+BC23-BL22)))</f>
        <v>19.784349772994801</v>
      </c>
      <c r="BE23" s="13">
        <f>BD23*VLOOKUP('Données projet'!$B$11,Paramètres!$A$1:$I$89,3,0)*VLOOKUP('Données projet'!$B$11,Paramètres!$A$1:$I$89,5,0)</f>
        <v>20.06133066981673</v>
      </c>
      <c r="BF23" s="13">
        <f t="shared" si="37"/>
        <v>6.5210439611102755</v>
      </c>
      <c r="BG23" s="20">
        <f t="shared" si="7"/>
        <v>46.297635815531201</v>
      </c>
      <c r="BH23" s="59">
        <f t="shared" si="8"/>
        <v>339.63096914886449</v>
      </c>
      <c r="BI23" s="59">
        <f ca="1">AVERAGE(OFFSET($BH$3,0,0,'Données projet'!$E$11+1,1))-AVERAGE(OFFSET($H$3,0,0,'Données projet'!$E$11+1,1))</f>
        <v>217.20784862627357</v>
      </c>
      <c r="BJ23" s="59">
        <f t="shared" si="38"/>
        <v>147.24433901219732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1">
        <f t="shared" si="32"/>
        <v>5.1614960114392687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67">
        <f t="shared" si="1"/>
        <v>329.13972888659004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2.9235042735042733</v>
      </c>
      <c r="N24" s="13">
        <f>IF('Données projet'!$A$36&gt;35,N23+M24-V23,IF(A24&lt;'Données projet'!$A$36,$K$205^A24,IF(A24='Données projet'!$A$36,'Données projet'!$B$36,N23+M24-V23)))</f>
        <v>22.91487494147438</v>
      </c>
      <c r="O24" s="13">
        <f>N24*VLOOKUP('Données projet'!$B$9,Paramètres!$A$1:$I$89,3,0)*VLOOKUP('Données projet'!$B$9,Paramètres!$A$1:$I$89,5,0)</f>
        <v>20.733378847046019</v>
      </c>
      <c r="P24" s="13">
        <f t="shared" si="33"/>
        <v>6.713697209604776</v>
      </c>
      <c r="Q24" s="20">
        <f t="shared" si="2"/>
        <v>47.803657465333458</v>
      </c>
      <c r="R24" s="59">
        <f t="shared" si="0"/>
        <v>341.13699079866677</v>
      </c>
      <c r="S24" s="59">
        <f ca="1">AVERAGE(OFFSET($R$3,0,0,'Données projet'!$E$9+1,1))-AVERAGE(OFFSET($H$3,0,0,'Données projet'!$E$9+1,1))</f>
        <v>180.68512008344129</v>
      </c>
      <c r="T24" s="59">
        <f t="shared" si="34"/>
        <v>125.86231758828899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42.3</v>
      </c>
      <c r="AJ24" s="13">
        <f>AI24*VLOOKUP('Données projet'!$B$10,Paramètres!$A$1:$I$89,3,0)*VLOOKUP('Données projet'!$B$10,Paramètres!$A$1:$I$89,5,0)</f>
        <v>36.293400000000005</v>
      </c>
      <c r="AK24" s="13">
        <f t="shared" si="35"/>
        <v>11.01072157830875</v>
      </c>
      <c r="AL24" s="20">
        <f t="shared" si="4"/>
        <v>82.388011748887735</v>
      </c>
      <c r="AM24" s="59">
        <f t="shared" si="5"/>
        <v>375.72134508222103</v>
      </c>
      <c r="AN24" s="59">
        <f ca="1">AVERAGE(OFFSET($AM$3,0,0,'Données projet'!$E$10+1,1))-AVERAGE(OFFSET($H$3,0,0,'Données projet'!$E$10+1,1))</f>
        <v>335.81667389179631</v>
      </c>
      <c r="AO24" s="59">
        <f t="shared" si="36"/>
        <v>137.96364450570718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0.48702999576647305</v>
      </c>
      <c r="AW24" s="21">
        <f>EXP(-LN(2)/2)*AW23+(1-EXP(-LN(2)/2))/(LN(2)/2)*AQ24*AT24*VLOOKUP('Données projet'!$B$10,Paramètres!$A$1:$I$89,3,0)*0.475*44/12</f>
        <v>0.57243553185346296</v>
      </c>
      <c r="AX24" s="21">
        <f t="shared" si="6"/>
        <v>1.0594655276199361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2.9333333333333331</v>
      </c>
      <c r="BD24" s="12">
        <f>IF('Données projet'!$A$88&gt;35,BD23+BC24-BL23,IF(A24&lt;'Données projet'!$A$88,$BA$205^A24,IF(A24='Données projet'!$A$88,'Données projet'!$B$88,BD23+BC24-BL23)))</f>
        <v>22.968776958934608</v>
      </c>
      <c r="BE24" s="13">
        <f>BD24*VLOOKUP('Données projet'!$B$11,Paramètres!$A$1:$I$89,3,0)*VLOOKUP('Données projet'!$B$11,Paramètres!$A$1:$I$89,5,0)</f>
        <v>23.290339836359696</v>
      </c>
      <c r="BF24" s="13">
        <f t="shared" si="37"/>
        <v>7.4402687722757763</v>
      </c>
      <c r="BG24" s="20">
        <f t="shared" si="7"/>
        <v>53.522476660040105</v>
      </c>
      <c r="BH24" s="59">
        <f t="shared" si="8"/>
        <v>346.85580999337344</v>
      </c>
      <c r="BI24" s="59">
        <f ca="1">AVERAGE(OFFSET($BH$3,0,0,'Données projet'!$E$11+1,1))-AVERAGE(OFFSET($H$3,0,0,'Données projet'!$E$11+1,1))</f>
        <v>217.20784862627357</v>
      </c>
      <c r="BJ24" s="59">
        <f t="shared" si="38"/>
        <v>147.24433901219732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1">
        <f t="shared" si="32"/>
        <v>5.3780806175732732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67">
        <f t="shared" si="1"/>
        <v>330.79393707560678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2.9235042735042733</v>
      </c>
      <c r="N25" s="13">
        <f>IF('Données projet'!$A$36&gt;35,N24+M25-V24,IF(A25&lt;'Données projet'!$A$36,$K$205^A25,IF(A25='Données projet'!$A$36,'Données projet'!$B$36,N24+M25-V24)))</f>
        <v>26.600205452048144</v>
      </c>
      <c r="O25" s="13">
        <f>N25*VLOOKUP('Données projet'!$B$9,Paramètres!$A$1:$I$89,3,0)*VLOOKUP('Données projet'!$B$9,Paramètres!$A$1:$I$89,5,0)</f>
        <v>24.06786589301316</v>
      </c>
      <c r="P25" s="13">
        <f t="shared" si="33"/>
        <v>7.6593217420310804</v>
      </c>
      <c r="Q25" s="20">
        <f t="shared" si="2"/>
        <v>55.258185131035383</v>
      </c>
      <c r="R25" s="59">
        <f t="shared" si="0"/>
        <v>348.59151846436868</v>
      </c>
      <c r="S25" s="59">
        <f ca="1">AVERAGE(OFFSET($R$3,0,0,'Données projet'!$E$9+1,1))-AVERAGE(OFFSET($H$3,0,0,'Données projet'!$E$9+1,1))</f>
        <v>180.68512008344129</v>
      </c>
      <c r="T25" s="59">
        <f t="shared" si="34"/>
        <v>125.86231758828899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48.599999999999994</v>
      </c>
      <c r="AJ25" s="13">
        <f>AI25*VLOOKUP('Données projet'!$B$10,Paramètres!$A$1:$I$89,3,0)*VLOOKUP('Données projet'!$B$10,Paramètres!$A$1:$I$89,5,0)</f>
        <v>41.698800000000006</v>
      </c>
      <c r="AK25" s="13">
        <f t="shared" si="35"/>
        <v>12.447818288806266</v>
      </c>
      <c r="AL25" s="20">
        <f t="shared" si="4"/>
        <v>94.305360186337609</v>
      </c>
      <c r="AM25" s="59">
        <f t="shared" si="5"/>
        <v>387.63869351967094</v>
      </c>
      <c r="AN25" s="59">
        <f ca="1">AVERAGE(OFFSET($AM$3,0,0,'Données projet'!$E$10+1,1))-AVERAGE(OFFSET($H$3,0,0,'Données projet'!$E$10+1,1))</f>
        <v>335.81667389179631</v>
      </c>
      <c r="AO25" s="59">
        <f t="shared" si="36"/>
        <v>137.96364450570718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0.47371213492044451</v>
      </c>
      <c r="AW25" s="21">
        <f>EXP(-LN(2)/2)*AW24+(1-EXP(-LN(2)/2))/(LN(2)/2)*AQ25*AT25*VLOOKUP('Données projet'!$B$10,Paramètres!$A$1:$I$89,3,0)*0.475*44/12</f>
        <v>0.4047730463657116</v>
      </c>
      <c r="AX25" s="21">
        <f t="shared" si="6"/>
        <v>0.87848518128615605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2.9333333333333331</v>
      </c>
      <c r="BD25" s="12">
        <f>IF('Données projet'!$A$88&gt;35,BD24+BC25-BL24,IF(A25&lt;'Données projet'!$A$88,$BA$205^A25,IF(A25='Données projet'!$A$88,'Données projet'!$B$88,BD24+BC25-BL24)))</f>
        <v>26.66575960506923</v>
      </c>
      <c r="BE25" s="13">
        <f>BD25*VLOOKUP('Données projet'!$B$11,Paramètres!$A$1:$I$89,3,0)*VLOOKUP('Données projet'!$B$11,Paramètres!$A$1:$I$89,5,0)</f>
        <v>27.039080239540205</v>
      </c>
      <c r="BF25" s="13">
        <f t="shared" si="37"/>
        <v>8.489070114208662</v>
      </c>
      <c r="BG25" s="20">
        <f t="shared" si="7"/>
        <v>61.87819519944594</v>
      </c>
      <c r="BH25" s="59">
        <f t="shared" si="8"/>
        <v>355.21152853277925</v>
      </c>
      <c r="BI25" s="59">
        <f ca="1">AVERAGE(OFFSET($BH$3,0,0,'Données projet'!$E$11+1,1))-AVERAGE(OFFSET($H$3,0,0,'Données projet'!$E$11+1,1))</f>
        <v>217.20784862627357</v>
      </c>
      <c r="BJ25" s="59">
        <f t="shared" si="38"/>
        <v>147.24433901219732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1">
        <f t="shared" si="32"/>
        <v>5.5935219046849918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67">
        <f t="shared" si="1"/>
        <v>332.44615398399299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2.9235042735042733</v>
      </c>
      <c r="N26" s="13">
        <f>IF('Données projet'!$A$36&gt;35,N25+M26-V25,IF(A26&lt;'Données projet'!$A$36,$K$205^A26,IF(A26='Données projet'!$A$36,'Données projet'!$B$36,N25+M26-V25)))</f>
        <v>30.878236599516239</v>
      </c>
      <c r="O26" s="13">
        <f>N26*VLOOKUP('Données projet'!$B$9,Paramètres!$A$1:$I$89,3,0)*VLOOKUP('Données projet'!$B$9,Paramètres!$A$1:$I$89,5,0)</f>
        <v>27.938628475242293</v>
      </c>
      <c r="P26" s="13">
        <f t="shared" si="33"/>
        <v>8.7381375293515138</v>
      </c>
      <c r="Q26" s="20">
        <f t="shared" si="2"/>
        <v>63.878700791334211</v>
      </c>
      <c r="R26" s="59">
        <f t="shared" si="0"/>
        <v>357.21203412466753</v>
      </c>
      <c r="S26" s="59">
        <f ca="1">AVERAGE(OFFSET($R$3,0,0,'Données projet'!$E$9+1,1))-AVERAGE(OFFSET($H$3,0,0,'Données projet'!$E$9+1,1))</f>
        <v>180.68512008344129</v>
      </c>
      <c r="T26" s="59">
        <f t="shared" si="34"/>
        <v>125.86231758828899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54.899999999999991</v>
      </c>
      <c r="AJ26" s="13">
        <f>AI26*VLOOKUP('Données projet'!$B$10,Paramètres!$A$1:$I$89,3,0)*VLOOKUP('Données projet'!$B$10,Paramètres!$A$1:$I$89,5,0)</f>
        <v>47.104199999999999</v>
      </c>
      <c r="AK26" s="13">
        <f t="shared" si="35"/>
        <v>13.863329832294768</v>
      </c>
      <c r="AL26" s="20">
        <f t="shared" si="4"/>
        <v>106.18511445791337</v>
      </c>
      <c r="AM26" s="59">
        <f t="shared" si="5"/>
        <v>399.51844779124667</v>
      </c>
      <c r="AN26" s="59">
        <f ca="1">AVERAGE(OFFSET($AM$3,0,0,'Données projet'!$E$10+1,1))-AVERAGE(OFFSET($H$3,0,0,'Données projet'!$E$10+1,1))</f>
        <v>335.81667389179631</v>
      </c>
      <c r="AO26" s="59">
        <f t="shared" si="36"/>
        <v>137.96364450570718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0.46075845167960644</v>
      </c>
      <c r="AW26" s="21">
        <f>EXP(-LN(2)/2)*AW25+(1-EXP(-LN(2)/2))/(LN(2)/2)*AQ26*AT26*VLOOKUP('Données projet'!$B$10,Paramètres!$A$1:$I$89,3,0)*0.475*44/12</f>
        <v>0.28621776592673148</v>
      </c>
      <c r="AX26" s="21">
        <f t="shared" si="6"/>
        <v>0.74697621760633792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2.9333333333333331</v>
      </c>
      <c r="BD26" s="12">
        <f>IF('Données projet'!$A$88&gt;35,BD25+BC26-BL25,IF(A26&lt;'Données projet'!$A$88,$BA$205^A26,IF(A26='Données projet'!$A$88,'Données projet'!$B$88,BD25+BC26-BL25)))</f>
        <v>30.957797038415933</v>
      </c>
      <c r="BE26" s="13">
        <f>BD26*VLOOKUP('Données projet'!$B$11,Paramètres!$A$1:$I$89,3,0)*VLOOKUP('Données projet'!$B$11,Paramètres!$A$1:$I$89,5,0)</f>
        <v>31.391206196953757</v>
      </c>
      <c r="BF26" s="13">
        <f t="shared" si="37"/>
        <v>9.6857134613845588</v>
      </c>
      <c r="BG26" s="20">
        <f t="shared" si="7"/>
        <v>71.542301738272556</v>
      </c>
      <c r="BH26" s="59">
        <f t="shared" si="8"/>
        <v>364.87563507160587</v>
      </c>
      <c r="BI26" s="59">
        <f ca="1">AVERAGE(OFFSET($BH$3,0,0,'Données projet'!$E$11+1,1))-AVERAGE(OFFSET($H$3,0,0,'Données projet'!$E$11+1,1))</f>
        <v>217.20784862627357</v>
      </c>
      <c r="BJ26" s="59">
        <f t="shared" si="38"/>
        <v>147.24433901219732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1">
        <f t="shared" si="32"/>
        <v>5.8078752639195086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67">
        <f t="shared" si="1"/>
        <v>334.0964760846598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2.9235042735042733</v>
      </c>
      <c r="N27" s="13">
        <f>IF('Données projet'!$A$36&gt;35,N26+M27-V26,IF(A27&lt;'Données projet'!$A$36,$K$205^A27,IF(A27='Données projet'!$A$36,'Données projet'!$B$36,N26+M27-V26)))</f>
        <v>35.844290647096855</v>
      </c>
      <c r="O27" s="13">
        <f>N27*VLOOKUP('Données projet'!$B$9,Paramètres!$A$1:$I$89,3,0)*VLOOKUP('Données projet'!$B$9,Paramètres!$A$1:$I$89,5,0)</f>
        <v>32.431914177493233</v>
      </c>
      <c r="P27" s="13">
        <f t="shared" si="33"/>
        <v>9.9689045653817558</v>
      </c>
      <c r="Q27" s="20">
        <f t="shared" si="2"/>
        <v>73.848092643840616</v>
      </c>
      <c r="R27" s="59">
        <f t="shared" si="0"/>
        <v>367.18142597717394</v>
      </c>
      <c r="S27" s="59">
        <f ca="1">AVERAGE(OFFSET($R$3,0,0,'Données projet'!$E$9+1,1))-AVERAGE(OFFSET($H$3,0,0,'Données projet'!$E$9+1,1))</f>
        <v>180.68512008344129</v>
      </c>
      <c r="T27" s="59">
        <f t="shared" si="34"/>
        <v>125.86231758828899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61.199999999999989</v>
      </c>
      <c r="AJ27" s="13">
        <f>AI27*VLOOKUP('Données projet'!$B$10,Paramètres!$A$1:$I$89,3,0)*VLOOKUP('Données projet'!$B$10,Paramètres!$A$1:$I$89,5,0)</f>
        <v>52.509599999999999</v>
      </c>
      <c r="AK27" s="13">
        <f t="shared" si="35"/>
        <v>15.260016001659478</v>
      </c>
      <c r="AL27" s="20">
        <f t="shared" si="4"/>
        <v>118.03208120289025</v>
      </c>
      <c r="AM27" s="59">
        <f t="shared" si="5"/>
        <v>411.36541453622357</v>
      </c>
      <c r="AN27" s="59">
        <f ca="1">AVERAGE(OFFSET($AM$3,0,0,'Données projet'!$E$10+1,1))-AVERAGE(OFFSET($H$3,0,0,'Données projet'!$E$10+1,1))</f>
        <v>335.81667389179631</v>
      </c>
      <c r="AO27" s="59">
        <f t="shared" si="36"/>
        <v>137.96364450570718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0.44815898758819372</v>
      </c>
      <c r="AW27" s="21">
        <f>EXP(-LN(2)/2)*AW26+(1-EXP(-LN(2)/2))/(LN(2)/2)*AQ27*AT27*VLOOKUP('Données projet'!$B$10,Paramètres!$A$1:$I$89,3,0)*0.475*44/12</f>
        <v>0.2023865231828558</v>
      </c>
      <c r="AX27" s="21">
        <f t="shared" si="6"/>
        <v>0.6505455107710495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2.9333333333333331</v>
      </c>
      <c r="BD27" s="12">
        <f>IF('Données projet'!$A$88&gt;35,BD26+BC27-BL26,IF(A27&lt;'Données projet'!$A$88,$BA$205^A27,IF(A27='Données projet'!$A$88,'Données projet'!$B$88,BD26+BC27-BL26)))</f>
        <v>35.940667420160899</v>
      </c>
      <c r="BE27" s="13">
        <f>BD27*VLOOKUP('Données projet'!$B$11,Paramètres!$A$1:$I$89,3,0)*VLOOKUP('Données projet'!$B$11,Paramètres!$A$1:$I$89,5,0)</f>
        <v>36.443836764043155</v>
      </c>
      <c r="BF27" s="13">
        <f t="shared" si="37"/>
        <v>11.051039041252066</v>
      </c>
      <c r="BG27" s="20">
        <f t="shared" si="7"/>
        <v>82.720242027555841</v>
      </c>
      <c r="BH27" s="59">
        <f t="shared" si="8"/>
        <v>376.05357536088917</v>
      </c>
      <c r="BI27" s="59">
        <f ca="1">AVERAGE(OFFSET($BH$3,0,0,'Données projet'!$E$11+1,1))-AVERAGE(OFFSET($H$3,0,0,'Données projet'!$E$11+1,1))</f>
        <v>217.20784862627357</v>
      </c>
      <c r="BJ27" s="59">
        <f t="shared" si="38"/>
        <v>147.24433901219732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1">
        <f t="shared" si="32"/>
        <v>6.0211912093426747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67">
        <f t="shared" si="1"/>
        <v>335.74499135627178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2.9235042735042733</v>
      </c>
      <c r="N28" s="13">
        <f>IF('Données projet'!$A$36&gt;35,N27+M28-V27,IF(A28&lt;'Données projet'!$A$36,$K$205^A28,IF(A28='Données projet'!$A$36,'Données projet'!$B$36,N27+M28-V27)))</f>
        <v>41.609020251295185</v>
      </c>
      <c r="O28" s="13">
        <f>N28*VLOOKUP('Données projet'!$B$9,Paramètres!$A$1:$I$89,3,0)*VLOOKUP('Données projet'!$B$9,Paramètres!$A$1:$I$89,5,0)</f>
        <v>37.647841523371881</v>
      </c>
      <c r="P28" s="13">
        <f t="shared" si="33"/>
        <v>11.373025189850091</v>
      </c>
      <c r="Q28" s="20">
        <f t="shared" si="2"/>
        <v>85.37800952552827</v>
      </c>
      <c r="R28" s="59">
        <f t="shared" si="0"/>
        <v>378.7113428588616</v>
      </c>
      <c r="S28" s="59">
        <f ca="1">AVERAGE(OFFSET($R$3,0,0,'Données projet'!$E$9+1,1))-AVERAGE(OFFSET($H$3,0,0,'Données projet'!$E$9+1,1))</f>
        <v>180.68512008344129</v>
      </c>
      <c r="T28" s="59">
        <f t="shared" si="34"/>
        <v>125.86231758828899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67.499999999999986</v>
      </c>
      <c r="AJ28" s="13">
        <f>AI28*VLOOKUP('Données projet'!$B$10,Paramètres!$A$1:$I$89,3,0)*VLOOKUP('Données projet'!$B$10,Paramètres!$A$1:$I$89,5,0)</f>
        <v>57.914999999999992</v>
      </c>
      <c r="AK28" s="13">
        <f t="shared" si="35"/>
        <v>16.640035408149114</v>
      </c>
      <c r="AL28" s="20">
        <f t="shared" si="4"/>
        <v>129.85002000252635</v>
      </c>
      <c r="AM28" s="59">
        <f t="shared" si="5"/>
        <v>423.18335333585969</v>
      </c>
      <c r="AN28" s="59">
        <f ca="1">AVERAGE(OFFSET($AM$3,0,0,'Données projet'!$E$10+1,1))-AVERAGE(OFFSET($H$3,0,0,'Données projet'!$E$10+1,1))</f>
        <v>335.81667389179631</v>
      </c>
      <c r="AO28" s="59">
        <f t="shared" si="36"/>
        <v>137.96364450570718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0.43590405650493769</v>
      </c>
      <c r="AW28" s="21">
        <f>EXP(-LN(2)/2)*AW27+(1-EXP(-LN(2)/2))/(LN(2)/2)*AQ28*AT28*VLOOKUP('Données projet'!$B$10,Paramètres!$A$1:$I$89,3,0)*0.475*44/12</f>
        <v>0.14310888296336574</v>
      </c>
      <c r="AX28" s="21">
        <f t="shared" si="6"/>
        <v>0.57901293946830346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2.9333333333333331</v>
      </c>
      <c r="BD28" s="12">
        <f>IF('Données projet'!$A$88&gt;35,BD27+BC28-BL27,IF(A28&lt;'Données projet'!$A$88,$BA$205^A28,IF(A28='Données projet'!$A$88,'Données projet'!$B$88,BD27+BC28-BL27)))</f>
        <v>41.725565065359419</v>
      </c>
      <c r="BE28" s="13">
        <f>BD28*VLOOKUP('Données projet'!$B$11,Paramètres!$A$1:$I$89,3,0)*VLOOKUP('Données projet'!$B$11,Paramètres!$A$1:$I$89,5,0)</f>
        <v>42.309722976274458</v>
      </c>
      <c r="BF28" s="13">
        <f t="shared" si="37"/>
        <v>12.608824778698308</v>
      </c>
      <c r="BG28" s="20">
        <f t="shared" si="7"/>
        <v>95.649804006577554</v>
      </c>
      <c r="BH28" s="59">
        <f t="shared" si="8"/>
        <v>388.98313733991085</v>
      </c>
      <c r="BI28" s="59">
        <f ca="1">AVERAGE(OFFSET($BH$3,0,0,'Données projet'!$E$11+1,1))-AVERAGE(OFFSET($H$3,0,0,'Données projet'!$E$11+1,1))</f>
        <v>217.20784862627357</v>
      </c>
      <c r="BJ28" s="59">
        <f t="shared" si="38"/>
        <v>147.24433901219732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1">
        <f t="shared" si="32"/>
        <v>6.2335159851544919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67">
        <f t="shared" si="1"/>
        <v>337.39178034081073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2.9235042735042733</v>
      </c>
      <c r="N29" s="13">
        <f>IF('Données projet'!$A$36&gt;35,N28+M29-V28,IF(A29&lt;'Données projet'!$A$36,$K$205^A29,IF(A29='Données projet'!$A$36,'Données projet'!$B$36,N28+M29-V28)))</f>
        <v>48.30087400300993</v>
      </c>
      <c r="O29" s="13">
        <f>N29*VLOOKUP('Données projet'!$B$9,Paramètres!$A$1:$I$89,3,0)*VLOOKUP('Données projet'!$B$9,Paramètres!$A$1:$I$89,5,0)</f>
        <v>43.702630797923383</v>
      </c>
      <c r="P29" s="13">
        <f t="shared" si="33"/>
        <v>12.974916262929579</v>
      </c>
      <c r="Q29" s="20">
        <f t="shared" si="2"/>
        <v>98.71339446431891</v>
      </c>
      <c r="R29" s="59">
        <f t="shared" si="0"/>
        <v>392.04672779765224</v>
      </c>
      <c r="S29" s="59">
        <f ca="1">AVERAGE(OFFSET($R$3,0,0,'Données projet'!$E$9+1,1))-AVERAGE(OFFSET($H$3,0,0,'Données projet'!$E$9+1,1))</f>
        <v>180.68512008344129</v>
      </c>
      <c r="T29" s="59">
        <f t="shared" si="34"/>
        <v>125.86231758828899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73.799999999999983</v>
      </c>
      <c r="AJ29" s="13">
        <f>AI29*VLOOKUP('Données projet'!$B$10,Paramètres!$A$1:$I$89,3,0)*VLOOKUP('Données projet'!$B$10,Paramètres!$A$1:$I$89,5,0)</f>
        <v>63.320399999999999</v>
      </c>
      <c r="AK29" s="13">
        <f t="shared" si="35"/>
        <v>18.005120560903215</v>
      </c>
      <c r="AL29" s="20">
        <f t="shared" si="4"/>
        <v>141.64194831023977</v>
      </c>
      <c r="AM29" s="59">
        <f t="shared" si="5"/>
        <v>434.97528164357311</v>
      </c>
      <c r="AN29" s="59">
        <f ca="1">AVERAGE(OFFSET($AM$3,0,0,'Données projet'!$E$10+1,1))-AVERAGE(OFFSET($H$3,0,0,'Données projet'!$E$10+1,1))</f>
        <v>335.81667389179631</v>
      </c>
      <c r="AO29" s="59">
        <f t="shared" si="36"/>
        <v>137.96364450570718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0.4239842371566121</v>
      </c>
      <c r="AW29" s="21">
        <f>EXP(-LN(2)/2)*AW28+(1-EXP(-LN(2)/2))/(LN(2)/2)*AQ29*AT29*VLOOKUP('Données projet'!$B$10,Paramètres!$A$1:$I$89,3,0)*0.475*44/12</f>
        <v>0.1011932615914279</v>
      </c>
      <c r="AX29" s="21">
        <f t="shared" si="6"/>
        <v>0.52517749874803998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2.9333333333333331</v>
      </c>
      <c r="BD29" s="12">
        <f>IF('Données projet'!$A$88&gt;35,BD28+BC29-BL28,IF(A29&lt;'Données projet'!$A$88,$BA$205^A29,IF(A29='Données projet'!$A$88,'Données projet'!$B$88,BD28+BC29-BL28)))</f>
        <v>48.441581778943714</v>
      </c>
      <c r="BE29" s="13">
        <f>BD29*VLOOKUP('Données projet'!$B$11,Paramètres!$A$1:$I$89,3,0)*VLOOKUP('Données projet'!$B$11,Paramètres!$A$1:$I$89,5,0)</f>
        <v>49.119763923848929</v>
      </c>
      <c r="BF29" s="13">
        <f t="shared" si="37"/>
        <v>14.38620040219349</v>
      </c>
      <c r="BG29" s="20">
        <f t="shared" si="7"/>
        <v>110.60622120119054</v>
      </c>
      <c r="BH29" s="59">
        <f t="shared" si="8"/>
        <v>403.93955453452384</v>
      </c>
      <c r="BI29" s="59">
        <f ca="1">AVERAGE(OFFSET($BH$3,0,0,'Données projet'!$E$11+1,1))-AVERAGE(OFFSET($H$3,0,0,'Données projet'!$E$11+1,1))</f>
        <v>217.20784862627357</v>
      </c>
      <c r="BJ29" s="59">
        <f t="shared" si="38"/>
        <v>147.24433901219732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1">
        <f t="shared" si="32"/>
        <v>6.4448920768574434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67">
        <f t="shared" si="1"/>
        <v>339.03691703386005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2.9235042735042733</v>
      </c>
      <c r="N30" s="13">
        <f>IF('Données projet'!$A$36&gt;35,N29+M30-V29,IF(A30&lt;'Données projet'!$A$36,$K$205^A30,IF(A30='Données projet'!$A$36,'Données projet'!$B$36,N29+M30-V29)))</f>
        <v>56.068958494210662</v>
      </c>
      <c r="O30" s="13">
        <f>N30*VLOOKUP('Données projet'!$B$9,Paramètres!$A$1:$I$89,3,0)*VLOOKUP('Données projet'!$B$9,Paramètres!$A$1:$I$89,5,0)</f>
        <v>50.731193645561802</v>
      </c>
      <c r="P30" s="13">
        <f t="shared" si="33"/>
        <v>14.802433760568636</v>
      </c>
      <c r="Q30" s="20">
        <f t="shared" si="2"/>
        <v>114.13773439901051</v>
      </c>
      <c r="R30" s="59">
        <f t="shared" si="0"/>
        <v>407.47106773234384</v>
      </c>
      <c r="S30" s="59">
        <f ca="1">AVERAGE(OFFSET($R$3,0,0,'Données projet'!$E$9+1,1))-AVERAGE(OFFSET($H$3,0,0,'Données projet'!$E$9+1,1))</f>
        <v>180.68512008344129</v>
      </c>
      <c r="T30" s="59">
        <f t="shared" si="34"/>
        <v>125.86231758828899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80.09999999999998</v>
      </c>
      <c r="AJ30" s="13">
        <f>AI30*VLOOKUP('Données projet'!$B$10,Paramètres!$A$1:$I$89,3,0)*VLOOKUP('Données projet'!$B$10,Paramètres!$A$1:$I$89,5,0)</f>
        <v>68.725799999999992</v>
      </c>
      <c r="AK30" s="13">
        <f t="shared" si="35"/>
        <v>19.356691283390781</v>
      </c>
      <c r="AL30" s="20">
        <f t="shared" si="4"/>
        <v>153.41033898523892</v>
      </c>
      <c r="AM30" s="59">
        <f t="shared" si="5"/>
        <v>446.74367231857224</v>
      </c>
      <c r="AN30" s="59">
        <f ca="1">AVERAGE(OFFSET($AM$3,0,0,'Données projet'!$E$10+1,1))-AVERAGE(OFFSET($H$3,0,0,'Données projet'!$E$10+1,1))</f>
        <v>335.81667389179631</v>
      </c>
      <c r="AO30" s="59">
        <f t="shared" si="36"/>
        <v>137.96364450570718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0.41239036589520256</v>
      </c>
      <c r="AW30" s="21">
        <f>EXP(-LN(2)/2)*AW29+(1-EXP(-LN(2)/2))/(LN(2)/2)*AQ30*AT30*VLOOKUP('Données projet'!$B$10,Paramètres!$A$1:$I$89,3,0)*0.475*44/12</f>
        <v>7.1554441481682871E-2</v>
      </c>
      <c r="AX30" s="21">
        <f t="shared" si="6"/>
        <v>0.48394480737688544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2.9333333333333331</v>
      </c>
      <c r="BD30" s="12">
        <f>IF('Données projet'!$A$88&gt;35,BD29+BC30-BL29,IF(A30&lt;'Données projet'!$A$88,$BA$205^A30,IF(A30='Données projet'!$A$88,'Données projet'!$B$88,BD29+BC30-BL29)))</f>
        <v>56.238587579829549</v>
      </c>
      <c r="BE30" s="13">
        <f>BD30*VLOOKUP('Données projet'!$B$11,Paramètres!$A$1:$I$89,3,0)*VLOOKUP('Données projet'!$B$11,Paramètres!$A$1:$I$89,5,0)</f>
        <v>57.02592780594717</v>
      </c>
      <c r="BF30" s="13">
        <f t="shared" si="37"/>
        <v>16.414119923509499</v>
      </c>
      <c r="BG30" s="20">
        <f t="shared" si="7"/>
        <v>127.90808312880368</v>
      </c>
      <c r="BH30" s="59">
        <f t="shared" si="8"/>
        <v>421.24141646213701</v>
      </c>
      <c r="BI30" s="59">
        <f ca="1">AVERAGE(OFFSET($BH$3,0,0,'Données projet'!$E$11+1,1))-AVERAGE(OFFSET($H$3,0,0,'Données projet'!$E$11+1,1))</f>
        <v>217.20784862627357</v>
      </c>
      <c r="BJ30" s="59">
        <f t="shared" si="38"/>
        <v>147.24433901219732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1">
        <f t="shared" si="32"/>
        <v>6.6553586445673751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67">
        <f t="shared" si="1"/>
        <v>340.68046963928816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2.9235042735042733</v>
      </c>
      <c r="N31" s="13">
        <f>IF('Données projet'!$A$36&gt;35,N30+M31-V30,IF(A31&lt;'Données projet'!$A$36,$K$205^A31,IF(A31='Données projet'!$A$36,'Données projet'!$B$36,N30+M31-V30)))</f>
        <v>65.086360682202411</v>
      </c>
      <c r="O31" s="13">
        <f>N31*VLOOKUP('Données projet'!$B$9,Paramètres!$A$1:$I$89,3,0)*VLOOKUP('Données projet'!$B$9,Paramètres!$A$1:$I$89,5,0)</f>
        <v>58.89013914525674</v>
      </c>
      <c r="P31" s="13">
        <f t="shared" si="33"/>
        <v>16.887357174091651</v>
      </c>
      <c r="Q31" s="20">
        <f t="shared" si="2"/>
        <v>131.9791394228651</v>
      </c>
      <c r="R31" s="59">
        <f t="shared" si="0"/>
        <v>425.31247275619842</v>
      </c>
      <c r="S31" s="59">
        <f ca="1">AVERAGE(OFFSET($R$3,0,0,'Données projet'!$E$9+1,1))-AVERAGE(OFFSET($H$3,0,0,'Données projet'!$E$9+1,1))</f>
        <v>180.68512008344129</v>
      </c>
      <c r="T31" s="59">
        <f t="shared" si="34"/>
        <v>125.86231758828899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86.399999999999977</v>
      </c>
      <c r="AJ31" s="13">
        <f>AI31*VLOOKUP('Données projet'!$B$10,Paramètres!$A$1:$I$89,3,0)*VLOOKUP('Données projet'!$B$10,Paramètres!$A$1:$I$89,5,0)</f>
        <v>74.131199999999978</v>
      </c>
      <c r="AK31" s="13">
        <f t="shared" si="35"/>
        <v>20.695931356882326</v>
      </c>
      <c r="AL31" s="20">
        <f t="shared" si="4"/>
        <v>165.15725377990333</v>
      </c>
      <c r="AM31" s="59">
        <f t="shared" si="5"/>
        <v>458.49058711323664</v>
      </c>
      <c r="AN31" s="59">
        <f ca="1">AVERAGE(OFFSET($AM$3,0,0,'Données projet'!$E$10+1,1))-AVERAGE(OFFSET($H$3,0,0,'Données projet'!$E$10+1,1))</f>
        <v>335.81667389179631</v>
      </c>
      <c r="AO31" s="59">
        <f t="shared" si="36"/>
        <v>137.96364450570718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0.40111352965313141</v>
      </c>
      <c r="AW31" s="21">
        <f>EXP(-LN(2)/2)*AW30+(1-EXP(-LN(2)/2))/(LN(2)/2)*AQ31*AT31*VLOOKUP('Données projet'!$B$10,Paramètres!$A$1:$I$89,3,0)*0.475*44/12</f>
        <v>5.059663079571395E-2</v>
      </c>
      <c r="AX31" s="21">
        <f t="shared" si="6"/>
        <v>0.45171016044884538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2.9333333333333331</v>
      </c>
      <c r="BD31" s="12">
        <f>IF('Données projet'!$A$88&gt;35,BD30+BC31-BL30,IF(A31&lt;'Données projet'!$A$88,$BA$205^A31,IF(A31='Données projet'!$A$88,'Données projet'!$B$88,BD30+BC31-BL30)))</f>
        <v>65.290575097383282</v>
      </c>
      <c r="BE31" s="13">
        <f>BD31*VLOOKUP('Données projet'!$B$11,Paramètres!$A$1:$I$89,3,0)*VLOOKUP('Données projet'!$B$11,Paramètres!$A$1:$I$89,5,0)</f>
        <v>66.204643148746655</v>
      </c>
      <c r="BF31" s="13">
        <f t="shared" si="37"/>
        <v>18.727900719516747</v>
      </c>
      <c r="BG31" s="20">
        <f t="shared" si="7"/>
        <v>147.92418057055872</v>
      </c>
      <c r="BH31" s="59">
        <f t="shared" si="8"/>
        <v>441.257513903892</v>
      </c>
      <c r="BI31" s="59">
        <f ca="1">AVERAGE(OFFSET($BH$3,0,0,'Données projet'!$E$11+1,1))-AVERAGE(OFFSET($H$3,0,0,'Données projet'!$E$11+1,1))</f>
        <v>217.20784862627357</v>
      </c>
      <c r="BJ31" s="59">
        <f t="shared" si="38"/>
        <v>147.24433901219732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1">
        <f t="shared" si="32"/>
        <v>6.864951892683286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67">
        <f t="shared" si="1"/>
        <v>342.32250121309005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2.9235042735042733</v>
      </c>
      <c r="N32" s="13">
        <f>IF('Données projet'!$A$36&gt;35,N31+M32-V31,IF(A32&lt;'Données projet'!$A$36,$K$205^A32,IF(A32='Données projet'!$A$36,'Données projet'!$B$36,N31+M32-V31)))</f>
        <v>75.55400457975604</v>
      </c>
      <c r="O32" s="13">
        <f>N32*VLOOKUP('Données projet'!$B$9,Paramètres!$A$1:$I$89,3,0)*VLOOKUP('Données projet'!$B$9,Paramètres!$A$1:$I$89,5,0)</f>
        <v>68.36126334376327</v>
      </c>
      <c r="P32" s="13">
        <f t="shared" si="33"/>
        <v>19.265942137503561</v>
      </c>
      <c r="Q32" s="20">
        <f t="shared" si="2"/>
        <v>152.61738287987308</v>
      </c>
      <c r="R32" s="59">
        <f t="shared" si="0"/>
        <v>445.95071621320642</v>
      </c>
      <c r="S32" s="59">
        <f ca="1">AVERAGE(OFFSET($R$3,0,0,'Données projet'!$E$9+1,1))-AVERAGE(OFFSET($H$3,0,0,'Données projet'!$E$9+1,1))</f>
        <v>180.68512008344129</v>
      </c>
      <c r="T32" s="59">
        <f t="shared" si="34"/>
        <v>125.86231758828899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92.699999999999974</v>
      </c>
      <c r="AJ32" s="13">
        <f>AI32*VLOOKUP('Données projet'!$B$10,Paramètres!$A$1:$I$89,3,0)*VLOOKUP('Données projet'!$B$10,Paramètres!$A$1:$I$89,5,0)</f>
        <v>79.536599999999993</v>
      </c>
      <c r="AK32" s="13">
        <f t="shared" si="35"/>
        <v>22.023842139649517</v>
      </c>
      <c r="AL32" s="20">
        <f t="shared" si="4"/>
        <v>176.88443672655623</v>
      </c>
      <c r="AM32" s="59">
        <f t="shared" si="5"/>
        <v>470.21777005988952</v>
      </c>
      <c r="AN32" s="59">
        <f ca="1">AVERAGE(OFFSET($AM$3,0,0,'Données projet'!$E$10+1,1))-AVERAGE(OFFSET($H$3,0,0,'Données projet'!$E$10+1,1))</f>
        <v>335.81667389179631</v>
      </c>
      <c r="AO32" s="59">
        <f t="shared" si="36"/>
        <v>137.96364450570718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0.39014505909112274</v>
      </c>
      <c r="AW32" s="21">
        <f>EXP(-LN(2)/2)*AW31+(1-EXP(-LN(2)/2))/(LN(2)/2)*AQ32*AT32*VLOOKUP('Données projet'!$B$10,Paramètres!$A$1:$I$89,3,0)*0.475*44/12</f>
        <v>3.5777220740841435E-2</v>
      </c>
      <c r="AX32" s="21">
        <f t="shared" si="6"/>
        <v>0.42592227983196418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2.9333333333333331</v>
      </c>
      <c r="BD32" s="12">
        <f>IF('Données projet'!$A$88&gt;35,BD31+BC32-BL31,IF(A32&lt;'Données projet'!$A$88,$BA$205^A32,IF(A32='Données projet'!$A$88,'Données projet'!$B$88,BD31+BC32-BL31)))</f>
        <v>75.799542271505359</v>
      </c>
      <c r="BE32" s="13">
        <f>BD32*VLOOKUP('Données projet'!$B$11,Paramètres!$A$1:$I$89,3,0)*VLOOKUP('Données projet'!$B$11,Paramètres!$A$1:$I$89,5,0)</f>
        <v>76.860735863306445</v>
      </c>
      <c r="BF32" s="13">
        <f t="shared" si="37"/>
        <v>21.367838604476649</v>
      </c>
      <c r="BG32" s="20">
        <f t="shared" si="7"/>
        <v>171.08143386472219</v>
      </c>
      <c r="BH32" s="59">
        <f t="shared" si="8"/>
        <v>464.41476719805553</v>
      </c>
      <c r="BI32" s="59">
        <f ca="1">AVERAGE(OFFSET($BH$3,0,0,'Données projet'!$E$11+1,1))-AVERAGE(OFFSET($H$3,0,0,'Données projet'!$E$11+1,1))</f>
        <v>217.20784862627357</v>
      </c>
      <c r="BJ32" s="59">
        <f t="shared" si="38"/>
        <v>147.24433901219732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1">
        <f t="shared" si="32"/>
        <v>7.0737053871356732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67">
        <f t="shared" si="1"/>
        <v>343.96307021592793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87.705128205128204</v>
      </c>
      <c r="L33" s="12">
        <f>VLOOKUP(A33,'Données projet'!$A$35:$I$55,9,0)</f>
        <v>2.9235042735042733</v>
      </c>
      <c r="M33" s="12">
        <f t="array" ref="M33">INDEX(L:L,MIN(IF(ISNUMBER(L33:L229),ROW(L33:L229),"")))</f>
        <v>2.9235042735042733</v>
      </c>
      <c r="N33" s="13">
        <f>IF('Données projet'!$A$36&gt;35,N32+M33-V32,IF(A33&lt;'Données projet'!$A$36,$K$205^A33,IF(A33='Données projet'!$A$36,'Données projet'!$B$36,N32+M33-V32)))</f>
        <v>87.705128205128204</v>
      </c>
      <c r="O33" s="13">
        <f>N33*VLOOKUP('Données projet'!$B$9,Paramètres!$A$1:$I$89,3,0)*VLOOKUP('Données projet'!$B$9,Paramètres!$A$1:$I$89,5,0)</f>
        <v>79.355599999999995</v>
      </c>
      <c r="P33" s="13">
        <f t="shared" si="33"/>
        <v>21.979550892373382</v>
      </c>
      <c r="Q33" s="20">
        <f t="shared" si="2"/>
        <v>176.49205447088363</v>
      </c>
      <c r="R33" s="59">
        <f t="shared" si="0"/>
        <v>469.82538780421692</v>
      </c>
      <c r="S33" s="59">
        <f ca="1">AVERAGE(OFFSET($R$3,0,0,'Données projet'!$E$9+1,1))-AVERAGE(OFFSET($H$3,0,0,'Données projet'!$E$9+1,1))</f>
        <v>180.68512008344129</v>
      </c>
      <c r="T33" s="59">
        <f t="shared" si="34"/>
        <v>125.86231758828899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99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98.999999999999972</v>
      </c>
      <c r="AJ33" s="13">
        <f>AI33*VLOOKUP('Données projet'!$B$10,Paramètres!$A$1:$I$89,3,0)*VLOOKUP('Données projet'!$B$10,Paramètres!$A$1:$I$89,5,0)</f>
        <v>84.941999999999979</v>
      </c>
      <c r="AK33" s="13">
        <f t="shared" si="35"/>
        <v>23.34128117988622</v>
      </c>
      <c r="AL33" s="20">
        <f t="shared" si="4"/>
        <v>188.59338138830176</v>
      </c>
      <c r="AM33" s="59">
        <f t="shared" si="5"/>
        <v>481.92671472163511</v>
      </c>
      <c r="AN33" s="59">
        <f ca="1">AVERAGE(OFFSET($AM$3,0,0,'Données projet'!$E$10+1,1))-AVERAGE(OFFSET($H$3,0,0,'Données projet'!$E$10+1,1))</f>
        <v>335.81667389179631</v>
      </c>
      <c r="AO33" s="59">
        <f t="shared" si="36"/>
        <v>137.96364450570718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0.26500000000000001</v>
      </c>
      <c r="AT33" s="16">
        <f>IF(ISNA(VLOOKUP(A33,'Données projet'!$A$61:$I$81,7,0)),0%,VLOOKUP(A33,'Données projet'!$A$61:$I$81,7,0))</f>
        <v>0.5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5.88742152101476</v>
      </c>
      <c r="AW33" s="21">
        <f>EXP(-LN(2)/2)*AW32+(1-EXP(-LN(2)/2))/(LN(2)/2)*AQ33*AT33*VLOOKUP('Données projet'!$B$10,Paramètres!$A$1:$I$89,3,0)*0.475*44/12</f>
        <v>8.93030533544351</v>
      </c>
      <c r="AX33" s="21">
        <f t="shared" si="6"/>
        <v>14.81772685645827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88</v>
      </c>
      <c r="BB33" s="12">
        <f>VLOOKUP(A33,'Données projet'!$A$87:$I$107,9,0)</f>
        <v>2.9333333333333331</v>
      </c>
      <c r="BC33" s="12">
        <f t="array" ref="BC33">INDEX(BB:BB,MIN(IF(ISNUMBER(BB33:BB229),ROW(BB33:BB229),"")))</f>
        <v>2.9333333333333331</v>
      </c>
      <c r="BD33" s="12">
        <f>IF('Données projet'!$A$88&gt;35,BD32+BC33-BL32,IF(A33&lt;'Données projet'!$A$88,$BA$205^A33,IF(A33='Données projet'!$A$88,'Données projet'!$B$88,BD32+BC33-BL32)))</f>
        <v>88</v>
      </c>
      <c r="BE33" s="13">
        <f>BD33*VLOOKUP('Données projet'!$B$11,Paramètres!$A$1:$I$89,3,0)*VLOOKUP('Données projet'!$B$11,Paramètres!$A$1:$I$89,5,0)</f>
        <v>89.232000000000014</v>
      </c>
      <c r="BF33" s="13">
        <f t="shared" si="37"/>
        <v>24.379909604665222</v>
      </c>
      <c r="BG33" s="20">
        <f t="shared" si="7"/>
        <v>197.87407589479196</v>
      </c>
      <c r="BH33" s="59">
        <f t="shared" si="8"/>
        <v>491.20740922812524</v>
      </c>
      <c r="BI33" s="59">
        <f ca="1">AVERAGE(OFFSET($BH$3,0,0,'Données projet'!$E$11+1,1))-AVERAGE(OFFSET($H$3,0,0,'Données projet'!$E$11+1,1))</f>
        <v>217.20784862627357</v>
      </c>
      <c r="BJ33" s="59">
        <f t="shared" si="38"/>
        <v>147.24433901219732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1">
        <f t="shared" si="32"/>
        <v>7.2816503291468493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67">
        <f t="shared" si="1"/>
        <v>345.60223098993072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5.3369963369963358</v>
      </c>
      <c r="N34" s="13">
        <f>IF('Données projet'!$A$36&gt;35,N33+M34-V33,IF(A34&lt;'Données projet'!$A$36,$K$205^A34,IF(A34='Données projet'!$A$36,'Données projet'!$B$36,N33+M34-V33)))</f>
        <v>93.04212454212454</v>
      </c>
      <c r="O34" s="13">
        <f>N34*VLOOKUP('Données projet'!$B$9,Paramètres!$A$1:$I$89,3,0)*VLOOKUP('Données projet'!$B$9,Paramètres!$A$1:$I$89,5,0)</f>
        <v>84.184514285714286</v>
      </c>
      <c r="P34" s="13">
        <f t="shared" si="33"/>
        <v>23.157263963315572</v>
      </c>
      <c r="Q34" s="20">
        <f t="shared" si="2"/>
        <v>186.95359711706033</v>
      </c>
      <c r="R34" s="59">
        <f t="shared" si="0"/>
        <v>480.28693045039364</v>
      </c>
      <c r="S34" s="59">
        <f ca="1">AVERAGE(OFFSET($R$3,0,0,'Données projet'!$E$9+1,1))-AVERAGE(OFFSET($H$3,0,0,'Données projet'!$E$9+1,1))</f>
        <v>180.68512008344129</v>
      </c>
      <c r="T34" s="59">
        <f t="shared" si="34"/>
        <v>125.86231758828899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9.6</v>
      </c>
      <c r="AI34" s="13">
        <f>IF('Données projet'!$A$62&gt;35,AI33+AH34-AQ33,IF(A34&lt;'Données projet'!$A$62,$AF$205^A34,IF(A34='Données projet'!$A$62,'Données projet'!$B$62,AI33+AH34-AQ33)))</f>
        <v>86.599999999999966</v>
      </c>
      <c r="AJ34" s="13">
        <f>AI34*VLOOKUP('Données projet'!$B$10,Paramètres!$A$1:$I$89,3,0)*VLOOKUP('Données projet'!$B$10,Paramètres!$A$1:$I$89,5,0)</f>
        <v>74.302799999999991</v>
      </c>
      <c r="AK34" s="13">
        <f t="shared" si="35"/>
        <v>20.73825650366803</v>
      </c>
      <c r="AL34" s="20">
        <f t="shared" si="4"/>
        <v>165.52984007722179</v>
      </c>
      <c r="AM34" s="59">
        <f t="shared" si="5"/>
        <v>458.86317341055508</v>
      </c>
      <c r="AN34" s="59">
        <f ca="1">AVERAGE(OFFSET($AM$3,0,0,'Données projet'!$E$10+1,1))-AVERAGE(OFFSET($H$3,0,0,'Données projet'!$E$10+1,1))</f>
        <v>335.81667389179631</v>
      </c>
      <c r="AO34" s="59">
        <f t="shared" si="36"/>
        <v>137.96364450570718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5.7264296699165698</v>
      </c>
      <c r="AW34" s="21">
        <f>EXP(-LN(2)/2)*AW33+(1-EXP(-LN(2)/2))/(LN(2)/2)*AQ34*AT34*VLOOKUP('Données projet'!$B$10,Paramètres!$A$1:$I$89,3,0)*0.475*44/12</f>
        <v>6.3146794607585122</v>
      </c>
      <c r="AX34" s="21">
        <f t="shared" si="6"/>
        <v>12.041109130675082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5.2857142857142856</v>
      </c>
      <c r="BD34" s="12">
        <f>IF('Données projet'!$A$88&gt;35,BD33+BC34-BL33,IF(A34&lt;'Données projet'!$A$88,$BA$205^A34,IF(A34='Données projet'!$A$88,'Données projet'!$B$88,BD33+BC34-BL33)))</f>
        <v>93.285714285714292</v>
      </c>
      <c r="BE34" s="13">
        <f>BD34*VLOOKUP('Données projet'!$B$11,Paramètres!$A$1:$I$89,3,0)*VLOOKUP('Données projet'!$B$11,Paramètres!$A$1:$I$89,5,0)</f>
        <v>94.591714285714303</v>
      </c>
      <c r="BF34" s="13">
        <f t="shared" si="37"/>
        <v>25.669408463424968</v>
      </c>
      <c r="BG34" s="20">
        <f t="shared" si="7"/>
        <v>209.45478878808422</v>
      </c>
      <c r="BH34" s="59">
        <f t="shared" si="8"/>
        <v>502.78812212141753</v>
      </c>
      <c r="BI34" s="59">
        <f ca="1">AVERAGE(OFFSET($BH$3,0,0,'Données projet'!$E$11+1,1))-AVERAGE(OFFSET($H$3,0,0,'Données projet'!$E$11+1,1))</f>
        <v>217.20784862627357</v>
      </c>
      <c r="BJ34" s="59">
        <f t="shared" si="38"/>
        <v>147.24433901219732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1">
        <f t="shared" si="32"/>
        <v>7.4888157926750578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67">
        <f t="shared" si="1"/>
        <v>347.24003417224236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5.3369963369963358</v>
      </c>
      <c r="N35" s="13">
        <f>IF('Données projet'!$A$36&gt;35,N34+M35-V34,IF(A35&lt;'Données projet'!$A$36,$K$205^A35,IF(A35='Données projet'!$A$36,'Données projet'!$B$36,N34+M35-V34)))</f>
        <v>98.379120879120876</v>
      </c>
      <c r="O35" s="13">
        <f>N35*VLOOKUP('Données projet'!$B$9,Paramètres!$A$1:$I$89,3,0)*VLOOKUP('Données projet'!$B$9,Paramètres!$A$1:$I$89,5,0)</f>
        <v>89.013428571428562</v>
      </c>
      <c r="P35" s="13">
        <f t="shared" si="33"/>
        <v>24.327135299174682</v>
      </c>
      <c r="Q35" s="20">
        <f t="shared" ref="Q35:Q66" si="53">(O35+P35)*0.475*44/12</f>
        <v>197.40148207463395</v>
      </c>
      <c r="R35" s="59">
        <f t="shared" si="0"/>
        <v>490.73481540796729</v>
      </c>
      <c r="S35" s="59">
        <f ca="1">AVERAGE(OFFSET($R$3,0,0,'Données projet'!$E$9+1,1))-AVERAGE(OFFSET($H$3,0,0,'Données projet'!$E$9+1,1))</f>
        <v>180.68512008344129</v>
      </c>
      <c r="T35" s="59">
        <f t="shared" si="34"/>
        <v>125.86231758828899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9.6</v>
      </c>
      <c r="AI35" s="13">
        <f>IF('Données projet'!$A$62&gt;35,AI34+AH35-AQ34,IF(A35&lt;'Données projet'!$A$62,$AF$205^A35,IF(A35='Données projet'!$A$62,'Données projet'!$B$62,AI34+AH35-AQ34)))</f>
        <v>96.19999999999996</v>
      </c>
      <c r="AJ35" s="13">
        <f>AI35*VLOOKUP('Données projet'!$B$10,Paramètres!$A$1:$I$89,3,0)*VLOOKUP('Données projet'!$B$10,Paramètres!$A$1:$I$89,5,0)</f>
        <v>82.539599999999979</v>
      </c>
      <c r="AK35" s="13">
        <f t="shared" si="35"/>
        <v>22.756995627482848</v>
      </c>
      <c r="AL35" s="20">
        <f t="shared" si="4"/>
        <v>183.3915707178659</v>
      </c>
      <c r="AM35" s="59">
        <f t="shared" si="5"/>
        <v>476.72490405119925</v>
      </c>
      <c r="AN35" s="59">
        <f ca="1">AVERAGE(OFFSET($AM$3,0,0,'Données projet'!$E$10+1,1))-AVERAGE(OFFSET($H$3,0,0,'Données projet'!$E$10+1,1))</f>
        <v>335.81667389179631</v>
      </c>
      <c r="AO35" s="59">
        <f t="shared" si="36"/>
        <v>137.96364450570718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5.5698401494528529</v>
      </c>
      <c r="AW35" s="21">
        <f>EXP(-LN(2)/2)*AW34+(1-EXP(-LN(2)/2))/(LN(2)/2)*AQ35*AT35*VLOOKUP('Données projet'!$B$10,Paramètres!$A$1:$I$89,3,0)*0.475*44/12</f>
        <v>4.4651526677217559</v>
      </c>
      <c r="AX35" s="21">
        <f t="shared" si="6"/>
        <v>10.034992817174608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5.2857142857142856</v>
      </c>
      <c r="BD35" s="12">
        <f>IF('Données projet'!$A$88&gt;35,BD34+BC35-BL34,IF(A35&lt;'Données projet'!$A$88,$BA$205^A35,IF(A35='Données projet'!$A$88,'Données projet'!$B$88,BD34+BC35-BL34)))</f>
        <v>98.571428571428584</v>
      </c>
      <c r="BE35" s="13">
        <f>BD35*VLOOKUP('Données projet'!$B$11,Paramètres!$A$1:$I$89,3,0)*VLOOKUP('Données projet'!$B$11,Paramètres!$A$1:$I$89,5,0)</f>
        <v>99.951428571428593</v>
      </c>
      <c r="BF35" s="13">
        <f t="shared" si="37"/>
        <v>26.950425748109318</v>
      </c>
      <c r="BG35" s="20">
        <f t="shared" si="7"/>
        <v>221.02072960652848</v>
      </c>
      <c r="BH35" s="59">
        <f t="shared" si="8"/>
        <v>514.35406293986182</v>
      </c>
      <c r="BI35" s="59">
        <f ca="1">AVERAGE(OFFSET($BH$3,0,0,'Données projet'!$E$11+1,1))-AVERAGE(OFFSET($H$3,0,0,'Données projet'!$E$11+1,1))</f>
        <v>217.20784862627357</v>
      </c>
      <c r="BJ35" s="59">
        <f t="shared" si="38"/>
        <v>147.24433901219732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1">
        <f t="shared" si="32"/>
        <v>7.6952289313442845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67">
        <f t="shared" si="1"/>
        <v>348.87652705542462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5.3369963369963358</v>
      </c>
      <c r="N36" s="13">
        <f>IF('Données projet'!$A$36&gt;35,N35+M36-V35,IF(A36&lt;'Données projet'!$A$36,$K$205^A36,IF(A36='Données projet'!$A$36,'Données projet'!$B$36,N35+M36-V35)))</f>
        <v>103.71611721611721</v>
      </c>
      <c r="O36" s="13">
        <f>N36*VLOOKUP('Données projet'!$B$9,Paramètres!$A$1:$I$89,3,0)*VLOOKUP('Données projet'!$B$9,Paramètres!$A$1:$I$89,5,0)</f>
        <v>93.842342857142853</v>
      </c>
      <c r="P36" s="13">
        <f t="shared" si="33"/>
        <v>25.489638806781517</v>
      </c>
      <c r="Q36" s="20">
        <f t="shared" si="53"/>
        <v>207.83653473133492</v>
      </c>
      <c r="R36" s="59">
        <f t="shared" si="0"/>
        <v>501.16986806466821</v>
      </c>
      <c r="S36" s="59">
        <f ca="1">AVERAGE(OFFSET($R$3,0,0,'Données projet'!$E$9+1,1))-AVERAGE(OFFSET($H$3,0,0,'Données projet'!$E$9+1,1))</f>
        <v>180.68512008344129</v>
      </c>
      <c r="T36" s="59">
        <f t="shared" si="34"/>
        <v>125.86231758828899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9.6</v>
      </c>
      <c r="AI36" s="13">
        <f>IF('Données projet'!$A$62&gt;35,AI35+AH36-AQ35,IF(A36&lt;'Données projet'!$A$62,$AF$205^A36,IF(A36='Données projet'!$A$62,'Données projet'!$B$62,AI35+AH36-AQ35)))</f>
        <v>105.79999999999995</v>
      </c>
      <c r="AJ36" s="13">
        <f>AI36*VLOOKUP('Données projet'!$B$10,Paramètres!$A$1:$I$89,3,0)*VLOOKUP('Données projet'!$B$10,Paramètres!$A$1:$I$89,5,0)</f>
        <v>90.776399999999967</v>
      </c>
      <c r="AK36" s="13">
        <f t="shared" si="35"/>
        <v>24.752380266200454</v>
      </c>
      <c r="AL36" s="20">
        <f t="shared" si="4"/>
        <v>201.21262563029904</v>
      </c>
      <c r="AM36" s="59">
        <f t="shared" si="5"/>
        <v>494.54595896363236</v>
      </c>
      <c r="AN36" s="59">
        <f ca="1">AVERAGE(OFFSET($AM$3,0,0,'Données projet'!$E$10+1,1))-AVERAGE(OFFSET($H$3,0,0,'Données projet'!$E$10+1,1))</f>
        <v>335.81667389179631</v>
      </c>
      <c r="AO36" s="59">
        <f t="shared" si="36"/>
        <v>137.96364450570718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5.4175325776609009</v>
      </c>
      <c r="AW36" s="21">
        <f>EXP(-LN(2)/2)*AW35+(1-EXP(-LN(2)/2))/(LN(2)/2)*AQ36*AT36*VLOOKUP('Données projet'!$B$10,Paramètres!$A$1:$I$89,3,0)*0.475*44/12</f>
        <v>3.157339730379257</v>
      </c>
      <c r="AX36" s="21">
        <f t="shared" si="6"/>
        <v>8.5748723080401579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5.2857142857142856</v>
      </c>
      <c r="BD36" s="12">
        <f>IF('Données projet'!$A$88&gt;35,BD35+BC36-BL35,IF(A36&lt;'Données projet'!$A$88,$BA$205^A36,IF(A36='Données projet'!$A$88,'Données projet'!$B$88,BD35+BC36-BL35)))</f>
        <v>103.85714285714288</v>
      </c>
      <c r="BE36" s="13">
        <f>BD36*VLOOKUP('Données projet'!$B$11,Paramètres!$A$1:$I$89,3,0)*VLOOKUP('Données projet'!$B$11,Paramètres!$A$1:$I$89,5,0)</f>
        <v>105.31114285714287</v>
      </c>
      <c r="BF36" s="13">
        <f t="shared" si="37"/>
        <v>28.223468124473424</v>
      </c>
      <c r="BG36" s="20">
        <f t="shared" si="7"/>
        <v>232.57278079298169</v>
      </c>
      <c r="BH36" s="59">
        <f t="shared" si="8"/>
        <v>525.90611412631506</v>
      </c>
      <c r="BI36" s="59">
        <f ca="1">AVERAGE(OFFSET($BH$3,0,0,'Données projet'!$E$11+1,1))-AVERAGE(OFFSET($H$3,0,0,'Données projet'!$E$11+1,1))</f>
        <v>217.20784862627357</v>
      </c>
      <c r="BJ36" s="59">
        <f t="shared" si="38"/>
        <v>147.24433901219732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1">
        <f t="shared" si="32"/>
        <v>7.9009151595869396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67">
        <f t="shared" si="1"/>
        <v>350.51175390294725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5.3369963369963358</v>
      </c>
      <c r="N37" s="13">
        <f>IF('Données projet'!$A$36&gt;35,N36+M37-V36,IF(A37&lt;'Données projet'!$A$36,$K$205^A37,IF(A37='Données projet'!$A$36,'Données projet'!$B$36,N36+M37-V36)))</f>
        <v>109.05311355311355</v>
      </c>
      <c r="O37" s="13">
        <f>N37*VLOOKUP('Données projet'!$B$9,Paramètres!$A$1:$I$89,3,0)*VLOOKUP('Données projet'!$B$9,Paramètres!$A$1:$I$89,5,0)</f>
        <v>98.671257142857144</v>
      </c>
      <c r="P37" s="13">
        <f t="shared" si="33"/>
        <v>26.645196865813876</v>
      </c>
      <c r="Q37" s="20">
        <f t="shared" si="53"/>
        <v>218.25949073176866</v>
      </c>
      <c r="R37" s="59">
        <f t="shared" si="0"/>
        <v>511.59282406510198</v>
      </c>
      <c r="S37" s="59">
        <f ca="1">AVERAGE(OFFSET($R$3,0,0,'Données projet'!$E$9+1,1))-AVERAGE(OFFSET($H$3,0,0,'Données projet'!$E$9+1,1))</f>
        <v>180.68512008344129</v>
      </c>
      <c r="T37" s="59">
        <f t="shared" si="34"/>
        <v>125.86231758828899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9.6</v>
      </c>
      <c r="AI37" s="13">
        <f>IF('Données projet'!$A$62&gt;35,AI36+AH37-AQ36,IF(A37&lt;'Données projet'!$A$62,$AF$205^A37,IF(A37='Données projet'!$A$62,'Données projet'!$B$62,AI36+AH37-AQ36)))</f>
        <v>115.39999999999995</v>
      </c>
      <c r="AJ37" s="13">
        <f>AI37*VLOOKUP('Données projet'!$B$10,Paramètres!$A$1:$I$89,3,0)*VLOOKUP('Données projet'!$B$10,Paramètres!$A$1:$I$89,5,0)</f>
        <v>99.013199999999969</v>
      </c>
      <c r="AK37" s="13">
        <f t="shared" si="35"/>
        <v>26.726770540392092</v>
      </c>
      <c r="AL37" s="20">
        <f t="shared" si="4"/>
        <v>218.99711535784954</v>
      </c>
      <c r="AM37" s="59">
        <f t="shared" si="5"/>
        <v>512.33044869118282</v>
      </c>
      <c r="AN37" s="59">
        <f ca="1">AVERAGE(OFFSET($AM$3,0,0,'Données projet'!$E$10+1,1))-AVERAGE(OFFSET($H$3,0,0,'Données projet'!$E$10+1,1))</f>
        <v>335.81667389179631</v>
      </c>
      <c r="AO37" s="59">
        <f t="shared" si="36"/>
        <v>137.96364450570718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5.2693898644291073</v>
      </c>
      <c r="AW37" s="21">
        <f>EXP(-LN(2)/2)*AW36+(1-EXP(-LN(2)/2))/(LN(2)/2)*AQ37*AT37*VLOOKUP('Données projet'!$B$10,Paramètres!$A$1:$I$89,3,0)*0.475*44/12</f>
        <v>2.2325763338608784</v>
      </c>
      <c r="AX37" s="21">
        <f t="shared" si="6"/>
        <v>7.5019661982899857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5.2857142857142856</v>
      </c>
      <c r="BD37" s="12">
        <f>IF('Données projet'!$A$88&gt;35,BD36+BC37-BL36,IF(A37&lt;'Données projet'!$A$88,$BA$205^A37,IF(A37='Données projet'!$A$88,'Données projet'!$B$88,BD36+BC37-BL36)))</f>
        <v>109.14285714285717</v>
      </c>
      <c r="BE37" s="13">
        <f>BD37*VLOOKUP('Données projet'!$B$11,Paramètres!$A$1:$I$89,3,0)*VLOOKUP('Données projet'!$B$11,Paramètres!$A$1:$I$89,5,0)</f>
        <v>110.67085714285719</v>
      </c>
      <c r="BF37" s="13">
        <f t="shared" si="37"/>
        <v>29.488987772603409</v>
      </c>
      <c r="BG37" s="20">
        <f t="shared" si="7"/>
        <v>244.11172989442721</v>
      </c>
      <c r="BH37" s="59">
        <f t="shared" si="8"/>
        <v>537.44506322776056</v>
      </c>
      <c r="BI37" s="59">
        <f ca="1">AVERAGE(OFFSET($BH$3,0,0,'Données projet'!$E$11+1,1))-AVERAGE(OFFSET($H$3,0,0,'Données projet'!$E$11+1,1))</f>
        <v>217.20784862627357</v>
      </c>
      <c r="BJ37" s="59">
        <f t="shared" si="38"/>
        <v>147.24433901219732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1">
        <f t="shared" si="32"/>
        <v>8.1058983118768086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67">
        <f t="shared" si="1"/>
        <v>352.14575622651876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5.3369963369963358</v>
      </c>
      <c r="N38" s="13">
        <f>IF('Données projet'!$A$36&gt;35,N37+M38-V37,IF(A38&lt;'Données projet'!$A$36,$K$205^A38,IF(A38='Données projet'!$A$36,'Données projet'!$B$36,N37+M38-V37)))</f>
        <v>114.39010989010988</v>
      </c>
      <c r="O38" s="13">
        <f>N38*VLOOKUP('Données projet'!$B$9,Paramètres!$A$1:$I$89,3,0)*VLOOKUP('Données projet'!$B$9,Paramètres!$A$1:$I$89,5,0)</f>
        <v>103.50017142857141</v>
      </c>
      <c r="P38" s="13">
        <f t="shared" si="33"/>
        <v>27.794188178262466</v>
      </c>
      <c r="Q38" s="20">
        <f t="shared" si="53"/>
        <v>228.67100964856897</v>
      </c>
      <c r="R38" s="59">
        <f t="shared" si="0"/>
        <v>522.00434298190225</v>
      </c>
      <c r="S38" s="59">
        <f ca="1">AVERAGE(OFFSET($R$3,0,0,'Données projet'!$E$9+1,1))-AVERAGE(OFFSET($H$3,0,0,'Données projet'!$E$9+1,1))</f>
        <v>180.68512008344129</v>
      </c>
      <c r="T38" s="59">
        <f t="shared" si="34"/>
        <v>125.86231758828899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9.6</v>
      </c>
      <c r="AI38" s="13">
        <f>IF('Données projet'!$A$62&gt;35,AI37+AH38-AQ37,IF(A38&lt;'Données projet'!$A$62,$AF$205^A38,IF(A38='Données projet'!$A$62,'Données projet'!$B$62,AI37+AH38-AQ37)))</f>
        <v>124.99999999999994</v>
      </c>
      <c r="AJ38" s="13">
        <f>AI38*VLOOKUP('Données projet'!$B$10,Paramètres!$A$1:$I$89,3,0)*VLOOKUP('Données projet'!$B$10,Paramètres!$A$1:$I$89,5,0)</f>
        <v>107.24999999999996</v>
      </c>
      <c r="AK38" s="13">
        <f t="shared" si="35"/>
        <v>28.682111509300139</v>
      </c>
      <c r="AL38" s="20">
        <f t="shared" si="4"/>
        <v>236.74842754536431</v>
      </c>
      <c r="AM38" s="59">
        <f t="shared" si="5"/>
        <v>530.08176087869765</v>
      </c>
      <c r="AN38" s="59">
        <f ca="1">AVERAGE(OFFSET($AM$3,0,0,'Données projet'!$E$10+1,1))-AVERAGE(OFFSET($H$3,0,0,'Données projet'!$E$10+1,1))</f>
        <v>335.81667389179631</v>
      </c>
      <c r="AO38" s="59">
        <f t="shared" si="36"/>
        <v>137.96364450570718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5.1252981214811237</v>
      </c>
      <c r="AW38" s="21">
        <f>EXP(-LN(2)/2)*AW37+(1-EXP(-LN(2)/2))/(LN(2)/2)*AQ38*AT38*VLOOKUP('Données projet'!$B$10,Paramètres!$A$1:$I$89,3,0)*0.475*44/12</f>
        <v>1.5786698651896287</v>
      </c>
      <c r="AX38" s="21">
        <f t="shared" si="6"/>
        <v>6.7039679866707527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5.2857142857142856</v>
      </c>
      <c r="BD38" s="12">
        <f>IF('Données projet'!$A$88&gt;35,BD37+BC38-BL37,IF(A38&lt;'Données projet'!$A$88,$BA$205^A38,IF(A38='Données projet'!$A$88,'Données projet'!$B$88,BD37+BC38-BL37)))</f>
        <v>114.42857142857146</v>
      </c>
      <c r="BE38" s="13">
        <f>BD38*VLOOKUP('Données projet'!$B$11,Paramètres!$A$1:$I$89,3,0)*VLOOKUP('Données projet'!$B$11,Paramètres!$A$1:$I$89,5,0)</f>
        <v>116.03057142857146</v>
      </c>
      <c r="BF38" s="13">
        <f t="shared" si="37"/>
        <v>30.747390600504136</v>
      </c>
      <c r="BG38" s="20">
        <f t="shared" si="7"/>
        <v>255.63828386730665</v>
      </c>
      <c r="BH38" s="59">
        <f t="shared" si="8"/>
        <v>548.97161720063991</v>
      </c>
      <c r="BI38" s="59">
        <f ca="1">AVERAGE(OFFSET($BH$3,0,0,'Données projet'!$E$11+1,1))-AVERAGE(OFFSET($H$3,0,0,'Données projet'!$E$11+1,1))</f>
        <v>217.20784862627357</v>
      </c>
      <c r="BJ38" s="59">
        <f t="shared" si="38"/>
        <v>147.24433901219732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1">
        <f t="shared" si="32"/>
        <v>8.3102007832524443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67">
        <f t="shared" si="1"/>
        <v>353.77857303083135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5.3369963369963358</v>
      </c>
      <c r="N39" s="13">
        <f>IF('Données projet'!$A$36&gt;35,N38+M39-V38,IF(A39&lt;'Données projet'!$A$36,$K$205^A39,IF(A39='Données projet'!$A$36,'Données projet'!$B$36,N38+M39-V38)))</f>
        <v>119.72710622710622</v>
      </c>
      <c r="O39" s="13">
        <f>N39*VLOOKUP('Données projet'!$B$9,Paramètres!$A$1:$I$89,3,0)*VLOOKUP('Données projet'!$B$9,Paramètres!$A$1:$I$89,5,0)</f>
        <v>108.32908571428571</v>
      </c>
      <c r="P39" s="13">
        <f t="shared" si="33"/>
        <v>28.936954111534238</v>
      </c>
      <c r="Q39" s="20">
        <f t="shared" si="53"/>
        <v>239.07168602996975</v>
      </c>
      <c r="R39" s="59">
        <f t="shared" si="0"/>
        <v>532.40501936330304</v>
      </c>
      <c r="S39" s="59">
        <f ca="1">AVERAGE(OFFSET($R$3,0,0,'Données projet'!$E$9+1,1))-AVERAGE(OFFSET($H$3,0,0,'Données projet'!$E$9+1,1))</f>
        <v>180.68512008344129</v>
      </c>
      <c r="T39" s="59">
        <f t="shared" si="34"/>
        <v>125.86231758828899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134.59999999999994</v>
      </c>
      <c r="AJ39" s="13">
        <f>AI39*VLOOKUP('Données projet'!$B$10,Paramètres!$A$1:$I$89,3,0)*VLOOKUP('Données projet'!$B$10,Paramètres!$A$1:$I$89,5,0)</f>
        <v>115.48679999999996</v>
      </c>
      <c r="AK39" s="13">
        <f t="shared" si="35"/>
        <v>30.620032500597208</v>
      </c>
      <c r="AL39" s="20">
        <f t="shared" si="4"/>
        <v>254.46939993854008</v>
      </c>
      <c r="AM39" s="59">
        <f t="shared" si="5"/>
        <v>547.80273327187342</v>
      </c>
      <c r="AN39" s="59">
        <f ca="1">AVERAGE(OFFSET($AM$3,0,0,'Données projet'!$E$10+1,1))-AVERAGE(OFFSET($H$3,0,0,'Données projet'!$E$10+1,1))</f>
        <v>335.81667389179631</v>
      </c>
      <c r="AO39" s="59">
        <f t="shared" si="36"/>
        <v>137.96364450570718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4.985146574821508</v>
      </c>
      <c r="AW39" s="21">
        <f>EXP(-LN(2)/2)*AW38+(1-EXP(-LN(2)/2))/(LN(2)/2)*AQ39*AT39*VLOOKUP('Données projet'!$B$10,Paramètres!$A$1:$I$89,3,0)*0.475*44/12</f>
        <v>1.1162881669304394</v>
      </c>
      <c r="AX39" s="21">
        <f t="shared" si="6"/>
        <v>6.1014347417519472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5.2857142857142856</v>
      </c>
      <c r="BD39" s="12">
        <f>IF('Données projet'!$A$88&gt;35,BD38+BC39-BL38,IF(A39&lt;'Données projet'!$A$88,$BA$205^A39,IF(A39='Données projet'!$A$88,'Données projet'!$B$88,BD38+BC39-BL38)))</f>
        <v>119.71428571428575</v>
      </c>
      <c r="BE39" s="13">
        <f>BD39*VLOOKUP('Données projet'!$B$11,Paramètres!$A$1:$I$89,3,0)*VLOOKUP('Données projet'!$B$11,Paramètres!$A$1:$I$89,5,0)</f>
        <v>121.39028571428577</v>
      </c>
      <c r="BF39" s="13">
        <f t="shared" si="37"/>
        <v>31.99904289713874</v>
      </c>
      <c r="BG39" s="20">
        <f t="shared" si="7"/>
        <v>267.15308066489769</v>
      </c>
      <c r="BH39" s="59">
        <f t="shared" si="8"/>
        <v>560.486413998231</v>
      </c>
      <c r="BI39" s="59">
        <f ca="1">AVERAGE(OFFSET($BH$3,0,0,'Données projet'!$E$11+1,1))-AVERAGE(OFFSET($H$3,0,0,'Données projet'!$E$11+1,1))</f>
        <v>217.20784862627357</v>
      </c>
      <c r="BJ39" s="59">
        <f t="shared" si="38"/>
        <v>147.24433901219732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1">
        <f t="shared" si="32"/>
        <v>8.5138436537878803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67">
        <f t="shared" si="1"/>
        <v>355.41024103034721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5.3369963369963358</v>
      </c>
      <c r="N40" s="13">
        <f>IF('Données projet'!$A$36&gt;35,N39+M40-V39,IF(A40&lt;'Données projet'!$A$36,$K$205^A40,IF(A40='Données projet'!$A$36,'Données projet'!$B$36,N39+M40-V39)))</f>
        <v>125.06410256410255</v>
      </c>
      <c r="O40" s="13">
        <f>N40*VLOOKUP('Données projet'!$B$9,Paramètres!$A$1:$I$89,3,0)*VLOOKUP('Données projet'!$B$9,Paramètres!$A$1:$I$89,5,0)</f>
        <v>113.15799999999999</v>
      </c>
      <c r="P40" s="13">
        <f t="shared" si="33"/>
        <v>30.073803878601733</v>
      </c>
      <c r="Q40" s="20">
        <f t="shared" si="53"/>
        <v>249.46205842189795</v>
      </c>
      <c r="R40" s="59">
        <f t="shared" si="0"/>
        <v>542.79539175523132</v>
      </c>
      <c r="S40" s="59">
        <f ca="1">AVERAGE(OFFSET($R$3,0,0,'Données projet'!$E$9+1,1))-AVERAGE(OFFSET($H$3,0,0,'Données projet'!$E$9+1,1))</f>
        <v>180.68512008344129</v>
      </c>
      <c r="T40" s="59">
        <f t="shared" si="34"/>
        <v>125.86231758828899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144.19999999999993</v>
      </c>
      <c r="AJ40" s="13">
        <f>AI40*VLOOKUP('Données projet'!$B$10,Paramètres!$A$1:$I$89,3,0)*VLOOKUP('Données projet'!$B$10,Paramètres!$A$1:$I$89,5,0)</f>
        <v>123.72359999999996</v>
      </c>
      <c r="AK40" s="13">
        <f t="shared" si="35"/>
        <v>32.541917257515259</v>
      </c>
      <c r="AL40" s="20">
        <f t="shared" si="4"/>
        <v>272.16244255683904</v>
      </c>
      <c r="AM40" s="59">
        <f t="shared" si="5"/>
        <v>565.49577589017235</v>
      </c>
      <c r="AN40" s="59">
        <f ca="1">AVERAGE(OFFSET($AM$3,0,0,'Données projet'!$E$10+1,1))-AVERAGE(OFFSET($H$3,0,0,'Données projet'!$E$10+1,1))</f>
        <v>335.81667389179631</v>
      </c>
      <c r="AO40" s="59">
        <f t="shared" si="36"/>
        <v>137.96364450570718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4.848827479575549</v>
      </c>
      <c r="AW40" s="21">
        <f>EXP(-LN(2)/2)*AW39+(1-EXP(-LN(2)/2))/(LN(2)/2)*AQ40*AT40*VLOOKUP('Données projet'!$B$10,Paramètres!$A$1:$I$89,3,0)*0.475*44/12</f>
        <v>0.78933493259481446</v>
      </c>
      <c r="AX40" s="21">
        <f t="shared" si="6"/>
        <v>5.6381624121703631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5.2857142857142856</v>
      </c>
      <c r="BD40" s="12">
        <f>IF('Données projet'!$A$88&gt;35,BD39+BC40-BL39,IF(A40&lt;'Données projet'!$A$88,$BA$205^A40,IF(A40='Données projet'!$A$88,'Données projet'!$B$88,BD39+BC40-BL39)))</f>
        <v>125.00000000000004</v>
      </c>
      <c r="BE40" s="13">
        <f>BD40*VLOOKUP('Données projet'!$B$11,Paramètres!$A$1:$I$89,3,0)*VLOOKUP('Données projet'!$B$11,Paramètres!$A$1:$I$89,5,0)</f>
        <v>126.75000000000004</v>
      </c>
      <c r="BF40" s="13">
        <f t="shared" si="37"/>
        <v>33.244276777293983</v>
      </c>
      <c r="BG40" s="20">
        <f t="shared" si="7"/>
        <v>278.65669872045373</v>
      </c>
      <c r="BH40" s="59">
        <f t="shared" si="8"/>
        <v>571.99003205378699</v>
      </c>
      <c r="BI40" s="59">
        <f ca="1">AVERAGE(OFFSET($BH$3,0,0,'Données projet'!$E$11+1,1))-AVERAGE(OFFSET($H$3,0,0,'Données projet'!$E$11+1,1))</f>
        <v>217.20784862627357</v>
      </c>
      <c r="BJ40" s="59">
        <f t="shared" si="38"/>
        <v>147.24433901219732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1">
        <f t="shared" si="32"/>
        <v>8.7168467992286693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67">
        <f t="shared" si="1"/>
        <v>357.04079484198991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5.3369963369963358</v>
      </c>
      <c r="N41" s="13">
        <f>IF('Données projet'!$A$36&gt;35,N40+M41-V40,IF(A41&lt;'Données projet'!$A$36,$K$205^A41,IF(A41='Données projet'!$A$36,'Données projet'!$B$36,N40+M41-V40)))</f>
        <v>130.40109890109889</v>
      </c>
      <c r="O41" s="13">
        <f>N41*VLOOKUP('Données projet'!$B$9,Paramètres!$A$1:$I$89,3,0)*VLOOKUP('Données projet'!$B$9,Paramètres!$A$1:$I$89,5,0)</f>
        <v>117.98691428571428</v>
      </c>
      <c r="P41" s="13">
        <f t="shared" si="33"/>
        <v>31.205018808985951</v>
      </c>
      <c r="Q41" s="20">
        <f t="shared" si="53"/>
        <v>259.8426168066029</v>
      </c>
      <c r="R41" s="59">
        <f t="shared" si="0"/>
        <v>553.17595013993628</v>
      </c>
      <c r="S41" s="59">
        <f ca="1">AVERAGE(OFFSET($R$3,0,0,'Données projet'!$E$9+1,1))-AVERAGE(OFFSET($H$3,0,0,'Données projet'!$E$9+1,1))</f>
        <v>180.68512008344129</v>
      </c>
      <c r="T41" s="59">
        <f t="shared" si="34"/>
        <v>125.86231758828899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153.79999999999993</v>
      </c>
      <c r="AJ41" s="13">
        <f>AI41*VLOOKUP('Données projet'!$B$10,Paramètres!$A$1:$I$89,3,0)*VLOOKUP('Données projet'!$B$10,Paramètres!$A$1:$I$89,5,0)</f>
        <v>131.96039999999994</v>
      </c>
      <c r="AK41" s="13">
        <f t="shared" si="35"/>
        <v>34.448954856861199</v>
      </c>
      <c r="AL41" s="20">
        <f t="shared" si="4"/>
        <v>289.82962637569977</v>
      </c>
      <c r="AM41" s="59">
        <f t="shared" si="5"/>
        <v>583.16295970903309</v>
      </c>
      <c r="AN41" s="59">
        <f ca="1">AVERAGE(OFFSET($AM$3,0,0,'Données projet'!$E$10+1,1))-AVERAGE(OFFSET($H$3,0,0,'Données projet'!$E$10+1,1))</f>
        <v>335.81667389179631</v>
      </c>
      <c r="AO41" s="59">
        <f t="shared" si="36"/>
        <v>137.96364450570718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4.7162360371578007</v>
      </c>
      <c r="AW41" s="21">
        <f>EXP(-LN(2)/2)*AW40+(1-EXP(-LN(2)/2))/(LN(2)/2)*AQ41*AT41*VLOOKUP('Données projet'!$B$10,Paramètres!$A$1:$I$89,3,0)*0.475*44/12</f>
        <v>0.55814408346521971</v>
      </c>
      <c r="AX41" s="21">
        <f t="shared" si="6"/>
        <v>5.2743801206230208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5.2857142857142856</v>
      </c>
      <c r="BD41" s="12">
        <f>IF('Données projet'!$A$88&gt;35,BD40+BC41-BL40,IF(A41&lt;'Données projet'!$A$88,$BA$205^A41,IF(A41='Données projet'!$A$88,'Données projet'!$B$88,BD40+BC41-BL40)))</f>
        <v>130.28571428571433</v>
      </c>
      <c r="BE41" s="13">
        <f>BD41*VLOOKUP('Données projet'!$B$11,Paramètres!$A$1:$I$89,3,0)*VLOOKUP('Données projet'!$B$11,Paramètres!$A$1:$I$89,5,0)</f>
        <v>132.10971428571435</v>
      </c>
      <c r="BF41" s="13">
        <f t="shared" si="37"/>
        <v>34.483394679523521</v>
      </c>
      <c r="BG41" s="20">
        <f t="shared" si="7"/>
        <v>290.14966478112262</v>
      </c>
      <c r="BH41" s="59">
        <f t="shared" si="8"/>
        <v>583.482998114456</v>
      </c>
      <c r="BI41" s="59">
        <f ca="1">AVERAGE(OFFSET($BH$3,0,0,'Données projet'!$E$11+1,1))-AVERAGE(OFFSET($H$3,0,0,'Données projet'!$E$11+1,1))</f>
        <v>217.20784862627357</v>
      </c>
      <c r="BJ41" s="59">
        <f t="shared" si="38"/>
        <v>147.24433901219732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1">
        <f t="shared" si="32"/>
        <v>8.9192289896543855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67">
        <f t="shared" si="1"/>
        <v>358.67026715698137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5.3369963369963358</v>
      </c>
      <c r="N42" s="13">
        <f>IF('Données projet'!$A$36&gt;35,N41+M42-V41,IF(A42&lt;'Données projet'!$A$36,$K$205^A42,IF(A42='Données projet'!$A$36,'Données projet'!$B$36,N41+M42-V41)))</f>
        <v>135.73809523809524</v>
      </c>
      <c r="O42" s="13">
        <f>N42*VLOOKUP('Données projet'!$B$9,Paramètres!$A$1:$I$89,3,0)*VLOOKUP('Données projet'!$B$9,Paramètres!$A$1:$I$89,5,0)</f>
        <v>122.81582857142857</v>
      </c>
      <c r="P42" s="13">
        <f t="shared" si="33"/>
        <v>32.330855900842984</v>
      </c>
      <c r="Q42" s="20">
        <f t="shared" si="53"/>
        <v>270.21380878920627</v>
      </c>
      <c r="R42" s="59">
        <f t="shared" si="0"/>
        <v>563.54714212253953</v>
      </c>
      <c r="S42" s="59">
        <f ca="1">AVERAGE(OFFSET($R$3,0,0,'Données projet'!$E$9+1,1))-AVERAGE(OFFSET($H$3,0,0,'Données projet'!$E$9+1,1))</f>
        <v>180.68512008344129</v>
      </c>
      <c r="T42" s="59">
        <f t="shared" si="34"/>
        <v>125.86231758828899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163.39999999999992</v>
      </c>
      <c r="AJ42" s="13">
        <f>AI42*VLOOKUP('Données projet'!$B$10,Paramètres!$A$1:$I$89,3,0)*VLOOKUP('Données projet'!$B$10,Paramètres!$A$1:$I$89,5,0)</f>
        <v>140.19719999999995</v>
      </c>
      <c r="AK42" s="13">
        <f t="shared" si="35"/>
        <v>36.34217754431797</v>
      </c>
      <c r="AL42" s="20">
        <f t="shared" si="4"/>
        <v>307.47274922302034</v>
      </c>
      <c r="AM42" s="59">
        <f t="shared" si="5"/>
        <v>600.80608255635366</v>
      </c>
      <c r="AN42" s="59">
        <f ca="1">AVERAGE(OFFSET($AM$3,0,0,'Données projet'!$E$10+1,1))-AVERAGE(OFFSET($H$3,0,0,'Données projet'!$E$10+1,1))</f>
        <v>335.81667389179631</v>
      </c>
      <c r="AO42" s="59">
        <f t="shared" si="36"/>
        <v>137.96364450570718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4.5872703147056466</v>
      </c>
      <c r="AW42" s="21">
        <f>EXP(-LN(2)/2)*AW41+(1-EXP(-LN(2)/2))/(LN(2)/2)*AQ42*AT42*VLOOKUP('Données projet'!$B$10,Paramètres!$A$1:$I$89,3,0)*0.475*44/12</f>
        <v>0.39466746629740723</v>
      </c>
      <c r="AX42" s="21">
        <f t="shared" si="6"/>
        <v>4.9819377810030536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5.2857142857142856</v>
      </c>
      <c r="BD42" s="12">
        <f>IF('Données projet'!$A$88&gt;35,BD41+BC42-BL41,IF(A42&lt;'Données projet'!$A$88,$BA$205^A42,IF(A42='Données projet'!$A$88,'Données projet'!$B$88,BD41+BC42-BL41)))</f>
        <v>135.57142857142861</v>
      </c>
      <c r="BE42" s="13">
        <f>BD42*VLOOKUP('Données projet'!$B$11,Paramètres!$A$1:$I$89,3,0)*VLOOKUP('Données projet'!$B$11,Paramètres!$A$1:$I$89,5,0)</f>
        <v>137.46942857142861</v>
      </c>
      <c r="BF42" s="13">
        <f t="shared" si="37"/>
        <v>35.716673113607783</v>
      </c>
      <c r="BG42" s="20">
        <f t="shared" si="7"/>
        <v>301.6324604347717</v>
      </c>
      <c r="BH42" s="59">
        <f t="shared" si="8"/>
        <v>594.96579376810496</v>
      </c>
      <c r="BI42" s="59">
        <f ca="1">AVERAGE(OFFSET($BH$3,0,0,'Données projet'!$E$11+1,1))-AVERAGE(OFFSET($H$3,0,0,'Données projet'!$E$11+1,1))</f>
        <v>217.20784862627357</v>
      </c>
      <c r="BJ42" s="59">
        <f t="shared" si="38"/>
        <v>147.24433901219732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1">
        <f t="shared" si="32"/>
        <v>9.1210079777371842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67">
        <f t="shared" si="1"/>
        <v>360.29868889455889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5.3369963369963358</v>
      </c>
      <c r="N43" s="13">
        <f>IF('Données projet'!$A$36&gt;35,N42+M43-V42,IF(A43&lt;'Données projet'!$A$36,$K$205^A43,IF(A43='Données projet'!$A$36,'Données projet'!$B$36,N42+M43-V42)))</f>
        <v>141.07509157509156</v>
      </c>
      <c r="O43" s="13">
        <f>N43*VLOOKUP('Données projet'!$B$9,Paramètres!$A$1:$I$89,3,0)*VLOOKUP('Données projet'!$B$9,Paramètres!$A$1:$I$89,5,0)</f>
        <v>127.64474285714284</v>
      </c>
      <c r="P43" s="13">
        <f t="shared" si="33"/>
        <v>33.451550798682433</v>
      </c>
      <c r="Q43" s="20">
        <f t="shared" si="53"/>
        <v>280.57604478389567</v>
      </c>
      <c r="R43" s="59">
        <f t="shared" si="0"/>
        <v>573.90937811722893</v>
      </c>
      <c r="S43" s="59">
        <f ca="1">AVERAGE(OFFSET($R$3,0,0,'Données projet'!$E$9+1,1))-AVERAGE(OFFSET($H$3,0,0,'Données projet'!$E$9+1,1))</f>
        <v>180.68512008344129</v>
      </c>
      <c r="T43" s="59">
        <f t="shared" si="34"/>
        <v>125.86231758828899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173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172.99999999999991</v>
      </c>
      <c r="AJ43" s="13">
        <f>AI43*VLOOKUP('Données projet'!$B$10,Paramètres!$A$1:$I$89,3,0)*VLOOKUP('Données projet'!$B$10,Paramètres!$A$1:$I$89,5,0)</f>
        <v>148.43399999999994</v>
      </c>
      <c r="AK43" s="13">
        <f t="shared" si="35"/>
        <v>38.222489421716382</v>
      </c>
      <c r="AL43" s="20">
        <f t="shared" si="4"/>
        <v>325.09338574282259</v>
      </c>
      <c r="AM43" s="59">
        <f t="shared" si="5"/>
        <v>618.4267190761559</v>
      </c>
      <c r="AN43" s="59">
        <f ca="1">AVERAGE(OFFSET($AM$3,0,0,'Données projet'!$E$10+1,1))-AVERAGE(OFFSET($H$3,0,0,'Données projet'!$E$10+1,1))</f>
        <v>335.81667389179631</v>
      </c>
      <c r="AO43" s="59">
        <f t="shared" si="36"/>
        <v>137.96364450570718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4.4618311667159594</v>
      </c>
      <c r="AW43" s="21">
        <f>EXP(-LN(2)/2)*AW42+(1-EXP(-LN(2)/2))/(LN(2)/2)*AQ43*AT43*VLOOKUP('Données projet'!$B$10,Paramètres!$A$1:$I$89,3,0)*0.475*44/12</f>
        <v>0.27907204173260985</v>
      </c>
      <c r="AX43" s="21">
        <f t="shared" si="6"/>
        <v>4.7409032084485689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5.2857142857142856</v>
      </c>
      <c r="BD43" s="12">
        <f>IF('Données projet'!$A$88&gt;35,BD42+BC43-BL42,IF(A43&lt;'Données projet'!$A$88,$BA$205^A43,IF(A43='Données projet'!$A$88,'Données projet'!$B$88,BD42+BC43-BL42)))</f>
        <v>140.85714285714289</v>
      </c>
      <c r="BE43" s="13">
        <f>BD43*VLOOKUP('Données projet'!$B$11,Paramètres!$A$1:$I$89,3,0)*VLOOKUP('Données projet'!$B$11,Paramètres!$A$1:$I$89,5,0)</f>
        <v>142.8291428571429</v>
      </c>
      <c r="BF43" s="13">
        <f t="shared" si="37"/>
        <v>36.944365807141942</v>
      </c>
      <c r="BG43" s="20">
        <f t="shared" si="7"/>
        <v>313.10552759029611</v>
      </c>
      <c r="BH43" s="59">
        <f t="shared" si="8"/>
        <v>606.43886092362936</v>
      </c>
      <c r="BI43" s="59">
        <f ca="1">AVERAGE(OFFSET($BH$3,0,0,'Données projet'!$E$11+1,1))-AVERAGE(OFFSET($H$3,0,0,'Données projet'!$E$11+1,1))</f>
        <v>217.20784862627357</v>
      </c>
      <c r="BJ43" s="59">
        <f t="shared" si="38"/>
        <v>147.24433901219732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1">
        <f t="shared" si="32"/>
        <v>9.3222005779260471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67">
        <f t="shared" si="1"/>
        <v>361.92608933988788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5.3369963369963358</v>
      </c>
      <c r="N44" s="13">
        <f>IF('Données projet'!$A$36&gt;35,N43+M44-V43,IF(A44&lt;'Données projet'!$A$36,$K$205^A44,IF(A44='Données projet'!$A$36,'Données projet'!$B$36,N43+M44-V43)))</f>
        <v>146.41208791208788</v>
      </c>
      <c r="O44" s="13">
        <f>N44*VLOOKUP('Données projet'!$B$9,Paramètres!$A$1:$I$89,3,0)*VLOOKUP('Données projet'!$B$9,Paramètres!$A$1:$I$89,5,0)</f>
        <v>132.47365714285712</v>
      </c>
      <c r="P44" s="13">
        <f t="shared" si="33"/>
        <v>34.567320307816402</v>
      </c>
      <c r="Q44" s="20">
        <f t="shared" si="53"/>
        <v>290.92970239325638</v>
      </c>
      <c r="R44" s="59">
        <f t="shared" si="0"/>
        <v>584.26303572658969</v>
      </c>
      <c r="S44" s="59">
        <f ca="1">AVERAGE(OFFSET($R$3,0,0,'Données projet'!$E$9+1,1))-AVERAGE(OFFSET($H$3,0,0,'Données projet'!$E$9+1,1))</f>
        <v>180.68512008344129</v>
      </c>
      <c r="T44" s="59">
        <f t="shared" si="34"/>
        <v>125.86231758828899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10.6</v>
      </c>
      <c r="AI44" s="13">
        <f>IF('Données projet'!$A$62&gt;35,AI43+AH44-AQ43,IF(A44&lt;'Données projet'!$A$62,$AF$205^A44,IF(A44='Données projet'!$A$62,'Données projet'!$B$62,AI43+AH44-AQ43)))</f>
        <v>132.59999999999991</v>
      </c>
      <c r="AJ44" s="13">
        <f>AI44*VLOOKUP('Données projet'!$B$10,Paramètres!$A$1:$I$89,3,0)*VLOOKUP('Données projet'!$B$10,Paramètres!$A$1:$I$89,5,0)</f>
        <v>113.77079999999992</v>
      </c>
      <c r="AK44" s="13">
        <f t="shared" si="35"/>
        <v>30.217664170580228</v>
      </c>
      <c r="AL44" s="20">
        <f t="shared" si="4"/>
        <v>250.77990843042707</v>
      </c>
      <c r="AM44" s="59">
        <f t="shared" si="5"/>
        <v>544.11324176376036</v>
      </c>
      <c r="AN44" s="59">
        <f ca="1">AVERAGE(OFFSET($AM$3,0,0,'Données projet'!$E$10+1,1))-AVERAGE(OFFSET($H$3,0,0,'Données projet'!$E$10+1,1))</f>
        <v>335.81667389179631</v>
      </c>
      <c r="AO44" s="59">
        <f t="shared" si="36"/>
        <v>137.96364450570718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4.3398221588246084</v>
      </c>
      <c r="AW44" s="21">
        <f>EXP(-LN(2)/2)*AW43+(1-EXP(-LN(2)/2))/(LN(2)/2)*AQ44*AT44*VLOOKUP('Données projet'!$B$10,Paramètres!$A$1:$I$89,3,0)*0.475*44/12</f>
        <v>0.19733373314870362</v>
      </c>
      <c r="AX44" s="21">
        <f t="shared" si="6"/>
        <v>4.5371558919733124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5.2857142857142856</v>
      </c>
      <c r="BD44" s="12">
        <f>IF('Données projet'!$A$88&gt;35,BD43+BC44-BL43,IF(A44&lt;'Données projet'!$A$88,$BA$205^A44,IF(A44='Données projet'!$A$88,'Données projet'!$B$88,BD43+BC44-BL43)))</f>
        <v>146.14285714285717</v>
      </c>
      <c r="BE44" s="13">
        <f>BD44*VLOOKUP('Données projet'!$B$11,Paramètres!$A$1:$I$89,3,0)*VLOOKUP('Données projet'!$B$11,Paramètres!$A$1:$I$89,5,0)</f>
        <v>148.18885714285719</v>
      </c>
      <c r="BF44" s="13">
        <f t="shared" si="37"/>
        <v>38.166706366536395</v>
      </c>
      <c r="BG44" s="20">
        <f t="shared" si="7"/>
        <v>324.5692731121938</v>
      </c>
      <c r="BH44" s="59">
        <f t="shared" si="8"/>
        <v>617.90260644552711</v>
      </c>
      <c r="BI44" s="59">
        <f ca="1">AVERAGE(OFFSET($BH$3,0,0,'Données projet'!$E$11+1,1))-AVERAGE(OFFSET($H$3,0,0,'Données projet'!$E$11+1,1))</f>
        <v>217.20784862627357</v>
      </c>
      <c r="BJ44" s="59">
        <f t="shared" si="38"/>
        <v>147.24433901219732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1">
        <f t="shared" si="32"/>
        <v>9.5228227376882337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67">
        <f t="shared" si="1"/>
        <v>363.55249626814032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5.3369963369963358</v>
      </c>
      <c r="N45" s="13">
        <f>IF('Données projet'!$A$36&gt;35,N44+M45-V44,IF(A45&lt;'Données projet'!$A$36,$K$205^A45,IF(A45='Données projet'!$A$36,'Données projet'!$B$36,N44+M45-V44)))</f>
        <v>151.74908424908421</v>
      </c>
      <c r="O45" s="13">
        <f>N45*VLOOKUP('Données projet'!$B$9,Paramètres!$A$1:$I$89,3,0)*VLOOKUP('Données projet'!$B$9,Paramètres!$A$1:$I$89,5,0)</f>
        <v>137.30257142857138</v>
      </c>
      <c r="P45" s="13">
        <f t="shared" si="33"/>
        <v>35.678364531877897</v>
      </c>
      <c r="Q45" s="20">
        <f t="shared" si="53"/>
        <v>301.27513013111576</v>
      </c>
      <c r="R45" s="59">
        <f t="shared" si="0"/>
        <v>594.60846346444907</v>
      </c>
      <c r="S45" s="59">
        <f ca="1">AVERAGE(OFFSET($R$3,0,0,'Données projet'!$E$9+1,1))-AVERAGE(OFFSET($H$3,0,0,'Données projet'!$E$9+1,1))</f>
        <v>180.68512008344129</v>
      </c>
      <c r="T45" s="59">
        <f t="shared" si="34"/>
        <v>125.86231758828899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10.6</v>
      </c>
      <c r="AI45" s="13">
        <f>IF('Données projet'!$A$62&gt;35,AI44+AH45-AQ44,IF(A45&lt;'Données projet'!$A$62,$AF$205^A45,IF(A45='Données projet'!$A$62,'Données projet'!$B$62,AI44+AH45-AQ44)))</f>
        <v>143.1999999999999</v>
      </c>
      <c r="AJ45" s="13">
        <f>AI45*VLOOKUP('Données projet'!$B$10,Paramètres!$A$1:$I$89,3,0)*VLOOKUP('Données projet'!$B$10,Paramètres!$A$1:$I$89,5,0)</f>
        <v>122.86559999999993</v>
      </c>
      <c r="AK45" s="13">
        <f t="shared" si="35"/>
        <v>32.342432698195715</v>
      </c>
      <c r="AL45" s="20">
        <f t="shared" si="4"/>
        <v>270.32065694935739</v>
      </c>
      <c r="AM45" s="59">
        <f t="shared" si="5"/>
        <v>563.65399028269076</v>
      </c>
      <c r="AN45" s="59">
        <f ca="1">AVERAGE(OFFSET($AM$3,0,0,'Données projet'!$E$10+1,1))-AVERAGE(OFFSET($H$3,0,0,'Données projet'!$E$10+1,1))</f>
        <v>335.81667389179631</v>
      </c>
      <c r="AO45" s="59">
        <f t="shared" si="36"/>
        <v>137.96364450570718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4.2211494936702207</v>
      </c>
      <c r="AW45" s="21">
        <f>EXP(-LN(2)/2)*AW44+(1-EXP(-LN(2)/2))/(LN(2)/2)*AQ45*AT45*VLOOKUP('Données projet'!$B$10,Paramètres!$A$1:$I$89,3,0)*0.475*44/12</f>
        <v>0.13953602086630493</v>
      </c>
      <c r="AX45" s="21">
        <f t="shared" si="6"/>
        <v>4.3606855145365255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5.2857142857142856</v>
      </c>
      <c r="BD45" s="12">
        <f>IF('Données projet'!$A$88&gt;35,BD44+BC45-BL44,IF(A45&lt;'Données projet'!$A$88,$BA$205^A45,IF(A45='Données projet'!$A$88,'Données projet'!$B$88,BD44+BC45-BL44)))</f>
        <v>151.42857142857144</v>
      </c>
      <c r="BE45" s="13">
        <f>BD45*VLOOKUP('Données projet'!$B$11,Paramètres!$A$1:$I$89,3,0)*VLOOKUP('Données projet'!$B$11,Paramètres!$A$1:$I$89,5,0)</f>
        <v>153.54857142857145</v>
      </c>
      <c r="BF45" s="13">
        <f t="shared" si="37"/>
        <v>39.383910542224896</v>
      </c>
      <c r="BG45" s="20">
        <f t="shared" si="7"/>
        <v>336.02407276580362</v>
      </c>
      <c r="BH45" s="59">
        <f t="shared" si="8"/>
        <v>629.35740609913694</v>
      </c>
      <c r="BI45" s="59">
        <f ca="1">AVERAGE(OFFSET($BH$3,0,0,'Données projet'!$E$11+1,1))-AVERAGE(OFFSET($H$3,0,0,'Données projet'!$E$11+1,1))</f>
        <v>217.20784862627357</v>
      </c>
      <c r="BJ45" s="59">
        <f t="shared" si="38"/>
        <v>147.24433901219732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1">
        <f t="shared" si="32"/>
        <v>9.7228896017746997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67">
        <f t="shared" si="1"/>
        <v>365.17793605642424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5.3369963369963358</v>
      </c>
      <c r="N46" s="13">
        <f>IF('Données projet'!$A$36&gt;35,N45+M46-V45,IF(A46&lt;'Données projet'!$A$36,$K$205^A46,IF(A46='Données projet'!$A$36,'Données projet'!$B$36,N45+M46-V45)))</f>
        <v>157.08608058608053</v>
      </c>
      <c r="O46" s="13">
        <f>N46*VLOOKUP('Données projet'!$B$9,Paramètres!$A$1:$I$89,3,0)*VLOOKUP('Données projet'!$B$9,Paramètres!$A$1:$I$89,5,0)</f>
        <v>142.13148571428567</v>
      </c>
      <c r="P46" s="13">
        <f t="shared" si="33"/>
        <v>36.784868701185438</v>
      </c>
      <c r="Q46" s="20">
        <f t="shared" si="53"/>
        <v>311.61265060694552</v>
      </c>
      <c r="R46" s="59">
        <f t="shared" si="0"/>
        <v>604.94598394027889</v>
      </c>
      <c r="S46" s="59">
        <f ca="1">AVERAGE(OFFSET($R$3,0,0,'Données projet'!$E$9+1,1))-AVERAGE(OFFSET($H$3,0,0,'Données projet'!$E$9+1,1))</f>
        <v>180.68512008344129</v>
      </c>
      <c r="T46" s="59">
        <f t="shared" si="34"/>
        <v>125.86231758828899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</v>
      </c>
      <c r="AI46" s="13">
        <f>IF('Données projet'!$A$62&gt;35,AI45+AH46-AQ45,IF(A46&lt;'Données projet'!$A$62,$AF$205^A46,IF(A46='Données projet'!$A$62,'Données projet'!$B$62,AI45+AH46-AQ45)))</f>
        <v>153.7999999999999</v>
      </c>
      <c r="AJ46" s="13">
        <f>AI46*VLOOKUP('Données projet'!$B$10,Paramètres!$A$1:$I$89,3,0)*VLOOKUP('Données projet'!$B$10,Paramètres!$A$1:$I$89,5,0)</f>
        <v>131.96039999999991</v>
      </c>
      <c r="AK46" s="13">
        <f t="shared" si="35"/>
        <v>34.448954856861199</v>
      </c>
      <c r="AL46" s="20">
        <f t="shared" si="4"/>
        <v>289.82962637569977</v>
      </c>
      <c r="AM46" s="59">
        <f t="shared" si="5"/>
        <v>583.16295970903309</v>
      </c>
      <c r="AN46" s="59">
        <f ca="1">AVERAGE(OFFSET($AM$3,0,0,'Données projet'!$E$10+1,1))-AVERAGE(OFFSET($H$3,0,0,'Données projet'!$E$10+1,1))</f>
        <v>335.81667389179631</v>
      </c>
      <c r="AO46" s="59">
        <f t="shared" si="36"/>
        <v>137.96364450570718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4.1057219387852042</v>
      </c>
      <c r="AW46" s="21">
        <f>EXP(-LN(2)/2)*AW45+(1-EXP(-LN(2)/2))/(LN(2)/2)*AQ46*AT46*VLOOKUP('Données projet'!$B$10,Paramètres!$A$1:$I$89,3,0)*0.475*44/12</f>
        <v>9.8666866574351808E-2</v>
      </c>
      <c r="AX46" s="21">
        <f t="shared" si="6"/>
        <v>4.2043888053595557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5.2857142857142856</v>
      </c>
      <c r="BD46" s="12">
        <f>IF('Données projet'!$A$88&gt;35,BD45+BC46-BL45,IF(A46&lt;'Données projet'!$A$88,$BA$205^A46,IF(A46='Données projet'!$A$88,'Données projet'!$B$88,BD45+BC46-BL45)))</f>
        <v>156.71428571428572</v>
      </c>
      <c r="BE46" s="13">
        <f>BD46*VLOOKUP('Données projet'!$B$11,Paramètres!$A$1:$I$89,3,0)*VLOOKUP('Données projet'!$B$11,Paramètres!$A$1:$I$89,5,0)</f>
        <v>158.90828571428574</v>
      </c>
      <c r="BF46" s="13">
        <f t="shared" si="37"/>
        <v>40.596178168711234</v>
      </c>
      <c r="BG46" s="20">
        <f t="shared" si="7"/>
        <v>347.47027459621967</v>
      </c>
      <c r="BH46" s="59">
        <f t="shared" si="8"/>
        <v>640.80360792955298</v>
      </c>
      <c r="BI46" s="59">
        <f ca="1">AVERAGE(OFFSET($BH$3,0,0,'Données projet'!$E$11+1,1))-AVERAGE(OFFSET($H$3,0,0,'Données projet'!$E$11+1,1))</f>
        <v>217.20784862627357</v>
      </c>
      <c r="BJ46" s="59">
        <f t="shared" si="38"/>
        <v>147.24433901219732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1">
        <f t="shared" si="32"/>
        <v>9.9224155703389041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67">
        <f t="shared" si="1"/>
        <v>366.80243378500688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162.42307692307691</v>
      </c>
      <c r="L47" s="12">
        <f>VLOOKUP(A47,'Données projet'!$A$35:$I$55,9,0)</f>
        <v>5.3369963369963358</v>
      </c>
      <c r="M47" s="12">
        <f t="array" ref="M47">INDEX(L:L,MIN(IF(ISNUMBER(L47:L243),ROW(L47:L243),"")))</f>
        <v>5.3369963369963358</v>
      </c>
      <c r="N47" s="13">
        <f>IF('Données projet'!$A$36&gt;35,N46+M47-V46,IF(A47&lt;'Données projet'!$A$36,$K$205^A47,IF(A47='Données projet'!$A$36,'Données projet'!$B$36,N46+M47-V46)))</f>
        <v>162.42307692307685</v>
      </c>
      <c r="O47" s="13">
        <f>N47*VLOOKUP('Données projet'!$B$9,Paramètres!$A$1:$I$89,3,0)*VLOOKUP('Données projet'!$B$9,Paramètres!$A$1:$I$89,5,0)</f>
        <v>146.96039999999991</v>
      </c>
      <c r="P47" s="13">
        <f t="shared" si="33"/>
        <v>37.887004745652405</v>
      </c>
      <c r="Q47" s="20">
        <f t="shared" si="53"/>
        <v>321.94256326534446</v>
      </c>
      <c r="R47" s="59">
        <f t="shared" si="0"/>
        <v>615.27589659867772</v>
      </c>
      <c r="S47" s="59">
        <f ca="1">AVERAGE(OFFSET($R$3,0,0,'Données projet'!$E$9+1,1))-AVERAGE(OFFSET($H$3,0,0,'Données projet'!$E$9+1,1))</f>
        <v>180.68512008344129</v>
      </c>
      <c r="T47" s="59">
        <f t="shared" si="34"/>
        <v>125.86231758828899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64.416666666666657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</v>
      </c>
      <c r="AI47" s="13">
        <f>IF('Données projet'!$A$62&gt;35,AI46+AH47-AQ46,IF(A47&lt;'Données projet'!$A$62,$AF$205^A47,IF(A47='Données projet'!$A$62,'Données projet'!$B$62,AI46+AH47-AQ46)))</f>
        <v>164.39999999999989</v>
      </c>
      <c r="AJ47" s="13">
        <f>AI47*VLOOKUP('Données projet'!$B$10,Paramètres!$A$1:$I$89,3,0)*VLOOKUP('Données projet'!$B$10,Paramètres!$A$1:$I$89,5,0)</f>
        <v>141.05519999999993</v>
      </c>
      <c r="AK47" s="13">
        <f t="shared" si="35"/>
        <v>36.53863125528558</v>
      </c>
      <c r="AL47" s="20">
        <f t="shared" si="4"/>
        <v>309.3092561029556</v>
      </c>
      <c r="AM47" s="59">
        <f t="shared" si="5"/>
        <v>602.64258943628897</v>
      </c>
      <c r="AN47" s="59">
        <f ca="1">AVERAGE(OFFSET($AM$3,0,0,'Données projet'!$E$10+1,1))-AVERAGE(OFFSET($H$3,0,0,'Données projet'!$E$10+1,1))</f>
        <v>335.81667389179631</v>
      </c>
      <c r="AO47" s="59">
        <f t="shared" si="36"/>
        <v>137.96364450570718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3.9934507564585897</v>
      </c>
      <c r="AW47" s="21">
        <f>EXP(-LN(2)/2)*AW46+(1-EXP(-LN(2)/2))/(LN(2)/2)*AQ47*AT47*VLOOKUP('Données projet'!$B$10,Paramètres!$A$1:$I$89,3,0)*0.475*44/12</f>
        <v>6.9768010433152464E-2</v>
      </c>
      <c r="AX47" s="21">
        <f t="shared" si="6"/>
        <v>4.0632187668917421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162</v>
      </c>
      <c r="BB47" s="12">
        <f>VLOOKUP(A47,'Données projet'!$A$87:$I$107,9,0)</f>
        <v>5.2857142857142856</v>
      </c>
      <c r="BC47" s="12">
        <f t="array" ref="BC47">INDEX(BB:BB,MIN(IF(ISNUMBER(BB47:BB243),ROW(BB47:BB243),"")))</f>
        <v>5.2857142857142856</v>
      </c>
      <c r="BD47" s="12">
        <f>IF('Données projet'!$A$88&gt;35,BD46+BC47-BL46,IF(A47&lt;'Données projet'!$A$88,$BA$205^A47,IF(A47='Données projet'!$A$88,'Données projet'!$B$88,BD46+BC47-BL46)))</f>
        <v>162</v>
      </c>
      <c r="BE47" s="13">
        <f>BD47*VLOOKUP('Données projet'!$B$11,Paramètres!$A$1:$I$89,3,0)*VLOOKUP('Données projet'!$B$11,Paramètres!$A$1:$I$89,5,0)</f>
        <v>164.268</v>
      </c>
      <c r="BF47" s="13">
        <f t="shared" si="37"/>
        <v>41.803694835525619</v>
      </c>
      <c r="BG47" s="20">
        <f t="shared" si="7"/>
        <v>358.90820183854044</v>
      </c>
      <c r="BH47" s="59">
        <f t="shared" si="8"/>
        <v>652.24153517187369</v>
      </c>
      <c r="BI47" s="59">
        <f ca="1">AVERAGE(OFFSET($BH$3,0,0,'Données projet'!$E$11+1,1))-AVERAGE(OFFSET($H$3,0,0,'Données projet'!$E$11+1,1))</f>
        <v>217.20784862627357</v>
      </c>
      <c r="BJ47" s="59">
        <f t="shared" si="38"/>
        <v>147.24433901219732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64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1">
        <f t="shared" si="32"/>
        <v>10.121414351623134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67">
        <f t="shared" si="1"/>
        <v>368.42601332907691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6.8260073260073284</v>
      </c>
      <c r="N48" s="13">
        <f>IF('Données projet'!$A$36&gt;35,N47+M48-V47,IF(A48&lt;'Données projet'!$A$36,$K$205^A48,IF(A48='Données projet'!$A$36,'Données projet'!$B$36,N47+M48-V47)))</f>
        <v>104.83241758241752</v>
      </c>
      <c r="O48" s="13">
        <f>N48*VLOOKUP('Données projet'!$B$9,Paramètres!$A$1:$I$89,3,0)*VLOOKUP('Données projet'!$B$9,Paramètres!$A$1:$I$89,5,0)</f>
        <v>94.852371428571374</v>
      </c>
      <c r="P48" s="13">
        <f t="shared" si="33"/>
        <v>25.731899613510901</v>
      </c>
      <c r="Q48" s="20">
        <f t="shared" si="53"/>
        <v>210.01760539829328</v>
      </c>
      <c r="R48" s="59">
        <f t="shared" si="0"/>
        <v>503.35093873162657</v>
      </c>
      <c r="S48" s="59">
        <f ca="1">AVERAGE(OFFSET($R$3,0,0,'Données projet'!$E$9+1,1))-AVERAGE(OFFSET($H$3,0,0,'Données projet'!$E$9+1,1))</f>
        <v>180.68512008344129</v>
      </c>
      <c r="T48" s="59">
        <f t="shared" si="34"/>
        <v>125.86231758828899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</v>
      </c>
      <c r="AI48" s="13">
        <f>IF('Données projet'!$A$62&gt;35,AI47+AH48-AQ47,IF(A48&lt;'Données projet'!$A$62,$AF$205^A48,IF(A48='Données projet'!$A$62,'Données projet'!$B$62,AI47+AH48-AQ47)))</f>
        <v>174.99999999999989</v>
      </c>
      <c r="AJ48" s="13">
        <f>AI48*VLOOKUP('Données projet'!$B$10,Paramètres!$A$1:$I$89,3,0)*VLOOKUP('Données projet'!$B$10,Paramètres!$A$1:$I$89,5,0)</f>
        <v>150.14999999999992</v>
      </c>
      <c r="AK48" s="13">
        <f t="shared" si="35"/>
        <v>38.612671675922336</v>
      </c>
      <c r="AL48" s="20">
        <f t="shared" si="4"/>
        <v>328.76165316889791</v>
      </c>
      <c r="AM48" s="59">
        <f t="shared" si="5"/>
        <v>622.09498650223122</v>
      </c>
      <c r="AN48" s="59">
        <f ca="1">AVERAGE(OFFSET($AM$3,0,0,'Données projet'!$E$10+1,1))-AVERAGE(OFFSET($H$3,0,0,'Données projet'!$E$10+1,1))</f>
        <v>335.81667389179631</v>
      </c>
      <c r="AO48" s="59">
        <f t="shared" si="36"/>
        <v>137.96364450570718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3.8842496355167815</v>
      </c>
      <c r="AW48" s="21">
        <f>EXP(-LN(2)/2)*AW47+(1-EXP(-LN(2)/2))/(LN(2)/2)*AQ48*AT48*VLOOKUP('Données projet'!$B$10,Paramètres!$A$1:$I$89,3,0)*0.475*44/12</f>
        <v>4.9333433287175904E-2</v>
      </c>
      <c r="AX48" s="21">
        <f t="shared" si="6"/>
        <v>3.9335830688039573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6.8571428571428568</v>
      </c>
      <c r="BD48" s="12">
        <f>IF('Données projet'!$A$88&gt;35,BD47+BC48-BL47,IF(A48&lt;'Données projet'!$A$88,$BA$205^A48,IF(A48='Données projet'!$A$88,'Données projet'!$B$88,BD47+BC48-BL47)))</f>
        <v>104.85714285714286</v>
      </c>
      <c r="BE48" s="13">
        <f>BD48*VLOOKUP('Données projet'!$B$11,Paramètres!$A$1:$I$89,3,0)*VLOOKUP('Données projet'!$B$11,Paramètres!$A$1:$I$89,5,0)</f>
        <v>106.32514285714286</v>
      </c>
      <c r="BF48" s="13">
        <f t="shared" si="37"/>
        <v>28.463454807540121</v>
      </c>
      <c r="BG48" s="20">
        <f t="shared" si="7"/>
        <v>234.75680759932285</v>
      </c>
      <c r="BH48" s="59">
        <f t="shared" si="8"/>
        <v>528.09014093265614</v>
      </c>
      <c r="BI48" s="59">
        <f ca="1">AVERAGE(OFFSET($BH$3,0,0,'Données projet'!$E$11+1,1))-AVERAGE(OFFSET($H$3,0,0,'Données projet'!$E$11+1,1))</f>
        <v>217.20784862627357</v>
      </c>
      <c r="BJ48" s="59">
        <f t="shared" si="38"/>
        <v>147.24433901219732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1">
        <f t="shared" si="32"/>
        <v>10.319899009829577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67">
        <f t="shared" si="1"/>
        <v>370.04869744211982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6.8260073260073284</v>
      </c>
      <c r="N49" s="13">
        <f>IF('Données projet'!$A$36&gt;35,N48+M49-V48,IF(A49&lt;'Données projet'!$A$36,$K$205^A49,IF(A49='Données projet'!$A$36,'Données projet'!$B$36,N48+M49-V48)))</f>
        <v>111.65842490842485</v>
      </c>
      <c r="O49" s="13">
        <f>N49*VLOOKUP('Données projet'!$B$9,Paramètres!$A$1:$I$89,3,0)*VLOOKUP('Données projet'!$B$9,Paramètres!$A$1:$I$89,5,0)</f>
        <v>101.0285428571428</v>
      </c>
      <c r="P49" s="13">
        <f t="shared" si="33"/>
        <v>27.206887577634099</v>
      </c>
      <c r="Q49" s="20">
        <f t="shared" si="53"/>
        <v>223.3433746739031</v>
      </c>
      <c r="R49" s="59">
        <f t="shared" si="0"/>
        <v>516.67670800723636</v>
      </c>
      <c r="S49" s="59">
        <f ca="1">AVERAGE(OFFSET($R$3,0,0,'Données projet'!$E$9+1,1))-AVERAGE(OFFSET($H$3,0,0,'Données projet'!$E$9+1,1))</f>
        <v>180.68512008344129</v>
      </c>
      <c r="T49" s="59">
        <f t="shared" si="34"/>
        <v>125.86231758828899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</v>
      </c>
      <c r="AI49" s="13">
        <f>IF('Données projet'!$A$62&gt;35,AI48+AH49-AQ48,IF(A49&lt;'Données projet'!$A$62,$AF$205^A49,IF(A49='Données projet'!$A$62,'Données projet'!$B$62,AI48+AH49-AQ48)))</f>
        <v>185.59999999999988</v>
      </c>
      <c r="AJ49" s="13">
        <f>AI49*VLOOKUP('Données projet'!$B$10,Paramètres!$A$1:$I$89,3,0)*VLOOKUP('Données projet'!$B$10,Paramètres!$A$1:$I$89,5,0)</f>
        <v>159.24479999999991</v>
      </c>
      <c r="AK49" s="13">
        <f t="shared" si="35"/>
        <v>40.672131063901716</v>
      </c>
      <c r="AL49" s="20">
        <f t="shared" si="4"/>
        <v>348.18865493629534</v>
      </c>
      <c r="AM49" s="59">
        <f t="shared" si="5"/>
        <v>641.52198826962865</v>
      </c>
      <c r="AN49" s="59">
        <f ca="1">AVERAGE(OFFSET($AM$3,0,0,'Données projet'!$E$10+1,1))-AVERAGE(OFFSET($H$3,0,0,'Données projet'!$E$10+1,1))</f>
        <v>335.81667389179631</v>
      </c>
      <c r="AO49" s="59">
        <f t="shared" si="36"/>
        <v>137.96364450570718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3.7780346249697643</v>
      </c>
      <c r="AW49" s="21">
        <f>EXP(-LN(2)/2)*AW48+(1-EXP(-LN(2)/2))/(LN(2)/2)*AQ49*AT49*VLOOKUP('Données projet'!$B$10,Paramètres!$A$1:$I$89,3,0)*0.475*44/12</f>
        <v>3.4884005216576232E-2</v>
      </c>
      <c r="AX49" s="21">
        <f t="shared" si="6"/>
        <v>3.8129186301863407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6.8571428571428568</v>
      </c>
      <c r="BD49" s="12">
        <f>IF('Données projet'!$A$88&gt;35,BD48+BC49-BL48,IF(A49&lt;'Données projet'!$A$88,$BA$205^A49,IF(A49='Données projet'!$A$88,'Données projet'!$B$88,BD48+BC49-BL48)))</f>
        <v>111.71428571428572</v>
      </c>
      <c r="BE49" s="13">
        <f>BD49*VLOOKUP('Données projet'!$B$11,Paramètres!$A$1:$I$89,3,0)*VLOOKUP('Données projet'!$B$11,Paramètres!$A$1:$I$89,5,0)</f>
        <v>113.27828571428574</v>
      </c>
      <c r="BF49" s="13">
        <f t="shared" si="37"/>
        <v>30.102049166169945</v>
      </c>
      <c r="BG49" s="20">
        <f t="shared" si="7"/>
        <v>249.72074991679361</v>
      </c>
      <c r="BH49" s="59">
        <f t="shared" si="8"/>
        <v>543.05408325012695</v>
      </c>
      <c r="BI49" s="59">
        <f ca="1">AVERAGE(OFFSET($BH$3,0,0,'Données projet'!$E$11+1,1))-AVERAGE(OFFSET($H$3,0,0,'Données projet'!$E$11+1,1))</f>
        <v>217.20784862627357</v>
      </c>
      <c r="BJ49" s="59">
        <f t="shared" si="38"/>
        <v>147.24433901219732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1">
        <f t="shared" si="32"/>
        <v>10.517882008711249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67">
        <f t="shared" si="1"/>
        <v>371.67050783183868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6.8260073260073284</v>
      </c>
      <c r="N50" s="13">
        <f>IF('Données projet'!$A$36&gt;35,N49+M50-V49,IF(A50&lt;'Données projet'!$A$36,$K$205^A50,IF(A50='Données projet'!$A$36,'Données projet'!$B$36,N49+M50-V49)))</f>
        <v>118.48443223443218</v>
      </c>
      <c r="O50" s="13">
        <f>N50*VLOOKUP('Données projet'!$B$9,Paramètres!$A$1:$I$89,3,0)*VLOOKUP('Données projet'!$B$9,Paramètres!$A$1:$I$89,5,0)</f>
        <v>107.20471428571423</v>
      </c>
      <c r="P50" s="13">
        <f t="shared" si="33"/>
        <v>28.671410088969473</v>
      </c>
      <c r="Q50" s="20">
        <f t="shared" si="53"/>
        <v>236.65091661924077</v>
      </c>
      <c r="R50" s="59">
        <f t="shared" si="0"/>
        <v>529.98424995257415</v>
      </c>
      <c r="S50" s="59">
        <f ca="1">AVERAGE(OFFSET($R$3,0,0,'Données projet'!$E$9+1,1))-AVERAGE(OFFSET($H$3,0,0,'Données projet'!$E$9+1,1))</f>
        <v>180.68512008344129</v>
      </c>
      <c r="T50" s="59">
        <f t="shared" si="34"/>
        <v>125.86231758828899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</v>
      </c>
      <c r="AI50" s="13">
        <f>IF('Données projet'!$A$62&gt;35,AI49+AH50-AQ49,IF(A50&lt;'Données projet'!$A$62,$AF$205^A50,IF(A50='Données projet'!$A$62,'Données projet'!$B$62,AI49+AH50-AQ49)))</f>
        <v>196.19999999999987</v>
      </c>
      <c r="AJ50" s="13">
        <f>AI50*VLOOKUP('Données projet'!$B$10,Paramètres!$A$1:$I$89,3,0)*VLOOKUP('Données projet'!$B$10,Paramètres!$A$1:$I$89,5,0)</f>
        <v>168.3395999999999</v>
      </c>
      <c r="AK50" s="13">
        <f t="shared" si="35"/>
        <v>42.717937057957599</v>
      </c>
      <c r="AL50" s="20">
        <f t="shared" si="4"/>
        <v>367.59187704260927</v>
      </c>
      <c r="AM50" s="59">
        <f t="shared" si="5"/>
        <v>660.92521037594258</v>
      </c>
      <c r="AN50" s="59">
        <f ca="1">AVERAGE(OFFSET($AM$3,0,0,'Données projet'!$E$10+1,1))-AVERAGE(OFFSET($H$3,0,0,'Données projet'!$E$10+1,1))</f>
        <v>335.81667389179631</v>
      </c>
      <c r="AO50" s="59">
        <f t="shared" si="36"/>
        <v>137.96364450570718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3.6747240694717598</v>
      </c>
      <c r="AW50" s="21">
        <f>EXP(-LN(2)/2)*AW49+(1-EXP(-LN(2)/2))/(LN(2)/2)*AQ50*AT50*VLOOKUP('Données projet'!$B$10,Paramètres!$A$1:$I$89,3,0)*0.475*44/12</f>
        <v>2.4666716643587952E-2</v>
      </c>
      <c r="AX50" s="21">
        <f t="shared" si="6"/>
        <v>3.6993907861153477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6.8571428571428568</v>
      </c>
      <c r="BD50" s="12">
        <f>IF('Données projet'!$A$88&gt;35,BD49+BC50-BL49,IF(A50&lt;'Données projet'!$A$88,$BA$205^A50,IF(A50='Données projet'!$A$88,'Données projet'!$B$88,BD49+BC50-BL49)))</f>
        <v>118.57142857142858</v>
      </c>
      <c r="BE50" s="13">
        <f>BD50*VLOOKUP('Données projet'!$B$11,Paramètres!$A$1:$I$89,3,0)*VLOOKUP('Données projet'!$B$11,Paramètres!$A$1:$I$89,5,0)</f>
        <v>120.23142857142859</v>
      </c>
      <c r="BF50" s="13">
        <f t="shared" si="37"/>
        <v>31.728970153740839</v>
      </c>
      <c r="BG50" s="20">
        <f t="shared" si="7"/>
        <v>264.66436111300339</v>
      </c>
      <c r="BH50" s="59">
        <f t="shared" si="8"/>
        <v>557.99769444633671</v>
      </c>
      <c r="BI50" s="59">
        <f ca="1">AVERAGE(OFFSET($BH$3,0,0,'Données projet'!$E$11+1,1))-AVERAGE(OFFSET($H$3,0,0,'Données projet'!$E$11+1,1))</f>
        <v>217.20784862627357</v>
      </c>
      <c r="BJ50" s="59">
        <f t="shared" si="38"/>
        <v>147.24433901219732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1">
        <f t="shared" si="32"/>
        <v>10.715375251348382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67">
        <f t="shared" si="1"/>
        <v>373.29146522943171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6.8260073260073284</v>
      </c>
      <c r="N51" s="13">
        <f>IF('Données projet'!$A$36&gt;35,N50+M51-V50,IF(A51&lt;'Données projet'!$A$36,$K$205^A51,IF(A51='Données projet'!$A$36,'Données projet'!$B$36,N50+M51-V50)))</f>
        <v>125.31043956043951</v>
      </c>
      <c r="O51" s="13">
        <f>N51*VLOOKUP('Données projet'!$B$9,Paramètres!$A$1:$I$89,3,0)*VLOOKUP('Données projet'!$B$9,Paramètres!$A$1:$I$89,5,0)</f>
        <v>113.38088571428565</v>
      </c>
      <c r="P51" s="13">
        <f t="shared" si="33"/>
        <v>30.126138765380961</v>
      </c>
      <c r="Q51" s="20">
        <f t="shared" si="53"/>
        <v>249.94140096875267</v>
      </c>
      <c r="R51" s="59">
        <f t="shared" si="0"/>
        <v>543.27473430208602</v>
      </c>
      <c r="S51" s="59">
        <f ca="1">AVERAGE(OFFSET($R$3,0,0,'Données projet'!$E$9+1,1))-AVERAGE(OFFSET($H$3,0,0,'Données projet'!$E$9+1,1))</f>
        <v>180.68512008344129</v>
      </c>
      <c r="T51" s="59">
        <f t="shared" si="34"/>
        <v>125.86231758828899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10.6</v>
      </c>
      <c r="AI51" s="13">
        <f>IF('Données projet'!$A$62&gt;35,AI50+AH51-AQ50,IF(A51&lt;'Données projet'!$A$62,$AF$205^A51,IF(A51='Données projet'!$A$62,'Données projet'!$B$62,AI50+AH51-AQ50)))</f>
        <v>206.79999999999987</v>
      </c>
      <c r="AJ51" s="13">
        <f>AI51*VLOOKUP('Données projet'!$B$10,Paramètres!$A$1:$I$89,3,0)*VLOOKUP('Données projet'!$B$10,Paramètres!$A$1:$I$89,5,0)</f>
        <v>177.4343999999999</v>
      </c>
      <c r="AK51" s="13">
        <f t="shared" si="35"/>
        <v>44.750911401641211</v>
      </c>
      <c r="AL51" s="20">
        <f t="shared" si="4"/>
        <v>386.97275069119155</v>
      </c>
      <c r="AM51" s="59">
        <f t="shared" si="5"/>
        <v>680.30608402452481</v>
      </c>
      <c r="AN51" s="59">
        <f ca="1">AVERAGE(OFFSET($AM$3,0,0,'Données projet'!$E$10+1,1))-AVERAGE(OFFSET($H$3,0,0,'Données projet'!$E$10+1,1))</f>
        <v>335.81667389179631</v>
      </c>
      <c r="AO51" s="59">
        <f t="shared" si="36"/>
        <v>137.96364450570718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3.5742385465467144</v>
      </c>
      <c r="AW51" s="21">
        <f>EXP(-LN(2)/2)*AW50+(1-EXP(-LN(2)/2))/(LN(2)/2)*AQ51*AT51*VLOOKUP('Données projet'!$B$10,Paramètres!$A$1:$I$89,3,0)*0.475*44/12</f>
        <v>1.7442002608288116E-2</v>
      </c>
      <c r="AX51" s="21">
        <f t="shared" si="6"/>
        <v>3.5916805491550026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6.8571428571428568</v>
      </c>
      <c r="BD51" s="12">
        <f>IF('Données projet'!$A$88&gt;35,BD50+BC51-BL50,IF(A51&lt;'Données projet'!$A$88,$BA$205^A51,IF(A51='Données projet'!$A$88,'Données projet'!$B$88,BD50+BC51-BL50)))</f>
        <v>125.42857142857144</v>
      </c>
      <c r="BE51" s="13">
        <f>BD51*VLOOKUP('Données projet'!$B$11,Paramètres!$A$1:$I$89,3,0)*VLOOKUP('Données projet'!$B$11,Paramètres!$A$1:$I$89,5,0)</f>
        <v>127.18457142857145</v>
      </c>
      <c r="BF51" s="13">
        <f t="shared" si="37"/>
        <v>33.344969767895009</v>
      </c>
      <c r="BG51" s="20">
        <f t="shared" si="7"/>
        <v>279.58895091717909</v>
      </c>
      <c r="BH51" s="59">
        <f t="shared" si="8"/>
        <v>572.92228425051235</v>
      </c>
      <c r="BI51" s="59">
        <f ca="1">AVERAGE(OFFSET($BH$3,0,0,'Données projet'!$E$11+1,1))-AVERAGE(OFFSET($H$3,0,0,'Données projet'!$E$11+1,1))</f>
        <v>217.20784862627357</v>
      </c>
      <c r="BJ51" s="59">
        <f t="shared" si="38"/>
        <v>147.24433901219732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1">
        <f t="shared" si="32"/>
        <v>10.912390116516537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67">
        <f t="shared" si="1"/>
        <v>374.9115894529329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6.8260073260073284</v>
      </c>
      <c r="N52" s="13">
        <f>IF('Données projet'!$A$36&gt;35,N51+M52-V51,IF(A52&lt;'Données projet'!$A$36,$K$205^A52,IF(A52='Données projet'!$A$36,'Données projet'!$B$36,N51+M52-V51)))</f>
        <v>132.13644688644683</v>
      </c>
      <c r="O52" s="13">
        <f>N52*VLOOKUP('Données projet'!$B$9,Paramètres!$A$1:$I$89,3,0)*VLOOKUP('Données projet'!$B$9,Paramètres!$A$1:$I$89,5,0)</f>
        <v>119.55705714285709</v>
      </c>
      <c r="P52" s="13">
        <f t="shared" si="33"/>
        <v>31.571667922473026</v>
      </c>
      <c r="Q52" s="20">
        <f t="shared" si="53"/>
        <v>263.21586282211655</v>
      </c>
      <c r="R52" s="59">
        <f t="shared" si="0"/>
        <v>556.54919615544986</v>
      </c>
      <c r="S52" s="59">
        <f ca="1">AVERAGE(OFFSET($R$3,0,0,'Données projet'!$E$9+1,1))-AVERAGE(OFFSET($H$3,0,0,'Données projet'!$E$9+1,1))</f>
        <v>180.68512008344129</v>
      </c>
      <c r="T52" s="59">
        <f t="shared" si="34"/>
        <v>125.86231758828899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10.6</v>
      </c>
      <c r="AI52" s="13">
        <f>IF('Données projet'!$A$62&gt;35,AI51+AH52-AQ51,IF(A52&lt;'Données projet'!$A$62,$AF$205^A52,IF(A52='Données projet'!$A$62,'Données projet'!$B$62,AI51+AH52-AQ51)))</f>
        <v>217.39999999999986</v>
      </c>
      <c r="AJ52" s="13">
        <f>AI52*VLOOKUP('Données projet'!$B$10,Paramètres!$A$1:$I$89,3,0)*VLOOKUP('Données projet'!$B$10,Paramètres!$A$1:$I$89,5,0)</f>
        <v>186.52919999999992</v>
      </c>
      <c r="AK52" s="13">
        <f t="shared" si="35"/>
        <v>46.771786839640335</v>
      </c>
      <c r="AL52" s="20">
        <f t="shared" si="4"/>
        <v>406.33255207904011</v>
      </c>
      <c r="AM52" s="59">
        <f t="shared" si="5"/>
        <v>699.66588541237343</v>
      </c>
      <c r="AN52" s="59">
        <f ca="1">AVERAGE(OFFSET($AM$3,0,0,'Données projet'!$E$10+1,1))-AVERAGE(OFFSET($H$3,0,0,'Données projet'!$E$10+1,1))</f>
        <v>335.81667389179631</v>
      </c>
      <c r="AO52" s="59">
        <f t="shared" si="36"/>
        <v>137.96364450570718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3.4765008055303581</v>
      </c>
      <c r="AW52" s="21">
        <f>EXP(-LN(2)/2)*AW51+(1-EXP(-LN(2)/2))/(LN(2)/2)*AQ52*AT52*VLOOKUP('Données projet'!$B$10,Paramètres!$A$1:$I$89,3,0)*0.475*44/12</f>
        <v>1.2333358321793976E-2</v>
      </c>
      <c r="AX52" s="21">
        <f t="shared" si="6"/>
        <v>3.4888341638521521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6.8571428571428568</v>
      </c>
      <c r="BD52" s="12">
        <f>IF('Données projet'!$A$88&gt;35,BD51+BC52-BL51,IF(A52&lt;'Données projet'!$A$88,$BA$205^A52,IF(A52='Données projet'!$A$88,'Données projet'!$B$88,BD51+BC52-BL51)))</f>
        <v>132.28571428571431</v>
      </c>
      <c r="BE52" s="13">
        <f>BD52*VLOOKUP('Données projet'!$B$11,Paramètres!$A$1:$I$89,3,0)*VLOOKUP('Données projet'!$B$11,Paramètres!$A$1:$I$89,5,0)</f>
        <v>134.13771428571434</v>
      </c>
      <c r="BF52" s="13">
        <f t="shared" si="37"/>
        <v>34.95071313950347</v>
      </c>
      <c r="BG52" s="20">
        <f t="shared" si="7"/>
        <v>294.49567776558769</v>
      </c>
      <c r="BH52" s="59">
        <f t="shared" si="8"/>
        <v>587.829011098921</v>
      </c>
      <c r="BI52" s="59">
        <f ca="1">AVERAGE(OFFSET($BH$3,0,0,'Données projet'!$E$11+1,1))-AVERAGE(OFFSET($H$3,0,0,'Données projet'!$E$11+1,1))</f>
        <v>217.20784862627357</v>
      </c>
      <c r="BJ52" s="59">
        <f t="shared" si="38"/>
        <v>147.24433901219732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1">
        <f t="shared" si="32"/>
        <v>11.108937492002092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67">
        <f t="shared" si="1"/>
        <v>376.53089946523693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6.8260073260073284</v>
      </c>
      <c r="N53" s="13">
        <f>IF('Données projet'!$A$36&gt;35,N52+M53-V52,IF(A53&lt;'Données projet'!$A$36,$K$205^A53,IF(A53='Données projet'!$A$36,'Données projet'!$B$36,N52+M53-V52)))</f>
        <v>138.96245421245416</v>
      </c>
      <c r="O53" s="13">
        <f>N53*VLOOKUP('Données projet'!$B$9,Paramètres!$A$1:$I$89,3,0)*VLOOKUP('Données projet'!$B$9,Paramètres!$A$1:$I$89,5,0)</f>
        <v>125.73322857142851</v>
      </c>
      <c r="P53" s="13">
        <f t="shared" si="33"/>
        <v>33.008527004415768</v>
      </c>
      <c r="Q53" s="20">
        <f t="shared" si="53"/>
        <v>276.47522429459542</v>
      </c>
      <c r="R53" s="59">
        <f t="shared" si="0"/>
        <v>569.80855762792874</v>
      </c>
      <c r="S53" s="59">
        <f ca="1">AVERAGE(OFFSET($R$3,0,0,'Données projet'!$E$9+1,1))-AVERAGE(OFFSET($H$3,0,0,'Données projet'!$E$9+1,1))</f>
        <v>180.68512008344129</v>
      </c>
      <c r="T53" s="59">
        <f t="shared" si="34"/>
        <v>125.86231758828899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228</v>
      </c>
      <c r="AG53" s="12">
        <f>VLOOKUP(A53,'Données projet'!$A$61:$I$81,9,0)</f>
        <v>10.6</v>
      </c>
      <c r="AH53" s="12">
        <f t="array" ref="AH53">INDEX(AG:AG,MIN(IF(ISNUMBER(AG53:AG249),ROW(AG53:AG249),"")))</f>
        <v>10.6</v>
      </c>
      <c r="AI53" s="13">
        <f>IF('Données projet'!$A$62&gt;35,AI52+AH53-AQ52,IF(A53&lt;'Données projet'!$A$62,$AF$205^A53,IF(A53='Données projet'!$A$62,'Données projet'!$B$62,AI52+AH53-AQ52)))</f>
        <v>227.99999999999986</v>
      </c>
      <c r="AJ53" s="13">
        <f>AI53*VLOOKUP('Données projet'!$B$10,Paramètres!$A$1:$I$89,3,0)*VLOOKUP('Données projet'!$B$10,Paramètres!$A$1:$I$89,5,0)</f>
        <v>195.62399999999991</v>
      </c>
      <c r="AK53" s="13">
        <f t="shared" si="35"/>
        <v>48.781220625276006</v>
      </c>
      <c r="AL53" s="20">
        <f t="shared" si="4"/>
        <v>425.67242592235556</v>
      </c>
      <c r="AM53" s="59">
        <f t="shared" si="5"/>
        <v>719.00575925568887</v>
      </c>
      <c r="AN53" s="59">
        <f ca="1">AVERAGE(OFFSET($AM$3,0,0,'Données projet'!$E$10+1,1))-AVERAGE(OFFSET($H$3,0,0,'Données projet'!$E$10+1,1))</f>
        <v>335.81667389179631</v>
      </c>
      <c r="AO53" s="59">
        <f t="shared" si="36"/>
        <v>137.96364450570718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3.3814357081818986</v>
      </c>
      <c r="AW53" s="21">
        <f>EXP(-LN(2)/2)*AW52+(1-EXP(-LN(2)/2))/(LN(2)/2)*AQ53*AT53*VLOOKUP('Données projet'!$B$10,Paramètres!$A$1:$I$89,3,0)*0.475*44/12</f>
        <v>8.721001304144058E-3</v>
      </c>
      <c r="AX53" s="21">
        <f t="shared" si="6"/>
        <v>3.3901567094860425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6.8571428571428568</v>
      </c>
      <c r="BD53" s="12">
        <f>IF('Données projet'!$A$88&gt;35,BD52+BC53-BL52,IF(A53&lt;'Données projet'!$A$88,$BA$205^A53,IF(A53='Données projet'!$A$88,'Données projet'!$B$88,BD52+BC53-BL52)))</f>
        <v>139.14285714285717</v>
      </c>
      <c r="BE53" s="13">
        <f>BD53*VLOOKUP('Données projet'!$B$11,Paramètres!$A$1:$I$89,3,0)*VLOOKUP('Données projet'!$B$11,Paramètres!$A$1:$I$89,5,0)</f>
        <v>141.09085714285717</v>
      </c>
      <c r="BF53" s="13">
        <f t="shared" si="37"/>
        <v>36.546792549468933</v>
      </c>
      <c r="BG53" s="20">
        <f t="shared" si="7"/>
        <v>309.38557321413464</v>
      </c>
      <c r="BH53" s="59">
        <f t="shared" si="8"/>
        <v>602.7189065474679</v>
      </c>
      <c r="BI53" s="59">
        <f ca="1">AVERAGE(OFFSET($BH$3,0,0,'Données projet'!$E$11+1,1))-AVERAGE(OFFSET($H$3,0,0,'Données projet'!$E$11+1,1))</f>
        <v>217.20784862627357</v>
      </c>
      <c r="BJ53" s="59">
        <f t="shared" si="38"/>
        <v>147.24433901219732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1">
        <f t="shared" si="32"/>
        <v>11.305027805177126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67">
        <f t="shared" si="1"/>
        <v>378.14941342735011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145.78846153846155</v>
      </c>
      <c r="L54" s="12">
        <f>VLOOKUP(A54,'Données projet'!$A$35:$I$55,9,0)</f>
        <v>6.8260073260073284</v>
      </c>
      <c r="M54" s="12">
        <f t="array" ref="M54">INDEX(L:L,MIN(IF(ISNUMBER(L54:L250),ROW(L54:L250),"")))</f>
        <v>6.8260073260073284</v>
      </c>
      <c r="N54" s="13">
        <f>IF('Données projet'!$A$36&gt;35,N53+M54-V53,IF(A54&lt;'Données projet'!$A$36,$K$205^A54,IF(A54='Données projet'!$A$36,'Données projet'!$B$36,N53+M54-V53)))</f>
        <v>145.78846153846149</v>
      </c>
      <c r="O54" s="13">
        <f>N54*VLOOKUP('Données projet'!$B$9,Paramètres!$A$1:$I$89,3,0)*VLOOKUP('Données projet'!$B$9,Paramètres!$A$1:$I$89,5,0)</f>
        <v>131.90939999999995</v>
      </c>
      <c r="P54" s="13">
        <f t="shared" si="33"/>
        <v>34.437190502969557</v>
      </c>
      <c r="Q54" s="20">
        <f t="shared" si="53"/>
        <v>289.72031179267179</v>
      </c>
      <c r="R54" s="59">
        <f t="shared" si="0"/>
        <v>583.05364512600511</v>
      </c>
      <c r="S54" s="59">
        <f ca="1">AVERAGE(OFFSET($R$3,0,0,'Données projet'!$E$9+1,1))-AVERAGE(OFFSET($H$3,0,0,'Données projet'!$E$9+1,1))</f>
        <v>180.68512008344129</v>
      </c>
      <c r="T54" s="59">
        <f t="shared" si="34"/>
        <v>125.86231758828899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37.685897435897431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10.8</v>
      </c>
      <c r="AI54" s="13">
        <f>IF('Données projet'!$A$62&gt;35,AI53+AH54-AQ53,IF(A54&lt;'Données projet'!$A$62,$AF$205^A54,IF(A54='Données projet'!$A$62,'Données projet'!$B$62,AI53+AH54-AQ53)))</f>
        <v>174.79999999999987</v>
      </c>
      <c r="AJ54" s="13">
        <f>AI54*VLOOKUP('Données projet'!$B$10,Paramètres!$A$1:$I$89,3,0)*VLOOKUP('Données projet'!$B$10,Paramètres!$A$1:$I$89,5,0)</f>
        <v>149.97839999999991</v>
      </c>
      <c r="AK54" s="13">
        <f t="shared" si="35"/>
        <v>38.573676902204156</v>
      </c>
      <c r="AL54" s="20">
        <f t="shared" si="4"/>
        <v>328.39486727133874</v>
      </c>
      <c r="AM54" s="59">
        <f t="shared" si="5"/>
        <v>621.72820060467211</v>
      </c>
      <c r="AN54" s="59">
        <f ca="1">AVERAGE(OFFSET($AM$3,0,0,'Données projet'!$E$10+1,1))-AVERAGE(OFFSET($H$3,0,0,'Données projet'!$E$10+1,1))</f>
        <v>335.81667389179631</v>
      </c>
      <c r="AO54" s="59">
        <f t="shared" si="36"/>
        <v>137.96364450570718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3.288970170919689</v>
      </c>
      <c r="AW54" s="21">
        <f>EXP(-LN(2)/2)*AW53+(1-EXP(-LN(2)/2))/(LN(2)/2)*AQ54*AT54*VLOOKUP('Données projet'!$B$10,Paramètres!$A$1:$I$89,3,0)*0.475*44/12</f>
        <v>6.166679160896988E-3</v>
      </c>
      <c r="AX54" s="21">
        <f t="shared" si="6"/>
        <v>3.2951368500805862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146</v>
      </c>
      <c r="BB54" s="12">
        <f>VLOOKUP(A54,'Données projet'!$A$87:$I$107,9,0)</f>
        <v>6.8571428571428568</v>
      </c>
      <c r="BC54" s="12">
        <f t="array" ref="BC54">INDEX(BB:BB,MIN(IF(ISNUMBER(BB54:BB250),ROW(BB54:BB250),"")))</f>
        <v>6.8571428571428568</v>
      </c>
      <c r="BD54" s="12">
        <f>IF('Données projet'!$A$88&gt;35,BD53+BC54-BL53,IF(A54&lt;'Données projet'!$A$88,$BA$205^A54,IF(A54='Données projet'!$A$88,'Données projet'!$B$88,BD53+BC54-BL53)))</f>
        <v>146.00000000000003</v>
      </c>
      <c r="BE54" s="13">
        <f>BD54*VLOOKUP('Données projet'!$B$11,Paramètres!$A$1:$I$89,3,0)*VLOOKUP('Données projet'!$B$11,Paramètres!$A$1:$I$89,5,0)</f>
        <v>148.04400000000004</v>
      </c>
      <c r="BF54" s="13">
        <f t="shared" si="37"/>
        <v>38.133738604016052</v>
      </c>
      <c r="BG54" s="20">
        <f t="shared" si="7"/>
        <v>324.25956140199474</v>
      </c>
      <c r="BH54" s="59">
        <f t="shared" si="8"/>
        <v>617.59289473532806</v>
      </c>
      <c r="BI54" s="59">
        <f ca="1">AVERAGE(OFFSET($BH$3,0,0,'Données projet'!$E$11+1,1))-AVERAGE(OFFSET($H$3,0,0,'Données projet'!$E$11+1,1))</f>
        <v>217.20784862627357</v>
      </c>
      <c r="BJ54" s="59">
        <f t="shared" si="38"/>
        <v>147.24433901219732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38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1">
        <f t="shared" si="32"/>
        <v>11.500671051108624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67">
        <f t="shared" si="1"/>
        <v>379.76714874734745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6.3942307692307665</v>
      </c>
      <c r="N55" s="13">
        <f>IF('Données projet'!$A$36&gt;35,N54+M55-V54,IF(A55&lt;'Données projet'!$A$36,$K$205^A55,IF(A55='Données projet'!$A$36,'Données projet'!$B$36,N54+M55-V54)))</f>
        <v>114.49679487179483</v>
      </c>
      <c r="O55" s="13">
        <f>N55*VLOOKUP('Données projet'!$B$9,Paramètres!$A$1:$I$89,3,0)*VLOOKUP('Données projet'!$B$9,Paramètres!$A$1:$I$89,5,0)</f>
        <v>103.59669999999997</v>
      </c>
      <c r="P55" s="13">
        <f t="shared" si="33"/>
        <v>27.817091630299288</v>
      </c>
      <c r="Q55" s="20">
        <f t="shared" si="53"/>
        <v>228.87902042277122</v>
      </c>
      <c r="R55" s="59">
        <f t="shared" si="0"/>
        <v>522.21235375610456</v>
      </c>
      <c r="S55" s="59">
        <f ca="1">AVERAGE(OFFSET($R$3,0,0,'Données projet'!$E$9+1,1))-AVERAGE(OFFSET($H$3,0,0,'Données projet'!$E$9+1,1))</f>
        <v>180.68512008344129</v>
      </c>
      <c r="T55" s="59">
        <f t="shared" si="34"/>
        <v>125.86231758828899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10.8</v>
      </c>
      <c r="AI55" s="13">
        <f>IF('Données projet'!$A$62&gt;35,AI54+AH55-AQ54,IF(A55&lt;'Données projet'!$A$62,$AF$205^A55,IF(A55='Données projet'!$A$62,'Données projet'!$B$62,AI54+AH55-AQ54)))</f>
        <v>185.59999999999988</v>
      </c>
      <c r="AJ55" s="13">
        <f>AI55*VLOOKUP('Données projet'!$B$10,Paramètres!$A$1:$I$89,3,0)*VLOOKUP('Données projet'!$B$10,Paramètres!$A$1:$I$89,5,0)</f>
        <v>159.24479999999991</v>
      </c>
      <c r="AK55" s="13">
        <f t="shared" si="35"/>
        <v>40.672131063901716</v>
      </c>
      <c r="AL55" s="20">
        <f t="shared" si="4"/>
        <v>348.18865493629534</v>
      </c>
      <c r="AM55" s="59">
        <f t="shared" si="5"/>
        <v>641.52198826962865</v>
      </c>
      <c r="AN55" s="59">
        <f ca="1">AVERAGE(OFFSET($AM$3,0,0,'Données projet'!$E$10+1,1))-AVERAGE(OFFSET($H$3,0,0,'Données projet'!$E$10+1,1))</f>
        <v>335.81667389179631</v>
      </c>
      <c r="AO55" s="59">
        <f t="shared" si="36"/>
        <v>137.96364450570718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3.1990331086364661</v>
      </c>
      <c r="AW55" s="21">
        <f>EXP(-LN(2)/2)*AW54+(1-EXP(-LN(2)/2))/(LN(2)/2)*AQ55*AT55*VLOOKUP('Données projet'!$B$10,Paramètres!$A$1:$I$89,3,0)*0.475*44/12</f>
        <v>4.360500652072029E-3</v>
      </c>
      <c r="AX55" s="21">
        <f t="shared" si="6"/>
        <v>3.203393609288538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6.375</v>
      </c>
      <c r="BD55" s="12">
        <f>IF('Données projet'!$A$88&gt;35,BD54+BC55-BL54,IF(A55&lt;'Données projet'!$A$88,$BA$205^A55,IF(A55='Données projet'!$A$88,'Données projet'!$B$88,BD54+BC55-BL54)))</f>
        <v>114.37500000000003</v>
      </c>
      <c r="BE55" s="13">
        <f>BD55*VLOOKUP('Données projet'!$B$11,Paramètres!$A$1:$I$89,3,0)*VLOOKUP('Données projet'!$B$11,Paramètres!$A$1:$I$89,5,0)</f>
        <v>115.97625000000002</v>
      </c>
      <c r="BF55" s="13">
        <f t="shared" si="37"/>
        <v>30.734670968141771</v>
      </c>
      <c r="BG55" s="20">
        <f t="shared" si="7"/>
        <v>255.52152068618025</v>
      </c>
      <c r="BH55" s="59">
        <f t="shared" si="8"/>
        <v>548.8548540195136</v>
      </c>
      <c r="BI55" s="59">
        <f ca="1">AVERAGE(OFFSET($BH$3,0,0,'Données projet'!$E$11+1,1))-AVERAGE(OFFSET($H$3,0,0,'Données projet'!$E$11+1,1))</f>
        <v>217.20784862627357</v>
      </c>
      <c r="BJ55" s="59">
        <f t="shared" si="38"/>
        <v>147.24433901219732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1">
        <f t="shared" si="32"/>
        <v>11.695876818444219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67">
        <f t="shared" si="1"/>
        <v>381.38412212545694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6.3942307692307665</v>
      </c>
      <c r="N56" s="13">
        <f>IF('Données projet'!$A$36&gt;35,N55+M56-V55,IF(A56&lt;'Données projet'!$A$36,$K$205^A56,IF(A56='Données projet'!$A$36,'Données projet'!$B$36,N55+M56-V55)))</f>
        <v>120.89102564102561</v>
      </c>
      <c r="O56" s="13">
        <f>N56*VLOOKUP('Données projet'!$B$9,Paramètres!$A$1:$I$89,3,0)*VLOOKUP('Données projet'!$B$9,Paramètres!$A$1:$I$89,5,0)</f>
        <v>109.38219999999997</v>
      </c>
      <c r="P56" s="13">
        <f t="shared" si="33"/>
        <v>29.185378395108014</v>
      </c>
      <c r="Q56" s="20">
        <f t="shared" si="53"/>
        <v>241.33853237147972</v>
      </c>
      <c r="R56" s="59">
        <f t="shared" si="0"/>
        <v>534.67186570481306</v>
      </c>
      <c r="S56" s="59">
        <f ca="1">AVERAGE(OFFSET($R$3,0,0,'Données projet'!$E$9+1,1))-AVERAGE(OFFSET($H$3,0,0,'Données projet'!$E$9+1,1))</f>
        <v>180.68512008344129</v>
      </c>
      <c r="T56" s="59">
        <f t="shared" si="34"/>
        <v>125.86231758828899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10.8</v>
      </c>
      <c r="AI56" s="13">
        <f>IF('Données projet'!$A$62&gt;35,AI55+AH56-AQ55,IF(A56&lt;'Données projet'!$A$62,$AF$205^A56,IF(A56='Données projet'!$A$62,'Données projet'!$B$62,AI55+AH56-AQ55)))</f>
        <v>196.39999999999989</v>
      </c>
      <c r="AJ56" s="13">
        <f>AI56*VLOOKUP('Données projet'!$B$10,Paramètres!$A$1:$I$89,3,0)*VLOOKUP('Données projet'!$B$10,Paramètres!$A$1:$I$89,5,0)</f>
        <v>168.51119999999995</v>
      </c>
      <c r="AK56" s="13">
        <f t="shared" si="35"/>
        <v>42.756411401172556</v>
      </c>
      <c r="AL56" s="20">
        <f t="shared" si="4"/>
        <v>367.95775652370872</v>
      </c>
      <c r="AM56" s="59">
        <f t="shared" si="5"/>
        <v>661.29108985704204</v>
      </c>
      <c r="AN56" s="59">
        <f ca="1">AVERAGE(OFFSET($AM$3,0,0,'Données projet'!$E$10+1,1))-AVERAGE(OFFSET($H$3,0,0,'Données projet'!$E$10+1,1))</f>
        <v>335.81667389179631</v>
      </c>
      <c r="AO56" s="59">
        <f t="shared" si="36"/>
        <v>137.96364450570718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3.1115553800509623</v>
      </c>
      <c r="AW56" s="21">
        <f>EXP(-LN(2)/2)*AW55+(1-EXP(-LN(2)/2))/(LN(2)/2)*AQ56*AT56*VLOOKUP('Données projet'!$B$10,Paramètres!$A$1:$I$89,3,0)*0.475*44/12</f>
        <v>3.083339580448494E-3</v>
      </c>
      <c r="AX56" s="21">
        <f t="shared" si="6"/>
        <v>3.1146387196314107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6.375</v>
      </c>
      <c r="BD56" s="12">
        <f>IF('Données projet'!$A$88&gt;35,BD55+BC56-BL55,IF(A56&lt;'Données projet'!$A$88,$BA$205^A56,IF(A56='Données projet'!$A$88,'Données projet'!$B$88,BD55+BC56-BL55)))</f>
        <v>120.75000000000003</v>
      </c>
      <c r="BE56" s="13">
        <f>BD56*VLOOKUP('Données projet'!$B$11,Paramètres!$A$1:$I$89,3,0)*VLOOKUP('Données projet'!$B$11,Paramètres!$A$1:$I$89,5,0)</f>
        <v>122.44050000000004</v>
      </c>
      <c r="BF56" s="13">
        <f t="shared" si="37"/>
        <v>32.24353714933843</v>
      </c>
      <c r="BG56" s="20">
        <f t="shared" si="7"/>
        <v>269.40803136843118</v>
      </c>
      <c r="BH56" s="59">
        <f t="shared" si="8"/>
        <v>562.7413647017645</v>
      </c>
      <c r="BI56" s="59">
        <f ca="1">AVERAGE(OFFSET($BH$3,0,0,'Données projet'!$E$11+1,1))-AVERAGE(OFFSET($H$3,0,0,'Données projet'!$E$11+1,1))</f>
        <v>217.20784862627357</v>
      </c>
      <c r="BJ56" s="59">
        <f t="shared" si="38"/>
        <v>147.24433901219732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1">
        <f t="shared" si="32"/>
        <v>11.890654313289092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67">
        <f t="shared" si="1"/>
        <v>383.0003495956451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6.3942307692307665</v>
      </c>
      <c r="N57" s="13">
        <f>IF('Données projet'!$A$36&gt;35,N56+M57-V56,IF(A57&lt;'Données projet'!$A$36,$K$205^A57,IF(A57='Données projet'!$A$36,'Données projet'!$B$36,N56+M57-V56)))</f>
        <v>127.28525641025638</v>
      </c>
      <c r="O57" s="13">
        <f>N57*VLOOKUP('Données projet'!$B$9,Paramètres!$A$1:$I$89,3,0)*VLOOKUP('Données projet'!$B$9,Paramètres!$A$1:$I$89,5,0)</f>
        <v>115.16769999999995</v>
      </c>
      <c r="P57" s="13">
        <f t="shared" si="33"/>
        <v>30.545262787038261</v>
      </c>
      <c r="Q57" s="20">
        <f t="shared" si="53"/>
        <v>253.78341018742489</v>
      </c>
      <c r="R57" s="59">
        <f t="shared" si="0"/>
        <v>547.11674352075818</v>
      </c>
      <c r="S57" s="59">
        <f ca="1">AVERAGE(OFFSET($R$3,0,0,'Données projet'!$E$9+1,1))-AVERAGE(OFFSET($H$3,0,0,'Données projet'!$E$9+1,1))</f>
        <v>180.68512008344129</v>
      </c>
      <c r="T57" s="59">
        <f t="shared" si="34"/>
        <v>125.86231758828899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10.8</v>
      </c>
      <c r="AI57" s="13">
        <f>IF('Données projet'!$A$62&gt;35,AI56+AH57-AQ56,IF(A57&lt;'Données projet'!$A$62,$AF$205^A57,IF(A57='Données projet'!$A$62,'Données projet'!$B$62,AI56+AH57-AQ56)))</f>
        <v>207.1999999999999</v>
      </c>
      <c r="AJ57" s="13">
        <f>AI57*VLOOKUP('Données projet'!$B$10,Paramètres!$A$1:$I$89,3,0)*VLOOKUP('Données projet'!$B$10,Paramètres!$A$1:$I$89,5,0)</f>
        <v>177.77759999999992</v>
      </c>
      <c r="AK57" s="13">
        <f t="shared" si="35"/>
        <v>44.827386173754917</v>
      </c>
      <c r="AL57" s="20">
        <f t="shared" si="4"/>
        <v>387.70368425262296</v>
      </c>
      <c r="AM57" s="59">
        <f t="shared" si="5"/>
        <v>681.03701758595628</v>
      </c>
      <c r="AN57" s="59">
        <f ca="1">AVERAGE(OFFSET($AM$3,0,0,'Données projet'!$E$10+1,1))-AVERAGE(OFFSET($H$3,0,0,'Données projet'!$E$10+1,1))</f>
        <v>335.81667389179631</v>
      </c>
      <c r="AO57" s="59">
        <f t="shared" si="36"/>
        <v>137.96364450570718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3.0264697345538827</v>
      </c>
      <c r="AW57" s="21">
        <f>EXP(-LN(2)/2)*AW56+(1-EXP(-LN(2)/2))/(LN(2)/2)*AQ57*AT57*VLOOKUP('Données projet'!$B$10,Paramètres!$A$1:$I$89,3,0)*0.475*44/12</f>
        <v>2.1802503260360145E-3</v>
      </c>
      <c r="AX57" s="21">
        <f t="shared" si="6"/>
        <v>3.0286499848799187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6.375</v>
      </c>
      <c r="BD57" s="12">
        <f>IF('Données projet'!$A$88&gt;35,BD56+BC57-BL56,IF(A57&lt;'Données projet'!$A$88,$BA$205^A57,IF(A57='Données projet'!$A$88,'Données projet'!$B$88,BD56+BC57-BL56)))</f>
        <v>127.12500000000003</v>
      </c>
      <c r="BE57" s="13">
        <f>BD57*VLOOKUP('Données projet'!$B$11,Paramètres!$A$1:$I$89,3,0)*VLOOKUP('Données projet'!$B$11,Paramètres!$A$1:$I$89,5,0)</f>
        <v>128.90475000000004</v>
      </c>
      <c r="BF57" s="13">
        <f t="shared" si="37"/>
        <v>33.743154729835695</v>
      </c>
      <c r="BG57" s="20">
        <f t="shared" si="7"/>
        <v>283.27843407113056</v>
      </c>
      <c r="BH57" s="59">
        <f t="shared" si="8"/>
        <v>576.61176740446388</v>
      </c>
      <c r="BI57" s="59">
        <f ca="1">AVERAGE(OFFSET($BH$3,0,0,'Données projet'!$E$11+1,1))-AVERAGE(OFFSET($H$3,0,0,'Données projet'!$E$11+1,1))</f>
        <v>217.20784862627357</v>
      </c>
      <c r="BJ57" s="59">
        <f t="shared" si="38"/>
        <v>147.24433901219732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1">
        <f t="shared" si="32"/>
        <v>12.085012381264168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67">
        <f t="shared" si="1"/>
        <v>384.615846564035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6.3942307692307665</v>
      </c>
      <c r="N58" s="13">
        <f>IF('Données projet'!$A$36&gt;35,N57+M58-V57,IF(A58&lt;'Données projet'!$A$36,$K$205^A58,IF(A58='Données projet'!$A$36,'Données projet'!$B$36,N57+M58-V57)))</f>
        <v>133.67948717948715</v>
      </c>
      <c r="O58" s="13">
        <f>N58*VLOOKUP('Données projet'!$B$9,Paramètres!$A$1:$I$89,3,0)*VLOOKUP('Données projet'!$B$9,Paramètres!$A$1:$I$89,5,0)</f>
        <v>120.95319999999997</v>
      </c>
      <c r="P58" s="13">
        <f t="shared" si="33"/>
        <v>31.897215065171491</v>
      </c>
      <c r="Q58" s="20">
        <f t="shared" si="53"/>
        <v>266.21447290517364</v>
      </c>
      <c r="R58" s="59">
        <f t="shared" si="0"/>
        <v>559.54780623850695</v>
      </c>
      <c r="S58" s="59">
        <f ca="1">AVERAGE(OFFSET($R$3,0,0,'Données projet'!$E$9+1,1))-AVERAGE(OFFSET($H$3,0,0,'Données projet'!$E$9+1,1))</f>
        <v>180.68512008344129</v>
      </c>
      <c r="T58" s="59">
        <f t="shared" si="34"/>
        <v>125.86231758828899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10.8</v>
      </c>
      <c r="AI58" s="13">
        <f>IF('Données projet'!$A$62&gt;35,AI57+AH58-AQ57,IF(A58&lt;'Données projet'!$A$62,$AF$205^A58,IF(A58='Données projet'!$A$62,'Données projet'!$B$62,AI57+AH58-AQ57)))</f>
        <v>217.99999999999991</v>
      </c>
      <c r="AJ58" s="13">
        <f>AI58*VLOOKUP('Données projet'!$B$10,Paramètres!$A$1:$I$89,3,0)*VLOOKUP('Données projet'!$B$10,Paramètres!$A$1:$I$89,5,0)</f>
        <v>187.04399999999995</v>
      </c>
      <c r="AK58" s="13">
        <f t="shared" si="35"/>
        <v>46.885828015531139</v>
      </c>
      <c r="AL58" s="20">
        <f t="shared" si="4"/>
        <v>407.42778379371663</v>
      </c>
      <c r="AM58" s="59">
        <f t="shared" si="5"/>
        <v>700.76111712704994</v>
      </c>
      <c r="AN58" s="59">
        <f ca="1">AVERAGE(OFFSET($AM$3,0,0,'Données projet'!$E$10+1,1))-AVERAGE(OFFSET($H$3,0,0,'Données projet'!$E$10+1,1))</f>
        <v>335.81667389179631</v>
      </c>
      <c r="AO58" s="59">
        <f t="shared" si="36"/>
        <v>137.96364450570718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2.9437107605073805</v>
      </c>
      <c r="AW58" s="21">
        <f>EXP(-LN(2)/2)*AW57+(1-EXP(-LN(2)/2))/(LN(2)/2)*AQ58*AT58*VLOOKUP('Données projet'!$B$10,Paramètres!$A$1:$I$89,3,0)*0.475*44/12</f>
        <v>1.541669790224247E-3</v>
      </c>
      <c r="AX58" s="21">
        <f t="shared" si="6"/>
        <v>2.9452524302976046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6.375</v>
      </c>
      <c r="BD58" s="12">
        <f>IF('Données projet'!$A$88&gt;35,BD57+BC58-BL57,IF(A58&lt;'Données projet'!$A$88,$BA$205^A58,IF(A58='Données projet'!$A$88,'Données projet'!$B$88,BD57+BC58-BL57)))</f>
        <v>133.50000000000003</v>
      </c>
      <c r="BE58" s="13">
        <f>BD58*VLOOKUP('Données projet'!$B$11,Paramètres!$A$1:$I$89,3,0)*VLOOKUP('Données projet'!$B$11,Paramètres!$A$1:$I$89,5,0)</f>
        <v>135.36900000000003</v>
      </c>
      <c r="BF58" s="13">
        <f t="shared" si="37"/>
        <v>35.234040424768843</v>
      </c>
      <c r="BG58" s="20">
        <f t="shared" si="7"/>
        <v>297.13362873980577</v>
      </c>
      <c r="BH58" s="59">
        <f t="shared" si="8"/>
        <v>590.46696207313903</v>
      </c>
      <c r="BI58" s="59">
        <f ca="1">AVERAGE(OFFSET($BH$3,0,0,'Données projet'!$E$11+1,1))-AVERAGE(OFFSET($H$3,0,0,'Données projet'!$E$11+1,1))</f>
        <v>217.20784862627357</v>
      </c>
      <c r="BJ58" s="59">
        <f t="shared" si="38"/>
        <v>147.24433901219732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1">
        <f t="shared" si="32"/>
        <v>12.278959527914731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67">
        <f t="shared" si="1"/>
        <v>386.23062784445136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6.3942307692307665</v>
      </c>
      <c r="N59" s="13">
        <f>IF('Données projet'!$A$36&gt;35,N58+M59-V58,IF(A59&lt;'Données projet'!$A$36,$K$205^A59,IF(A59='Données projet'!$A$36,'Données projet'!$B$36,N58+M59-V58)))</f>
        <v>140.07371794871793</v>
      </c>
      <c r="O59" s="13">
        <f>N59*VLOOKUP('Données projet'!$B$9,Paramètres!$A$1:$I$89,3,0)*VLOOKUP('Données projet'!$B$9,Paramètres!$A$1:$I$89,5,0)</f>
        <v>126.73869999999998</v>
      </c>
      <c r="P59" s="13">
        <f t="shared" si="33"/>
        <v>33.241657959244336</v>
      </c>
      <c r="Q59" s="20">
        <f t="shared" si="53"/>
        <v>278.63245677901716</v>
      </c>
      <c r="R59" s="59">
        <f t="shared" si="0"/>
        <v>571.96579011235053</v>
      </c>
      <c r="S59" s="59">
        <f ca="1">AVERAGE(OFFSET($R$3,0,0,'Données projet'!$E$9+1,1))-AVERAGE(OFFSET($H$3,0,0,'Données projet'!$E$9+1,1))</f>
        <v>180.68512008344129</v>
      </c>
      <c r="T59" s="59">
        <f t="shared" si="34"/>
        <v>125.86231758828899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10.8</v>
      </c>
      <c r="AI59" s="13">
        <f>IF('Données projet'!$A$62&gt;35,AI58+AH59-AQ58,IF(A59&lt;'Données projet'!$A$62,$AF$205^A59,IF(A59='Données projet'!$A$62,'Données projet'!$B$62,AI58+AH59-AQ58)))</f>
        <v>228.79999999999993</v>
      </c>
      <c r="AJ59" s="13">
        <f>AI59*VLOOKUP('Données projet'!$B$10,Paramètres!$A$1:$I$89,3,0)*VLOOKUP('Données projet'!$B$10,Paramètres!$A$1:$I$89,5,0)</f>
        <v>196.31039999999996</v>
      </c>
      <c r="AK59" s="13">
        <f t="shared" si="35"/>
        <v>48.932428681108973</v>
      </c>
      <c r="AL59" s="20">
        <f t="shared" si="4"/>
        <v>427.13125995293143</v>
      </c>
      <c r="AM59" s="59">
        <f t="shared" si="5"/>
        <v>720.46459328626474</v>
      </c>
      <c r="AN59" s="59">
        <f ca="1">AVERAGE(OFFSET($AM$3,0,0,'Données projet'!$E$10+1,1))-AVERAGE(OFFSET($H$3,0,0,'Données projet'!$E$10+1,1))</f>
        <v>335.81667389179631</v>
      </c>
      <c r="AO59" s="59">
        <f t="shared" si="36"/>
        <v>137.96364450570718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2.8632148349582853</v>
      </c>
      <c r="AW59" s="21">
        <f>EXP(-LN(2)/2)*AW58+(1-EXP(-LN(2)/2))/(LN(2)/2)*AQ59*AT59*VLOOKUP('Données projet'!$B$10,Paramètres!$A$1:$I$89,3,0)*0.475*44/12</f>
        <v>1.0901251630180072E-3</v>
      </c>
      <c r="AX59" s="21">
        <f t="shared" si="6"/>
        <v>2.8643049601213035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6.375</v>
      </c>
      <c r="BD59" s="12">
        <f>IF('Données projet'!$A$88&gt;35,BD58+BC59-BL58,IF(A59&lt;'Données projet'!$A$88,$BA$205^A59,IF(A59='Données projet'!$A$88,'Données projet'!$B$88,BD58+BC59-BL58)))</f>
        <v>139.87500000000003</v>
      </c>
      <c r="BE59" s="13">
        <f>BD59*VLOOKUP('Données projet'!$B$11,Paramètres!$A$1:$I$89,3,0)*VLOOKUP('Données projet'!$B$11,Paramètres!$A$1:$I$89,5,0)</f>
        <v>141.83325000000002</v>
      </c>
      <c r="BF59" s="13">
        <f t="shared" si="37"/>
        <v>36.71665881162108</v>
      </c>
      <c r="BG59" s="20">
        <f t="shared" si="7"/>
        <v>310.97442451357341</v>
      </c>
      <c r="BH59" s="59">
        <f t="shared" si="8"/>
        <v>604.30775784690672</v>
      </c>
      <c r="BI59" s="59">
        <f ca="1">AVERAGE(OFFSET($BH$3,0,0,'Données projet'!$E$11+1,1))-AVERAGE(OFFSET($H$3,0,0,'Données projet'!$E$11+1,1))</f>
        <v>217.20784862627357</v>
      </c>
      <c r="BJ59" s="59">
        <f t="shared" si="38"/>
        <v>147.24433901219732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1">
        <f t="shared" si="32"/>
        <v>12.472503937619955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67">
        <f t="shared" si="1"/>
        <v>387.84470769135464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6.3942307692307665</v>
      </c>
      <c r="N60" s="13">
        <f>IF('Données projet'!$A$36&gt;35,N59+M60-V59,IF(A60&lt;'Données projet'!$A$36,$K$205^A60,IF(A60='Données projet'!$A$36,'Données projet'!$B$36,N59+M60-V59)))</f>
        <v>146.4679487179487</v>
      </c>
      <c r="O60" s="13">
        <f>N60*VLOOKUP('Données projet'!$B$9,Paramètres!$A$1:$I$89,3,0)*VLOOKUP('Données projet'!$B$9,Paramètres!$A$1:$I$89,5,0)</f>
        <v>132.52419999999998</v>
      </c>
      <c r="P60" s="13">
        <f t="shared" si="33"/>
        <v>34.578973423062216</v>
      </c>
      <c r="Q60" s="20">
        <f t="shared" si="53"/>
        <v>291.03802704516664</v>
      </c>
      <c r="R60" s="59">
        <f t="shared" si="0"/>
        <v>584.37136037849996</v>
      </c>
      <c r="S60" s="59">
        <f ca="1">AVERAGE(OFFSET($R$3,0,0,'Données projet'!$E$9+1,1))-AVERAGE(OFFSET($H$3,0,0,'Données projet'!$E$9+1,1))</f>
        <v>180.68512008344129</v>
      </c>
      <c r="T60" s="59">
        <f t="shared" si="34"/>
        <v>125.86231758828899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10.8</v>
      </c>
      <c r="AI60" s="13">
        <f>IF('Données projet'!$A$62&gt;35,AI59+AH60-AQ59,IF(A60&lt;'Données projet'!$A$62,$AF$205^A60,IF(A60='Données projet'!$A$62,'Données projet'!$B$62,AI59+AH60-AQ59)))</f>
        <v>239.59999999999994</v>
      </c>
      <c r="AJ60" s="13">
        <f>AI60*VLOOKUP('Données projet'!$B$10,Paramètres!$A$1:$I$89,3,0)*VLOOKUP('Données projet'!$B$10,Paramètres!$A$1:$I$89,5,0)</f>
        <v>205.57679999999996</v>
      </c>
      <c r="AK60" s="13">
        <f t="shared" si="35"/>
        <v>50.967810929232002</v>
      </c>
      <c r="AL60" s="20">
        <f t="shared" si="4"/>
        <v>446.81519736841233</v>
      </c>
      <c r="AM60" s="59">
        <f t="shared" si="5"/>
        <v>740.14853070174559</v>
      </c>
      <c r="AN60" s="59">
        <f ca="1">AVERAGE(OFFSET($AM$3,0,0,'Données projet'!$E$10+1,1))-AVERAGE(OFFSET($H$3,0,0,'Données projet'!$E$10+1,1))</f>
        <v>335.81667389179631</v>
      </c>
      <c r="AO60" s="59">
        <f t="shared" si="36"/>
        <v>137.96364450570718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2.7849200747264269</v>
      </c>
      <c r="AW60" s="21">
        <f>EXP(-LN(2)/2)*AW59+(1-EXP(-LN(2)/2))/(LN(2)/2)*AQ60*AT60*VLOOKUP('Données projet'!$B$10,Paramètres!$A$1:$I$89,3,0)*0.475*44/12</f>
        <v>7.708348951121235E-4</v>
      </c>
      <c r="AX60" s="21">
        <f t="shared" si="6"/>
        <v>2.7856909096215392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6.375</v>
      </c>
      <c r="BD60" s="12">
        <f>IF('Données projet'!$A$88&gt;35,BD59+BC60-BL59,IF(A60&lt;'Données projet'!$A$88,$BA$205^A60,IF(A60='Données projet'!$A$88,'Données projet'!$B$88,BD59+BC60-BL59)))</f>
        <v>146.25000000000003</v>
      </c>
      <c r="BE60" s="13">
        <f>BD60*VLOOKUP('Données projet'!$B$11,Paramètres!$A$1:$I$89,3,0)*VLOOKUP('Données projet'!$B$11,Paramètres!$A$1:$I$89,5,0)</f>
        <v>148.29750000000004</v>
      </c>
      <c r="BF60" s="13">
        <f t="shared" si="37"/>
        <v>38.191429726636798</v>
      </c>
      <c r="BG60" s="20">
        <f t="shared" si="7"/>
        <v>324.80155260722586</v>
      </c>
      <c r="BH60" s="59">
        <f t="shared" si="8"/>
        <v>618.13488594055912</v>
      </c>
      <c r="BI60" s="59">
        <f ca="1">AVERAGE(OFFSET($BH$3,0,0,'Données projet'!$E$11+1,1))-AVERAGE(OFFSET($H$3,0,0,'Données projet'!$E$11+1,1))</f>
        <v>217.20784862627357</v>
      </c>
      <c r="BJ60" s="59">
        <f t="shared" si="38"/>
        <v>147.24433901219732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1">
        <f t="shared" si="32"/>
        <v>12.665653491137919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67">
        <f t="shared" si="1"/>
        <v>389.4580998303984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6.3942307692307665</v>
      </c>
      <c r="N61" s="13">
        <f>IF('Données projet'!$A$36&gt;35,N60+M61-V60,IF(A61&lt;'Données projet'!$A$36,$K$205^A61,IF(A61='Données projet'!$A$36,'Données projet'!$B$36,N60+M61-V60)))</f>
        <v>152.86217948717947</v>
      </c>
      <c r="O61" s="13">
        <f>N61*VLOOKUP('Données projet'!$B$9,Paramètres!$A$1:$I$89,3,0)*VLOOKUP('Données projet'!$B$9,Paramètres!$A$1:$I$89,5,0)</f>
        <v>138.30969999999999</v>
      </c>
      <c r="P61" s="13">
        <f t="shared" si="33"/>
        <v>35.909508175318372</v>
      </c>
      <c r="Q61" s="20">
        <f t="shared" si="53"/>
        <v>303.43178757201281</v>
      </c>
      <c r="R61" s="59">
        <f t="shared" si="0"/>
        <v>596.76512090534607</v>
      </c>
      <c r="S61" s="59">
        <f ca="1">AVERAGE(OFFSET($R$3,0,0,'Données projet'!$E$9+1,1))-AVERAGE(OFFSET($H$3,0,0,'Données projet'!$E$9+1,1))</f>
        <v>180.68512008344129</v>
      </c>
      <c r="T61" s="59">
        <f t="shared" si="34"/>
        <v>125.86231758828899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10.8</v>
      </c>
      <c r="AI61" s="13">
        <f>IF('Données projet'!$A$62&gt;35,AI60+AH61-AQ60,IF(A61&lt;'Données projet'!$A$62,$AF$205^A61,IF(A61='Données projet'!$A$62,'Données projet'!$B$62,AI60+AH61-AQ60)))</f>
        <v>250.39999999999995</v>
      </c>
      <c r="AJ61" s="13">
        <f>AI61*VLOOKUP('Données projet'!$B$10,Paramètres!$A$1:$I$89,3,0)*VLOOKUP('Données projet'!$B$10,Paramètres!$A$1:$I$89,5,0)</f>
        <v>214.84319999999997</v>
      </c>
      <c r="AK61" s="13">
        <f t="shared" si="35"/>
        <v>52.992538203061436</v>
      </c>
      <c r="AL61" s="20">
        <f t="shared" si="4"/>
        <v>466.4805773703319</v>
      </c>
      <c r="AM61" s="59">
        <f t="shared" si="5"/>
        <v>759.81391070366521</v>
      </c>
      <c r="AN61" s="59">
        <f ca="1">AVERAGE(OFFSET($AM$3,0,0,'Données projet'!$E$10+1,1))-AVERAGE(OFFSET($H$3,0,0,'Données projet'!$E$10+1,1))</f>
        <v>335.81667389179631</v>
      </c>
      <c r="AO61" s="59">
        <f t="shared" si="36"/>
        <v>137.96364450570718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2.7087662888304509</v>
      </c>
      <c r="AW61" s="21">
        <f>EXP(-LN(2)/2)*AW60+(1-EXP(-LN(2)/2))/(LN(2)/2)*AQ61*AT61*VLOOKUP('Données projet'!$B$10,Paramètres!$A$1:$I$89,3,0)*0.475*44/12</f>
        <v>5.4506258150900362E-4</v>
      </c>
      <c r="AX61" s="21">
        <f t="shared" si="6"/>
        <v>2.70931135141196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6.375</v>
      </c>
      <c r="BD61" s="12">
        <f>IF('Données projet'!$A$88&gt;35,BD60+BC61-BL60,IF(A61&lt;'Données projet'!$A$88,$BA$205^A61,IF(A61='Données projet'!$A$88,'Données projet'!$B$88,BD60+BC61-BL60)))</f>
        <v>152.62500000000003</v>
      </c>
      <c r="BE61" s="13">
        <f>BD61*VLOOKUP('Données projet'!$B$11,Paramètres!$A$1:$I$89,3,0)*VLOOKUP('Données projet'!$B$11,Paramètres!$A$1:$I$89,5,0)</f>
        <v>154.76175000000003</v>
      </c>
      <c r="BF61" s="13">
        <f t="shared" si="37"/>
        <v>39.658734335211463</v>
      </c>
      <c r="BG61" s="20">
        <f t="shared" si="7"/>
        <v>338.61567688382667</v>
      </c>
      <c r="BH61" s="59">
        <f t="shared" si="8"/>
        <v>631.94901021715998</v>
      </c>
      <c r="BI61" s="59">
        <f ca="1">AVERAGE(OFFSET($BH$3,0,0,'Données projet'!$E$11+1,1))-AVERAGE(OFFSET($H$3,0,0,'Données projet'!$E$11+1,1))</f>
        <v>217.20784862627357</v>
      </c>
      <c r="BJ61" s="59">
        <f t="shared" si="38"/>
        <v>147.24433901219732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1">
        <f t="shared" si="32"/>
        <v>12.858415781906336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67">
        <f t="shared" si="1"/>
        <v>391.07081748682009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159.25641025641025</v>
      </c>
      <c r="L62" s="12">
        <f>VLOOKUP(A62,'Données projet'!$A$35:$I$55,9,0)</f>
        <v>6.3942307692307665</v>
      </c>
      <c r="M62" s="12">
        <f t="array" ref="M62">INDEX(L:L,MIN(IF(ISNUMBER(L62:L258),ROW(L62:L258),"")))</f>
        <v>6.3942307692307665</v>
      </c>
      <c r="N62" s="13">
        <f>IF('Données projet'!$A$36&gt;35,N61+M62-V61,IF(A62&lt;'Données projet'!$A$36,$K$205^A62,IF(A62='Données projet'!$A$36,'Données projet'!$B$36,N61+M62-V61)))</f>
        <v>159.25641025641025</v>
      </c>
      <c r="O62" s="13">
        <f>N62*VLOOKUP('Données projet'!$B$9,Paramètres!$A$1:$I$89,3,0)*VLOOKUP('Données projet'!$B$9,Paramètres!$A$1:$I$89,5,0)</f>
        <v>144.09520000000001</v>
      </c>
      <c r="P62" s="13">
        <f t="shared" si="33"/>
        <v>37.23357828719589</v>
      </c>
      <c r="Q62" s="20">
        <f t="shared" si="53"/>
        <v>315.81428885019949</v>
      </c>
      <c r="R62" s="59">
        <f t="shared" si="0"/>
        <v>609.1476221835328</v>
      </c>
      <c r="S62" s="59">
        <f ca="1">AVERAGE(OFFSET($R$3,0,0,'Données projet'!$E$9+1,1))-AVERAGE(OFFSET($H$3,0,0,'Données projet'!$E$9+1,1))</f>
        <v>180.68512008344129</v>
      </c>
      <c r="T62" s="59">
        <f t="shared" si="34"/>
        <v>125.86231758828899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38.942307692307693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10.8</v>
      </c>
      <c r="AI62" s="13">
        <f>IF('Données projet'!$A$62&gt;35,AI61+AH62-AQ61,IF(A62&lt;'Données projet'!$A$62,$AF$205^A62,IF(A62='Données projet'!$A$62,'Données projet'!$B$62,AI61+AH62-AQ61)))</f>
        <v>261.19999999999993</v>
      </c>
      <c r="AJ62" s="13">
        <f>AI62*VLOOKUP('Données projet'!$B$10,Paramètres!$A$1:$I$89,3,0)*VLOOKUP('Données projet'!$B$10,Paramètres!$A$1:$I$89,5,0)</f>
        <v>224.10959999999997</v>
      </c>
      <c r="AK62" s="13">
        <f t="shared" si="35"/>
        <v>55.00712259326616</v>
      </c>
      <c r="AL62" s="20">
        <f t="shared" si="4"/>
        <v>486.12829184993842</v>
      </c>
      <c r="AM62" s="59">
        <f t="shared" si="5"/>
        <v>779.46162518327174</v>
      </c>
      <c r="AN62" s="59">
        <f ca="1">AVERAGE(OFFSET($AM$3,0,0,'Données projet'!$E$10+1,1))-AVERAGE(OFFSET($H$3,0,0,'Données projet'!$E$10+1,1))</f>
        <v>335.81667389179631</v>
      </c>
      <c r="AO62" s="59">
        <f t="shared" si="36"/>
        <v>137.96364450570718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2.6346949322145541</v>
      </c>
      <c r="AW62" s="21">
        <f>EXP(-LN(2)/2)*AW61+(1-EXP(-LN(2)/2))/(LN(2)/2)*AQ62*AT62*VLOOKUP('Données projet'!$B$10,Paramètres!$A$1:$I$89,3,0)*0.475*44/12</f>
        <v>3.8541744755606175E-4</v>
      </c>
      <c r="AX62" s="21">
        <f t="shared" si="6"/>
        <v>2.6350803496621102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159</v>
      </c>
      <c r="BB62" s="12">
        <f>VLOOKUP(A62,'Données projet'!$A$87:$I$107,9,0)</f>
        <v>6.375</v>
      </c>
      <c r="BC62" s="12">
        <f t="array" ref="BC62">INDEX(BB:BB,MIN(IF(ISNUMBER(BB62:BB258),ROW(BB62:BB258),"")))</f>
        <v>6.375</v>
      </c>
      <c r="BD62" s="12">
        <f>IF('Données projet'!$A$88&gt;35,BD61+BC62-BL61,IF(A62&lt;'Données projet'!$A$88,$BA$205^A62,IF(A62='Données projet'!$A$88,'Données projet'!$B$88,BD61+BC62-BL61)))</f>
        <v>159.00000000000003</v>
      </c>
      <c r="BE62" s="13">
        <f>BD62*VLOOKUP('Données projet'!$B$11,Paramètres!$A$1:$I$89,3,0)*VLOOKUP('Données projet'!$B$11,Paramètres!$A$1:$I$89,5,0)</f>
        <v>161.22600000000003</v>
      </c>
      <c r="BF62" s="13">
        <f t="shared" si="37"/>
        <v>41.118920159482528</v>
      </c>
      <c r="BG62" s="20">
        <f t="shared" si="7"/>
        <v>352.41740261109879</v>
      </c>
      <c r="BH62" s="59">
        <f t="shared" si="8"/>
        <v>645.75073594443211</v>
      </c>
      <c r="BI62" s="59">
        <f ca="1">AVERAGE(OFFSET($BH$3,0,0,'Données projet'!$E$11+1,1))-AVERAGE(OFFSET($H$3,0,0,'Données projet'!$E$11+1,1))</f>
        <v>217.20784862627357</v>
      </c>
      <c r="BJ62" s="59">
        <f t="shared" si="38"/>
        <v>147.24433901219732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39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1">
        <f t="shared" si="32"/>
        <v>13.050798131206863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67">
        <f t="shared" si="1"/>
        <v>392.6828734118518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5.9431089743589762</v>
      </c>
      <c r="N63" s="13">
        <f>IF('Données projet'!$A$36&gt;35,N62+M63-V62,IF(A63&lt;'Données projet'!$A$36,$K$205^A63,IF(A63='Données projet'!$A$36,'Données projet'!$B$36,N62+M63-V62)))</f>
        <v>126.25721153846153</v>
      </c>
      <c r="O63" s="13">
        <f>N63*VLOOKUP('Données projet'!$B$9,Paramètres!$A$1:$I$89,3,0)*VLOOKUP('Données projet'!$B$9,Paramètres!$A$1:$I$89,5,0)</f>
        <v>114.23752499999999</v>
      </c>
      <c r="P63" s="13">
        <f t="shared" si="33"/>
        <v>30.327171529636239</v>
      </c>
      <c r="Q63" s="20">
        <f t="shared" si="53"/>
        <v>251.78351312244976</v>
      </c>
      <c r="R63" s="59">
        <f t="shared" si="0"/>
        <v>545.11684645578305</v>
      </c>
      <c r="S63" s="59">
        <f ca="1">AVERAGE(OFFSET($R$3,0,0,'Données projet'!$E$9+1,1))-AVERAGE(OFFSET($H$3,0,0,'Données projet'!$E$9+1,1))</f>
        <v>180.68512008344129</v>
      </c>
      <c r="T63" s="59">
        <f t="shared" si="34"/>
        <v>125.86231758828899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272</v>
      </c>
      <c r="AG63" s="12">
        <f>VLOOKUP(A63,'Données projet'!$A$61:$I$81,9,0)</f>
        <v>10.8</v>
      </c>
      <c r="AH63" s="12">
        <f t="array" ref="AH63">INDEX(AG:AG,MIN(IF(ISNUMBER(AG63:AG259),ROW(AG63:AG259),"")))</f>
        <v>10.8</v>
      </c>
      <c r="AI63" s="13">
        <f>IF('Données projet'!$A$62&gt;35,AI62+AH63-AQ62,IF(A63&lt;'Données projet'!$A$62,$AF$205^A63,IF(A63='Données projet'!$A$62,'Données projet'!$B$62,AI62+AH63-AQ62)))</f>
        <v>271.99999999999994</v>
      </c>
      <c r="AJ63" s="13">
        <f>AI63*VLOOKUP('Données projet'!$B$10,Paramètres!$A$1:$I$89,3,0)*VLOOKUP('Données projet'!$B$10,Paramètres!$A$1:$I$89,5,0)</f>
        <v>233.376</v>
      </c>
      <c r="AK63" s="13">
        <f t="shared" si="35"/>
        <v>57.012031446990107</v>
      </c>
      <c r="AL63" s="20">
        <f t="shared" si="4"/>
        <v>505.75915477017446</v>
      </c>
      <c r="AM63" s="59">
        <f t="shared" si="5"/>
        <v>799.09248810350778</v>
      </c>
      <c r="AN63" s="59">
        <f ca="1">AVERAGE(OFFSET($AM$3,0,0,'Données projet'!$E$10+1,1))-AVERAGE(OFFSET($H$3,0,0,'Données projet'!$E$10+1,1))</f>
        <v>335.81667389179631</v>
      </c>
      <c r="AO63" s="59">
        <f t="shared" si="36"/>
        <v>137.96364450570718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69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2.5626490607405623</v>
      </c>
      <c r="AW63" s="21">
        <f>EXP(-LN(2)/2)*AW62+(1-EXP(-LN(2)/2))/(LN(2)/2)*AQ63*AT63*VLOOKUP('Données projet'!$B$10,Paramètres!$A$1:$I$89,3,0)*0.475*44/12</f>
        <v>2.7253129075450181E-4</v>
      </c>
      <c r="AX63" s="21">
        <f t="shared" si="6"/>
        <v>2.5629215920313166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126.00000000000003</v>
      </c>
      <c r="BE63" s="13">
        <f>BD63*VLOOKUP('Données projet'!$B$11,Paramètres!$A$1:$I$89,3,0)*VLOOKUP('Données projet'!$B$11,Paramètres!$A$1:$I$89,5,0)</f>
        <v>127.76400000000004</v>
      </c>
      <c r="BF63" s="13">
        <f t="shared" si="37"/>
        <v>33.479164830670079</v>
      </c>
      <c r="BG63" s="20">
        <f t="shared" si="7"/>
        <v>280.83184541341706</v>
      </c>
      <c r="BH63" s="59">
        <f t="shared" si="8"/>
        <v>574.16517874675037</v>
      </c>
      <c r="BI63" s="59">
        <f ca="1">AVERAGE(OFFSET($BH$3,0,0,'Données projet'!$E$11+1,1))-AVERAGE(OFFSET($H$3,0,0,'Données projet'!$E$11+1,1))</f>
        <v>217.20784862627357</v>
      </c>
      <c r="BJ63" s="59">
        <f t="shared" si="38"/>
        <v>147.24433901219732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1">
        <f t="shared" si="32"/>
        <v>13.24280760228976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67">
        <f t="shared" si="1"/>
        <v>394.2942799073212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5.9431089743589762</v>
      </c>
      <c r="N64" s="13">
        <f>IF('Données projet'!$A$36&gt;35,N63+M64-V63,IF(A64&lt;'Données projet'!$A$36,$K$205^A64,IF(A64='Données projet'!$A$36,'Données projet'!$B$36,N63+M64-V63)))</f>
        <v>132.2003205128205</v>
      </c>
      <c r="O64" s="13">
        <f>N64*VLOOKUP('Données projet'!$B$9,Paramètres!$A$1:$I$89,3,0)*VLOOKUP('Données projet'!$B$9,Paramètres!$A$1:$I$89,5,0)</f>
        <v>119.61484999999999</v>
      </c>
      <c r="P64" s="13">
        <f t="shared" si="33"/>
        <v>31.585152581402479</v>
      </c>
      <c r="Q64" s="20">
        <f t="shared" si="53"/>
        <v>263.34000449594265</v>
      </c>
      <c r="R64" s="59">
        <f t="shared" si="0"/>
        <v>556.67333782927597</v>
      </c>
      <c r="S64" s="59">
        <f ca="1">AVERAGE(OFFSET($R$3,0,0,'Données projet'!$E$9+1,1))-AVERAGE(OFFSET($H$3,0,0,'Données projet'!$E$9+1,1))</f>
        <v>180.68512008344129</v>
      </c>
      <c r="T64" s="59">
        <f t="shared" si="34"/>
        <v>125.86231758828899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10.7</v>
      </c>
      <c r="AI64" s="13">
        <f>IF('Données projet'!$A$62&gt;35,AI63+AH64-AQ63,IF(A64&lt;'Données projet'!$A$62,$AF$205^A64,IF(A64='Données projet'!$A$62,'Données projet'!$B$62,AI63+AH64-AQ63)))</f>
        <v>213.69999999999993</v>
      </c>
      <c r="AJ64" s="13">
        <f>AI64*VLOOKUP('Données projet'!$B$10,Paramètres!$A$1:$I$89,3,0)*VLOOKUP('Données projet'!$B$10,Paramètres!$A$1:$I$89,5,0)</f>
        <v>183.35459999999995</v>
      </c>
      <c r="AK64" s="13">
        <f t="shared" si="35"/>
        <v>46.067718904183039</v>
      </c>
      <c r="AL64" s="20">
        <f t="shared" si="4"/>
        <v>399.57720542478529</v>
      </c>
      <c r="AM64" s="59">
        <f t="shared" si="5"/>
        <v>692.91053875811861</v>
      </c>
      <c r="AN64" s="59">
        <f ca="1">AVERAGE(OFFSET($AM$3,0,0,'Données projet'!$E$10+1,1))-AVERAGE(OFFSET($H$3,0,0,'Données projet'!$E$10+1,1))</f>
        <v>335.81667389179631</v>
      </c>
      <c r="AO64" s="59">
        <f t="shared" si="36"/>
        <v>137.96364450570718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2.4925732874107545</v>
      </c>
      <c r="AW64" s="21">
        <f>EXP(-LN(2)/2)*AW63+(1-EXP(-LN(2)/2))/(LN(2)/2)*AQ64*AT64*VLOOKUP('Données projet'!$B$10,Paramètres!$A$1:$I$89,3,0)*0.475*44/12</f>
        <v>1.9270872377803088E-4</v>
      </c>
      <c r="AX64" s="21">
        <f t="shared" si="6"/>
        <v>2.4927659961345325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132.00000000000003</v>
      </c>
      <c r="BE64" s="13">
        <f>BD64*VLOOKUP('Données projet'!$B$11,Paramètres!$A$1:$I$89,3,0)*VLOOKUP('Données projet'!$B$11,Paramètres!$A$1:$I$89,5,0)</f>
        <v>133.84800000000004</v>
      </c>
      <c r="BF64" s="13">
        <f t="shared" si="37"/>
        <v>34.884003992121691</v>
      </c>
      <c r="BG64" s="20">
        <f t="shared" si="7"/>
        <v>293.87490695294537</v>
      </c>
      <c r="BH64" s="59">
        <f t="shared" si="8"/>
        <v>587.20824028627862</v>
      </c>
      <c r="BI64" s="59">
        <f ca="1">AVERAGE(OFFSET($BH$3,0,0,'Données projet'!$E$11+1,1))-AVERAGE(OFFSET($H$3,0,0,'Données projet'!$E$11+1,1))</f>
        <v>217.20784862627357</v>
      </c>
      <c r="BJ64" s="59">
        <f t="shared" si="38"/>
        <v>147.24433901219732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1">
        <f t="shared" si="32"/>
        <v>13.434451013546127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67">
        <f t="shared" si="1"/>
        <v>395.90504884859268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5.9431089743589762</v>
      </c>
      <c r="N65" s="13">
        <f>IF('Données projet'!$A$36&gt;35,N64+M65-V64,IF(A65&lt;'Données projet'!$A$36,$K$205^A65,IF(A65='Données projet'!$A$36,'Données projet'!$B$36,N64+M65-V64)))</f>
        <v>138.14342948717947</v>
      </c>
      <c r="O65" s="13">
        <f>N65*VLOOKUP('Données projet'!$B$9,Paramètres!$A$1:$I$89,3,0)*VLOOKUP('Données projet'!$B$9,Paramètres!$A$1:$I$89,5,0)</f>
        <v>124.99217499999997</v>
      </c>
      <c r="P65" s="13">
        <f t="shared" si="33"/>
        <v>32.836565726562206</v>
      </c>
      <c r="Q65" s="20">
        <f t="shared" si="53"/>
        <v>274.88505676542917</v>
      </c>
      <c r="R65" s="59">
        <f t="shared" si="0"/>
        <v>568.21839009876248</v>
      </c>
      <c r="S65" s="59">
        <f ca="1">AVERAGE(OFFSET($R$3,0,0,'Données projet'!$E$9+1,1))-AVERAGE(OFFSET($H$3,0,0,'Données projet'!$E$9+1,1))</f>
        <v>180.68512008344129</v>
      </c>
      <c r="T65" s="59">
        <f t="shared" si="34"/>
        <v>125.86231758828899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10.7</v>
      </c>
      <c r="AI65" s="13">
        <f>IF('Données projet'!$A$62&gt;35,AI64+AH65-AQ64,IF(A65&lt;'Données projet'!$A$62,$AF$205^A65,IF(A65='Données projet'!$A$62,'Données projet'!$B$62,AI64+AH65-AQ64)))</f>
        <v>224.39999999999992</v>
      </c>
      <c r="AJ65" s="13">
        <f>AI65*VLOOKUP('Données projet'!$B$10,Paramètres!$A$1:$I$89,3,0)*VLOOKUP('Données projet'!$B$10,Paramètres!$A$1:$I$89,5,0)</f>
        <v>192.53519999999997</v>
      </c>
      <c r="AK65" s="13">
        <f t="shared" si="35"/>
        <v>48.100016456123079</v>
      </c>
      <c r="AL65" s="20">
        <f t="shared" si="4"/>
        <v>419.10633532774767</v>
      </c>
      <c r="AM65" s="59">
        <f t="shared" si="5"/>
        <v>712.43966866108099</v>
      </c>
      <c r="AN65" s="59">
        <f ca="1">AVERAGE(OFFSET($AM$3,0,0,'Données projet'!$E$10+1,1))-AVERAGE(OFFSET($H$3,0,0,'Données projet'!$E$10+1,1))</f>
        <v>335.81667389179631</v>
      </c>
      <c r="AO65" s="59">
        <f t="shared" si="36"/>
        <v>137.96364450570718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2.424413739787775</v>
      </c>
      <c r="AW65" s="21">
        <f>EXP(-LN(2)/2)*AW64+(1-EXP(-LN(2)/2))/(LN(2)/2)*AQ65*AT65*VLOOKUP('Données projet'!$B$10,Paramètres!$A$1:$I$89,3,0)*0.475*44/12</f>
        <v>1.3626564537725091E-4</v>
      </c>
      <c r="AX65" s="21">
        <f t="shared" si="6"/>
        <v>2.4245500054331521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138.00000000000003</v>
      </c>
      <c r="BE65" s="13">
        <f>BD65*VLOOKUP('Données projet'!$B$11,Paramètres!$A$1:$I$89,3,0)*VLOOKUP('Données projet'!$B$11,Paramètres!$A$1:$I$89,5,0)</f>
        <v>139.93200000000004</v>
      </c>
      <c r="BF65" s="13">
        <f t="shared" si="37"/>
        <v>36.281427209452353</v>
      </c>
      <c r="BG65" s="20">
        <f t="shared" si="7"/>
        <v>306.9050523897962</v>
      </c>
      <c r="BH65" s="59">
        <f t="shared" si="8"/>
        <v>600.23838572312957</v>
      </c>
      <c r="BI65" s="59">
        <f ca="1">AVERAGE(OFFSET($BH$3,0,0,'Données projet'!$E$11+1,1))-AVERAGE(OFFSET($H$3,0,0,'Données projet'!$E$11+1,1))</f>
        <v>217.20784862627357</v>
      </c>
      <c r="BJ65" s="59">
        <f t="shared" si="38"/>
        <v>147.24433901219732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1">
        <f t="shared" si="32"/>
        <v>13.625734950806207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67">
        <f t="shared" si="1"/>
        <v>397.51519170598732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5.9431089743589762</v>
      </c>
      <c r="N66" s="13">
        <f>IF('Données projet'!$A$36&gt;35,N65+M66-V65,IF(A66&lt;'Données projet'!$A$36,$K$205^A66,IF(A66='Données projet'!$A$36,'Données projet'!$B$36,N65+M66-V65)))</f>
        <v>144.08653846153845</v>
      </c>
      <c r="O66" s="13">
        <f>N66*VLOOKUP('Données projet'!$B$9,Paramètres!$A$1:$I$89,3,0)*VLOOKUP('Données projet'!$B$9,Paramètres!$A$1:$I$89,5,0)</f>
        <v>130.36949999999999</v>
      </c>
      <c r="P66" s="13">
        <f t="shared" si="33"/>
        <v>34.081725824623319</v>
      </c>
      <c r="Q66" s="20">
        <f t="shared" si="53"/>
        <v>286.41921831121891</v>
      </c>
      <c r="R66" s="59">
        <f t="shared" si="0"/>
        <v>579.75255164455223</v>
      </c>
      <c r="S66" s="59">
        <f ca="1">AVERAGE(OFFSET($R$3,0,0,'Données projet'!$E$9+1,1))-AVERAGE(OFFSET($H$3,0,0,'Données projet'!$E$9+1,1))</f>
        <v>180.68512008344129</v>
      </c>
      <c r="T66" s="59">
        <f t="shared" si="34"/>
        <v>125.86231758828899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10.7</v>
      </c>
      <c r="AI66" s="13">
        <f>IF('Données projet'!$A$62&gt;35,AI65+AH66-AQ65,IF(A66&lt;'Données projet'!$A$62,$AF$205^A66,IF(A66='Données projet'!$A$62,'Données projet'!$B$62,AI65+AH66-AQ65)))</f>
        <v>235.09999999999991</v>
      </c>
      <c r="AJ66" s="13">
        <f>AI66*VLOOKUP('Données projet'!$B$10,Paramètres!$A$1:$I$89,3,0)*VLOOKUP('Données projet'!$B$10,Paramètres!$A$1:$I$89,5,0)</f>
        <v>201.71579999999992</v>
      </c>
      <c r="AK66" s="13">
        <f t="shared" si="35"/>
        <v>50.121060955977455</v>
      </c>
      <c r="AL66" s="20">
        <f t="shared" si="4"/>
        <v>438.61586616499397</v>
      </c>
      <c r="AM66" s="59">
        <f t="shared" si="5"/>
        <v>731.94919949832729</v>
      </c>
      <c r="AN66" s="59">
        <f ca="1">AVERAGE(OFFSET($AM$3,0,0,'Données projet'!$E$10+1,1))-AVERAGE(OFFSET($H$3,0,0,'Données projet'!$E$10+1,1))</f>
        <v>335.81667389179631</v>
      </c>
      <c r="AO66" s="59">
        <f t="shared" si="36"/>
        <v>137.96364450570718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2.3581180185789008</v>
      </c>
      <c r="AW66" s="21">
        <f>EXP(-LN(2)/2)*AW65+(1-EXP(-LN(2)/2))/(LN(2)/2)*AQ66*AT66*VLOOKUP('Données projet'!$B$10,Paramètres!$A$1:$I$89,3,0)*0.475*44/12</f>
        <v>9.6354361889015438E-5</v>
      </c>
      <c r="AX66" s="21">
        <f t="shared" si="6"/>
        <v>2.3582143729407896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144.00000000000003</v>
      </c>
      <c r="BE66" s="13">
        <f>BD66*VLOOKUP('Données projet'!$B$11,Paramètres!$A$1:$I$89,3,0)*VLOOKUP('Données projet'!$B$11,Paramètres!$A$1:$I$89,5,0)</f>
        <v>146.01600000000005</v>
      </c>
      <c r="BF66" s="13">
        <f t="shared" si="37"/>
        <v>37.671793767891131</v>
      </c>
      <c r="BG66" s="20">
        <f t="shared" si="7"/>
        <v>319.92290747907714</v>
      </c>
      <c r="BH66" s="59">
        <f t="shared" si="8"/>
        <v>613.2562408124104</v>
      </c>
      <c r="BI66" s="59">
        <f ca="1">AVERAGE(OFFSET($BH$3,0,0,'Données projet'!$E$11+1,1))-AVERAGE(OFFSET($H$3,0,0,'Données projet'!$E$11+1,1))</f>
        <v>217.20784862627357</v>
      </c>
      <c r="BJ66" s="59">
        <f t="shared" si="38"/>
        <v>147.24433901219732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1">
        <f t="shared" si="32"/>
        <v>13.816665778834693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67">
        <f t="shared" si="1"/>
        <v>399.12471956480363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5.9431089743589762</v>
      </c>
      <c r="N67" s="13">
        <f>IF('Données projet'!$A$36&gt;35,N66+M67-V66,IF(A67&lt;'Données projet'!$A$36,$K$205^A67,IF(A67='Données projet'!$A$36,'Données projet'!$B$36,N66+M67-V66)))</f>
        <v>150.02964743589743</v>
      </c>
      <c r="O67" s="13">
        <f>N67*VLOOKUP('Données projet'!$B$9,Paramètres!$A$1:$I$89,3,0)*VLOOKUP('Données projet'!$B$9,Paramètres!$A$1:$I$89,5,0)</f>
        <v>135.746825</v>
      </c>
      <c r="P67" s="13">
        <f t="shared" si="33"/>
        <v>35.320920291530086</v>
      </c>
      <c r="Q67" s="20">
        <f t="shared" ref="Q67:Q98" si="54">(O67+P67)*0.475*44/12</f>
        <v>297.94298971608151</v>
      </c>
      <c r="R67" s="59">
        <f t="shared" ref="R67:R130" si="55">Q67+(I67+J67)*44/12</f>
        <v>591.27632304941483</v>
      </c>
      <c r="S67" s="59">
        <f ca="1">AVERAGE(OFFSET($R$3,0,0,'Données projet'!$E$9+1,1))-AVERAGE(OFFSET($H$3,0,0,'Données projet'!$E$9+1,1))</f>
        <v>180.68512008344129</v>
      </c>
      <c r="T67" s="59">
        <f t="shared" si="34"/>
        <v>125.86231758828899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10.7</v>
      </c>
      <c r="AI67" s="13">
        <f>IF('Données projet'!$A$62&gt;35,AI66+AH67-AQ66,IF(A67&lt;'Données projet'!$A$62,$AF$205^A67,IF(A67='Données projet'!$A$62,'Données projet'!$B$62,AI66+AH67-AQ66)))</f>
        <v>245.7999999999999</v>
      </c>
      <c r="AJ67" s="13">
        <f>AI67*VLOOKUP('Données projet'!$B$10,Paramètres!$A$1:$I$89,3,0)*VLOOKUP('Données projet'!$B$10,Paramètres!$A$1:$I$89,5,0)</f>
        <v>210.89639999999991</v>
      </c>
      <c r="AK67" s="13">
        <f t="shared" si="35"/>
        <v>52.131423064408864</v>
      </c>
      <c r="AL67" s="20">
        <f t="shared" si="4"/>
        <v>458.1067918371786</v>
      </c>
      <c r="AM67" s="59">
        <f t="shared" si="5"/>
        <v>751.44012517051192</v>
      </c>
      <c r="AN67" s="59">
        <f ca="1">AVERAGE(OFFSET($AM$3,0,0,'Données projet'!$E$10+1,1))-AVERAGE(OFFSET($H$3,0,0,'Données projet'!$E$10+1,1))</f>
        <v>335.81667389179631</v>
      </c>
      <c r="AO67" s="59">
        <f t="shared" si="36"/>
        <v>137.96364450570718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2.2936351573528238</v>
      </c>
      <c r="AW67" s="21">
        <f>EXP(-LN(2)/2)*AW66+(1-EXP(-LN(2)/2))/(LN(2)/2)*AQ67*AT67*VLOOKUP('Données projet'!$B$10,Paramètres!$A$1:$I$89,3,0)*0.475*44/12</f>
        <v>6.8132822688625453E-5</v>
      </c>
      <c r="AX67" s="21">
        <f t="shared" si="6"/>
        <v>2.2937032901755123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150.00000000000003</v>
      </c>
      <c r="BE67" s="13">
        <f>BD67*VLOOKUP('Données projet'!$B$11,Paramètres!$A$1:$I$89,3,0)*VLOOKUP('Données projet'!$B$11,Paramètres!$A$1:$I$89,5,0)</f>
        <v>152.10000000000005</v>
      </c>
      <c r="BF67" s="13">
        <f t="shared" si="37"/>
        <v>39.05543131832313</v>
      </c>
      <c r="BG67" s="20">
        <f t="shared" si="7"/>
        <v>332.92904287941286</v>
      </c>
      <c r="BH67" s="59">
        <f t="shared" si="8"/>
        <v>626.26237621274618</v>
      </c>
      <c r="BI67" s="59">
        <f ca="1">AVERAGE(OFFSET($BH$3,0,0,'Données projet'!$E$11+1,1))-AVERAGE(OFFSET($H$3,0,0,'Données projet'!$E$11+1,1))</f>
        <v>217.20784862627357</v>
      </c>
      <c r="BJ67" s="59">
        <f t="shared" si="38"/>
        <v>147.24433901219732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1">
        <f t="shared" si="32"/>
        <v>14.007249652087188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67">
        <f t="shared" ref="H68:H131" si="56">(B68+E68+F68)*44/12+(C68+D68)*0.475*44/12</f>
        <v>400.73364314405171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5.9431089743589762</v>
      </c>
      <c r="N68" s="13">
        <f>IF('Données projet'!$A$36&gt;35,N67+M68-V67,IF(A68&lt;'Données projet'!$A$36,$K$205^A68,IF(A68='Données projet'!$A$36,'Données projet'!$B$36,N67+M68-V67)))</f>
        <v>155.97275641025641</v>
      </c>
      <c r="O68" s="13">
        <f>N68*VLOOKUP('Données projet'!$B$9,Paramètres!$A$1:$I$89,3,0)*VLOOKUP('Données projet'!$B$9,Paramètres!$A$1:$I$89,5,0)</f>
        <v>141.12414999999999</v>
      </c>
      <c r="P68" s="13">
        <f t="shared" si="33"/>
        <v>36.554412483418083</v>
      </c>
      <c r="Q68" s="20">
        <f t="shared" si="54"/>
        <v>309.45682965861977</v>
      </c>
      <c r="R68" s="59">
        <f t="shared" si="55"/>
        <v>602.79016299195314</v>
      </c>
      <c r="S68" s="59">
        <f ca="1">AVERAGE(OFFSET($R$3,0,0,'Données projet'!$E$9+1,1))-AVERAGE(OFFSET($H$3,0,0,'Données projet'!$E$9+1,1))</f>
        <v>180.68512008344129</v>
      </c>
      <c r="T68" s="59">
        <f t="shared" si="34"/>
        <v>125.86231758828899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10.7</v>
      </c>
      <c r="AI68" s="13">
        <f>IF('Données projet'!$A$62&gt;35,AI67+AH68-AQ67,IF(A68&lt;'Données projet'!$A$62,$AF$205^A68,IF(A68='Données projet'!$A$62,'Données projet'!$B$62,AI67+AH68-AQ67)))</f>
        <v>256.49999999999989</v>
      </c>
      <c r="AJ68" s="13">
        <f>AI68*VLOOKUP('Données projet'!$B$10,Paramètres!$A$1:$I$89,3,0)*VLOOKUP('Données projet'!$B$10,Paramètres!$A$1:$I$89,5,0)</f>
        <v>220.07699999999994</v>
      </c>
      <c r="AK68" s="13">
        <f t="shared" si="35"/>
        <v>54.131620949294785</v>
      </c>
      <c r="AL68" s="20">
        <f t="shared" ref="AL68:AL131" si="58">(AJ68+AK68)*0.475*44/12</f>
        <v>477.58001482002169</v>
      </c>
      <c r="AM68" s="59">
        <f t="shared" ref="AM68:AM131" si="59">AL68+(AD68+AE68)*44/12</f>
        <v>770.91334815335495</v>
      </c>
      <c r="AN68" s="59">
        <f ca="1">AVERAGE(OFFSET($AM$3,0,0,'Données projet'!$E$10+1,1))-AVERAGE(OFFSET($H$3,0,0,'Données projet'!$E$10+1,1))</f>
        <v>335.81667389179631</v>
      </c>
      <c r="AO68" s="59">
        <f t="shared" si="36"/>
        <v>137.96364450570718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2.2309155833579801</v>
      </c>
      <c r="AW68" s="21">
        <f>EXP(-LN(2)/2)*AW67+(1-EXP(-LN(2)/2))/(LN(2)/2)*AQ68*AT68*VLOOKUP('Données projet'!$B$10,Paramètres!$A$1:$I$89,3,0)*0.475*44/12</f>
        <v>4.8177180944507719E-5</v>
      </c>
      <c r="AX68" s="21">
        <f t="shared" ref="AX68:AX131" si="60">SUM(AU68:AW68)</f>
        <v>2.2309637605389248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156.00000000000003</v>
      </c>
      <c r="BE68" s="13">
        <f>BD68*VLOOKUP('Données projet'!$B$11,Paramètres!$A$1:$I$89,3,0)*VLOOKUP('Données projet'!$B$11,Paramètres!$A$1:$I$89,5,0)</f>
        <v>158.18400000000003</v>
      </c>
      <c r="BF68" s="13">
        <f t="shared" si="37"/>
        <v>40.432639815875881</v>
      </c>
      <c r="BG68" s="20">
        <f t="shared" ref="BG68:BG131" si="61">(BE68+BF68)*0.475*44/12</f>
        <v>345.92398101265053</v>
      </c>
      <c r="BH68" s="59">
        <f t="shared" ref="BH68:BH131" si="62">BG68+(AY68+AZ68)*44/12</f>
        <v>639.25731434598379</v>
      </c>
      <c r="BI68" s="59">
        <f ca="1">AVERAGE(OFFSET($BH$3,0,0,'Données projet'!$E$11+1,1))-AVERAGE(OFFSET($H$3,0,0,'Données projet'!$E$11+1,1))</f>
        <v>217.20784862627357</v>
      </c>
      <c r="BJ68" s="59">
        <f t="shared" si="38"/>
        <v>147.24433901219732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1">
        <f t="shared" ref="D69:D132" si="86">IFERROR(EXP(-1.0587+0.8836*LN(C69)+0.284),0)</f>
        <v>14.197492524785963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67">
        <f t="shared" si="56"/>
        <v>402.34197281400208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5.9431089743589762</v>
      </c>
      <c r="N69" s="13">
        <f>IF('Données projet'!$A$36&gt;35,N68+M69-V68,IF(A69&lt;'Données projet'!$A$36,$K$205^A69,IF(A69='Données projet'!$A$36,'Données projet'!$B$36,N68+M69-V68)))</f>
        <v>161.91586538461539</v>
      </c>
      <c r="O69" s="13">
        <f>N69*VLOOKUP('Données projet'!$B$9,Paramètres!$A$1:$I$89,3,0)*VLOOKUP('Données projet'!$B$9,Paramètres!$A$1:$I$89,5,0)</f>
        <v>146.501475</v>
      </c>
      <c r="P69" s="13">
        <f t="shared" ref="P69:P132" si="87">EXP(-1.0587+0.8836*LN(O69)+0.284)</f>
        <v>37.782444550133206</v>
      </c>
      <c r="Q69" s="20">
        <f t="shared" si="54"/>
        <v>320.96115988314858</v>
      </c>
      <c r="R69" s="59">
        <f t="shared" si="55"/>
        <v>614.2944932164819</v>
      </c>
      <c r="S69" s="59">
        <f ca="1">AVERAGE(OFFSET($R$3,0,0,'Données projet'!$E$9+1,1))-AVERAGE(OFFSET($H$3,0,0,'Données projet'!$E$9+1,1))</f>
        <v>180.68512008344129</v>
      </c>
      <c r="T69" s="59">
        <f t="shared" ref="T69:T132" si="88">$T$3</f>
        <v>125.86231758828899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10.7</v>
      </c>
      <c r="AI69" s="13">
        <f>IF('Données projet'!$A$62&gt;35,AI68+AH69-AQ68,IF(A69&lt;'Données projet'!$A$62,$AF$205^A69,IF(A69='Données projet'!$A$62,'Données projet'!$B$62,AI68+AH69-AQ68)))</f>
        <v>267.19999999999987</v>
      </c>
      <c r="AJ69" s="13">
        <f>AI69*VLOOKUP('Données projet'!$B$10,Paramètres!$A$1:$I$89,3,0)*VLOOKUP('Données projet'!$B$10,Paramètres!$A$1:$I$89,5,0)</f>
        <v>229.25759999999994</v>
      </c>
      <c r="AK69" s="13">
        <f t="shared" ref="AK69:AK132" si="89">EXP(-1.0587+0.8836*LN(AJ69)+0.284)</f>
        <v>56.122127101541757</v>
      </c>
      <c r="AL69" s="20">
        <f t="shared" si="58"/>
        <v>497.036358035185</v>
      </c>
      <c r="AM69" s="59">
        <f t="shared" si="59"/>
        <v>790.36969136851826</v>
      </c>
      <c r="AN69" s="59">
        <f ca="1">AVERAGE(OFFSET($AM$3,0,0,'Données projet'!$E$10+1,1))-AVERAGE(OFFSET($H$3,0,0,'Données projet'!$E$10+1,1))</f>
        <v>335.81667389179631</v>
      </c>
      <c r="AO69" s="59">
        <f t="shared" ref="AO69:AO132" si="90">$AO$3</f>
        <v>137.96364450570718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2.1699110794123047</v>
      </c>
      <c r="AW69" s="21">
        <f>EXP(-LN(2)/2)*AW68+(1-EXP(-LN(2)/2))/(LN(2)/2)*AQ69*AT69*VLOOKUP('Données projet'!$B$10,Paramètres!$A$1:$I$89,3,0)*0.475*44/12</f>
        <v>3.4066411344312726E-5</v>
      </c>
      <c r="AX69" s="21">
        <f t="shared" si="60"/>
        <v>2.1699451458236489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</v>
      </c>
      <c r="BD69" s="12">
        <f>IF('Données projet'!$A$88&gt;35,BD68+BC69-BL68,IF(A69&lt;'Données projet'!$A$88,$BA$205^A69,IF(A69='Données projet'!$A$88,'Données projet'!$B$88,BD68+BC69-BL68)))</f>
        <v>162.00000000000003</v>
      </c>
      <c r="BE69" s="13">
        <f>BD69*VLOOKUP('Données projet'!$B$11,Paramètres!$A$1:$I$89,3,0)*VLOOKUP('Données projet'!$B$11,Paramètres!$A$1:$I$89,5,0)</f>
        <v>164.26800000000006</v>
      </c>
      <c r="BF69" s="13">
        <f t="shared" ref="BF69:BF132" si="91">EXP(-1.0587+0.8836*LN(BE69)+0.284)</f>
        <v>41.803694835525619</v>
      </c>
      <c r="BG69" s="20">
        <f t="shared" si="61"/>
        <v>358.90820183854049</v>
      </c>
      <c r="BH69" s="59">
        <f t="shared" si="62"/>
        <v>652.24153517187381</v>
      </c>
      <c r="BI69" s="59">
        <f ca="1">AVERAGE(OFFSET($BH$3,0,0,'Données projet'!$E$11+1,1))-AVERAGE(OFFSET($H$3,0,0,'Données projet'!$E$11+1,1))</f>
        <v>217.20784862627357</v>
      </c>
      <c r="BJ69" s="59">
        <f t="shared" ref="BJ69:BJ132" si="92">$BJ$3</f>
        <v>147.24433901219732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1">
        <f t="shared" si="86"/>
        <v>14.387400160367701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67">
        <f t="shared" si="56"/>
        <v>403.94971861264025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167.85897435897436</v>
      </c>
      <c r="L70" s="12">
        <f>VLOOKUP(A70,'Données projet'!$A$35:$I$55,9,0)</f>
        <v>5.9431089743589762</v>
      </c>
      <c r="M70" s="12">
        <f t="array" ref="M70">INDEX(L:L,MIN(IF(ISNUMBER(L70:L266),ROW(L70:L266),"")))</f>
        <v>5.9431089743589762</v>
      </c>
      <c r="N70" s="13">
        <f>IF('Données projet'!$A$36&gt;35,N69+M70-V69,IF(A70&lt;'Données projet'!$A$36,$K$205^A70,IF(A70='Données projet'!$A$36,'Données projet'!$B$36,N69+M70-V69)))</f>
        <v>167.85897435897436</v>
      </c>
      <c r="O70" s="13">
        <f>N70*VLOOKUP('Données projet'!$B$9,Paramètres!$A$1:$I$89,3,0)*VLOOKUP('Données projet'!$B$9,Paramètres!$A$1:$I$89,5,0)</f>
        <v>151.87880000000001</v>
      </c>
      <c r="P70" s="13">
        <f t="shared" si="87"/>
        <v>39.005239858021888</v>
      </c>
      <c r="Q70" s="20">
        <f t="shared" si="54"/>
        <v>332.45636941938818</v>
      </c>
      <c r="R70" s="59">
        <f t="shared" si="55"/>
        <v>625.7897027527215</v>
      </c>
      <c r="S70" s="59">
        <f ca="1">AVERAGE(OFFSET($R$3,0,0,'Données projet'!$E$9+1,1))-AVERAGE(OFFSET($H$3,0,0,'Données projet'!$E$9+1,1))</f>
        <v>180.68512008344129</v>
      </c>
      <c r="T70" s="59">
        <f t="shared" si="88"/>
        <v>125.86231758828899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31.993589743589741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10.7</v>
      </c>
      <c r="AI70" s="13">
        <f>IF('Données projet'!$A$62&gt;35,AI69+AH70-AQ69,IF(A70&lt;'Données projet'!$A$62,$AF$205^A70,IF(A70='Données projet'!$A$62,'Données projet'!$B$62,AI69+AH70-AQ69)))</f>
        <v>277.89999999999986</v>
      </c>
      <c r="AJ70" s="13">
        <f>AI70*VLOOKUP('Données projet'!$B$10,Paramètres!$A$1:$I$89,3,0)*VLOOKUP('Données projet'!$B$10,Paramètres!$A$1:$I$89,5,0)</f>
        <v>238.43819999999991</v>
      </c>
      <c r="AK70" s="13">
        <f t="shared" si="89"/>
        <v>58.103374028412105</v>
      </c>
      <c r="AL70" s="20">
        <f t="shared" si="58"/>
        <v>516.47657476615097</v>
      </c>
      <c r="AM70" s="59">
        <f t="shared" si="59"/>
        <v>809.80990809948435</v>
      </c>
      <c r="AN70" s="59">
        <f ca="1">AVERAGE(OFFSET($AM$3,0,0,'Données projet'!$E$10+1,1))-AVERAGE(OFFSET($H$3,0,0,'Données projet'!$E$10+1,1))</f>
        <v>335.81667389179631</v>
      </c>
      <c r="AO70" s="59">
        <f t="shared" si="90"/>
        <v>137.96364450570718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2.1105747468351108</v>
      </c>
      <c r="AW70" s="21">
        <f>EXP(-LN(2)/2)*AW69+(1-EXP(-LN(2)/2))/(LN(2)/2)*AQ70*AT70*VLOOKUP('Données projet'!$B$10,Paramètres!$A$1:$I$89,3,0)*0.475*44/12</f>
        <v>2.4088590472253859E-5</v>
      </c>
      <c r="AX70" s="21">
        <f t="shared" si="60"/>
        <v>2.1105988354255829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168</v>
      </c>
      <c r="BB70" s="12">
        <f>VLOOKUP(A70,'Données projet'!$A$87:$I$107,9,0)</f>
        <v>6</v>
      </c>
      <c r="BC70" s="12">
        <f t="array" ref="BC70">INDEX(BB:BB,MIN(IF(ISNUMBER(BB70:BB266),ROW(BB70:BB266),"")))</f>
        <v>6</v>
      </c>
      <c r="BD70" s="12">
        <f>IF('Données projet'!$A$88&gt;35,BD69+BC70-BL69,IF(A70&lt;'Données projet'!$A$88,$BA$205^A70,IF(A70='Données projet'!$A$88,'Données projet'!$B$88,BD69+BC70-BL69)))</f>
        <v>168.00000000000003</v>
      </c>
      <c r="BE70" s="13">
        <f>BD70*VLOOKUP('Données projet'!$B$11,Paramètres!$A$1:$I$89,3,0)*VLOOKUP('Données projet'!$B$11,Paramètres!$A$1:$I$89,5,0)</f>
        <v>170.35200000000003</v>
      </c>
      <c r="BF70" s="13">
        <f t="shared" si="91"/>
        <v>43.168850382694487</v>
      </c>
      <c r="BG70" s="20">
        <f t="shared" si="61"/>
        <v>371.88214774985954</v>
      </c>
      <c r="BH70" s="59">
        <f t="shared" si="62"/>
        <v>665.2154810831928</v>
      </c>
      <c r="BI70" s="59">
        <f ca="1">AVERAGE(OFFSET($BH$3,0,0,'Données projet'!$E$11+1,1))-AVERAGE(OFFSET($H$3,0,0,'Données projet'!$E$11+1,1))</f>
        <v>217.20784862627357</v>
      </c>
      <c r="BJ70" s="59">
        <f t="shared" si="92"/>
        <v>147.24433901219732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32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1">
        <f t="shared" si="86"/>
        <v>14.576978140351192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67">
        <f t="shared" si="56"/>
        <v>405.5568902611115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5.6899038461538431</v>
      </c>
      <c r="N71" s="13">
        <f>IF('Données projet'!$A$36&gt;35,N70+M71-V70,IF(A71&lt;'Données projet'!$A$36,$K$205^A71,IF(A71='Données projet'!$A$36,'Données projet'!$B$36,N70+M71-V70)))</f>
        <v>141.55528846153845</v>
      </c>
      <c r="O71" s="13">
        <f>N71*VLOOKUP('Données projet'!$B$9,Paramètres!$A$1:$I$89,3,0)*VLOOKUP('Données projet'!$B$9,Paramètres!$A$1:$I$89,5,0)</f>
        <v>128.07922499999998</v>
      </c>
      <c r="P71" s="13">
        <f t="shared" si="87"/>
        <v>33.552140849481908</v>
      </c>
      <c r="Q71" s="20">
        <f t="shared" si="54"/>
        <v>281.50796218784762</v>
      </c>
      <c r="R71" s="59">
        <f t="shared" si="55"/>
        <v>574.84129552118088</v>
      </c>
      <c r="S71" s="59">
        <f ca="1">AVERAGE(OFFSET($R$3,0,0,'Données projet'!$E$9+1,1))-AVERAGE(OFFSET($H$3,0,0,'Données projet'!$E$9+1,1))</f>
        <v>180.68512008344129</v>
      </c>
      <c r="T71" s="59">
        <f t="shared" si="88"/>
        <v>125.86231758828899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10.7</v>
      </c>
      <c r="AI71" s="13">
        <f>IF('Données projet'!$A$62&gt;35,AI70+AH71-AQ70,IF(A71&lt;'Données projet'!$A$62,$AF$205^A71,IF(A71='Données projet'!$A$62,'Données projet'!$B$62,AI70+AH71-AQ70)))</f>
        <v>288.59999999999985</v>
      </c>
      <c r="AJ71" s="13">
        <f>AI71*VLOOKUP('Données projet'!$B$10,Paramètres!$A$1:$I$89,3,0)*VLOOKUP('Données projet'!$B$10,Paramètres!$A$1:$I$89,5,0)</f>
        <v>247.61879999999991</v>
      </c>
      <c r="AK71" s="13">
        <f t="shared" si="89"/>
        <v>60.075759045345485</v>
      </c>
      <c r="AL71" s="20">
        <f t="shared" si="58"/>
        <v>535.90135700397661</v>
      </c>
      <c r="AM71" s="59">
        <f t="shared" si="59"/>
        <v>829.23469033730998</v>
      </c>
      <c r="AN71" s="59">
        <f ca="1">AVERAGE(OFFSET($AM$3,0,0,'Données projet'!$E$10+1,1))-AVERAGE(OFFSET($H$3,0,0,'Données projet'!$E$10+1,1))</f>
        <v>335.81667389179631</v>
      </c>
      <c r="AO71" s="59">
        <f t="shared" si="90"/>
        <v>137.96364450570718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2.0528609693926025</v>
      </c>
      <c r="AW71" s="21">
        <f>EXP(-LN(2)/2)*AW70+(1-EXP(-LN(2)/2))/(LN(2)/2)*AQ71*AT71*VLOOKUP('Données projet'!$B$10,Paramètres!$A$1:$I$89,3,0)*0.475*44/12</f>
        <v>1.7033205672156363E-5</v>
      </c>
      <c r="AX71" s="21">
        <f t="shared" si="60"/>
        <v>2.0528780025982747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5.625</v>
      </c>
      <c r="BD71" s="12">
        <f>IF('Données projet'!$A$88&gt;35,BD70+BC71-BL70,IF(A71&lt;'Données projet'!$A$88,$BA$205^A71,IF(A71='Données projet'!$A$88,'Données projet'!$B$88,BD70+BC71-BL70)))</f>
        <v>141.62500000000003</v>
      </c>
      <c r="BE71" s="13">
        <f>BD71*VLOOKUP('Données projet'!$B$11,Paramètres!$A$1:$I$89,3,0)*VLOOKUP('Données projet'!$B$11,Paramètres!$A$1:$I$89,5,0)</f>
        <v>143.60775000000004</v>
      </c>
      <c r="BF71" s="13">
        <f t="shared" si="91"/>
        <v>37.122262529436938</v>
      </c>
      <c r="BG71" s="20">
        <f t="shared" si="61"/>
        <v>314.77143848876943</v>
      </c>
      <c r="BH71" s="59">
        <f t="shared" si="62"/>
        <v>608.10477182210275</v>
      </c>
      <c r="BI71" s="59">
        <f ca="1">AVERAGE(OFFSET($BH$3,0,0,'Données projet'!$E$11+1,1))-AVERAGE(OFFSET($H$3,0,0,'Données projet'!$E$11+1,1))</f>
        <v>217.20784862627357</v>
      </c>
      <c r="BJ71" s="59">
        <f t="shared" si="92"/>
        <v>147.24433901219732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1">
        <f t="shared" si="86"/>
        <v>14.766231872668596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67">
        <f t="shared" si="56"/>
        <v>407.16349717823095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5.6899038461538431</v>
      </c>
      <c r="N72" s="13">
        <f>IF('Données projet'!$A$36&gt;35,N71+M72-V71,IF(A72&lt;'Données projet'!$A$36,$K$205^A72,IF(A72='Données projet'!$A$36,'Données projet'!$B$36,N71+M72-V71)))</f>
        <v>147.24519230769229</v>
      </c>
      <c r="O72" s="13">
        <f>N72*VLOOKUP('Données projet'!$B$9,Paramètres!$A$1:$I$89,3,0)*VLOOKUP('Données projet'!$B$9,Paramètres!$A$1:$I$89,5,0)</f>
        <v>133.22744999999998</v>
      </c>
      <c r="P72" s="13">
        <f t="shared" si="87"/>
        <v>34.741060528773644</v>
      </c>
      <c r="Q72" s="20">
        <f t="shared" si="54"/>
        <v>292.545155837614</v>
      </c>
      <c r="R72" s="59">
        <f t="shared" si="55"/>
        <v>585.87848917094732</v>
      </c>
      <c r="S72" s="59">
        <f ca="1">AVERAGE(OFFSET($R$3,0,0,'Données projet'!$E$9+1,1))-AVERAGE(OFFSET($H$3,0,0,'Données projet'!$E$9+1,1))</f>
        <v>180.68512008344129</v>
      </c>
      <c r="T72" s="59">
        <f t="shared" si="88"/>
        <v>125.86231758828899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10.7</v>
      </c>
      <c r="AI72" s="13">
        <f>IF('Données projet'!$A$62&gt;35,AI71+AH72-AQ71,IF(A72&lt;'Données projet'!$A$62,$AF$205^A72,IF(A72='Données projet'!$A$62,'Données projet'!$B$62,AI71+AH72-AQ71)))</f>
        <v>299.29999999999984</v>
      </c>
      <c r="AJ72" s="13">
        <f>AI72*VLOOKUP('Données projet'!$B$10,Paramètres!$A$1:$I$89,3,0)*VLOOKUP('Données projet'!$B$10,Paramètres!$A$1:$I$89,5,0)</f>
        <v>256.79939999999988</v>
      </c>
      <c r="AK72" s="13">
        <f t="shared" si="89"/>
        <v>62.039648337165382</v>
      </c>
      <c r="AL72" s="20">
        <f t="shared" si="58"/>
        <v>555.31134252056279</v>
      </c>
      <c r="AM72" s="59">
        <f t="shared" si="59"/>
        <v>848.64467585389616</v>
      </c>
      <c r="AN72" s="59">
        <f ca="1">AVERAGE(OFFSET($AM$3,0,0,'Données projet'!$E$10+1,1))-AVERAGE(OFFSET($H$3,0,0,'Données projet'!$E$10+1,1))</f>
        <v>335.81667389179631</v>
      </c>
      <c r="AO72" s="59">
        <f t="shared" si="90"/>
        <v>137.96364450570718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1.9967253782292953</v>
      </c>
      <c r="AW72" s="21">
        <f>EXP(-LN(2)/2)*AW71+(1-EXP(-LN(2)/2))/(LN(2)/2)*AQ72*AT72*VLOOKUP('Données projet'!$B$10,Paramètres!$A$1:$I$89,3,0)*0.475*44/12</f>
        <v>1.204429523612693E-5</v>
      </c>
      <c r="AX72" s="21">
        <f t="shared" si="60"/>
        <v>1.9967374225245313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5.625</v>
      </c>
      <c r="BD72" s="12">
        <f>IF('Données projet'!$A$88&gt;35,BD71+BC72-BL71,IF(A72&lt;'Données projet'!$A$88,$BA$205^A72,IF(A72='Données projet'!$A$88,'Données projet'!$B$88,BD71+BC72-BL71)))</f>
        <v>147.25000000000003</v>
      </c>
      <c r="BE72" s="13">
        <f>BD72*VLOOKUP('Données projet'!$B$11,Paramètres!$A$1:$I$89,3,0)*VLOOKUP('Données projet'!$B$11,Paramètres!$A$1:$I$89,5,0)</f>
        <v>149.31150000000002</v>
      </c>
      <c r="BF72" s="13">
        <f t="shared" si="91"/>
        <v>38.422079656191713</v>
      </c>
      <c r="BG72" s="20">
        <f t="shared" si="61"/>
        <v>326.96931790120061</v>
      </c>
      <c r="BH72" s="59">
        <f t="shared" si="62"/>
        <v>620.30265123453387</v>
      </c>
      <c r="BI72" s="59">
        <f ca="1">AVERAGE(OFFSET($BH$3,0,0,'Données projet'!$E$11+1,1))-AVERAGE(OFFSET($H$3,0,0,'Données projet'!$E$11+1,1))</f>
        <v>217.20784862627357</v>
      </c>
      <c r="BJ72" s="59">
        <f t="shared" si="92"/>
        <v>147.24433901219732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1">
        <f t="shared" si="86"/>
        <v>14.955166599500004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67">
        <f t="shared" si="56"/>
        <v>408.76954849412897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5.6899038461538431</v>
      </c>
      <c r="N73" s="13">
        <f>IF('Données projet'!$A$36&gt;35,N72+M73-V72,IF(A73&lt;'Données projet'!$A$36,$K$205^A73,IF(A73='Données projet'!$A$36,'Données projet'!$B$36,N72+M73-V72)))</f>
        <v>152.93509615384613</v>
      </c>
      <c r="O73" s="13">
        <f>N73*VLOOKUP('Données projet'!$B$9,Paramètres!$A$1:$I$89,3,0)*VLOOKUP('Données projet'!$B$9,Paramètres!$A$1:$I$89,5,0)</f>
        <v>138.37567499999997</v>
      </c>
      <c r="P73" s="13">
        <f t="shared" si="87"/>
        <v>35.924643086227974</v>
      </c>
      <c r="Q73" s="20">
        <f t="shared" si="54"/>
        <v>303.57305400018032</v>
      </c>
      <c r="R73" s="59">
        <f t="shared" si="55"/>
        <v>596.90638733351363</v>
      </c>
      <c r="S73" s="59">
        <f ca="1">AVERAGE(OFFSET($R$3,0,0,'Données projet'!$E$9+1,1))-AVERAGE(OFFSET($H$3,0,0,'Données projet'!$E$9+1,1))</f>
        <v>180.68512008344129</v>
      </c>
      <c r="T73" s="59">
        <f t="shared" si="88"/>
        <v>125.86231758828899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310</v>
      </c>
      <c r="AG73" s="12">
        <f>VLOOKUP(A73,'Données projet'!$A$61:$I$81,9,0)</f>
        <v>10.7</v>
      </c>
      <c r="AH73" s="12">
        <f t="array" ref="AH73">INDEX(AG:AG,MIN(IF(ISNUMBER(AG73:AG269),ROW(AG73:AG269),"")))</f>
        <v>10.7</v>
      </c>
      <c r="AI73" s="13">
        <f>IF('Données projet'!$A$62&gt;35,AI72+AH73-AQ72,IF(A73&lt;'Données projet'!$A$62,$AF$205^A73,IF(A73='Données projet'!$A$62,'Données projet'!$B$62,AI72+AH73-AQ72)))</f>
        <v>309.99999999999983</v>
      </c>
      <c r="AJ73" s="13">
        <f>AI73*VLOOKUP('Données projet'!$B$10,Paramètres!$A$1:$I$89,3,0)*VLOOKUP('Données projet'!$B$10,Paramètres!$A$1:$I$89,5,0)</f>
        <v>265.9799999999999</v>
      </c>
      <c r="AK73" s="13">
        <f t="shared" si="89"/>
        <v>63.995380422211589</v>
      </c>
      <c r="AL73" s="20">
        <f t="shared" si="58"/>
        <v>574.70712090201835</v>
      </c>
      <c r="AM73" s="59">
        <f t="shared" si="59"/>
        <v>868.04045423535172</v>
      </c>
      <c r="AN73" s="59">
        <f ca="1">AVERAGE(OFFSET($AM$3,0,0,'Données projet'!$E$10+1,1))-AVERAGE(OFFSET($H$3,0,0,'Données projet'!$E$10+1,1))</f>
        <v>335.81667389179631</v>
      </c>
      <c r="AO73" s="59">
        <f t="shared" si="90"/>
        <v>137.96364450570718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1.9421248177583912</v>
      </c>
      <c r="AW73" s="21">
        <f>EXP(-LN(2)/2)*AW72+(1-EXP(-LN(2)/2))/(LN(2)/2)*AQ73*AT73*VLOOKUP('Données projet'!$B$10,Paramètres!$A$1:$I$89,3,0)*0.475*44/12</f>
        <v>8.5166028360781816E-6</v>
      </c>
      <c r="AX73" s="21">
        <f t="shared" si="60"/>
        <v>1.9421333343612273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5.625</v>
      </c>
      <c r="BD73" s="12">
        <f>IF('Données projet'!$A$88&gt;35,BD72+BC73-BL72,IF(A73&lt;'Données projet'!$A$88,$BA$205^A73,IF(A73='Données projet'!$A$88,'Données projet'!$B$88,BD72+BC73-BL72)))</f>
        <v>152.87500000000003</v>
      </c>
      <c r="BE73" s="13">
        <f>BD73*VLOOKUP('Données projet'!$B$11,Paramètres!$A$1:$I$89,3,0)*VLOOKUP('Données projet'!$B$11,Paramètres!$A$1:$I$89,5,0)</f>
        <v>155.01525000000004</v>
      </c>
      <c r="BF73" s="13">
        <f t="shared" si="91"/>
        <v>39.716128469586977</v>
      </c>
      <c r="BG73" s="20">
        <f t="shared" si="61"/>
        <v>339.15715083453068</v>
      </c>
      <c r="BH73" s="59">
        <f t="shared" si="62"/>
        <v>632.490484167864</v>
      </c>
      <c r="BI73" s="59">
        <f ca="1">AVERAGE(OFFSET($BH$3,0,0,'Données projet'!$E$11+1,1))-AVERAGE(OFFSET($H$3,0,0,'Données projet'!$E$11+1,1))</f>
        <v>217.20784862627357</v>
      </c>
      <c r="BJ73" s="59">
        <f t="shared" si="92"/>
        <v>147.24433901219732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1">
        <f t="shared" si="86"/>
        <v>15.14378740464756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67">
        <f t="shared" si="56"/>
        <v>410.3750530630943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5.6899038461538431</v>
      </c>
      <c r="N74" s="13">
        <f>IF('Données projet'!$A$36&gt;35,N73+M74-V73,IF(A74&lt;'Données projet'!$A$36,$K$205^A74,IF(A74='Données projet'!$A$36,'Données projet'!$B$36,N73+M74-V73)))</f>
        <v>158.62499999999997</v>
      </c>
      <c r="O74" s="13">
        <f>N74*VLOOKUP('Données projet'!$B$9,Paramètres!$A$1:$I$89,3,0)*VLOOKUP('Données projet'!$B$9,Paramètres!$A$1:$I$89,5,0)</f>
        <v>143.52389999999997</v>
      </c>
      <c r="P74" s="13">
        <f t="shared" si="87"/>
        <v>37.103109825509961</v>
      </c>
      <c r="Q74" s="20">
        <f t="shared" si="54"/>
        <v>314.59204211276312</v>
      </c>
      <c r="R74" s="59">
        <f t="shared" si="55"/>
        <v>607.9253754460965</v>
      </c>
      <c r="S74" s="59">
        <f ca="1">AVERAGE(OFFSET($R$3,0,0,'Données projet'!$E$9+1,1))-AVERAGE(OFFSET($H$3,0,0,'Données projet'!$E$9+1,1))</f>
        <v>180.68512008344129</v>
      </c>
      <c r="T74" s="59">
        <f t="shared" si="88"/>
        <v>125.86231758828899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10.1</v>
      </c>
      <c r="AI74" s="13">
        <f>IF('Données projet'!$A$62&gt;35,AI73+AH74-AQ73,IF(A74&lt;'Données projet'!$A$62,$AF$205^A74,IF(A74='Données projet'!$A$62,'Données projet'!$B$62,AI73+AH74-AQ73)))</f>
        <v>248.09999999999985</v>
      </c>
      <c r="AJ74" s="13">
        <f>AI74*VLOOKUP('Données projet'!$B$10,Paramètres!$A$1:$I$89,3,0)*VLOOKUP('Données projet'!$B$10,Paramètres!$A$1:$I$89,5,0)</f>
        <v>212.86979999999988</v>
      </c>
      <c r="AK74" s="13">
        <f t="shared" si="89"/>
        <v>52.562212940483391</v>
      </c>
      <c r="AL74" s="20">
        <f t="shared" si="58"/>
        <v>462.294089204675</v>
      </c>
      <c r="AM74" s="59">
        <f t="shared" si="59"/>
        <v>755.62742253800832</v>
      </c>
      <c r="AN74" s="59">
        <f ca="1">AVERAGE(OFFSET($AM$3,0,0,'Données projet'!$E$10+1,1))-AVERAGE(OFFSET($H$3,0,0,'Données projet'!$E$10+1,1))</f>
        <v>335.81667389179631</v>
      </c>
      <c r="AO74" s="59">
        <f t="shared" si="90"/>
        <v>137.96364450570718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1.8890173124848826</v>
      </c>
      <c r="AW74" s="21">
        <f>EXP(-LN(2)/2)*AW73+(1-EXP(-LN(2)/2))/(LN(2)/2)*AQ74*AT74*VLOOKUP('Données projet'!$B$10,Paramètres!$A$1:$I$89,3,0)*0.475*44/12</f>
        <v>6.0221476180634648E-6</v>
      </c>
      <c r="AX74" s="21">
        <f t="shared" si="60"/>
        <v>1.8890233346325007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5.625</v>
      </c>
      <c r="BD74" s="12">
        <f>IF('Données projet'!$A$88&gt;35,BD73+BC74-BL73,IF(A74&lt;'Données projet'!$A$88,$BA$205^A74,IF(A74='Données projet'!$A$88,'Données projet'!$B$88,BD73+BC74-BL73)))</f>
        <v>158.50000000000003</v>
      </c>
      <c r="BE74" s="13">
        <f>BD74*VLOOKUP('Données projet'!$B$11,Paramètres!$A$1:$I$89,3,0)*VLOOKUP('Données projet'!$B$11,Paramètres!$A$1:$I$89,5,0)</f>
        <v>160.71900000000002</v>
      </c>
      <c r="BF74" s="13">
        <f t="shared" si="91"/>
        <v>41.004645520447994</v>
      </c>
      <c r="BG74" s="20">
        <f t="shared" si="61"/>
        <v>351.33534928144695</v>
      </c>
      <c r="BH74" s="59">
        <f t="shared" si="62"/>
        <v>644.66868261478021</v>
      </c>
      <c r="BI74" s="59">
        <f ca="1">AVERAGE(OFFSET($BH$3,0,0,'Données projet'!$E$11+1,1))-AVERAGE(OFFSET($H$3,0,0,'Données projet'!$E$11+1,1))</f>
        <v>217.20784862627357</v>
      </c>
      <c r="BJ74" s="59">
        <f t="shared" si="92"/>
        <v>147.24433901219732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1">
        <f t="shared" si="86"/>
        <v>15.332099220482363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67">
        <f t="shared" si="56"/>
        <v>411.98001947567326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5.6899038461538431</v>
      </c>
      <c r="N75" s="13">
        <f>IF('Données projet'!$A$36&gt;35,N74+M75-V74,IF(A75&lt;'Données projet'!$A$36,$K$205^A75,IF(A75='Données projet'!$A$36,'Données projet'!$B$36,N74+M75-V74)))</f>
        <v>164.31490384615381</v>
      </c>
      <c r="O75" s="13">
        <f>N75*VLOOKUP('Données projet'!$B$9,Paramètres!$A$1:$I$89,3,0)*VLOOKUP('Données projet'!$B$9,Paramètres!$A$1:$I$89,5,0)</f>
        <v>148.67212499999997</v>
      </c>
      <c r="P75" s="13">
        <f t="shared" si="87"/>
        <v>38.276665273939201</v>
      </c>
      <c r="Q75" s="20">
        <f t="shared" si="54"/>
        <v>325.60247639377735</v>
      </c>
      <c r="R75" s="59">
        <f t="shared" si="55"/>
        <v>618.93580972711061</v>
      </c>
      <c r="S75" s="59">
        <f ca="1">AVERAGE(OFFSET($R$3,0,0,'Données projet'!$E$9+1,1))-AVERAGE(OFFSET($H$3,0,0,'Données projet'!$E$9+1,1))</f>
        <v>180.68512008344129</v>
      </c>
      <c r="T75" s="59">
        <f t="shared" si="88"/>
        <v>125.86231758828899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10.1</v>
      </c>
      <c r="AI75" s="13">
        <f>IF('Données projet'!$A$62&gt;35,AI74+AH75-AQ74,IF(A75&lt;'Données projet'!$A$62,$AF$205^A75,IF(A75='Données projet'!$A$62,'Données projet'!$B$62,AI74+AH75-AQ74)))</f>
        <v>258.19999999999987</v>
      </c>
      <c r="AJ75" s="13">
        <f>AI75*VLOOKUP('Données projet'!$B$10,Paramètres!$A$1:$I$89,3,0)*VLOOKUP('Données projet'!$B$10,Paramètres!$A$1:$I$89,5,0)</f>
        <v>221.5355999999999</v>
      </c>
      <c r="AK75" s="13">
        <f t="shared" si="89"/>
        <v>54.448505561050183</v>
      </c>
      <c r="AL75" s="20">
        <f t="shared" si="58"/>
        <v>480.67231718549561</v>
      </c>
      <c r="AM75" s="59">
        <f t="shared" si="59"/>
        <v>774.00565051882893</v>
      </c>
      <c r="AN75" s="59">
        <f ca="1">AVERAGE(OFFSET($AM$3,0,0,'Données projet'!$E$10+1,1))-AVERAGE(OFFSET($H$3,0,0,'Données projet'!$E$10+1,1))</f>
        <v>335.81667389179631</v>
      </c>
      <c r="AO75" s="59">
        <f t="shared" si="90"/>
        <v>137.96364450570718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1.8373620347358803</v>
      </c>
      <c r="AW75" s="21">
        <f>EXP(-LN(2)/2)*AW74+(1-EXP(-LN(2)/2))/(LN(2)/2)*AQ75*AT75*VLOOKUP('Données projet'!$B$10,Paramètres!$A$1:$I$89,3,0)*0.475*44/12</f>
        <v>4.2583014180390908E-6</v>
      </c>
      <c r="AX75" s="21">
        <f t="shared" si="60"/>
        <v>1.8373662930372985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5.625</v>
      </c>
      <c r="BD75" s="12">
        <f>IF('Données projet'!$A$88&gt;35,BD74+BC75-BL74,IF(A75&lt;'Données projet'!$A$88,$BA$205^A75,IF(A75='Données projet'!$A$88,'Données projet'!$B$88,BD74+BC75-BL74)))</f>
        <v>164.12500000000003</v>
      </c>
      <c r="BE75" s="13">
        <f>BD75*VLOOKUP('Données projet'!$B$11,Paramètres!$A$1:$I$89,3,0)*VLOOKUP('Données projet'!$B$11,Paramètres!$A$1:$I$89,5,0)</f>
        <v>166.42275000000004</v>
      </c>
      <c r="BF75" s="13">
        <f t="shared" si="91"/>
        <v>42.287849617839989</v>
      </c>
      <c r="BG75" s="20">
        <f t="shared" si="61"/>
        <v>363.50429433440468</v>
      </c>
      <c r="BH75" s="59">
        <f t="shared" si="62"/>
        <v>656.83762766773793</v>
      </c>
      <c r="BI75" s="59">
        <f ca="1">AVERAGE(OFFSET($BH$3,0,0,'Données projet'!$E$11+1,1))-AVERAGE(OFFSET($H$3,0,0,'Données projet'!$E$11+1,1))</f>
        <v>217.20784862627357</v>
      </c>
      <c r="BJ75" s="59">
        <f t="shared" si="92"/>
        <v>147.24433901219732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1">
        <f t="shared" si="86"/>
        <v>15.520106834494458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67">
        <f t="shared" si="56"/>
        <v>413.58445607007764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5.6899038461538431</v>
      </c>
      <c r="N76" s="13">
        <f>IF('Données projet'!$A$36&gt;35,N75+M76-V75,IF(A76&lt;'Données projet'!$A$36,$K$205^A76,IF(A76='Données projet'!$A$36,'Données projet'!$B$36,N75+M76-V75)))</f>
        <v>170.00480769230765</v>
      </c>
      <c r="O76" s="13">
        <f>N76*VLOOKUP('Données projet'!$B$9,Paramètres!$A$1:$I$89,3,0)*VLOOKUP('Données projet'!$B$9,Paramètres!$A$1:$I$89,5,0)</f>
        <v>153.82034999999993</v>
      </c>
      <c r="P76" s="13">
        <f t="shared" si="87"/>
        <v>39.445498990742948</v>
      </c>
      <c r="Q76" s="20">
        <f t="shared" si="54"/>
        <v>336.60468699221047</v>
      </c>
      <c r="R76" s="59">
        <f t="shared" si="55"/>
        <v>629.93802032554379</v>
      </c>
      <c r="S76" s="59">
        <f ca="1">AVERAGE(OFFSET($R$3,0,0,'Données projet'!$E$9+1,1))-AVERAGE(OFFSET($H$3,0,0,'Données projet'!$E$9+1,1))</f>
        <v>180.68512008344129</v>
      </c>
      <c r="T76" s="59">
        <f t="shared" si="88"/>
        <v>125.86231758828899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10.1</v>
      </c>
      <c r="AI76" s="13">
        <f>IF('Données projet'!$A$62&gt;35,AI75+AH76-AQ75,IF(A76&lt;'Données projet'!$A$62,$AF$205^A76,IF(A76='Données projet'!$A$62,'Données projet'!$B$62,AI75+AH76-AQ75)))</f>
        <v>268.2999999999999</v>
      </c>
      <c r="AJ76" s="13">
        <f>AI76*VLOOKUP('Données projet'!$B$10,Paramètres!$A$1:$I$89,3,0)*VLOOKUP('Données projet'!$B$10,Paramètres!$A$1:$I$89,5,0)</f>
        <v>230.20139999999995</v>
      </c>
      <c r="AK76" s="13">
        <f t="shared" si="89"/>
        <v>56.326226701292995</v>
      </c>
      <c r="AL76" s="20">
        <f t="shared" si="58"/>
        <v>499.03561650475189</v>
      </c>
      <c r="AM76" s="59">
        <f t="shared" si="59"/>
        <v>792.3689498380852</v>
      </c>
      <c r="AN76" s="59">
        <f ca="1">AVERAGE(OFFSET($AM$3,0,0,'Données projet'!$E$10+1,1))-AVERAGE(OFFSET($H$3,0,0,'Données projet'!$E$10+1,1))</f>
        <v>335.81667389179631</v>
      </c>
      <c r="AO76" s="59">
        <f t="shared" si="90"/>
        <v>137.96364450570718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1.7871192732733576</v>
      </c>
      <c r="AW76" s="21">
        <f>EXP(-LN(2)/2)*AW75+(1-EXP(-LN(2)/2))/(LN(2)/2)*AQ76*AT76*VLOOKUP('Données projet'!$B$10,Paramètres!$A$1:$I$89,3,0)*0.475*44/12</f>
        <v>3.0110738090317324E-6</v>
      </c>
      <c r="AX76" s="21">
        <f t="shared" si="60"/>
        <v>1.7871222843471666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5.625</v>
      </c>
      <c r="BD76" s="12">
        <f>IF('Données projet'!$A$88&gt;35,BD75+BC76-BL75,IF(A76&lt;'Données projet'!$A$88,$BA$205^A76,IF(A76='Données projet'!$A$88,'Données projet'!$B$88,BD75+BC76-BL75)))</f>
        <v>169.75000000000003</v>
      </c>
      <c r="BE76" s="13">
        <f>BD76*VLOOKUP('Données projet'!$B$11,Paramètres!$A$1:$I$89,3,0)*VLOOKUP('Données projet'!$B$11,Paramètres!$A$1:$I$89,5,0)</f>
        <v>172.12650000000005</v>
      </c>
      <c r="BF76" s="13">
        <f t="shared" si="91"/>
        <v>43.565943721760107</v>
      </c>
      <c r="BG76" s="20">
        <f t="shared" si="61"/>
        <v>375.66433948206554</v>
      </c>
      <c r="BH76" s="59">
        <f t="shared" si="62"/>
        <v>668.9976728153988</v>
      </c>
      <c r="BI76" s="59">
        <f ca="1">AVERAGE(OFFSET($BH$3,0,0,'Données projet'!$E$11+1,1))-AVERAGE(OFFSET($H$3,0,0,'Données projet'!$E$11+1,1))</f>
        <v>217.20784862627357</v>
      </c>
      <c r="BJ76" s="59">
        <f t="shared" si="92"/>
        <v>147.24433901219732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1">
        <f t="shared" si="86"/>
        <v>15.707814895473696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67">
        <f t="shared" si="56"/>
        <v>415.1883709429498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5.6899038461538431</v>
      </c>
      <c r="N77" s="13">
        <f>IF('Données projet'!$A$36&gt;35,N76+M77-V76,IF(A77&lt;'Données projet'!$A$36,$K$205^A77,IF(A77='Données projet'!$A$36,'Données projet'!$B$36,N76+M77-V76)))</f>
        <v>175.69471153846149</v>
      </c>
      <c r="O77" s="13">
        <f>N77*VLOOKUP('Données projet'!$B$9,Paramètres!$A$1:$I$89,3,0)*VLOOKUP('Données projet'!$B$9,Paramètres!$A$1:$I$89,5,0)</f>
        <v>158.96857499999996</v>
      </c>
      <c r="P77" s="13">
        <f t="shared" si="87"/>
        <v>40.609787126426944</v>
      </c>
      <c r="Q77" s="20">
        <f t="shared" si="54"/>
        <v>347.59898070352688</v>
      </c>
      <c r="R77" s="59">
        <f t="shared" si="55"/>
        <v>640.93231403686013</v>
      </c>
      <c r="S77" s="59">
        <f ca="1">AVERAGE(OFFSET($R$3,0,0,'Données projet'!$E$9+1,1))-AVERAGE(OFFSET($H$3,0,0,'Données projet'!$E$9+1,1))</f>
        <v>180.68512008344129</v>
      </c>
      <c r="T77" s="59">
        <f t="shared" si="88"/>
        <v>125.86231758828899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10.1</v>
      </c>
      <c r="AI77" s="13">
        <f>IF('Données projet'!$A$62&gt;35,AI76+AH77-AQ76,IF(A77&lt;'Données projet'!$A$62,$AF$205^A77,IF(A77='Données projet'!$A$62,'Données projet'!$B$62,AI76+AH77-AQ76)))</f>
        <v>278.39999999999992</v>
      </c>
      <c r="AJ77" s="13">
        <f>AI77*VLOOKUP('Données projet'!$B$10,Paramètres!$A$1:$I$89,3,0)*VLOOKUP('Données projet'!$B$10,Paramètres!$A$1:$I$89,5,0)</f>
        <v>238.86719999999997</v>
      </c>
      <c r="AK77" s="13">
        <f t="shared" si="89"/>
        <v>58.195735973104156</v>
      </c>
      <c r="AL77" s="20">
        <f t="shared" si="58"/>
        <v>517.38461348648957</v>
      </c>
      <c r="AM77" s="59">
        <f t="shared" si="59"/>
        <v>810.71794681982283</v>
      </c>
      <c r="AN77" s="59">
        <f ca="1">AVERAGE(OFFSET($AM$3,0,0,'Données projet'!$E$10+1,1))-AVERAGE(OFFSET($H$3,0,0,'Données projet'!$E$10+1,1))</f>
        <v>335.81667389179631</v>
      </c>
      <c r="AO77" s="59">
        <f t="shared" si="90"/>
        <v>137.96364450570718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1.7382504027651795</v>
      </c>
      <c r="AW77" s="21">
        <f>EXP(-LN(2)/2)*AW76+(1-EXP(-LN(2)/2))/(LN(2)/2)*AQ77*AT77*VLOOKUP('Données projet'!$B$10,Paramètres!$A$1:$I$89,3,0)*0.475*44/12</f>
        <v>2.1291507090195454E-6</v>
      </c>
      <c r="AX77" s="21">
        <f t="shared" si="60"/>
        <v>1.7382525319158886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5.625</v>
      </c>
      <c r="BD77" s="12">
        <f>IF('Données projet'!$A$88&gt;35,BD76+BC77-BL76,IF(A77&lt;'Données projet'!$A$88,$BA$205^A77,IF(A77='Données projet'!$A$88,'Données projet'!$B$88,BD76+BC77-BL76)))</f>
        <v>175.37500000000003</v>
      </c>
      <c r="BE77" s="13">
        <f>BD77*VLOOKUP('Données projet'!$B$11,Paramètres!$A$1:$I$89,3,0)*VLOOKUP('Données projet'!$B$11,Paramètres!$A$1:$I$89,5,0)</f>
        <v>177.83025000000004</v>
      </c>
      <c r="BF77" s="13">
        <f t="shared" si="91"/>
        <v>44.839116577909707</v>
      </c>
      <c r="BG77" s="20">
        <f t="shared" si="61"/>
        <v>387.81581345652609</v>
      </c>
      <c r="BH77" s="59">
        <f t="shared" si="62"/>
        <v>681.1491467898594</v>
      </c>
      <c r="BI77" s="59">
        <f ca="1">AVERAGE(OFFSET($BH$3,0,0,'Données projet'!$E$11+1,1))-AVERAGE(OFFSET($H$3,0,0,'Données projet'!$E$11+1,1))</f>
        <v>217.20784862627357</v>
      </c>
      <c r="BJ77" s="59">
        <f t="shared" si="92"/>
        <v>147.24433901219732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1">
        <f t="shared" si="86"/>
        <v>15.895227919346986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67">
        <f t="shared" si="56"/>
        <v>416.79177195952911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181.38461538461536</v>
      </c>
      <c r="L78" s="12">
        <f>VLOOKUP(A78,'Données projet'!$A$35:$I$55,9,0)</f>
        <v>5.6899038461538431</v>
      </c>
      <c r="M78" s="12">
        <f t="array" ref="M78">INDEX(L:L,MIN(IF(ISNUMBER(L78:L274),ROW(L78:L274),"")))</f>
        <v>5.6899038461538431</v>
      </c>
      <c r="N78" s="13">
        <f>IF('Données projet'!$A$36&gt;35,N77+M78-V77,IF(A78&lt;'Données projet'!$A$36,$K$205^A78,IF(A78='Données projet'!$A$36,'Données projet'!$B$36,N77+M78-V77)))</f>
        <v>181.38461538461533</v>
      </c>
      <c r="O78" s="13">
        <f>N78*VLOOKUP('Données projet'!$B$9,Paramètres!$A$1:$I$89,3,0)*VLOOKUP('Données projet'!$B$9,Paramètres!$A$1:$I$89,5,0)</f>
        <v>164.11679999999993</v>
      </c>
      <c r="P78" s="13">
        <f t="shared" si="87"/>
        <v>41.769693774469289</v>
      </c>
      <c r="Q78" s="20">
        <f t="shared" si="54"/>
        <v>358.58564332386726</v>
      </c>
      <c r="R78" s="59">
        <f t="shared" si="55"/>
        <v>651.91897665720057</v>
      </c>
      <c r="S78" s="59">
        <f ca="1">AVERAGE(OFFSET($R$3,0,0,'Données projet'!$E$9+1,1))-AVERAGE(OFFSET($H$3,0,0,'Données projet'!$E$9+1,1))</f>
        <v>180.68512008344129</v>
      </c>
      <c r="T78" s="59">
        <f t="shared" si="88"/>
        <v>125.86231758828899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30.916666666666664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10.1</v>
      </c>
      <c r="AI78" s="13">
        <f>IF('Données projet'!$A$62&gt;35,AI77+AH78-AQ77,IF(A78&lt;'Données projet'!$A$62,$AF$205^A78,IF(A78='Données projet'!$A$62,'Données projet'!$B$62,AI77+AH78-AQ77)))</f>
        <v>288.49999999999994</v>
      </c>
      <c r="AJ78" s="13">
        <f>AI78*VLOOKUP('Données projet'!$B$10,Paramètres!$A$1:$I$89,3,0)*VLOOKUP('Données projet'!$B$10,Paramètres!$A$1:$I$89,5,0)</f>
        <v>247.53299999999999</v>
      </c>
      <c r="AK78" s="13">
        <f t="shared" si="89"/>
        <v>60.057365417030148</v>
      </c>
      <c r="AL78" s="20">
        <f t="shared" si="58"/>
        <v>535.71988643466068</v>
      </c>
      <c r="AM78" s="59">
        <f t="shared" si="59"/>
        <v>829.05321976799405</v>
      </c>
      <c r="AN78" s="59">
        <f ca="1">AVERAGE(OFFSET($AM$3,0,0,'Données projet'!$E$10+1,1))-AVERAGE(OFFSET($H$3,0,0,'Données projet'!$E$10+1,1))</f>
        <v>335.81667389179631</v>
      </c>
      <c r="AO78" s="59">
        <f t="shared" si="90"/>
        <v>137.96364450570718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1.6907178540909498</v>
      </c>
      <c r="AW78" s="21">
        <f>EXP(-LN(2)/2)*AW77+(1-EXP(-LN(2)/2))/(LN(2)/2)*AQ78*AT78*VLOOKUP('Données projet'!$B$10,Paramètres!$A$1:$I$89,3,0)*0.475*44/12</f>
        <v>1.5055369045158662E-6</v>
      </c>
      <c r="AX78" s="21">
        <f t="shared" si="60"/>
        <v>1.6907193596278542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</v>
      </c>
      <c r="BB78" s="12">
        <f>VLOOKUP(A78,'Données projet'!$A$87:$I$107,9,0)</f>
        <v>5.625</v>
      </c>
      <c r="BC78" s="12">
        <f t="array" ref="BC78">INDEX(BB:BB,MIN(IF(ISNUMBER(BB78:BB274),ROW(BB78:BB274),"")))</f>
        <v>5.625</v>
      </c>
      <c r="BD78" s="12">
        <f>IF('Données projet'!$A$88&gt;35,BD77+BC78-BL77,IF(A78&lt;'Données projet'!$A$88,$BA$205^A78,IF(A78='Données projet'!$A$88,'Données projet'!$B$88,BD77+BC78-BL77)))</f>
        <v>181.00000000000003</v>
      </c>
      <c r="BE78" s="13">
        <f>BD78*VLOOKUP('Données projet'!$B$11,Paramètres!$A$1:$I$89,3,0)*VLOOKUP('Données projet'!$B$11,Paramètres!$A$1:$I$89,5,0)</f>
        <v>183.53400000000005</v>
      </c>
      <c r="BF78" s="13">
        <f t="shared" si="91"/>
        <v>46.107544136839593</v>
      </c>
      <c r="BG78" s="20">
        <f t="shared" si="61"/>
        <v>399.95902270499568</v>
      </c>
      <c r="BH78" s="59">
        <f t="shared" si="62"/>
        <v>693.29235603832899</v>
      </c>
      <c r="BI78" s="59">
        <f ca="1">AVERAGE(OFFSET($BH$3,0,0,'Données projet'!$E$11+1,1))-AVERAGE(OFFSET($H$3,0,0,'Données projet'!$E$11+1,1))</f>
        <v>217.20784862627357</v>
      </c>
      <c r="BJ78" s="59">
        <f t="shared" si="92"/>
        <v>147.24433901219732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31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1">
        <f t="shared" si="86"/>
        <v>16.08235029469542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67">
        <f t="shared" si="56"/>
        <v>418.394666763261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5.5042735042735051</v>
      </c>
      <c r="N79" s="13">
        <f>IF('Données projet'!$A$36&gt;35,N78+M79-V78,IF(A79&lt;'Données projet'!$A$36,$K$205^A79,IF(A79='Données projet'!$A$36,'Données projet'!$B$36,N78+M79-V78)))</f>
        <v>155.97222222222217</v>
      </c>
      <c r="O79" s="13">
        <f>N79*VLOOKUP('Données projet'!$B$9,Paramètres!$A$1:$I$89,3,0)*VLOOKUP('Données projet'!$B$9,Paramètres!$A$1:$I$89,5,0)</f>
        <v>141.12366666666662</v>
      </c>
      <c r="P79" s="13">
        <f t="shared" si="87"/>
        <v>36.554301861544381</v>
      </c>
      <c r="Q79" s="20">
        <f t="shared" si="54"/>
        <v>309.45579518663413</v>
      </c>
      <c r="R79" s="59">
        <f t="shared" si="55"/>
        <v>602.78912851996745</v>
      </c>
      <c r="S79" s="59">
        <f ca="1">AVERAGE(OFFSET($R$3,0,0,'Données projet'!$E$9+1,1))-AVERAGE(OFFSET($H$3,0,0,'Données projet'!$E$9+1,1))</f>
        <v>180.68512008344129</v>
      </c>
      <c r="T79" s="59">
        <f t="shared" si="88"/>
        <v>125.86231758828899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10.1</v>
      </c>
      <c r="AI79" s="13">
        <f>IF('Données projet'!$A$62&gt;35,AI78+AH79-AQ78,IF(A79&lt;'Données projet'!$A$62,$AF$205^A79,IF(A79='Données projet'!$A$62,'Données projet'!$B$62,AI78+AH79-AQ78)))</f>
        <v>298.59999999999997</v>
      </c>
      <c r="AJ79" s="13">
        <f>AI79*VLOOKUP('Données projet'!$B$10,Paramètres!$A$1:$I$89,3,0)*VLOOKUP('Données projet'!$B$10,Paramètres!$A$1:$I$89,5,0)</f>
        <v>256.19880000000001</v>
      </c>
      <c r="AK79" s="13">
        <f t="shared" si="89"/>
        <v>61.911422506728201</v>
      </c>
      <c r="AL79" s="20">
        <f t="shared" si="58"/>
        <v>554.04197086588488</v>
      </c>
      <c r="AM79" s="59">
        <f t="shared" si="59"/>
        <v>847.37530419921814</v>
      </c>
      <c r="AN79" s="59">
        <f ca="1">AVERAGE(OFFSET($AM$3,0,0,'Données projet'!$E$10+1,1))-AVERAGE(OFFSET($H$3,0,0,'Données projet'!$E$10+1,1))</f>
        <v>335.81667389179631</v>
      </c>
      <c r="AO79" s="59">
        <f t="shared" si="90"/>
        <v>137.96364450570718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1.644485085459845</v>
      </c>
      <c r="AW79" s="21">
        <f>EXP(-LN(2)/2)*AW78+(1-EXP(-LN(2)/2))/(LN(2)/2)*AQ79*AT79*VLOOKUP('Données projet'!$B$10,Paramètres!$A$1:$I$89,3,0)*0.475*44/12</f>
        <v>1.0645753545097727E-6</v>
      </c>
      <c r="AX79" s="21">
        <f t="shared" si="60"/>
        <v>1.6444861500351995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5.5555555555555554</v>
      </c>
      <c r="BD79" s="12">
        <f>IF('Données projet'!$A$88&gt;35,BD78+BC79-BL78,IF(A79&lt;'Données projet'!$A$88,$BA$205^A79,IF(A79='Données projet'!$A$88,'Données projet'!$B$88,BD78+BC79-BL78)))</f>
        <v>155.55555555555557</v>
      </c>
      <c r="BE79" s="13">
        <f>BD79*VLOOKUP('Données projet'!$B$11,Paramètres!$A$1:$I$89,3,0)*VLOOKUP('Données projet'!$B$11,Paramètres!$A$1:$I$89,5,0)</f>
        <v>157.73333333333338</v>
      </c>
      <c r="BF79" s="13">
        <f t="shared" si="91"/>
        <v>40.330838645858485</v>
      </c>
      <c r="BG79" s="20">
        <f t="shared" si="61"/>
        <v>344.96176619709246</v>
      </c>
      <c r="BH79" s="59">
        <f t="shared" si="62"/>
        <v>638.29509953042577</v>
      </c>
      <c r="BI79" s="59">
        <f ca="1">AVERAGE(OFFSET($BH$3,0,0,'Données projet'!$E$11+1,1))-AVERAGE(OFFSET($H$3,0,0,'Données projet'!$E$11+1,1))</f>
        <v>217.20784862627357</v>
      </c>
      <c r="BJ79" s="59">
        <f t="shared" si="92"/>
        <v>147.24433901219732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1">
        <f t="shared" si="86"/>
        <v>16.269186287972673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67">
        <f t="shared" si="56"/>
        <v>419.99706278488549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5.5042735042735051</v>
      </c>
      <c r="N80" s="13">
        <f>IF('Données projet'!$A$36&gt;35,N79+M80-V79,IF(A80&lt;'Données projet'!$A$36,$K$205^A80,IF(A80='Données projet'!$A$36,'Données projet'!$B$36,N79+M80-V79)))</f>
        <v>161.47649572649567</v>
      </c>
      <c r="O80" s="13">
        <f>N80*VLOOKUP('Données projet'!$B$9,Paramètres!$A$1:$I$89,3,0)*VLOOKUP('Données projet'!$B$9,Paramètres!$A$1:$I$89,5,0)</f>
        <v>146.10393333333329</v>
      </c>
      <c r="P80" s="13">
        <f t="shared" si="87"/>
        <v>37.691838944088502</v>
      </c>
      <c r="Q80" s="20">
        <f t="shared" si="54"/>
        <v>320.11097004984299</v>
      </c>
      <c r="R80" s="59">
        <f t="shared" si="55"/>
        <v>613.44430338317625</v>
      </c>
      <c r="S80" s="59">
        <f ca="1">AVERAGE(OFFSET($R$3,0,0,'Données projet'!$E$9+1,1))-AVERAGE(OFFSET($H$3,0,0,'Données projet'!$E$9+1,1))</f>
        <v>180.68512008344129</v>
      </c>
      <c r="T80" s="59">
        <f t="shared" si="88"/>
        <v>125.86231758828899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10.1</v>
      </c>
      <c r="AI80" s="13">
        <f>IF('Données projet'!$A$62&gt;35,AI79+AH80-AQ79,IF(A80&lt;'Données projet'!$A$62,$AF$205^A80,IF(A80='Données projet'!$A$62,'Données projet'!$B$62,AI79+AH80-AQ79)))</f>
        <v>308.7</v>
      </c>
      <c r="AJ80" s="13">
        <f>AI80*VLOOKUP('Données projet'!$B$10,Paramètres!$A$1:$I$89,3,0)*VLOOKUP('Données projet'!$B$10,Paramètres!$A$1:$I$89,5,0)</f>
        <v>264.8646</v>
      </c>
      <c r="AK80" s="13">
        <f t="shared" si="89"/>
        <v>63.758192735505993</v>
      </c>
      <c r="AL80" s="20">
        <f t="shared" si="58"/>
        <v>572.35136401433954</v>
      </c>
      <c r="AM80" s="59">
        <f t="shared" si="59"/>
        <v>865.68469734767291</v>
      </c>
      <c r="AN80" s="59">
        <f ca="1">AVERAGE(OFFSET($AM$3,0,0,'Données projet'!$E$10+1,1))-AVERAGE(OFFSET($H$3,0,0,'Données projet'!$E$10+1,1))</f>
        <v>335.81667389179631</v>
      </c>
      <c r="AO80" s="59">
        <f t="shared" si="90"/>
        <v>137.96364450570718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1.5995165543182335</v>
      </c>
      <c r="AW80" s="21">
        <f>EXP(-LN(2)/2)*AW79+(1-EXP(-LN(2)/2))/(LN(2)/2)*AQ80*AT80*VLOOKUP('Données projet'!$B$10,Paramètres!$A$1:$I$89,3,0)*0.475*44/12</f>
        <v>7.5276845225793311E-7</v>
      </c>
      <c r="AX80" s="21">
        <f t="shared" si="60"/>
        <v>1.5995173070866857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5.5555555555555554</v>
      </c>
      <c r="BD80" s="12">
        <f>IF('Données projet'!$A$88&gt;35,BD79+BC80-BL79,IF(A80&lt;'Données projet'!$A$88,$BA$205^A80,IF(A80='Données projet'!$A$88,'Données projet'!$B$88,BD79+BC80-BL79)))</f>
        <v>161.11111111111111</v>
      </c>
      <c r="BE80" s="13">
        <f>BD80*VLOOKUP('Données projet'!$B$11,Paramètres!$A$1:$I$89,3,0)*VLOOKUP('Données projet'!$B$11,Paramètres!$A$1:$I$89,5,0)</f>
        <v>163.36666666666667</v>
      </c>
      <c r="BF80" s="13">
        <f t="shared" si="91"/>
        <v>41.600953739944963</v>
      </c>
      <c r="BG80" s="20">
        <f t="shared" si="61"/>
        <v>356.98527220818193</v>
      </c>
      <c r="BH80" s="59">
        <f t="shared" si="62"/>
        <v>650.31860554151524</v>
      </c>
      <c r="BI80" s="59">
        <f ca="1">AVERAGE(OFFSET($BH$3,0,0,'Données projet'!$E$11+1,1))-AVERAGE(OFFSET($H$3,0,0,'Données projet'!$E$11+1,1))</f>
        <v>217.20784862627357</v>
      </c>
      <c r="BJ80" s="59">
        <f t="shared" si="92"/>
        <v>147.24433901219732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1">
        <f t="shared" si="86"/>
        <v>16.455740048444692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67">
        <f t="shared" si="56"/>
        <v>421.5989672510409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5.5042735042735051</v>
      </c>
      <c r="N81" s="13">
        <f>IF('Données projet'!$A$36&gt;35,N80+M81-V80,IF(A81&lt;'Données projet'!$A$36,$K$205^A81,IF(A81='Données projet'!$A$36,'Données projet'!$B$36,N80+M81-V80)))</f>
        <v>166.98076923076917</v>
      </c>
      <c r="O81" s="13">
        <f>N81*VLOOKUP('Données projet'!$B$9,Paramètres!$A$1:$I$89,3,0)*VLOOKUP('Données projet'!$B$9,Paramètres!$A$1:$I$89,5,0)</f>
        <v>151.08419999999992</v>
      </c>
      <c r="P81" s="13">
        <f t="shared" si="87"/>
        <v>38.824870591002266</v>
      </c>
      <c r="Q81" s="20">
        <f t="shared" si="54"/>
        <v>330.75829794599554</v>
      </c>
      <c r="R81" s="59">
        <f t="shared" si="55"/>
        <v>624.09163127932879</v>
      </c>
      <c r="S81" s="59">
        <f ca="1">AVERAGE(OFFSET($R$3,0,0,'Données projet'!$E$9+1,1))-AVERAGE(OFFSET($H$3,0,0,'Données projet'!$E$9+1,1))</f>
        <v>180.68512008344129</v>
      </c>
      <c r="T81" s="59">
        <f t="shared" si="88"/>
        <v>125.86231758828899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10.1</v>
      </c>
      <c r="AI81" s="13">
        <f>IF('Données projet'!$A$62&gt;35,AI80+AH81-AQ80,IF(A81&lt;'Données projet'!$A$62,$AF$205^A81,IF(A81='Données projet'!$A$62,'Données projet'!$B$62,AI80+AH81-AQ80)))</f>
        <v>318.8</v>
      </c>
      <c r="AJ81" s="13">
        <f>AI81*VLOOKUP('Données projet'!$B$10,Paramètres!$A$1:$I$89,3,0)*VLOOKUP('Données projet'!$B$10,Paramètres!$A$1:$I$89,5,0)</f>
        <v>273.53040000000004</v>
      </c>
      <c r="AK81" s="13">
        <f t="shared" si="89"/>
        <v>65.597941854849111</v>
      </c>
      <c r="AL81" s="20">
        <f t="shared" si="58"/>
        <v>590.64852873052894</v>
      </c>
      <c r="AM81" s="59">
        <f t="shared" si="59"/>
        <v>883.98186206386231</v>
      </c>
      <c r="AN81" s="59">
        <f ca="1">AVERAGE(OFFSET($AM$3,0,0,'Données projet'!$E$10+1,1))-AVERAGE(OFFSET($H$3,0,0,'Données projet'!$E$10+1,1))</f>
        <v>335.81667389179631</v>
      </c>
      <c r="AO81" s="59">
        <f t="shared" si="90"/>
        <v>137.96364450570718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1.5557776900254816</v>
      </c>
      <c r="AW81" s="21">
        <f>EXP(-LN(2)/2)*AW80+(1-EXP(-LN(2)/2))/(LN(2)/2)*AQ81*AT81*VLOOKUP('Données projet'!$B$10,Paramètres!$A$1:$I$89,3,0)*0.475*44/12</f>
        <v>5.3228767725488635E-7</v>
      </c>
      <c r="AX81" s="21">
        <f t="shared" si="60"/>
        <v>1.5557782223131589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5.5555555555555554</v>
      </c>
      <c r="BD81" s="12">
        <f>IF('Données projet'!$A$88&gt;35,BD80+BC81-BL80,IF(A81&lt;'Données projet'!$A$88,$BA$205^A81,IF(A81='Données projet'!$A$88,'Données projet'!$B$88,BD80+BC81-BL80)))</f>
        <v>166.66666666666666</v>
      </c>
      <c r="BE81" s="13">
        <f>BD81*VLOOKUP('Données projet'!$B$11,Paramètres!$A$1:$I$89,3,0)*VLOOKUP('Données projet'!$B$11,Paramètres!$A$1:$I$89,5,0)</f>
        <v>169</v>
      </c>
      <c r="BF81" s="13">
        <f t="shared" si="91"/>
        <v>42.865980006920182</v>
      </c>
      <c r="BG81" s="20">
        <f t="shared" si="61"/>
        <v>368.99991517871928</v>
      </c>
      <c r="BH81" s="59">
        <f t="shared" si="62"/>
        <v>662.33324851205259</v>
      </c>
      <c r="BI81" s="59">
        <f ca="1">AVERAGE(OFFSET($BH$3,0,0,'Données projet'!$E$11+1,1))-AVERAGE(OFFSET($H$3,0,0,'Données projet'!$E$11+1,1))</f>
        <v>217.20784862627357</v>
      </c>
      <c r="BJ81" s="59">
        <f t="shared" si="92"/>
        <v>147.24433901219732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1">
        <f t="shared" si="86"/>
        <v>16.642015612868772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67">
        <f t="shared" si="56"/>
        <v>423.2003871924129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5.5042735042735051</v>
      </c>
      <c r="N82" s="13">
        <f>IF('Données projet'!$A$36&gt;35,N81+M82-V81,IF(A82&lt;'Données projet'!$A$36,$K$205^A82,IF(A82='Données projet'!$A$36,'Données projet'!$B$36,N81+M82-V81)))</f>
        <v>172.48504273504267</v>
      </c>
      <c r="O82" s="13">
        <f>N82*VLOOKUP('Données projet'!$B$9,Paramètres!$A$1:$I$89,3,0)*VLOOKUP('Données projet'!$B$9,Paramètres!$A$1:$I$89,5,0)</f>
        <v>156.06446666666659</v>
      </c>
      <c r="P82" s="13">
        <f t="shared" si="87"/>
        <v>39.953562347640762</v>
      </c>
      <c r="Q82" s="20">
        <f t="shared" si="54"/>
        <v>341.39806719991861</v>
      </c>
      <c r="R82" s="59">
        <f t="shared" si="55"/>
        <v>634.73140053325187</v>
      </c>
      <c r="S82" s="59">
        <f ca="1">AVERAGE(OFFSET($R$3,0,0,'Données projet'!$E$9+1,1))-AVERAGE(OFFSET($H$3,0,0,'Données projet'!$E$9+1,1))</f>
        <v>180.68512008344129</v>
      </c>
      <c r="T82" s="59">
        <f t="shared" si="88"/>
        <v>125.86231758828899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10.1</v>
      </c>
      <c r="AI82" s="13">
        <f>IF('Données projet'!$A$62&gt;35,AI81+AH82-AQ81,IF(A82&lt;'Données projet'!$A$62,$AF$205^A82,IF(A82='Données projet'!$A$62,'Données projet'!$B$62,AI81+AH82-AQ81)))</f>
        <v>328.90000000000003</v>
      </c>
      <c r="AJ82" s="13">
        <f>AI82*VLOOKUP('Données projet'!$B$10,Paramètres!$A$1:$I$89,3,0)*VLOOKUP('Données projet'!$B$10,Paramètres!$A$1:$I$89,5,0)</f>
        <v>282.19620000000009</v>
      </c>
      <c r="AK82" s="13">
        <f t="shared" si="89"/>
        <v>67.430917821301051</v>
      </c>
      <c r="AL82" s="20">
        <f t="shared" si="58"/>
        <v>608.93389687209947</v>
      </c>
      <c r="AM82" s="59">
        <f t="shared" si="59"/>
        <v>902.26723020543272</v>
      </c>
      <c r="AN82" s="59">
        <f ca="1">AVERAGE(OFFSET($AM$3,0,0,'Données projet'!$E$10+1,1))-AVERAGE(OFFSET($H$3,0,0,'Données projet'!$E$10+1,1))</f>
        <v>335.81667389179631</v>
      </c>
      <c r="AO82" s="59">
        <f t="shared" si="90"/>
        <v>137.96364450570718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1.5132348672769418</v>
      </c>
      <c r="AW82" s="21">
        <f>EXP(-LN(2)/2)*AW81+(1-EXP(-LN(2)/2))/(LN(2)/2)*AQ82*AT82*VLOOKUP('Données projet'!$B$10,Paramètres!$A$1:$I$89,3,0)*0.475*44/12</f>
        <v>3.7638422612896655E-7</v>
      </c>
      <c r="AX82" s="21">
        <f t="shared" si="60"/>
        <v>1.513235243661168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5.5555555555555554</v>
      </c>
      <c r="BD82" s="12">
        <f>IF('Données projet'!$A$88&gt;35,BD81+BC82-BL81,IF(A82&lt;'Données projet'!$A$88,$BA$205^A82,IF(A82='Données projet'!$A$88,'Données projet'!$B$88,BD81+BC82-BL81)))</f>
        <v>172.2222222222222</v>
      </c>
      <c r="BE82" s="13">
        <f>BD82*VLOOKUP('Données projet'!$B$11,Paramètres!$A$1:$I$89,3,0)*VLOOKUP('Données projet'!$B$11,Paramètres!$A$1:$I$89,5,0)</f>
        <v>174.63333333333333</v>
      </c>
      <c r="BF82" s="13">
        <f t="shared" si="91"/>
        <v>44.126106523215626</v>
      </c>
      <c r="BG82" s="20">
        <f t="shared" si="61"/>
        <v>381.00602441682275</v>
      </c>
      <c r="BH82" s="59">
        <f t="shared" si="62"/>
        <v>674.33935775015607</v>
      </c>
      <c r="BI82" s="59">
        <f ca="1">AVERAGE(OFFSET($BH$3,0,0,'Données projet'!$E$11+1,1))-AVERAGE(OFFSET($H$3,0,0,'Données projet'!$E$11+1,1))</f>
        <v>217.20784862627357</v>
      </c>
      <c r="BJ82" s="59">
        <f t="shared" si="92"/>
        <v>147.24433901219732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1">
        <f t="shared" si="86"/>
        <v>16.82801690992903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67">
        <f t="shared" si="56"/>
        <v>424.80132945145942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5.5042735042735051</v>
      </c>
      <c r="N83" s="13">
        <f>IF('Données projet'!$A$36&gt;35,N82+M83-V82,IF(A83&lt;'Données projet'!$A$36,$K$205^A83,IF(A83='Données projet'!$A$36,'Données projet'!$B$36,N82+M83-V82)))</f>
        <v>177.98931623931617</v>
      </c>
      <c r="O83" s="13">
        <f>N83*VLOOKUP('Données projet'!$B$9,Paramètres!$A$1:$I$89,3,0)*VLOOKUP('Données projet'!$B$9,Paramètres!$A$1:$I$89,5,0)</f>
        <v>161.04473333333328</v>
      </c>
      <c r="P83" s="13">
        <f t="shared" si="87"/>
        <v>41.078068593790562</v>
      </c>
      <c r="Q83" s="20">
        <f t="shared" si="54"/>
        <v>352.03054668974067</v>
      </c>
      <c r="R83" s="59">
        <f t="shared" si="55"/>
        <v>645.36388002307399</v>
      </c>
      <c r="S83" s="59">
        <f ca="1">AVERAGE(OFFSET($R$3,0,0,'Données projet'!$E$9+1,1))-AVERAGE(OFFSET($H$3,0,0,'Données projet'!$E$9+1,1))</f>
        <v>180.68512008344129</v>
      </c>
      <c r="T83" s="59">
        <f t="shared" si="88"/>
        <v>125.86231758828899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339</v>
      </c>
      <c r="AG83" s="12">
        <f>VLOOKUP(A83,'Données projet'!$A$61:$I$81,9,0)</f>
        <v>10.1</v>
      </c>
      <c r="AH83" s="12">
        <f t="array" ref="AH83">INDEX(AG:AG,MIN(IF(ISNUMBER(AG83:AG279),ROW(AG83:AG279),"")))</f>
        <v>10.1</v>
      </c>
      <c r="AI83" s="13">
        <f>IF('Données projet'!$A$62&gt;35,AI82+AH83-AQ82,IF(A83&lt;'Données projet'!$A$62,$AF$205^A83,IF(A83='Données projet'!$A$62,'Données projet'!$B$62,AI82+AH83-AQ82)))</f>
        <v>339.00000000000006</v>
      </c>
      <c r="AJ83" s="13">
        <f>AI83*VLOOKUP('Données projet'!$B$10,Paramètres!$A$1:$I$89,3,0)*VLOOKUP('Données projet'!$B$10,Paramètres!$A$1:$I$89,5,0)</f>
        <v>290.86200000000008</v>
      </c>
      <c r="AK83" s="13">
        <f t="shared" si="89"/>
        <v>69.257352497482572</v>
      </c>
      <c r="AL83" s="20">
        <f t="shared" si="58"/>
        <v>627.20787226644893</v>
      </c>
      <c r="AM83" s="59">
        <f t="shared" si="59"/>
        <v>920.54120559978219</v>
      </c>
      <c r="AN83" s="59">
        <f ca="1">AVERAGE(OFFSET($AM$3,0,0,'Données projet'!$E$10+1,1))-AVERAGE(OFFSET($H$3,0,0,'Données projet'!$E$10+1,1))</f>
        <v>335.81667389179631</v>
      </c>
      <c r="AO83" s="59">
        <f t="shared" si="90"/>
        <v>137.96364450570718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69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1.4718553802536907</v>
      </c>
      <c r="AW83" s="21">
        <f>EXP(-LN(2)/2)*AW82+(1-EXP(-LN(2)/2))/(LN(2)/2)*AQ83*AT83*VLOOKUP('Données projet'!$B$10,Paramètres!$A$1:$I$89,3,0)*0.475*44/12</f>
        <v>2.6614383862744317E-7</v>
      </c>
      <c r="AX83" s="21">
        <f t="shared" si="60"/>
        <v>1.4718556463975292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5.5555555555555554</v>
      </c>
      <c r="BD83" s="12">
        <f>IF('Données projet'!$A$88&gt;35,BD82+BC83-BL82,IF(A83&lt;'Données projet'!$A$88,$BA$205^A83,IF(A83='Données projet'!$A$88,'Données projet'!$B$88,BD82+BC83-BL82)))</f>
        <v>177.77777777777774</v>
      </c>
      <c r="BE83" s="13">
        <f>BD83*VLOOKUP('Données projet'!$B$11,Paramètres!$A$1:$I$89,3,0)*VLOOKUP('Données projet'!$B$11,Paramètres!$A$1:$I$89,5,0)</f>
        <v>180.26666666666665</v>
      </c>
      <c r="BF83" s="13">
        <f t="shared" si="91"/>
        <v>45.381509474245277</v>
      </c>
      <c r="BG83" s="20">
        <f t="shared" si="61"/>
        <v>393.00390677875492</v>
      </c>
      <c r="BH83" s="59">
        <f t="shared" si="62"/>
        <v>686.33724011208824</v>
      </c>
      <c r="BI83" s="59">
        <f ca="1">AVERAGE(OFFSET($BH$3,0,0,'Données projet'!$E$11+1,1))-AVERAGE(OFFSET($H$3,0,0,'Données projet'!$E$11+1,1))</f>
        <v>217.20784862627357</v>
      </c>
      <c r="BJ83" s="59">
        <f t="shared" si="92"/>
        <v>147.24433901219732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1">
        <f t="shared" si="86"/>
        <v>17.013747764443796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67">
        <f t="shared" si="56"/>
        <v>426.40180068973939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5.5042735042735051</v>
      </c>
      <c r="N84" s="13">
        <f>IF('Données projet'!$A$36&gt;35,N83+M84-V83,IF(A84&lt;'Données projet'!$A$36,$K$205^A84,IF(A84='Données projet'!$A$36,'Données projet'!$B$36,N83+M84-V83)))</f>
        <v>183.49358974358967</v>
      </c>
      <c r="O84" s="13">
        <f>N84*VLOOKUP('Données projet'!$B$9,Paramètres!$A$1:$I$89,3,0)*VLOOKUP('Données projet'!$B$9,Paramètres!$A$1:$I$89,5,0)</f>
        <v>166.02499999999992</v>
      </c>
      <c r="P84" s="13">
        <f t="shared" si="87"/>
        <v>42.198533618502132</v>
      </c>
      <c r="Q84" s="20">
        <f t="shared" si="54"/>
        <v>362.65598771889108</v>
      </c>
      <c r="R84" s="59">
        <f t="shared" si="55"/>
        <v>655.98932105222434</v>
      </c>
      <c r="S84" s="59">
        <f ca="1">AVERAGE(OFFSET($R$3,0,0,'Données projet'!$E$9+1,1))-AVERAGE(OFFSET($H$3,0,0,'Données projet'!$E$9+1,1))</f>
        <v>180.68512008344129</v>
      </c>
      <c r="T84" s="59">
        <f t="shared" si="88"/>
        <v>125.86231758828899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</v>
      </c>
      <c r="AI84" s="13">
        <f>IF('Données projet'!$A$62&gt;35,AI83+AH84-AQ83,IF(A84&lt;'Données projet'!$A$62,$AF$205^A84,IF(A84='Données projet'!$A$62,'Données projet'!$B$62,AI83+AH84-AQ83)))</f>
        <v>279.10000000000008</v>
      </c>
      <c r="AJ84" s="13">
        <f>AI84*VLOOKUP('Données projet'!$B$10,Paramètres!$A$1:$I$89,3,0)*VLOOKUP('Données projet'!$B$10,Paramètres!$A$1:$I$89,5,0)</f>
        <v>239.4678000000001</v>
      </c>
      <c r="AK84" s="13">
        <f t="shared" si="89"/>
        <v>58.325010269552514</v>
      </c>
      <c r="AL84" s="20">
        <f t="shared" si="58"/>
        <v>518.65581121947082</v>
      </c>
      <c r="AM84" s="59">
        <f t="shared" si="59"/>
        <v>811.98914455280419</v>
      </c>
      <c r="AN84" s="59">
        <f ca="1">AVERAGE(OFFSET($AM$3,0,0,'Données projet'!$E$10+1,1))-AVERAGE(OFFSET($H$3,0,0,'Données projet'!$E$10+1,1))</f>
        <v>335.81667389179631</v>
      </c>
      <c r="AO84" s="59">
        <f t="shared" si="90"/>
        <v>137.96364450570718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1.4316074174791431</v>
      </c>
      <c r="AW84" s="21">
        <f>EXP(-LN(2)/2)*AW83+(1-EXP(-LN(2)/2))/(LN(2)/2)*AQ84*AT84*VLOOKUP('Données projet'!$B$10,Paramètres!$A$1:$I$89,3,0)*0.475*44/12</f>
        <v>1.8819211306448328E-7</v>
      </c>
      <c r="AX84" s="21">
        <f t="shared" si="60"/>
        <v>1.4316076056712561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5.5555555555555554</v>
      </c>
      <c r="BD84" s="12">
        <f>IF('Données projet'!$A$88&gt;35,BD83+BC84-BL83,IF(A84&lt;'Données projet'!$A$88,$BA$205^A84,IF(A84='Données projet'!$A$88,'Données projet'!$B$88,BD83+BC84-BL83)))</f>
        <v>183.33333333333329</v>
      </c>
      <c r="BE84" s="13">
        <f>BD84*VLOOKUP('Données projet'!$B$11,Paramètres!$A$1:$I$89,3,0)*VLOOKUP('Données projet'!$B$11,Paramètres!$A$1:$I$89,5,0)</f>
        <v>185.89999999999998</v>
      </c>
      <c r="BF84" s="13">
        <f t="shared" si="91"/>
        <v>46.632353408380837</v>
      </c>
      <c r="BG84" s="20">
        <f t="shared" si="61"/>
        <v>404.99384885292989</v>
      </c>
      <c r="BH84" s="59">
        <f t="shared" si="62"/>
        <v>698.32718218626314</v>
      </c>
      <c r="BI84" s="59">
        <f ca="1">AVERAGE(OFFSET($BH$3,0,0,'Données projet'!$E$11+1,1))-AVERAGE(OFFSET($H$3,0,0,'Données projet'!$E$11+1,1))</f>
        <v>217.20784862627357</v>
      </c>
      <c r="BJ84" s="59">
        <f t="shared" si="92"/>
        <v>147.24433901219732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1">
        <f t="shared" si="86"/>
        <v>17.199211901359213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67">
        <f t="shared" si="56"/>
        <v>428.001807394867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5.5042735042735051</v>
      </c>
      <c r="N85" s="13">
        <f>IF('Données projet'!$A$36&gt;35,N84+M85-V84,IF(A85&lt;'Données projet'!$A$36,$K$205^A85,IF(A85='Données projet'!$A$36,'Données projet'!$B$36,N84+M85-V84)))</f>
        <v>188.99786324786317</v>
      </c>
      <c r="O85" s="13">
        <f>N85*VLOOKUP('Données projet'!$B$9,Paramètres!$A$1:$I$89,3,0)*VLOOKUP('Données projet'!$B$9,Paramètres!$A$1:$I$89,5,0)</f>
        <v>171.00526666666659</v>
      </c>
      <c r="P85" s="13">
        <f t="shared" si="87"/>
        <v>43.31509256233069</v>
      </c>
      <c r="Q85" s="20">
        <f t="shared" si="54"/>
        <v>373.27462565717025</v>
      </c>
      <c r="R85" s="59">
        <f t="shared" si="55"/>
        <v>666.60795899050356</v>
      </c>
      <c r="S85" s="59">
        <f ca="1">AVERAGE(OFFSET($R$3,0,0,'Données projet'!$E$9+1,1))-AVERAGE(OFFSET($H$3,0,0,'Données projet'!$E$9+1,1))</f>
        <v>180.68512008344129</v>
      </c>
      <c r="T85" s="59">
        <f t="shared" si="88"/>
        <v>125.86231758828899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</v>
      </c>
      <c r="AI85" s="13">
        <f>IF('Données projet'!$A$62&gt;35,AI84+AH85-AQ84,IF(A85&lt;'Données projet'!$A$62,$AF$205^A85,IF(A85='Données projet'!$A$62,'Données projet'!$B$62,AI84+AH85-AQ84)))</f>
        <v>288.2000000000001</v>
      </c>
      <c r="AJ85" s="13">
        <f>AI85*VLOOKUP('Données projet'!$B$10,Paramètres!$A$1:$I$89,3,0)*VLOOKUP('Données projet'!$B$10,Paramètres!$A$1:$I$89,5,0)</f>
        <v>247.27560000000014</v>
      </c>
      <c r="AK85" s="13">
        <f t="shared" si="89"/>
        <v>60.002180078120453</v>
      </c>
      <c r="AL85" s="20">
        <f t="shared" si="58"/>
        <v>535.17546696939337</v>
      </c>
      <c r="AM85" s="59">
        <f t="shared" si="59"/>
        <v>828.50880030272674</v>
      </c>
      <c r="AN85" s="59">
        <f ca="1">AVERAGE(OFFSET($AM$3,0,0,'Données projet'!$E$10+1,1))-AVERAGE(OFFSET($H$3,0,0,'Données projet'!$E$10+1,1))</f>
        <v>335.81667389179631</v>
      </c>
      <c r="AO85" s="59">
        <f t="shared" si="90"/>
        <v>137.96364450570718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1.3924600373632139</v>
      </c>
      <c r="AW85" s="21">
        <f>EXP(-LN(2)/2)*AW84+(1-EXP(-LN(2)/2))/(LN(2)/2)*AQ85*AT85*VLOOKUP('Données projet'!$B$10,Paramètres!$A$1:$I$89,3,0)*0.475*44/12</f>
        <v>1.3307191931372159E-7</v>
      </c>
      <c r="AX85" s="21">
        <f t="shared" si="60"/>
        <v>1.3924601704351331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5.5555555555555554</v>
      </c>
      <c r="BD85" s="12">
        <f>IF('Données projet'!$A$88&gt;35,BD84+BC85-BL84,IF(A85&lt;'Données projet'!$A$88,$BA$205^A85,IF(A85='Données projet'!$A$88,'Données projet'!$B$88,BD84+BC85-BL84)))</f>
        <v>188.88888888888883</v>
      </c>
      <c r="BE85" s="13">
        <f>BD85*VLOOKUP('Données projet'!$B$11,Paramètres!$A$1:$I$89,3,0)*VLOOKUP('Données projet'!$B$11,Paramètres!$A$1:$I$89,5,0)</f>
        <v>191.53333333333327</v>
      </c>
      <c r="BF85" s="13">
        <f t="shared" si="91"/>
        <v>47.878792334658819</v>
      </c>
      <c r="BG85" s="20">
        <f t="shared" si="61"/>
        <v>416.97611887175293</v>
      </c>
      <c r="BH85" s="59">
        <f t="shared" si="62"/>
        <v>710.30945220508625</v>
      </c>
      <c r="BI85" s="59">
        <f ca="1">AVERAGE(OFFSET($BH$3,0,0,'Données projet'!$E$11+1,1))-AVERAGE(OFFSET($H$3,0,0,'Données projet'!$E$11+1,1))</f>
        <v>217.20784862627357</v>
      </c>
      <c r="BJ85" s="59">
        <f t="shared" si="92"/>
        <v>147.24433901219732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1">
        <f t="shared" si="86"/>
        <v>17.384412949542618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67">
        <f t="shared" si="56"/>
        <v>429.60135588711978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5.5042735042735051</v>
      </c>
      <c r="N86" s="13">
        <f>IF('Données projet'!$A$36&gt;35,N85+M86-V85,IF(A86&lt;'Données projet'!$A$36,$K$205^A86,IF(A86='Données projet'!$A$36,'Données projet'!$B$36,N85+M86-V85)))</f>
        <v>194.50213675213666</v>
      </c>
      <c r="O86" s="13">
        <f>N86*VLOOKUP('Données projet'!$B$9,Paramètres!$A$1:$I$89,3,0)*VLOOKUP('Données projet'!$B$9,Paramètres!$A$1:$I$89,5,0)</f>
        <v>175.98553333333325</v>
      </c>
      <c r="P86" s="13">
        <f t="shared" si="87"/>
        <v>44.427872246727624</v>
      </c>
      <c r="Q86" s="20">
        <f t="shared" si="54"/>
        <v>383.88668138527265</v>
      </c>
      <c r="R86" s="59">
        <f t="shared" si="55"/>
        <v>677.22001471860597</v>
      </c>
      <c r="S86" s="59">
        <f ca="1">AVERAGE(OFFSET($R$3,0,0,'Données projet'!$E$9+1,1))-AVERAGE(OFFSET($H$3,0,0,'Données projet'!$E$9+1,1))</f>
        <v>180.68512008344129</v>
      </c>
      <c r="T86" s="59">
        <f t="shared" si="88"/>
        <v>125.86231758828899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</v>
      </c>
      <c r="AI86" s="13">
        <f>IF('Données projet'!$A$62&gt;35,AI85+AH86-AQ85,IF(A86&lt;'Données projet'!$A$62,$AF$205^A86,IF(A86='Données projet'!$A$62,'Données projet'!$B$62,AI85+AH86-AQ85)))</f>
        <v>297.30000000000013</v>
      </c>
      <c r="AJ86" s="13">
        <f>AI86*VLOOKUP('Données projet'!$B$10,Paramètres!$A$1:$I$89,3,0)*VLOOKUP('Données projet'!$B$10,Paramètres!$A$1:$I$89,5,0)</f>
        <v>255.08340000000013</v>
      </c>
      <c r="AK86" s="13">
        <f t="shared" si="89"/>
        <v>61.673195910218489</v>
      </c>
      <c r="AL86" s="20">
        <f t="shared" si="58"/>
        <v>551.68440454363065</v>
      </c>
      <c r="AM86" s="59">
        <f t="shared" si="59"/>
        <v>845.01773787696402</v>
      </c>
      <c r="AN86" s="59">
        <f ca="1">AVERAGE(OFFSET($AM$3,0,0,'Données projet'!$E$10+1,1))-AVERAGE(OFFSET($H$3,0,0,'Données projet'!$E$10+1,1))</f>
        <v>335.81667389179631</v>
      </c>
      <c r="AO86" s="59">
        <f t="shared" si="90"/>
        <v>137.96364450570718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1.3543831444152259</v>
      </c>
      <c r="AW86" s="21">
        <f>EXP(-LN(2)/2)*AW85+(1-EXP(-LN(2)/2))/(LN(2)/2)*AQ86*AT86*VLOOKUP('Données projet'!$B$10,Paramètres!$A$1:$I$89,3,0)*0.475*44/12</f>
        <v>9.4096056532241638E-8</v>
      </c>
      <c r="AX86" s="21">
        <f t="shared" si="60"/>
        <v>1.3543832385112824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5.5555555555555554</v>
      </c>
      <c r="BD86" s="12">
        <f>IF('Données projet'!$A$88&gt;35,BD85+BC86-BL85,IF(A86&lt;'Données projet'!$A$88,$BA$205^A86,IF(A86='Données projet'!$A$88,'Données projet'!$B$88,BD85+BC86-BL85)))</f>
        <v>194.44444444444437</v>
      </c>
      <c r="BE86" s="13">
        <f>BD86*VLOOKUP('Données projet'!$B$11,Paramètres!$A$1:$I$89,3,0)*VLOOKUP('Données projet'!$B$11,Paramètres!$A$1:$I$89,5,0)</f>
        <v>197.1666666666666</v>
      </c>
      <c r="BF86" s="13">
        <f t="shared" si="91"/>
        <v>49.120970687717318</v>
      </c>
      <c r="BG86" s="20">
        <f t="shared" si="61"/>
        <v>428.95096839221861</v>
      </c>
      <c r="BH86" s="59">
        <f t="shared" si="62"/>
        <v>722.28430172555193</v>
      </c>
      <c r="BI86" s="59">
        <f ca="1">AVERAGE(OFFSET($BH$3,0,0,'Données projet'!$E$11+1,1))-AVERAGE(OFFSET($H$3,0,0,'Données projet'!$E$11+1,1))</f>
        <v>217.20784862627357</v>
      </c>
      <c r="BJ86" s="59">
        <f t="shared" si="92"/>
        <v>147.24433901219732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1">
        <f t="shared" si="86"/>
        <v>17.569354445387791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67">
        <f t="shared" si="56"/>
        <v>431.20045232571681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200.00641025641025</v>
      </c>
      <c r="L87" s="12">
        <f>VLOOKUP(A87,'Données projet'!$A$35:$I$55,9,0)</f>
        <v>5.5042735042735051</v>
      </c>
      <c r="M87" s="12">
        <f t="array" ref="M87">INDEX(L:L,MIN(IF(ISNUMBER(L87:L283),ROW(L87:L283),"")))</f>
        <v>5.5042735042735051</v>
      </c>
      <c r="N87" s="13">
        <f>IF('Données projet'!$A$36&gt;35,N86+M87-V86,IF(A87&lt;'Données projet'!$A$36,$K$205^A87,IF(A87='Données projet'!$A$36,'Données projet'!$B$36,N86+M87-V86)))</f>
        <v>200.00641025641016</v>
      </c>
      <c r="O87" s="13">
        <f>N87*VLOOKUP('Données projet'!$B$9,Paramètres!$A$1:$I$89,3,0)*VLOOKUP('Données projet'!$B$9,Paramètres!$A$1:$I$89,5,0)</f>
        <v>180.96579999999992</v>
      </c>
      <c r="P87" s="13">
        <f t="shared" si="87"/>
        <v>45.536991906907375</v>
      </c>
      <c r="Q87" s="20">
        <f t="shared" si="54"/>
        <v>394.49236257119691</v>
      </c>
      <c r="R87" s="59">
        <f t="shared" si="55"/>
        <v>687.82569590453022</v>
      </c>
      <c r="S87" s="59">
        <f ca="1">AVERAGE(OFFSET($R$3,0,0,'Données projet'!$E$9+1,1))-AVERAGE(OFFSET($H$3,0,0,'Données projet'!$E$9+1,1))</f>
        <v>180.68512008344129</v>
      </c>
      <c r="T87" s="59">
        <f t="shared" si="88"/>
        <v>125.86231758828899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35.083333333333329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9.1</v>
      </c>
      <c r="AI87" s="13">
        <f>IF('Données projet'!$A$62&gt;35,AI86+AH87-AQ86,IF(A87&lt;'Données projet'!$A$62,$AF$205^A87,IF(A87='Données projet'!$A$62,'Données projet'!$B$62,AI86+AH87-AQ86)))</f>
        <v>306.40000000000015</v>
      </c>
      <c r="AJ87" s="13">
        <f>AI87*VLOOKUP('Données projet'!$B$10,Paramètres!$A$1:$I$89,3,0)*VLOOKUP('Données projet'!$B$10,Paramètres!$A$1:$I$89,5,0)</f>
        <v>262.89120000000014</v>
      </c>
      <c r="AK87" s="13">
        <f t="shared" si="89"/>
        <v>63.338267749887194</v>
      </c>
      <c r="AL87" s="20">
        <f t="shared" si="58"/>
        <v>568.18298966438704</v>
      </c>
      <c r="AM87" s="59">
        <f t="shared" si="59"/>
        <v>861.51632299772041</v>
      </c>
      <c r="AN87" s="59">
        <f ca="1">AVERAGE(OFFSET($AM$3,0,0,'Données projet'!$E$10+1,1))-AVERAGE(OFFSET($H$3,0,0,'Données projet'!$E$10+1,1))</f>
        <v>335.81667389179631</v>
      </c>
      <c r="AO87" s="59">
        <f t="shared" si="90"/>
        <v>137.96364450570718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1.3173474661072775</v>
      </c>
      <c r="AW87" s="21">
        <f>EXP(-LN(2)/2)*AW86+(1-EXP(-LN(2)/2))/(LN(2)/2)*AQ87*AT87*VLOOKUP('Données projet'!$B$10,Paramètres!$A$1:$I$89,3,0)*0.475*44/12</f>
        <v>6.6535959656860794E-8</v>
      </c>
      <c r="AX87" s="21">
        <f t="shared" si="60"/>
        <v>1.3173475326432371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200</v>
      </c>
      <c r="BB87" s="12">
        <f>VLOOKUP(A87,'Données projet'!$A$87:$I$107,9,0)</f>
        <v>5.5555555555555554</v>
      </c>
      <c r="BC87" s="12">
        <f t="array" ref="BC87">INDEX(BB:BB,MIN(IF(ISNUMBER(BB87:BB283),ROW(BB87:BB283),"")))</f>
        <v>5.5555555555555554</v>
      </c>
      <c r="BD87" s="12">
        <f>IF('Données projet'!$A$88&gt;35,BD86+BC87-BL86,IF(A87&lt;'Données projet'!$A$88,$BA$205^A87,IF(A87='Données projet'!$A$88,'Données projet'!$B$88,BD86+BC87-BL86)))</f>
        <v>199.99999999999991</v>
      </c>
      <c r="BE87" s="13">
        <f>BD87*VLOOKUP('Données projet'!$B$11,Paramètres!$A$1:$I$89,3,0)*VLOOKUP('Données projet'!$B$11,Paramètres!$A$1:$I$89,5,0)</f>
        <v>202.79999999999993</v>
      </c>
      <c r="BF87" s="13">
        <f t="shared" si="91"/>
        <v>50.359024179353973</v>
      </c>
      <c r="BG87" s="20">
        <f t="shared" si="61"/>
        <v>440.91863377904133</v>
      </c>
      <c r="BH87" s="59">
        <f t="shared" si="62"/>
        <v>734.25196711237459</v>
      </c>
      <c r="BI87" s="59">
        <f ca="1">AVERAGE(OFFSET($BH$3,0,0,'Données projet'!$E$11+1,1))-AVERAGE(OFFSET($H$3,0,0,'Données projet'!$E$11+1,1))</f>
        <v>217.20784862627357</v>
      </c>
      <c r="BJ87" s="59">
        <f t="shared" si="92"/>
        <v>147.24433901219732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35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1">
        <f t="shared" si="86"/>
        <v>17.754039836243663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67">
        <f t="shared" si="56"/>
        <v>432.79910271479082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5.2606837606837598</v>
      </c>
      <c r="N88" s="13">
        <f>IF('Données projet'!$A$36&gt;35,N87+M88-V87,IF(A88&lt;'Données projet'!$A$36,$K$205^A88,IF(A88='Données projet'!$A$36,'Données projet'!$B$36,N87+M88-V87)))</f>
        <v>170.18376068376057</v>
      </c>
      <c r="O88" s="13">
        <f>N88*VLOOKUP('Données projet'!$B$9,Paramètres!$A$1:$I$89,3,0)*VLOOKUP('Données projet'!$B$9,Paramètres!$A$1:$I$89,5,0)</f>
        <v>153.98226666666656</v>
      </c>
      <c r="P88" s="13">
        <f t="shared" si="87"/>
        <v>39.482185325458943</v>
      </c>
      <c r="Q88" s="20">
        <f t="shared" si="54"/>
        <v>336.95058721961857</v>
      </c>
      <c r="R88" s="59">
        <f t="shared" si="55"/>
        <v>630.28392055295194</v>
      </c>
      <c r="S88" s="59">
        <f ca="1">AVERAGE(OFFSET($R$3,0,0,'Données projet'!$E$9+1,1))-AVERAGE(OFFSET($H$3,0,0,'Données projet'!$E$9+1,1))</f>
        <v>180.68512008344129</v>
      </c>
      <c r="T88" s="59">
        <f t="shared" si="88"/>
        <v>125.86231758828899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</v>
      </c>
      <c r="AI88" s="13">
        <f>IF('Données projet'!$A$62&gt;35,AI87+AH88-AQ87,IF(A88&lt;'Données projet'!$A$62,$AF$205^A88,IF(A88='Données projet'!$A$62,'Données projet'!$B$62,AI87+AH88-AQ87)))</f>
        <v>315.50000000000017</v>
      </c>
      <c r="AJ88" s="13">
        <f>AI88*VLOOKUP('Données projet'!$B$10,Paramètres!$A$1:$I$89,3,0)*VLOOKUP('Données projet'!$B$10,Paramètres!$A$1:$I$89,5,0)</f>
        <v>270.69900000000018</v>
      </c>
      <c r="AK88" s="13">
        <f t="shared" si="89"/>
        <v>64.99759239921724</v>
      </c>
      <c r="AL88" s="20">
        <f t="shared" si="58"/>
        <v>584.67156509530366</v>
      </c>
      <c r="AM88" s="59">
        <f t="shared" si="59"/>
        <v>878.00489842863703</v>
      </c>
      <c r="AN88" s="59">
        <f ca="1">AVERAGE(OFFSET($AM$3,0,0,'Données projet'!$E$10+1,1))-AVERAGE(OFFSET($H$3,0,0,'Données projet'!$E$10+1,1))</f>
        <v>335.81667389179631</v>
      </c>
      <c r="AO88" s="59">
        <f t="shared" si="90"/>
        <v>137.96364450570718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1.2813245303702816</v>
      </c>
      <c r="AW88" s="21">
        <f>EXP(-LN(2)/2)*AW87+(1-EXP(-LN(2)/2))/(LN(2)/2)*AQ88*AT88*VLOOKUP('Données projet'!$B$10,Paramètres!$A$1:$I$89,3,0)*0.475*44/12</f>
        <v>4.7048028266120819E-8</v>
      </c>
      <c r="AX88" s="21">
        <f t="shared" si="60"/>
        <v>1.28132457741831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5.2222222222222223</v>
      </c>
      <c r="BD88" s="12">
        <f>IF('Données projet'!$A$88&gt;35,BD87+BC88-BL87,IF(A88&lt;'Données projet'!$A$88,$BA$205^A88,IF(A88='Données projet'!$A$88,'Données projet'!$B$88,BD87+BC88-BL87)))</f>
        <v>170.22222222222214</v>
      </c>
      <c r="BE88" s="13">
        <f>BD88*VLOOKUP('Données projet'!$B$11,Paramètres!$A$1:$I$89,3,0)*VLOOKUP('Données projet'!$B$11,Paramètres!$A$1:$I$89,5,0)</f>
        <v>172.60533333333328</v>
      </c>
      <c r="BF88" s="13">
        <f t="shared" si="91"/>
        <v>43.673014072081763</v>
      </c>
      <c r="BG88" s="20">
        <f t="shared" si="61"/>
        <v>376.68478839776452</v>
      </c>
      <c r="BH88" s="59">
        <f t="shared" si="62"/>
        <v>670.01812173109784</v>
      </c>
      <c r="BI88" s="59">
        <f ca="1">AVERAGE(OFFSET($BH$3,0,0,'Données projet'!$E$11+1,1))-AVERAGE(OFFSET($H$3,0,0,'Données projet'!$E$11+1,1))</f>
        <v>217.20784862627357</v>
      </c>
      <c r="BJ88" s="59">
        <f t="shared" si="92"/>
        <v>147.24433901219732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1">
        <f t="shared" si="86"/>
        <v>17.93847248367711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67">
        <f t="shared" si="56"/>
        <v>434.39731290907071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5.2606837606837598</v>
      </c>
      <c r="N89" s="13">
        <f>IF('Données projet'!$A$36&gt;35,N88+M89-V88,IF(A89&lt;'Données projet'!$A$36,$K$205^A89,IF(A89='Données projet'!$A$36,'Données projet'!$B$36,N88+M89-V88)))</f>
        <v>175.44444444444431</v>
      </c>
      <c r="O89" s="13">
        <f>N89*VLOOKUP('Données projet'!$B$9,Paramètres!$A$1:$I$89,3,0)*VLOOKUP('Données projet'!$B$9,Paramètres!$A$1:$I$89,5,0)</f>
        <v>158.74213333333321</v>
      </c>
      <c r="P89" s="13">
        <f t="shared" si="87"/>
        <v>40.558669873865824</v>
      </c>
      <c r="Q89" s="20">
        <f t="shared" si="54"/>
        <v>347.11556558587159</v>
      </c>
      <c r="R89" s="59">
        <f t="shared" si="55"/>
        <v>640.44889891920491</v>
      </c>
      <c r="S89" s="59">
        <f ca="1">AVERAGE(OFFSET($R$3,0,0,'Données projet'!$E$9+1,1))-AVERAGE(OFFSET($H$3,0,0,'Données projet'!$E$9+1,1))</f>
        <v>180.68512008344129</v>
      </c>
      <c r="T89" s="59">
        <f t="shared" si="88"/>
        <v>125.86231758828899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</v>
      </c>
      <c r="AI89" s="13">
        <f>IF('Données projet'!$A$62&gt;35,AI88+AH89-AQ88,IF(A89&lt;'Données projet'!$A$62,$AF$205^A89,IF(A89='Données projet'!$A$62,'Données projet'!$B$62,AI88+AH89-AQ88)))</f>
        <v>324.60000000000019</v>
      </c>
      <c r="AJ89" s="13">
        <f>AI89*VLOOKUP('Données projet'!$B$10,Paramètres!$A$1:$I$89,3,0)*VLOOKUP('Données projet'!$B$10,Paramètres!$A$1:$I$89,5,0)</f>
        <v>278.50680000000017</v>
      </c>
      <c r="AK89" s="13">
        <f t="shared" si="89"/>
        <v>66.65135466191002</v>
      </c>
      <c r="AL89" s="20">
        <f t="shared" si="58"/>
        <v>601.1504527028269</v>
      </c>
      <c r="AM89" s="59">
        <f t="shared" si="59"/>
        <v>894.48378603616015</v>
      </c>
      <c r="AN89" s="59">
        <f ca="1">AVERAGE(OFFSET($AM$3,0,0,'Données projet'!$E$10+1,1))-AVERAGE(OFFSET($H$3,0,0,'Données projet'!$E$10+1,1))</f>
        <v>335.81667389179631</v>
      </c>
      <c r="AO89" s="59">
        <f t="shared" si="90"/>
        <v>137.96364450570718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1.2462866437053777</v>
      </c>
      <c r="AW89" s="21">
        <f>EXP(-LN(2)/2)*AW88+(1-EXP(-LN(2)/2))/(LN(2)/2)*AQ89*AT89*VLOOKUP('Données projet'!$B$10,Paramètres!$A$1:$I$89,3,0)*0.475*44/12</f>
        <v>3.3267979828430397E-8</v>
      </c>
      <c r="AX89" s="21">
        <f t="shared" si="60"/>
        <v>1.2462866769733576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5.2222222222222223</v>
      </c>
      <c r="BD89" s="12">
        <f>IF('Données projet'!$A$88&gt;35,BD88+BC89-BL88,IF(A89&lt;'Données projet'!$A$88,$BA$205^A89,IF(A89='Données projet'!$A$88,'Données projet'!$B$88,BD88+BC89-BL88)))</f>
        <v>175.44444444444437</v>
      </c>
      <c r="BE89" s="13">
        <f>BD89*VLOOKUP('Données projet'!$B$11,Paramètres!$A$1:$I$89,3,0)*VLOOKUP('Données projet'!$B$11,Paramètres!$A$1:$I$89,5,0)</f>
        <v>177.90066666666661</v>
      </c>
      <c r="BF89" s="13">
        <f t="shared" si="91"/>
        <v>44.854804758185935</v>
      </c>
      <c r="BG89" s="20">
        <f t="shared" si="61"/>
        <v>387.96577939828484</v>
      </c>
      <c r="BH89" s="59">
        <f t="shared" si="62"/>
        <v>681.29911273161815</v>
      </c>
      <c r="BI89" s="59">
        <f ca="1">AVERAGE(OFFSET($BH$3,0,0,'Données projet'!$E$11+1,1))-AVERAGE(OFFSET($H$3,0,0,'Données projet'!$E$11+1,1))</f>
        <v>217.20784862627357</v>
      </c>
      <c r="BJ89" s="59">
        <f t="shared" si="92"/>
        <v>147.24433901219732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1">
        <f t="shared" si="86"/>
        <v>18.122655666579583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67">
        <f t="shared" si="56"/>
        <v>435.99508861929246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5.2606837606837598</v>
      </c>
      <c r="N90" s="13">
        <f>IF('Données projet'!$A$36&gt;35,N89+M90-V89,IF(A90&lt;'Données projet'!$A$36,$K$205^A90,IF(A90='Données projet'!$A$36,'Données projet'!$B$36,N89+M90-V89)))</f>
        <v>180.70512820512806</v>
      </c>
      <c r="O90" s="13">
        <f>N90*VLOOKUP('Données projet'!$B$9,Paramètres!$A$1:$I$89,3,0)*VLOOKUP('Données projet'!$B$9,Paramètres!$A$1:$I$89,5,0)</f>
        <v>163.50199999999987</v>
      </c>
      <c r="P90" s="13">
        <f t="shared" si="87"/>
        <v>41.631403185766587</v>
      </c>
      <c r="Q90" s="20">
        <f t="shared" si="54"/>
        <v>357.27401054854323</v>
      </c>
      <c r="R90" s="59">
        <f t="shared" si="55"/>
        <v>650.60734388187655</v>
      </c>
      <c r="S90" s="59">
        <f ca="1">AVERAGE(OFFSET($R$3,0,0,'Données projet'!$E$9+1,1))-AVERAGE(OFFSET($H$3,0,0,'Données projet'!$E$9+1,1))</f>
        <v>180.68512008344129</v>
      </c>
      <c r="T90" s="59">
        <f t="shared" si="88"/>
        <v>125.86231758828899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</v>
      </c>
      <c r="AI90" s="13">
        <f>IF('Données projet'!$A$62&gt;35,AI89+AH90-AQ89,IF(A90&lt;'Données projet'!$A$62,$AF$205^A90,IF(A90='Données projet'!$A$62,'Données projet'!$B$62,AI89+AH90-AQ89)))</f>
        <v>333.70000000000022</v>
      </c>
      <c r="AJ90" s="13">
        <f>AI90*VLOOKUP('Données projet'!$B$10,Paramètres!$A$1:$I$89,3,0)*VLOOKUP('Données projet'!$B$10,Paramètres!$A$1:$I$89,5,0)</f>
        <v>286.31460000000021</v>
      </c>
      <c r="AK90" s="13">
        <f t="shared" si="89"/>
        <v>68.29972839038507</v>
      </c>
      <c r="AL90" s="20">
        <f t="shared" si="58"/>
        <v>617.61995527992087</v>
      </c>
      <c r="AM90" s="59">
        <f t="shared" si="59"/>
        <v>910.95328861325424</v>
      </c>
      <c r="AN90" s="59">
        <f ca="1">AVERAGE(OFFSET($AM$3,0,0,'Données projet'!$E$10+1,1))-AVERAGE(OFFSET($H$3,0,0,'Données projet'!$E$10+1,1))</f>
        <v>335.81667389179631</v>
      </c>
      <c r="AO90" s="59">
        <f t="shared" si="90"/>
        <v>137.96364450570718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1.2122068698938879</v>
      </c>
      <c r="AW90" s="21">
        <f>EXP(-LN(2)/2)*AW89+(1-EXP(-LN(2)/2))/(LN(2)/2)*AQ90*AT90*VLOOKUP('Données projet'!$B$10,Paramètres!$A$1:$I$89,3,0)*0.475*44/12</f>
        <v>2.352401413306041E-8</v>
      </c>
      <c r="AX90" s="21">
        <f t="shared" si="60"/>
        <v>1.212206893417902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5.2222222222222223</v>
      </c>
      <c r="BD90" s="12">
        <f>IF('Données projet'!$A$88&gt;35,BD89+BC90-BL89,IF(A90&lt;'Données projet'!$A$88,$BA$205^A90,IF(A90='Données projet'!$A$88,'Données projet'!$B$88,BD89+BC90-BL89)))</f>
        <v>180.6666666666666</v>
      </c>
      <c r="BE90" s="13">
        <f>BD90*VLOOKUP('Données projet'!$B$11,Paramètres!$A$1:$I$89,3,0)*VLOOKUP('Données projet'!$B$11,Paramètres!$A$1:$I$89,5,0)</f>
        <v>183.19599999999994</v>
      </c>
      <c r="BF90" s="13">
        <f t="shared" si="91"/>
        <v>46.032507312401854</v>
      </c>
      <c r="BG90" s="20">
        <f t="shared" si="61"/>
        <v>399.23965023576648</v>
      </c>
      <c r="BH90" s="59">
        <f t="shared" si="62"/>
        <v>692.57298356909973</v>
      </c>
      <c r="BI90" s="59">
        <f ca="1">AVERAGE(OFFSET($BH$3,0,0,'Données projet'!$E$11+1,1))-AVERAGE(OFFSET($H$3,0,0,'Données projet'!$E$11+1,1))</f>
        <v>217.20784862627357</v>
      </c>
      <c r="BJ90" s="59">
        <f t="shared" si="92"/>
        <v>147.24433901219732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1">
        <f t="shared" si="86"/>
        <v>18.30659258412695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67">
        <f t="shared" si="56"/>
        <v>437.59243541735412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5.2606837606837598</v>
      </c>
      <c r="N91" s="13">
        <f>IF('Données projet'!$A$36&gt;35,N90+M91-V90,IF(A91&lt;'Données projet'!$A$36,$K$205^A91,IF(A91='Données projet'!$A$36,'Données projet'!$B$36,N90+M91-V90)))</f>
        <v>185.96581196581181</v>
      </c>
      <c r="O91" s="13">
        <f>N91*VLOOKUP('Données projet'!$B$9,Paramètres!$A$1:$I$89,3,0)*VLOOKUP('Données projet'!$B$9,Paramètres!$A$1:$I$89,5,0)</f>
        <v>168.26186666666652</v>
      </c>
      <c r="P91" s="13">
        <f t="shared" si="87"/>
        <v>42.700507007169499</v>
      </c>
      <c r="Q91" s="20">
        <f t="shared" si="54"/>
        <v>367.42613414859778</v>
      </c>
      <c r="R91" s="59">
        <f t="shared" si="55"/>
        <v>660.7594674819311</v>
      </c>
      <c r="S91" s="59">
        <f ca="1">AVERAGE(OFFSET($R$3,0,0,'Données projet'!$E$9+1,1))-AVERAGE(OFFSET($H$3,0,0,'Données projet'!$E$9+1,1))</f>
        <v>180.68512008344129</v>
      </c>
      <c r="T91" s="59">
        <f t="shared" si="88"/>
        <v>125.86231758828899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</v>
      </c>
      <c r="AI91" s="13">
        <f>IF('Données projet'!$A$62&gt;35,AI90+AH91-AQ90,IF(A91&lt;'Données projet'!$A$62,$AF$205^A91,IF(A91='Données projet'!$A$62,'Données projet'!$B$62,AI90+AH91-AQ90)))</f>
        <v>342.80000000000024</v>
      </c>
      <c r="AJ91" s="13">
        <f>AI91*VLOOKUP('Données projet'!$B$10,Paramètres!$A$1:$I$89,3,0)*VLOOKUP('Données projet'!$B$10,Paramètres!$A$1:$I$89,5,0)</f>
        <v>294.1224000000002</v>
      </c>
      <c r="AK91" s="13">
        <f t="shared" si="89"/>
        <v>69.942877415457289</v>
      </c>
      <c r="AL91" s="20">
        <f t="shared" si="58"/>
        <v>634.08035816525512</v>
      </c>
      <c r="AM91" s="59">
        <f t="shared" si="59"/>
        <v>927.41369149858838</v>
      </c>
      <c r="AN91" s="59">
        <f ca="1">AVERAGE(OFFSET($AM$3,0,0,'Données projet'!$E$10+1,1))-AVERAGE(OFFSET($H$3,0,0,'Données projet'!$E$10+1,1))</f>
        <v>335.81667389179631</v>
      </c>
      <c r="AO91" s="59">
        <f t="shared" si="90"/>
        <v>137.96364450570718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1.1790590092894508</v>
      </c>
      <c r="AW91" s="21">
        <f>EXP(-LN(2)/2)*AW90+(1-EXP(-LN(2)/2))/(LN(2)/2)*AQ91*AT91*VLOOKUP('Données projet'!$B$10,Paramètres!$A$1:$I$89,3,0)*0.475*44/12</f>
        <v>1.6633989914215198E-8</v>
      </c>
      <c r="AX91" s="21">
        <f t="shared" si="60"/>
        <v>1.1790590259234408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5.2222222222222223</v>
      </c>
      <c r="BD91" s="12">
        <f>IF('Données projet'!$A$88&gt;35,BD90+BC91-BL90,IF(A91&lt;'Données projet'!$A$88,$BA$205^A91,IF(A91='Données projet'!$A$88,'Données projet'!$B$88,BD90+BC91-BL90)))</f>
        <v>185.88888888888883</v>
      </c>
      <c r="BE91" s="13">
        <f>BD91*VLOOKUP('Données projet'!$B$11,Paramètres!$A$1:$I$89,3,0)*VLOOKUP('Données projet'!$B$11,Paramètres!$A$1:$I$89,5,0)</f>
        <v>188.49133333333327</v>
      </c>
      <c r="BF91" s="13">
        <f t="shared" si="91"/>
        <v>47.206253473689678</v>
      </c>
      <c r="BG91" s="20">
        <f t="shared" si="61"/>
        <v>410.50663035556499</v>
      </c>
      <c r="BH91" s="59">
        <f t="shared" si="62"/>
        <v>703.83996368889825</v>
      </c>
      <c r="BI91" s="59">
        <f ca="1">AVERAGE(OFFSET($BH$3,0,0,'Données projet'!$E$11+1,1))-AVERAGE(OFFSET($H$3,0,0,'Données projet'!$E$11+1,1))</f>
        <v>217.20784862627357</v>
      </c>
      <c r="BJ91" s="59">
        <f t="shared" si="92"/>
        <v>147.24433901219732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1">
        <f t="shared" si="86"/>
        <v>18.490286358600777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67">
        <f t="shared" si="56"/>
        <v>439.1893587412294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5.2606837606837598</v>
      </c>
      <c r="N92" s="13">
        <f>IF('Données projet'!$A$36&gt;35,N91+M92-V91,IF(A92&lt;'Données projet'!$A$36,$K$205^A92,IF(A92='Données projet'!$A$36,'Données projet'!$B$36,N91+M92-V91)))</f>
        <v>191.22649572649556</v>
      </c>
      <c r="O92" s="13">
        <f>N92*VLOOKUP('Données projet'!$B$9,Paramètres!$A$1:$I$89,3,0)*VLOOKUP('Données projet'!$B$9,Paramètres!$A$1:$I$89,5,0)</f>
        <v>173.02173333333317</v>
      </c>
      <c r="P92" s="13">
        <f t="shared" si="87"/>
        <v>43.766095804240145</v>
      </c>
      <c r="Q92" s="20">
        <f t="shared" si="54"/>
        <v>377.57213574794014</v>
      </c>
      <c r="R92" s="59">
        <f t="shared" si="55"/>
        <v>670.9054690812734</v>
      </c>
      <c r="S92" s="59">
        <f ca="1">AVERAGE(OFFSET($R$3,0,0,'Données projet'!$E$9+1,1))-AVERAGE(OFFSET($H$3,0,0,'Données projet'!$E$9+1,1))</f>
        <v>180.68512008344129</v>
      </c>
      <c r="T92" s="59">
        <f t="shared" si="88"/>
        <v>125.86231758828899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</v>
      </c>
      <c r="AI92" s="13">
        <f>IF('Données projet'!$A$62&gt;35,AI91+AH92-AQ91,IF(A92&lt;'Données projet'!$A$62,$AF$205^A92,IF(A92='Données projet'!$A$62,'Données projet'!$B$62,AI91+AH92-AQ91)))</f>
        <v>351.90000000000026</v>
      </c>
      <c r="AJ92" s="13">
        <f>AI92*VLOOKUP('Données projet'!$B$10,Paramètres!$A$1:$I$89,3,0)*VLOOKUP('Données projet'!$B$10,Paramètres!$A$1:$I$89,5,0)</f>
        <v>301.93020000000024</v>
      </c>
      <c r="AK92" s="13">
        <f t="shared" si="89"/>
        <v>71.580956374520341</v>
      </c>
      <c r="AL92" s="20">
        <f t="shared" si="58"/>
        <v>650.53193068562337</v>
      </c>
      <c r="AM92" s="59">
        <f t="shared" si="59"/>
        <v>943.86526401895662</v>
      </c>
      <c r="AN92" s="59">
        <f ca="1">AVERAGE(OFFSET($AM$3,0,0,'Données projet'!$E$10+1,1))-AVERAGE(OFFSET($H$3,0,0,'Données projet'!$E$10+1,1))</f>
        <v>335.81667389179631</v>
      </c>
      <c r="AO92" s="59">
        <f t="shared" si="90"/>
        <v>137.96364450570718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1.1468175786764123</v>
      </c>
      <c r="AW92" s="21">
        <f>EXP(-LN(2)/2)*AW91+(1-EXP(-LN(2)/2))/(LN(2)/2)*AQ92*AT92*VLOOKUP('Données projet'!$B$10,Paramètres!$A$1:$I$89,3,0)*0.475*44/12</f>
        <v>1.1762007066530205E-8</v>
      </c>
      <c r="AX92" s="21">
        <f t="shared" si="60"/>
        <v>1.1468175904384195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5.2222222222222223</v>
      </c>
      <c r="BD92" s="12">
        <f>IF('Données projet'!$A$88&gt;35,BD91+BC92-BL91,IF(A92&lt;'Données projet'!$A$88,$BA$205^A92,IF(A92='Données projet'!$A$88,'Données projet'!$B$88,BD91+BC92-BL91)))</f>
        <v>191.11111111111106</v>
      </c>
      <c r="BE92" s="13">
        <f>BD92*VLOOKUP('Données projet'!$B$11,Paramètres!$A$1:$I$89,3,0)*VLOOKUP('Données projet'!$B$11,Paramètres!$A$1:$I$89,5,0)</f>
        <v>193.7866666666666</v>
      </c>
      <c r="BF92" s="13">
        <f t="shared" si="91"/>
        <v>48.376167157946703</v>
      </c>
      <c r="BG92" s="20">
        <f t="shared" si="61"/>
        <v>421.76693557786808</v>
      </c>
      <c r="BH92" s="59">
        <f t="shared" si="62"/>
        <v>715.1002689112014</v>
      </c>
      <c r="BI92" s="59">
        <f ca="1">AVERAGE(OFFSET($BH$3,0,0,'Données projet'!$E$11+1,1))-AVERAGE(OFFSET($H$3,0,0,'Données projet'!$E$11+1,1))</f>
        <v>217.20784862627357</v>
      </c>
      <c r="BJ92" s="59">
        <f t="shared" si="92"/>
        <v>147.24433901219732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1">
        <f t="shared" si="86"/>
        <v>18.673740038079401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67">
        <f t="shared" si="56"/>
        <v>440.78586389965466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5.2606837606837598</v>
      </c>
      <c r="N93" s="13">
        <f>IF('Données projet'!$A$36&gt;35,N92+M93-V92,IF(A93&lt;'Données projet'!$A$36,$K$205^A93,IF(A93='Données projet'!$A$36,'Données projet'!$B$36,N92+M93-V92)))</f>
        <v>196.4871794871793</v>
      </c>
      <c r="O93" s="13">
        <f>N93*VLOOKUP('Données projet'!$B$9,Paramètres!$A$1:$I$89,3,0)*VLOOKUP('Données projet'!$B$9,Paramètres!$A$1:$I$89,5,0)</f>
        <v>177.78159999999983</v>
      </c>
      <c r="P93" s="13">
        <f t="shared" si="87"/>
        <v>44.828277386743572</v>
      </c>
      <c r="Q93" s="20">
        <f t="shared" si="54"/>
        <v>387.71220311524468</v>
      </c>
      <c r="R93" s="59">
        <f t="shared" si="55"/>
        <v>681.04553644857799</v>
      </c>
      <c r="S93" s="59">
        <f ca="1">AVERAGE(OFFSET($R$3,0,0,'Données projet'!$E$9+1,1))-AVERAGE(OFFSET($H$3,0,0,'Données projet'!$E$9+1,1))</f>
        <v>180.68512008344129</v>
      </c>
      <c r="T93" s="59">
        <f t="shared" si="88"/>
        <v>125.86231758828899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361</v>
      </c>
      <c r="AG93" s="12">
        <f>VLOOKUP(A93,'Données projet'!$A$61:$I$81,9,0)</f>
        <v>9.1</v>
      </c>
      <c r="AH93" s="12">
        <f t="array" ref="AH93">INDEX(AG:AG,MIN(IF(ISNUMBER(AG93:AG289),ROW(AG93:AG289),"")))</f>
        <v>9.1</v>
      </c>
      <c r="AI93" s="13">
        <f>IF('Données projet'!$A$62&gt;35,AI92+AH93-AQ92,IF(A93&lt;'Données projet'!$A$62,$AF$205^A93,IF(A93='Données projet'!$A$62,'Données projet'!$B$62,AI92+AH93-AQ92)))</f>
        <v>361.00000000000028</v>
      </c>
      <c r="AJ93" s="13">
        <f>AI93*VLOOKUP('Données projet'!$B$10,Paramètres!$A$1:$I$89,3,0)*VLOOKUP('Données projet'!$B$10,Paramètres!$A$1:$I$89,5,0)</f>
        <v>309.73800000000028</v>
      </c>
      <c r="AK93" s="13">
        <f t="shared" si="89"/>
        <v>73.214111451653608</v>
      </c>
      <c r="AL93" s="20">
        <f t="shared" si="58"/>
        <v>666.97492744496378</v>
      </c>
      <c r="AM93" s="59">
        <f t="shared" si="59"/>
        <v>960.30826077829715</v>
      </c>
      <c r="AN93" s="59">
        <f ca="1">AVERAGE(OFFSET($AM$3,0,0,'Données projet'!$E$10+1,1))-AVERAGE(OFFSET($H$3,0,0,'Données projet'!$E$10+1,1))</f>
        <v>335.81667389179631</v>
      </c>
      <c r="AO93" s="59">
        <f t="shared" si="90"/>
        <v>137.96364450570718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67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1.1154577916789905</v>
      </c>
      <c r="AW93" s="21">
        <f>EXP(-LN(2)/2)*AW92+(1-EXP(-LN(2)/2))/(LN(2)/2)*AQ93*AT93*VLOOKUP('Données projet'!$B$10,Paramètres!$A$1:$I$89,3,0)*0.475*44/12</f>
        <v>8.3169949571075992E-9</v>
      </c>
      <c r="AX93" s="21">
        <f t="shared" si="60"/>
        <v>1.1154577999959854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5.2222222222222223</v>
      </c>
      <c r="BD93" s="12">
        <f>IF('Données projet'!$A$88&gt;35,BD92+BC93-BL92,IF(A93&lt;'Données projet'!$A$88,$BA$205^A93,IF(A93='Données projet'!$A$88,'Données projet'!$B$88,BD92+BC93-BL92)))</f>
        <v>196.33333333333329</v>
      </c>
      <c r="BE93" s="13">
        <f>BD93*VLOOKUP('Données projet'!$B$11,Paramètres!$A$1:$I$89,3,0)*VLOOKUP('Données projet'!$B$11,Paramètres!$A$1:$I$89,5,0)</f>
        <v>199.08199999999997</v>
      </c>
      <c r="BF93" s="13">
        <f t="shared" si="91"/>
        <v>49.542365123476486</v>
      </c>
      <c r="BG93" s="20">
        <f t="shared" si="61"/>
        <v>433.02076925672145</v>
      </c>
      <c r="BH93" s="59">
        <f t="shared" si="62"/>
        <v>726.35410259005471</v>
      </c>
      <c r="BI93" s="59">
        <f ca="1">AVERAGE(OFFSET($BH$3,0,0,'Données projet'!$E$11+1,1))-AVERAGE(OFFSET($H$3,0,0,'Données projet'!$E$11+1,1))</f>
        <v>217.20784862627357</v>
      </c>
      <c r="BJ93" s="59">
        <f t="shared" si="92"/>
        <v>147.24433901219732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1">
        <f t="shared" si="86"/>
        <v>18.85695659900588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67">
        <f t="shared" si="56"/>
        <v>442.38195607660163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5.2606837606837598</v>
      </c>
      <c r="N94" s="13">
        <f>IF('Données projet'!$A$36&gt;35,N93+M94-V93,IF(A94&lt;'Données projet'!$A$36,$K$205^A94,IF(A94='Données projet'!$A$36,'Données projet'!$B$36,N93+M94-V93)))</f>
        <v>201.74786324786305</v>
      </c>
      <c r="O94" s="13">
        <f>N94*VLOOKUP('Données projet'!$B$9,Paramètres!$A$1:$I$89,3,0)*VLOOKUP('Données projet'!$B$9,Paramètres!$A$1:$I$89,5,0)</f>
        <v>182.54146666666648</v>
      </c>
      <c r="P94" s="13">
        <f t="shared" si="87"/>
        <v>45.887153462840786</v>
      </c>
      <c r="Q94" s="20">
        <f t="shared" si="54"/>
        <v>397.84651339222506</v>
      </c>
      <c r="R94" s="59">
        <f t="shared" si="55"/>
        <v>691.17984672555838</v>
      </c>
      <c r="S94" s="59">
        <f ca="1">AVERAGE(OFFSET($R$3,0,0,'Données projet'!$E$9+1,1))-AVERAGE(OFFSET($H$3,0,0,'Données projet'!$E$9+1,1))</f>
        <v>180.68512008344129</v>
      </c>
      <c r="T94" s="59">
        <f t="shared" si="88"/>
        <v>125.86231758828899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8.4</v>
      </c>
      <c r="AI94" s="13">
        <f>IF('Données projet'!$A$62&gt;35,AI93+AH94-AQ93,IF(A94&lt;'Données projet'!$A$62,$AF$205^A94,IF(A94='Données projet'!$A$62,'Données projet'!$B$62,AI93+AH94-AQ93)))</f>
        <v>302.40000000000026</v>
      </c>
      <c r="AJ94" s="13">
        <f>AI94*VLOOKUP('Données projet'!$B$10,Paramètres!$A$1:$I$89,3,0)*VLOOKUP('Données projet'!$B$10,Paramètres!$A$1:$I$89,5,0)</f>
        <v>259.45920000000024</v>
      </c>
      <c r="AK94" s="13">
        <f t="shared" si="89"/>
        <v>62.607087284635185</v>
      </c>
      <c r="AL94" s="20">
        <f t="shared" si="58"/>
        <v>560.93211702074007</v>
      </c>
      <c r="AM94" s="59">
        <f t="shared" si="59"/>
        <v>854.26545035407344</v>
      </c>
      <c r="AN94" s="59">
        <f ca="1">AVERAGE(OFFSET($AM$3,0,0,'Données projet'!$E$10+1,1))-AVERAGE(OFFSET($H$3,0,0,'Données projet'!$E$10+1,1))</f>
        <v>335.81667389179631</v>
      </c>
      <c r="AO94" s="59">
        <f t="shared" si="90"/>
        <v>137.96364450570718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1.0849555397061525</v>
      </c>
      <c r="AW94" s="21">
        <f>EXP(-LN(2)/2)*AW93+(1-EXP(-LN(2)/2))/(LN(2)/2)*AQ94*AT94*VLOOKUP('Données projet'!$B$10,Paramètres!$A$1:$I$89,3,0)*0.475*44/12</f>
        <v>5.8810035332651024E-9</v>
      </c>
      <c r="AX94" s="21">
        <f t="shared" si="60"/>
        <v>1.084955545587156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5.2222222222222223</v>
      </c>
      <c r="BD94" s="12">
        <f>IF('Données projet'!$A$88&gt;35,BD93+BC94-BL93,IF(A94&lt;'Données projet'!$A$88,$BA$205^A94,IF(A94='Données projet'!$A$88,'Données projet'!$B$88,BD93+BC94-BL93)))</f>
        <v>201.55555555555551</v>
      </c>
      <c r="BE94" s="13">
        <f>BD94*VLOOKUP('Données projet'!$B$11,Paramètres!$A$1:$I$89,3,0)*VLOOKUP('Données projet'!$B$11,Paramètres!$A$1:$I$89,5,0)</f>
        <v>204.3773333333333</v>
      </c>
      <c r="BF94" s="13">
        <f t="shared" si="91"/>
        <v>50.704957563663633</v>
      </c>
      <c r="BG94" s="20">
        <f t="shared" si="61"/>
        <v>444.26832331226962</v>
      </c>
      <c r="BH94" s="59">
        <f t="shared" si="62"/>
        <v>737.60165664560293</v>
      </c>
      <c r="BI94" s="59">
        <f ca="1">AVERAGE(OFFSET($BH$3,0,0,'Données projet'!$E$11+1,1))-AVERAGE(OFFSET($H$3,0,0,'Données projet'!$E$11+1,1))</f>
        <v>217.20784862627357</v>
      </c>
      <c r="BJ94" s="59">
        <f t="shared" si="92"/>
        <v>147.24433901219732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1">
        <f t="shared" si="86"/>
        <v>19.03993894863974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67">
        <f t="shared" si="56"/>
        <v>443.97764033554722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5.2606837606837598</v>
      </c>
      <c r="N95" s="13">
        <f>IF('Données projet'!$A$36&gt;35,N94+M95-V94,IF(A95&lt;'Données projet'!$A$36,$K$205^A95,IF(A95='Données projet'!$A$36,'Données projet'!$B$36,N94+M95-V94)))</f>
        <v>207.0085470085468</v>
      </c>
      <c r="O95" s="13">
        <f>N95*VLOOKUP('Données projet'!$B$9,Paramètres!$A$1:$I$89,3,0)*VLOOKUP('Données projet'!$B$9,Paramètres!$A$1:$I$89,5,0)</f>
        <v>187.30133333333313</v>
      </c>
      <c r="P95" s="13">
        <f t="shared" si="87"/>
        <v>46.942820134391475</v>
      </c>
      <c r="Q95" s="20">
        <f t="shared" si="54"/>
        <v>407.97523395628696</v>
      </c>
      <c r="R95" s="59">
        <f t="shared" si="55"/>
        <v>701.30856728962021</v>
      </c>
      <c r="S95" s="59">
        <f ca="1">AVERAGE(OFFSET($R$3,0,0,'Données projet'!$E$9+1,1))-AVERAGE(OFFSET($H$3,0,0,'Données projet'!$E$9+1,1))</f>
        <v>180.68512008344129</v>
      </c>
      <c r="T95" s="59">
        <f t="shared" si="88"/>
        <v>125.86231758828899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8.4</v>
      </c>
      <c r="AI95" s="13">
        <f>IF('Données projet'!$A$62&gt;35,AI94+AH95-AQ94,IF(A95&lt;'Données projet'!$A$62,$AF$205^A95,IF(A95='Données projet'!$A$62,'Données projet'!$B$62,AI94+AH95-AQ94)))</f>
        <v>310.80000000000024</v>
      </c>
      <c r="AJ95" s="13">
        <f>AI95*VLOOKUP('Données projet'!$B$10,Paramètres!$A$1:$I$89,3,0)*VLOOKUP('Données projet'!$B$10,Paramètres!$A$1:$I$89,5,0)</f>
        <v>266.66640000000024</v>
      </c>
      <c r="AK95" s="13">
        <f t="shared" si="89"/>
        <v>64.141284508389418</v>
      </c>
      <c r="AL95" s="20">
        <f t="shared" si="58"/>
        <v>576.15671718544536</v>
      </c>
      <c r="AM95" s="59">
        <f t="shared" si="59"/>
        <v>869.49005051877862</v>
      </c>
      <c r="AN95" s="59">
        <f ca="1">AVERAGE(OFFSET($AM$3,0,0,'Données projet'!$E$10+1,1))-AVERAGE(OFFSET($H$3,0,0,'Données projet'!$E$10+1,1))</f>
        <v>335.81667389179631</v>
      </c>
      <c r="AO95" s="59">
        <f t="shared" si="90"/>
        <v>137.96364450570718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1.0552873734175556</v>
      </c>
      <c r="AW95" s="21">
        <f>EXP(-LN(2)/2)*AW94+(1-EXP(-LN(2)/2))/(LN(2)/2)*AQ95*AT95*VLOOKUP('Données projet'!$B$10,Paramètres!$A$1:$I$89,3,0)*0.475*44/12</f>
        <v>4.1584974785537996E-9</v>
      </c>
      <c r="AX95" s="21">
        <f t="shared" si="60"/>
        <v>1.0552873775760532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5.2222222222222223</v>
      </c>
      <c r="BD95" s="12">
        <f>IF('Données projet'!$A$88&gt;35,BD94+BC95-BL94,IF(A95&lt;'Données projet'!$A$88,$BA$205^A95,IF(A95='Données projet'!$A$88,'Données projet'!$B$88,BD94+BC95-BL94)))</f>
        <v>206.77777777777774</v>
      </c>
      <c r="BE95" s="13">
        <f>BD95*VLOOKUP('Données projet'!$B$11,Paramètres!$A$1:$I$89,3,0)*VLOOKUP('Données projet'!$B$11,Paramètres!$A$1:$I$89,5,0)</f>
        <v>209.67266666666666</v>
      </c>
      <c r="BF95" s="13">
        <f t="shared" si="91"/>
        <v>51.864048636496825</v>
      </c>
      <c r="BG95" s="20">
        <f t="shared" si="61"/>
        <v>455.50977915300967</v>
      </c>
      <c r="BH95" s="59">
        <f t="shared" si="62"/>
        <v>748.84311248634299</v>
      </c>
      <c r="BI95" s="59">
        <f ca="1">AVERAGE(OFFSET($BH$3,0,0,'Données projet'!$E$11+1,1))-AVERAGE(OFFSET($H$3,0,0,'Données projet'!$E$11+1,1))</f>
        <v>217.20784862627357</v>
      </c>
      <c r="BJ95" s="59">
        <f t="shared" si="92"/>
        <v>147.24433901219732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1">
        <f t="shared" si="86"/>
        <v>19.222689927399379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67">
        <f t="shared" si="56"/>
        <v>445.57292162355361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212.26923076923075</v>
      </c>
      <c r="L96" s="12">
        <f>VLOOKUP(A96,'Données projet'!$A$35:$I$55,9,0)</f>
        <v>5.2606837606837598</v>
      </c>
      <c r="M96" s="12">
        <f t="array" ref="M96">INDEX(L:L,MIN(IF(ISNUMBER(L96:L292),ROW(L96:L292),"")))</f>
        <v>5.2606837606837598</v>
      </c>
      <c r="N96" s="13">
        <f>IF('Données projet'!$A$36&gt;35,N95+M96-V95,IF(A96&lt;'Données projet'!$A$36,$K$205^A96,IF(A96='Données projet'!$A$36,'Données projet'!$B$36,N95+M96-V95)))</f>
        <v>212.26923076923055</v>
      </c>
      <c r="O96" s="13">
        <f>N96*VLOOKUP('Données projet'!$B$9,Paramètres!$A$1:$I$89,3,0)*VLOOKUP('Données projet'!$B$9,Paramètres!$A$1:$I$89,5,0)</f>
        <v>192.06119999999979</v>
      </c>
      <c r="P96" s="13">
        <f t="shared" si="87"/>
        <v>47.995368340490955</v>
      </c>
      <c r="Q96" s="20">
        <f t="shared" si="54"/>
        <v>418.09852319302132</v>
      </c>
      <c r="R96" s="59">
        <f t="shared" si="55"/>
        <v>711.43185652635464</v>
      </c>
      <c r="S96" s="59">
        <f ca="1">AVERAGE(OFFSET($R$3,0,0,'Données projet'!$E$9+1,1))-AVERAGE(OFFSET($H$3,0,0,'Données projet'!$E$9+1,1))</f>
        <v>180.68512008344129</v>
      </c>
      <c r="T96" s="59">
        <f t="shared" si="88"/>
        <v>125.86231758828899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30.083333333333332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8.4</v>
      </c>
      <c r="AI96" s="13">
        <f>IF('Données projet'!$A$62&gt;35,AI95+AH96-AQ95,IF(A96&lt;'Données projet'!$A$62,$AF$205^A96,IF(A96='Données projet'!$A$62,'Données projet'!$B$62,AI95+AH96-AQ95)))</f>
        <v>319.20000000000022</v>
      </c>
      <c r="AJ96" s="13">
        <f>AI96*VLOOKUP('Données projet'!$B$10,Paramètres!$A$1:$I$89,3,0)*VLOOKUP('Données projet'!$B$10,Paramètres!$A$1:$I$89,5,0)</f>
        <v>273.87360000000024</v>
      </c>
      <c r="AK96" s="13">
        <f t="shared" si="89"/>
        <v>65.670662194579606</v>
      </c>
      <c r="AL96" s="20">
        <f t="shared" si="58"/>
        <v>591.3729233222266</v>
      </c>
      <c r="AM96" s="59">
        <f t="shared" si="59"/>
        <v>884.70625665555986</v>
      </c>
      <c r="AN96" s="59">
        <f ca="1">AVERAGE(OFFSET($AM$3,0,0,'Données projet'!$E$10+1,1))-AVERAGE(OFFSET($H$3,0,0,'Données projet'!$E$10+1,1))</f>
        <v>335.81667389179631</v>
      </c>
      <c r="AO96" s="59">
        <f t="shared" si="90"/>
        <v>137.96364450570718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1.0264304846963015</v>
      </c>
      <c r="AW96" s="21">
        <f>EXP(-LN(2)/2)*AW95+(1-EXP(-LN(2)/2))/(LN(2)/2)*AQ96*AT96*VLOOKUP('Données projet'!$B$10,Paramètres!$A$1:$I$89,3,0)*0.475*44/12</f>
        <v>2.9405017666325512E-9</v>
      </c>
      <c r="AX96" s="21">
        <f t="shared" si="60"/>
        <v>1.0264304876368033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212</v>
      </c>
      <c r="BB96" s="12">
        <f>VLOOKUP(A96,'Données projet'!$A$87:$I$107,9,0)</f>
        <v>5.2222222222222223</v>
      </c>
      <c r="BC96" s="12">
        <f t="array" ref="BC96">INDEX(BB:BB,MIN(IF(ISNUMBER(BB96:BB292),ROW(BB96:BB292),"")))</f>
        <v>5.2222222222222223</v>
      </c>
      <c r="BD96" s="12">
        <f>IF('Données projet'!$A$88&gt;35,BD95+BC96-BL95,IF(A96&lt;'Données projet'!$A$88,$BA$205^A96,IF(A96='Données projet'!$A$88,'Données projet'!$B$88,BD95+BC96-BL95)))</f>
        <v>211.99999999999997</v>
      </c>
      <c r="BE96" s="13">
        <f>BD96*VLOOKUP('Données projet'!$B$11,Paramètres!$A$1:$I$89,3,0)*VLOOKUP('Données projet'!$B$11,Paramètres!$A$1:$I$89,5,0)</f>
        <v>214.96799999999999</v>
      </c>
      <c r="BF96" s="13">
        <f t="shared" si="91"/>
        <v>53.019736939092994</v>
      </c>
      <c r="BG96" s="20">
        <f t="shared" si="61"/>
        <v>466.74530850225364</v>
      </c>
      <c r="BH96" s="59">
        <f t="shared" si="62"/>
        <v>760.07864183558695</v>
      </c>
      <c r="BI96" s="59">
        <f ca="1">AVERAGE(OFFSET($BH$3,0,0,'Données projet'!$E$11+1,1))-AVERAGE(OFFSET($H$3,0,0,'Données projet'!$E$11+1,1))</f>
        <v>217.20784862627357</v>
      </c>
      <c r="BJ96" s="59">
        <f t="shared" si="92"/>
        <v>147.24433901219732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1">
        <f t="shared" si="86"/>
        <v>19.405212311100474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67">
        <f t="shared" si="56"/>
        <v>447.16780477516636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5.2583333333333373</v>
      </c>
      <c r="N97" s="13">
        <f>IF('Données projet'!$A$36&gt;35,N96+M97-V96,IF(A97&lt;'Données projet'!$A$36,$K$205^A97,IF(A97='Données projet'!$A$36,'Données projet'!$B$36,N96+M97-V96)))</f>
        <v>187.44423076923053</v>
      </c>
      <c r="O97" s="13">
        <f>N97*VLOOKUP('Données projet'!$B$9,Paramètres!$A$1:$I$89,3,0)*VLOOKUP('Données projet'!$B$9,Paramètres!$A$1:$I$89,5,0)</f>
        <v>169.59953999999976</v>
      </c>
      <c r="P97" s="13">
        <f t="shared" si="87"/>
        <v>43.000321559740421</v>
      </c>
      <c r="Q97" s="20">
        <f t="shared" si="54"/>
        <v>370.27809221654746</v>
      </c>
      <c r="R97" s="59">
        <f t="shared" si="55"/>
        <v>663.61142554988078</v>
      </c>
      <c r="S97" s="59">
        <f ca="1">AVERAGE(OFFSET($R$3,0,0,'Données projet'!$E$9+1,1))-AVERAGE(OFFSET($H$3,0,0,'Données projet'!$E$9+1,1))</f>
        <v>180.68512008344129</v>
      </c>
      <c r="T97" s="59">
        <f t="shared" si="88"/>
        <v>125.86231758828899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8.4</v>
      </c>
      <c r="AI97" s="13">
        <f>IF('Données projet'!$A$62&gt;35,AI96+AH97-AQ96,IF(A97&lt;'Données projet'!$A$62,$AF$205^A97,IF(A97='Données projet'!$A$62,'Données projet'!$B$62,AI96+AH97-AQ96)))</f>
        <v>327.60000000000019</v>
      </c>
      <c r="AJ97" s="13">
        <f>AI97*VLOOKUP('Données projet'!$B$10,Paramètres!$A$1:$I$89,3,0)*VLOOKUP('Données projet'!$B$10,Paramètres!$A$1:$I$89,5,0)</f>
        <v>281.08080000000018</v>
      </c>
      <c r="AK97" s="13">
        <f t="shared" si="89"/>
        <v>67.195361752546177</v>
      </c>
      <c r="AL97" s="20">
        <f t="shared" si="58"/>
        <v>606.58098171901827</v>
      </c>
      <c r="AM97" s="59">
        <f t="shared" si="59"/>
        <v>899.91431505235164</v>
      </c>
      <c r="AN97" s="59">
        <f ca="1">AVERAGE(OFFSET($AM$3,0,0,'Données projet'!$E$10+1,1))-AVERAGE(OFFSET($H$3,0,0,'Données projet'!$E$10+1,1))</f>
        <v>335.81667389179631</v>
      </c>
      <c r="AO97" s="59">
        <f t="shared" si="90"/>
        <v>137.96364450570718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0.99836268911464787</v>
      </c>
      <c r="AW97" s="21">
        <f>EXP(-LN(2)/2)*AW96+(1-EXP(-LN(2)/2))/(LN(2)/2)*AQ97*AT97*VLOOKUP('Données projet'!$B$10,Paramètres!$A$1:$I$89,3,0)*0.475*44/12</f>
        <v>2.0792487392768998E-9</v>
      </c>
      <c r="AX97" s="21">
        <f t="shared" si="60"/>
        <v>0.99836269119389665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5.3</v>
      </c>
      <c r="BD97" s="12">
        <f>IF('Données projet'!$A$88&gt;35,BD96+BC97-BL96,IF(A97&lt;'Données projet'!$A$88,$BA$205^A97,IF(A97='Données projet'!$A$88,'Données projet'!$B$88,BD96+BC97-BL96)))</f>
        <v>187.29999999999998</v>
      </c>
      <c r="BE97" s="13">
        <f>BD97*VLOOKUP('Données projet'!$B$11,Paramètres!$A$1:$I$89,3,0)*VLOOKUP('Données projet'!$B$11,Paramètres!$A$1:$I$89,5,0)</f>
        <v>189.9222</v>
      </c>
      <c r="BF97" s="13">
        <f t="shared" si="91"/>
        <v>47.522751965875749</v>
      </c>
      <c r="BG97" s="20">
        <f t="shared" si="61"/>
        <v>413.54995800723356</v>
      </c>
      <c r="BH97" s="59">
        <f t="shared" si="62"/>
        <v>706.88329134056687</v>
      </c>
      <c r="BI97" s="59">
        <f ca="1">AVERAGE(OFFSET($BH$3,0,0,'Données projet'!$E$11+1,1))-AVERAGE(OFFSET($H$3,0,0,'Données projet'!$E$11+1,1))</f>
        <v>217.20784862627357</v>
      </c>
      <c r="BJ97" s="59">
        <f t="shared" si="92"/>
        <v>147.24433901219732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1">
        <f t="shared" si="86"/>
        <v>19.58750881309674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67">
        <f t="shared" si="56"/>
        <v>448.76229451614319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5.2583333333333373</v>
      </c>
      <c r="N98" s="13">
        <f>IF('Données projet'!$A$36&gt;35,N97+M98-V97,IF(A98&lt;'Données projet'!$A$36,$K$205^A98,IF(A98='Données projet'!$A$36,'Données projet'!$B$36,N97+M98-V97)))</f>
        <v>192.70256410256385</v>
      </c>
      <c r="O98" s="13">
        <f>N98*VLOOKUP('Données projet'!$B$9,Paramètres!$A$1:$I$89,3,0)*VLOOKUP('Données projet'!$B$9,Paramètres!$A$1:$I$89,5,0)</f>
        <v>174.35727999999978</v>
      </c>
      <c r="P98" s="13">
        <f t="shared" si="87"/>
        <v>44.064467301710017</v>
      </c>
      <c r="Q98" s="20">
        <f t="shared" si="54"/>
        <v>380.41787655047784</v>
      </c>
      <c r="R98" s="59">
        <f t="shared" si="55"/>
        <v>673.75120988381116</v>
      </c>
      <c r="S98" s="59">
        <f ca="1">AVERAGE(OFFSET($R$3,0,0,'Données projet'!$E$9+1,1))-AVERAGE(OFFSET($H$3,0,0,'Données projet'!$E$9+1,1))</f>
        <v>180.68512008344129</v>
      </c>
      <c r="T98" s="59">
        <f t="shared" si="88"/>
        <v>125.86231758828899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8.4</v>
      </c>
      <c r="AI98" s="13">
        <f>IF('Données projet'!$A$62&gt;35,AI97+AH98-AQ97,IF(A98&lt;'Données projet'!$A$62,$AF$205^A98,IF(A98='Données projet'!$A$62,'Données projet'!$B$62,AI97+AH98-AQ97)))</f>
        <v>336.00000000000017</v>
      </c>
      <c r="AJ98" s="13">
        <f>AI98*VLOOKUP('Données projet'!$B$10,Paramètres!$A$1:$I$89,3,0)*VLOOKUP('Données projet'!$B$10,Paramètres!$A$1:$I$89,5,0)</f>
        <v>288.28800000000018</v>
      </c>
      <c r="AK98" s="13">
        <f t="shared" si="89"/>
        <v>68.715516926722444</v>
      </c>
      <c r="AL98" s="20">
        <f t="shared" si="58"/>
        <v>621.7811253140419</v>
      </c>
      <c r="AM98" s="59">
        <f t="shared" si="59"/>
        <v>915.11445864737516</v>
      </c>
      <c r="AN98" s="59">
        <f ca="1">AVERAGE(OFFSET($AM$3,0,0,'Données projet'!$E$10+1,1))-AVERAGE(OFFSET($H$3,0,0,'Données projet'!$E$10+1,1))</f>
        <v>335.81667389179631</v>
      </c>
      <c r="AO98" s="59">
        <f t="shared" si="90"/>
        <v>137.96364450570718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0.97106240887919582</v>
      </c>
      <c r="AW98" s="21">
        <f>EXP(-LN(2)/2)*AW97+(1-EXP(-LN(2)/2))/(LN(2)/2)*AQ98*AT98*VLOOKUP('Données projet'!$B$10,Paramètres!$A$1:$I$89,3,0)*0.475*44/12</f>
        <v>1.4702508833162756E-9</v>
      </c>
      <c r="AX98" s="21">
        <f t="shared" si="60"/>
        <v>0.97106241034944674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5.3</v>
      </c>
      <c r="BD98" s="12">
        <f>IF('Données projet'!$A$88&gt;35,BD97+BC98-BL97,IF(A98&lt;'Données projet'!$A$88,$BA$205^A98,IF(A98='Données projet'!$A$88,'Données projet'!$B$88,BD97+BC98-BL97)))</f>
        <v>192.6</v>
      </c>
      <c r="BE98" s="13">
        <f>BD98*VLOOKUP('Données projet'!$B$11,Paramètres!$A$1:$I$89,3,0)*VLOOKUP('Données projet'!$B$11,Paramètres!$A$1:$I$89,5,0)</f>
        <v>195.29640000000001</v>
      </c>
      <c r="BF98" s="13">
        <f t="shared" si="91"/>
        <v>48.709031383366153</v>
      </c>
      <c r="BG98" s="20">
        <f t="shared" si="61"/>
        <v>424.97612632602937</v>
      </c>
      <c r="BH98" s="59">
        <f t="shared" si="62"/>
        <v>718.30945965936269</v>
      </c>
      <c r="BI98" s="59">
        <f ca="1">AVERAGE(OFFSET($BH$3,0,0,'Données projet'!$E$11+1,1))-AVERAGE(OFFSET($H$3,0,0,'Données projet'!$E$11+1,1))</f>
        <v>217.20784862627357</v>
      </c>
      <c r="BJ98" s="59">
        <f t="shared" si="92"/>
        <v>147.24433901219732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1">
        <f t="shared" si="86"/>
        <v>19.769582086327762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67">
        <f t="shared" si="56"/>
        <v>450.35639546702049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5.2583333333333373</v>
      </c>
      <c r="N99" s="13">
        <f>IF('Données projet'!$A$36&gt;35,N98+M99-V98,IF(A99&lt;'Données projet'!$A$36,$K$205^A99,IF(A99='Données projet'!$A$36,'Données projet'!$B$36,N98+M99-V98)))</f>
        <v>197.96089743589718</v>
      </c>
      <c r="O99" s="13">
        <f>N99*VLOOKUP('Données projet'!$B$9,Paramètres!$A$1:$I$89,3,0)*VLOOKUP('Données projet'!$B$9,Paramètres!$A$1:$I$89,5,0)</f>
        <v>179.11501999999976</v>
      </c>
      <c r="P99" s="13">
        <f t="shared" si="87"/>
        <v>45.125237978705186</v>
      </c>
      <c r="Q99" s="20">
        <f t="shared" ref="Q99:Q130" si="107">(O99+P99)*0.475*44/12</f>
        <v>390.55178264624448</v>
      </c>
      <c r="R99" s="59">
        <f t="shared" si="55"/>
        <v>683.88511597957779</v>
      </c>
      <c r="S99" s="59">
        <f ca="1">AVERAGE(OFFSET($R$3,0,0,'Données projet'!$E$9+1,1))-AVERAGE(OFFSET($H$3,0,0,'Données projet'!$E$9+1,1))</f>
        <v>180.68512008344129</v>
      </c>
      <c r="T99" s="59">
        <f t="shared" si="88"/>
        <v>125.86231758828899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8.4</v>
      </c>
      <c r="AI99" s="13">
        <f>IF('Données projet'!$A$62&gt;35,AI98+AH99-AQ98,IF(A99&lt;'Données projet'!$A$62,$AF$205^A99,IF(A99='Données projet'!$A$62,'Données projet'!$B$62,AI98+AH99-AQ98)))</f>
        <v>344.40000000000015</v>
      </c>
      <c r="AJ99" s="13">
        <f>AI99*VLOOKUP('Données projet'!$B$10,Paramètres!$A$1:$I$89,3,0)*VLOOKUP('Données projet'!$B$10,Paramètres!$A$1:$I$89,5,0)</f>
        <v>295.49520000000018</v>
      </c>
      <c r="AK99" s="13">
        <f t="shared" si="89"/>
        <v>70.23125439319044</v>
      </c>
      <c r="AL99" s="20">
        <f t="shared" si="58"/>
        <v>636.97357473480702</v>
      </c>
      <c r="AM99" s="59">
        <f t="shared" si="59"/>
        <v>930.30690806814027</v>
      </c>
      <c r="AN99" s="59">
        <f ca="1">AVERAGE(OFFSET($AM$3,0,0,'Données projet'!$E$10+1,1))-AVERAGE(OFFSET($H$3,0,0,'Données projet'!$E$10+1,1))</f>
        <v>335.81667389179631</v>
      </c>
      <c r="AO99" s="59">
        <f t="shared" si="90"/>
        <v>137.96364450570718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0.94450865624244151</v>
      </c>
      <c r="AW99" s="21">
        <f>EXP(-LN(2)/2)*AW98+(1-EXP(-LN(2)/2))/(LN(2)/2)*AQ99*AT99*VLOOKUP('Données projet'!$B$10,Paramètres!$A$1:$I$89,3,0)*0.475*44/12</f>
        <v>1.0396243696384499E-9</v>
      </c>
      <c r="AX99" s="21">
        <f t="shared" si="60"/>
        <v>0.9445086572820659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5.3</v>
      </c>
      <c r="BD99" s="12">
        <f>IF('Données projet'!$A$88&gt;35,BD98+BC99-BL98,IF(A99&lt;'Données projet'!$A$88,$BA$205^A99,IF(A99='Données projet'!$A$88,'Données projet'!$B$88,BD98+BC99-BL98)))</f>
        <v>197.9</v>
      </c>
      <c r="BE99" s="13">
        <f>BD99*VLOOKUP('Données projet'!$B$11,Paramètres!$A$1:$I$89,3,0)*VLOOKUP('Données projet'!$B$11,Paramètres!$A$1:$I$89,5,0)</f>
        <v>200.67060000000004</v>
      </c>
      <c r="BF99" s="13">
        <f t="shared" si="91"/>
        <v>49.891516584222785</v>
      </c>
      <c r="BG99" s="20">
        <f t="shared" si="61"/>
        <v>436.39568638418808</v>
      </c>
      <c r="BH99" s="59">
        <f t="shared" si="62"/>
        <v>729.7290197175214</v>
      </c>
      <c r="BI99" s="59">
        <f ca="1">AVERAGE(OFFSET($BH$3,0,0,'Données projet'!$E$11+1,1))-AVERAGE(OFFSET($H$3,0,0,'Données projet'!$E$11+1,1))</f>
        <v>217.20784862627357</v>
      </c>
      <c r="BJ99" s="59">
        <f t="shared" si="92"/>
        <v>147.24433901219732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1">
        <f t="shared" si="86"/>
        <v>19.951434725279164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67">
        <f t="shared" si="56"/>
        <v>451.95011214652754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5.2583333333333373</v>
      </c>
      <c r="N100" s="13">
        <f>IF('Données projet'!$A$36&gt;35,N99+M100-V99,IF(A100&lt;'Données projet'!$A$36,$K$205^A100,IF(A100='Données projet'!$A$36,'Données projet'!$B$36,N99+M100-V99)))</f>
        <v>203.21923076923051</v>
      </c>
      <c r="O100" s="13">
        <f>N100*VLOOKUP('Données projet'!$B$9,Paramètres!$A$1:$I$89,3,0)*VLOOKUP('Données projet'!$B$9,Paramètres!$A$1:$I$89,5,0)</f>
        <v>183.87275999999974</v>
      </c>
      <c r="P100" s="13">
        <f t="shared" si="87"/>
        <v>46.182733545341328</v>
      </c>
      <c r="Q100" s="20">
        <f t="shared" si="107"/>
        <v>400.67998459146901</v>
      </c>
      <c r="R100" s="59">
        <f t="shared" si="55"/>
        <v>694.01331792480232</v>
      </c>
      <c r="S100" s="59">
        <f ca="1">AVERAGE(OFFSET($R$3,0,0,'Données projet'!$E$9+1,1))-AVERAGE(OFFSET($H$3,0,0,'Données projet'!$E$9+1,1))</f>
        <v>180.68512008344129</v>
      </c>
      <c r="T100" s="59">
        <f t="shared" si="88"/>
        <v>125.86231758828899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8.4</v>
      </c>
      <c r="AI100" s="13">
        <f>IF('Données projet'!$A$62&gt;35,AI99+AH100-AQ99,IF(A100&lt;'Données projet'!$A$62,$AF$205^A100,IF(A100='Données projet'!$A$62,'Données projet'!$B$62,AI99+AH100-AQ99)))</f>
        <v>352.80000000000013</v>
      </c>
      <c r="AJ100" s="13">
        <f>AI100*VLOOKUP('Données projet'!$B$10,Paramètres!$A$1:$I$89,3,0)*VLOOKUP('Données projet'!$B$10,Paramètres!$A$1:$I$89,5,0)</f>
        <v>302.70240000000013</v>
      </c>
      <c r="AK100" s="13">
        <f t="shared" si="89"/>
        <v>71.742694296396621</v>
      </c>
      <c r="AL100" s="20">
        <f t="shared" si="58"/>
        <v>652.15853923289103</v>
      </c>
      <c r="AM100" s="59">
        <f t="shared" si="59"/>
        <v>945.4918725662244</v>
      </c>
      <c r="AN100" s="59">
        <f ca="1">AVERAGE(OFFSET($AM$3,0,0,'Données projet'!$E$10+1,1))-AVERAGE(OFFSET($H$3,0,0,'Données projet'!$E$10+1,1))</f>
        <v>335.81667389179631</v>
      </c>
      <c r="AO100" s="59">
        <f t="shared" si="90"/>
        <v>137.96364450570718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0.91868101736794039</v>
      </c>
      <c r="AW100" s="21">
        <f>EXP(-LN(2)/2)*AW99+(1-EXP(-LN(2)/2))/(LN(2)/2)*AQ100*AT100*VLOOKUP('Données projet'!$B$10,Paramètres!$A$1:$I$89,3,0)*0.475*44/12</f>
        <v>7.351254416581378E-10</v>
      </c>
      <c r="AX100" s="21">
        <f t="shared" si="60"/>
        <v>0.91868101810306579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5.3</v>
      </c>
      <c r="BD100" s="12">
        <f>IF('Données projet'!$A$88&gt;35,BD99+BC100-BL99,IF(A100&lt;'Données projet'!$A$88,$BA$205^A100,IF(A100='Données projet'!$A$88,'Données projet'!$B$88,BD99+BC100-BL99)))</f>
        <v>203.20000000000002</v>
      </c>
      <c r="BE100" s="13">
        <f>BD100*VLOOKUP('Données projet'!$B$11,Paramètres!$A$1:$I$89,3,0)*VLOOKUP('Données projet'!$B$11,Paramètres!$A$1:$I$89,5,0)</f>
        <v>206.04480000000004</v>
      </c>
      <c r="BF100" s="13">
        <f t="shared" si="91"/>
        <v>51.070320860749725</v>
      </c>
      <c r="BG100" s="20">
        <f t="shared" si="61"/>
        <v>447.80883549913915</v>
      </c>
      <c r="BH100" s="59">
        <f t="shared" si="62"/>
        <v>741.14216883247241</v>
      </c>
      <c r="BI100" s="59">
        <f ca="1">AVERAGE(OFFSET($BH$3,0,0,'Données projet'!$E$11+1,1))-AVERAGE(OFFSET($H$3,0,0,'Données projet'!$E$11+1,1))</f>
        <v>217.20784862627357</v>
      </c>
      <c r="BJ100" s="59">
        <f t="shared" si="92"/>
        <v>147.24433901219732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1">
        <f t="shared" si="86"/>
        <v>20.133069267859618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67">
        <f t="shared" si="56"/>
        <v>453.54344897485515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5.2583333333333373</v>
      </c>
      <c r="N101" s="13">
        <f>IF('Données projet'!$A$36&gt;35,N100+M101-V100,IF(A101&lt;'Données projet'!$A$36,$K$205^A101,IF(A101='Données projet'!$A$36,'Données projet'!$B$36,N100+M101-V100)))</f>
        <v>208.47756410256383</v>
      </c>
      <c r="O101" s="13">
        <f>N101*VLOOKUP('Données projet'!$B$9,Paramètres!$A$1:$I$89,3,0)*VLOOKUP('Données projet'!$B$9,Paramètres!$A$1:$I$89,5,0)</f>
        <v>188.63049999999973</v>
      </c>
      <c r="P101" s="13">
        <f t="shared" si="87"/>
        <v>47.237048488890842</v>
      </c>
      <c r="Q101" s="20">
        <f t="shared" si="107"/>
        <v>410.80264695148441</v>
      </c>
      <c r="R101" s="59">
        <f t="shared" si="55"/>
        <v>704.13598028481772</v>
      </c>
      <c r="S101" s="59">
        <f ca="1">AVERAGE(OFFSET($R$3,0,0,'Données projet'!$E$9+1,1))-AVERAGE(OFFSET($H$3,0,0,'Données projet'!$E$9+1,1))</f>
        <v>180.68512008344129</v>
      </c>
      <c r="T101" s="59">
        <f t="shared" si="88"/>
        <v>125.86231758828899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8.4</v>
      </c>
      <c r="AI101" s="13">
        <f>IF('Données projet'!$A$62&gt;35,AI100+AH101-AQ100,IF(A101&lt;'Données projet'!$A$62,$AF$205^A101,IF(A101='Données projet'!$A$62,'Données projet'!$B$62,AI100+AH101-AQ100)))</f>
        <v>361.2000000000001</v>
      </c>
      <c r="AJ101" s="13">
        <f>AI101*VLOOKUP('Données projet'!$B$10,Paramètres!$A$1:$I$89,3,0)*VLOOKUP('Données projet'!$B$10,Paramètres!$A$1:$I$89,5,0)</f>
        <v>309.90960000000013</v>
      </c>
      <c r="AK101" s="13">
        <f t="shared" si="89"/>
        <v>73.249950733312943</v>
      </c>
      <c r="AL101" s="20">
        <f t="shared" si="58"/>
        <v>667.33621752718682</v>
      </c>
      <c r="AM101" s="59">
        <f t="shared" si="59"/>
        <v>960.66955086052008</v>
      </c>
      <c r="AN101" s="59">
        <f ca="1">AVERAGE(OFFSET($AM$3,0,0,'Données projet'!$E$10+1,1))-AVERAGE(OFFSET($H$3,0,0,'Données projet'!$E$10+1,1))</f>
        <v>335.81667389179631</v>
      </c>
      <c r="AO101" s="59">
        <f t="shared" si="90"/>
        <v>137.96364450570718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0.89355963663667903</v>
      </c>
      <c r="AW101" s="21">
        <f>EXP(-LN(2)/2)*AW100+(1-EXP(-LN(2)/2))/(LN(2)/2)*AQ101*AT101*VLOOKUP('Données projet'!$B$10,Paramètres!$A$1:$I$89,3,0)*0.475*44/12</f>
        <v>5.1981218481922495E-10</v>
      </c>
      <c r="AX101" s="21">
        <f t="shared" si="60"/>
        <v>0.89355963715649123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5.3</v>
      </c>
      <c r="BD101" s="12">
        <f>IF('Données projet'!$A$88&gt;35,BD100+BC101-BL100,IF(A101&lt;'Données projet'!$A$88,$BA$205^A101,IF(A101='Données projet'!$A$88,'Données projet'!$B$88,BD100+BC101-BL100)))</f>
        <v>208.50000000000003</v>
      </c>
      <c r="BE101" s="13">
        <f>BD101*VLOOKUP('Données projet'!$B$11,Paramètres!$A$1:$I$89,3,0)*VLOOKUP('Données projet'!$B$11,Paramètres!$A$1:$I$89,5,0)</f>
        <v>211.41900000000007</v>
      </c>
      <c r="BF101" s="13">
        <f t="shared" si="91"/>
        <v>52.245551258706243</v>
      </c>
      <c r="BG101" s="20">
        <f t="shared" si="61"/>
        <v>459.21576010891346</v>
      </c>
      <c r="BH101" s="59">
        <f t="shared" si="62"/>
        <v>752.54909344224677</v>
      </c>
      <c r="BI101" s="59">
        <f ca="1">AVERAGE(OFFSET($BH$3,0,0,'Données projet'!$E$11+1,1))-AVERAGE(OFFSET($H$3,0,0,'Données projet'!$E$11+1,1))</f>
        <v>217.20784862627357</v>
      </c>
      <c r="BJ101" s="59">
        <f t="shared" si="92"/>
        <v>147.24433901219732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1">
        <f t="shared" si="86"/>
        <v>20.314488197199012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67">
        <f t="shared" si="56"/>
        <v>455.13641027678796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5.2583333333333373</v>
      </c>
      <c r="N102" s="13">
        <f>IF('Données projet'!$A$36&gt;35,N101+M102-V101,IF(A102&lt;'Données projet'!$A$36,$K$205^A102,IF(A102='Données projet'!$A$36,'Données projet'!$B$36,N101+M102-V101)))</f>
        <v>213.73589743589716</v>
      </c>
      <c r="O102" s="13">
        <f>N102*VLOOKUP('Données projet'!$B$9,Paramètres!$A$1:$I$89,3,0)*VLOOKUP('Données projet'!$B$9,Paramètres!$A$1:$I$89,5,0)</f>
        <v>193.38823999999974</v>
      </c>
      <c r="P102" s="13">
        <f t="shared" si="87"/>
        <v>48.288272258589146</v>
      </c>
      <c r="Q102" s="20">
        <f t="shared" si="107"/>
        <v>420.91992551704237</v>
      </c>
      <c r="R102" s="59">
        <f t="shared" si="55"/>
        <v>714.25325885037569</v>
      </c>
      <c r="S102" s="59">
        <f ca="1">AVERAGE(OFFSET($R$3,0,0,'Données projet'!$E$9+1,1))-AVERAGE(OFFSET($H$3,0,0,'Données projet'!$E$9+1,1))</f>
        <v>180.68512008344129</v>
      </c>
      <c r="T102" s="59">
        <f t="shared" si="88"/>
        <v>125.86231758828899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8.4</v>
      </c>
      <c r="AI102" s="13">
        <f>IF('Données projet'!$A$62&gt;35,AI101+AH102-AQ101,IF(A102&lt;'Données projet'!$A$62,$AF$205^A102,IF(A102='Données projet'!$A$62,'Données projet'!$B$62,AI101+AH102-AQ101)))</f>
        <v>369.60000000000008</v>
      </c>
      <c r="AJ102" s="13">
        <f>AI102*VLOOKUP('Données projet'!$B$10,Paramètres!$A$1:$I$89,3,0)*VLOOKUP('Données projet'!$B$10,Paramètres!$A$1:$I$89,5,0)</f>
        <v>317.11680000000013</v>
      </c>
      <c r="AK102" s="13">
        <f t="shared" si="89"/>
        <v>74.753132191289879</v>
      </c>
      <c r="AL102" s="20">
        <f t="shared" si="58"/>
        <v>682.50679856649674</v>
      </c>
      <c r="AM102" s="59">
        <f t="shared" si="59"/>
        <v>975.84013189983011</v>
      </c>
      <c r="AN102" s="59">
        <f ca="1">AVERAGE(OFFSET($AM$3,0,0,'Données projet'!$E$10+1,1))-AVERAGE(OFFSET($H$3,0,0,'Données projet'!$E$10+1,1))</f>
        <v>335.81667389179631</v>
      </c>
      <c r="AO102" s="59">
        <f t="shared" si="90"/>
        <v>137.96364450570718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0.86912520138258997</v>
      </c>
      <c r="AW102" s="21">
        <f>EXP(-LN(2)/2)*AW101+(1-EXP(-LN(2)/2))/(LN(2)/2)*AQ102*AT102*VLOOKUP('Données projet'!$B$10,Paramètres!$A$1:$I$89,3,0)*0.475*44/12</f>
        <v>3.675627208290689E-10</v>
      </c>
      <c r="AX102" s="21">
        <f t="shared" si="60"/>
        <v>0.86912520175015273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5.3</v>
      </c>
      <c r="BD102" s="12">
        <f>IF('Données projet'!$A$88&gt;35,BD101+BC102-BL101,IF(A102&lt;'Données projet'!$A$88,$BA$205^A102,IF(A102='Données projet'!$A$88,'Données projet'!$B$88,BD101+BC102-BL101)))</f>
        <v>213.80000000000004</v>
      </c>
      <c r="BE102" s="13">
        <f>BD102*VLOOKUP('Données projet'!$B$11,Paramètres!$A$1:$I$89,3,0)*VLOOKUP('Données projet'!$B$11,Paramètres!$A$1:$I$89,5,0)</f>
        <v>216.79320000000004</v>
      </c>
      <c r="BF102" s="13">
        <f t="shared" si="91"/>
        <v>53.417309071627884</v>
      </c>
      <c r="BG102" s="20">
        <f t="shared" si="61"/>
        <v>470.61663663308531</v>
      </c>
      <c r="BH102" s="59">
        <f t="shared" si="62"/>
        <v>763.94996996641862</v>
      </c>
      <c r="BI102" s="59">
        <f ca="1">AVERAGE(OFFSET($BH$3,0,0,'Données projet'!$E$11+1,1))-AVERAGE(OFFSET($H$3,0,0,'Données projet'!$E$11+1,1))</f>
        <v>217.20784862627357</v>
      </c>
      <c r="BJ102" s="59">
        <f t="shared" si="92"/>
        <v>147.24433901219732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1">
        <f t="shared" si="86"/>
        <v>20.495693943372022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67">
        <f t="shared" si="56"/>
        <v>456.72900028470588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5.2583333333333373</v>
      </c>
      <c r="N103" s="13">
        <f>IF('Données projet'!$A$36&gt;35,N102+M103-V102,IF(A103&lt;'Données projet'!$A$36,$K$205^A103,IF(A103='Données projet'!$A$36,'Données projet'!$B$36,N102+M103-V102)))</f>
        <v>218.99423076923048</v>
      </c>
      <c r="O103" s="13">
        <f>N103*VLOOKUP('Données projet'!$B$9,Paramètres!$A$1:$I$89,3,0)*VLOOKUP('Données projet'!$B$9,Paramètres!$A$1:$I$89,5,0)</f>
        <v>198.14597999999972</v>
      </c>
      <c r="P103" s="13">
        <f t="shared" si="87"/>
        <v>49.336489651503598</v>
      </c>
      <c r="Q103" s="20">
        <f t="shared" si="107"/>
        <v>431.03196797636821</v>
      </c>
      <c r="R103" s="59">
        <f t="shared" si="55"/>
        <v>724.36530130970152</v>
      </c>
      <c r="S103" s="59">
        <f ca="1">AVERAGE(OFFSET($R$3,0,0,'Données projet'!$E$9+1,1))-AVERAGE(OFFSET($H$3,0,0,'Données projet'!$E$9+1,1))</f>
        <v>180.68512008344129</v>
      </c>
      <c r="T103" s="59">
        <f t="shared" si="88"/>
        <v>125.86231758828899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378</v>
      </c>
      <c r="AG103" s="12">
        <f>VLOOKUP(A103,'Données projet'!$A$61:$I$81,9,0)</f>
        <v>8.4</v>
      </c>
      <c r="AH103" s="12">
        <f t="array" ref="AH103">INDEX(AG:AG,MIN(IF(ISNUMBER(AG103:AG299),ROW(AG103:AG299),"")))</f>
        <v>8.4</v>
      </c>
      <c r="AI103" s="13">
        <f>IF('Données projet'!$A$62&gt;35,AI102+AH103-AQ102,IF(A103&lt;'Données projet'!$A$62,$AF$205^A103,IF(A103='Données projet'!$A$62,'Données projet'!$B$62,AI102+AH103-AQ102)))</f>
        <v>378.00000000000006</v>
      </c>
      <c r="AJ103" s="13">
        <f>AI103*VLOOKUP('Données projet'!$B$10,Paramètres!$A$1:$I$89,3,0)*VLOOKUP('Données projet'!$B$10,Paramètres!$A$1:$I$89,5,0)</f>
        <v>324.32400000000007</v>
      </c>
      <c r="AK103" s="13">
        <f t="shared" si="89"/>
        <v>76.25234194498276</v>
      </c>
      <c r="AL103" s="20">
        <f t="shared" si="58"/>
        <v>697.67046222084502</v>
      </c>
      <c r="AM103" s="59">
        <f t="shared" si="59"/>
        <v>991.0037955541784</v>
      </c>
      <c r="AN103" s="59">
        <f ca="1">AVERAGE(OFFSET($AM$3,0,0,'Données projet'!$E$10+1,1))-AVERAGE(OFFSET($H$3,0,0,'Données projet'!$E$10+1,1))</f>
        <v>335.81667389179631</v>
      </c>
      <c r="AO103" s="59">
        <f t="shared" si="90"/>
        <v>137.96364450570718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63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0.84535892704547511</v>
      </c>
      <c r="AW103" s="21">
        <f>EXP(-LN(2)/2)*AW102+(1-EXP(-LN(2)/2))/(LN(2)/2)*AQ103*AT103*VLOOKUP('Données projet'!$B$10,Paramètres!$A$1:$I$89,3,0)*0.475*44/12</f>
        <v>2.5990609240961248E-10</v>
      </c>
      <c r="AX103" s="21">
        <f t="shared" si="60"/>
        <v>0.8453589273053812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5.3</v>
      </c>
      <c r="BD103" s="12">
        <f>IF('Données projet'!$A$88&gt;35,BD102+BC103-BL102,IF(A103&lt;'Données projet'!$A$88,$BA$205^A103,IF(A103='Données projet'!$A$88,'Données projet'!$B$88,BD102+BC103-BL102)))</f>
        <v>219.10000000000005</v>
      </c>
      <c r="BE103" s="13">
        <f>BD103*VLOOKUP('Données projet'!$B$11,Paramètres!$A$1:$I$89,3,0)*VLOOKUP('Données projet'!$B$11,Paramètres!$A$1:$I$89,5,0)</f>
        <v>222.16740000000007</v>
      </c>
      <c r="BF103" s="13">
        <f t="shared" si="91"/>
        <v>54.585690284751919</v>
      </c>
      <c r="BG103" s="20">
        <f t="shared" si="61"/>
        <v>482.01163224594302</v>
      </c>
      <c r="BH103" s="59">
        <f t="shared" si="62"/>
        <v>775.34496557927628</v>
      </c>
      <c r="BI103" s="59">
        <f ca="1">AVERAGE(OFFSET($BH$3,0,0,'Données projet'!$E$11+1,1))-AVERAGE(OFFSET($H$3,0,0,'Données projet'!$E$11+1,1))</f>
        <v>217.20784862627357</v>
      </c>
      <c r="BJ103" s="59">
        <f t="shared" si="92"/>
        <v>147.24433901219732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1">
        <f t="shared" si="86"/>
        <v>20.676688885050506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67">
        <f t="shared" si="56"/>
        <v>458.32122314146261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5.2583333333333373</v>
      </c>
      <c r="N104" s="13">
        <f>IF('Données projet'!$A$36&gt;35,N103+M104-V103,IF(A104&lt;'Données projet'!$A$36,$K$205^A104,IF(A104='Données projet'!$A$36,'Données projet'!$B$36,N103+M104-V103)))</f>
        <v>224.25256410256381</v>
      </c>
      <c r="O104" s="13">
        <f>N104*VLOOKUP('Données projet'!$B$9,Paramètres!$A$1:$I$89,3,0)*VLOOKUP('Données projet'!$B$9,Paramètres!$A$1:$I$89,5,0)</f>
        <v>202.90371999999974</v>
      </c>
      <c r="P104" s="13">
        <f t="shared" si="87"/>
        <v>50.381781160298395</v>
      </c>
      <c r="Q104" s="20">
        <f t="shared" si="107"/>
        <v>441.13891452085255</v>
      </c>
      <c r="R104" s="59">
        <f t="shared" si="55"/>
        <v>734.47224785418587</v>
      </c>
      <c r="S104" s="59">
        <f ca="1">AVERAGE(OFFSET($R$3,0,0,'Données projet'!$E$9+1,1))-AVERAGE(OFFSET($H$3,0,0,'Données projet'!$E$9+1,1))</f>
        <v>180.68512008344129</v>
      </c>
      <c r="T104" s="59">
        <f t="shared" si="88"/>
        <v>125.86231758828899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7.6</v>
      </c>
      <c r="AI104" s="13">
        <f>IF('Données projet'!$A$62&gt;35,AI103+AH104-AQ103,IF(A104&lt;'Données projet'!$A$62,$AF$205^A104,IF(A104='Données projet'!$A$62,'Données projet'!$B$62,AI103+AH104-AQ103)))</f>
        <v>322.60000000000008</v>
      </c>
      <c r="AJ104" s="13">
        <f>AI104*VLOOKUP('Données projet'!$B$10,Paramètres!$A$1:$I$89,3,0)*VLOOKUP('Données projet'!$B$10,Paramètres!$A$1:$I$89,5,0)</f>
        <v>276.7908000000001</v>
      </c>
      <c r="AK104" s="13">
        <f t="shared" si="89"/>
        <v>66.288358331926389</v>
      </c>
      <c r="AL104" s="20">
        <f t="shared" si="58"/>
        <v>597.52953409477198</v>
      </c>
      <c r="AM104" s="59">
        <f t="shared" si="59"/>
        <v>890.86286742810535</v>
      </c>
      <c r="AN104" s="59">
        <f ca="1">AVERAGE(OFFSET($AM$3,0,0,'Données projet'!$E$10+1,1))-AVERAGE(OFFSET($H$3,0,0,'Données projet'!$E$10+1,1))</f>
        <v>335.81667389179631</v>
      </c>
      <c r="AO104" s="59">
        <f t="shared" si="90"/>
        <v>137.96364450570718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0.8222425427299227</v>
      </c>
      <c r="AW104" s="21">
        <f>EXP(-LN(2)/2)*AW103+(1-EXP(-LN(2)/2))/(LN(2)/2)*AQ104*AT104*VLOOKUP('Données projet'!$B$10,Paramètres!$A$1:$I$89,3,0)*0.475*44/12</f>
        <v>1.8378136041453445E-10</v>
      </c>
      <c r="AX104" s="21">
        <f t="shared" si="60"/>
        <v>0.82224254291370402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5.3</v>
      </c>
      <c r="BD104" s="12">
        <f>IF('Données projet'!$A$88&gt;35,BD103+BC104-BL103,IF(A104&lt;'Données projet'!$A$88,$BA$205^A104,IF(A104='Données projet'!$A$88,'Données projet'!$B$88,BD103+BC104-BL103)))</f>
        <v>224.40000000000006</v>
      </c>
      <c r="BE104" s="13">
        <f>BD104*VLOOKUP('Données projet'!$B$11,Paramètres!$A$1:$I$89,3,0)*VLOOKUP('Données projet'!$B$11,Paramètres!$A$1:$I$89,5,0)</f>
        <v>227.54160000000007</v>
      </c>
      <c r="BF104" s="13">
        <f t="shared" si="91"/>
        <v>55.750785974779468</v>
      </c>
      <c r="BG104" s="20">
        <f t="shared" si="61"/>
        <v>493.40090557274101</v>
      </c>
      <c r="BH104" s="59">
        <f t="shared" si="62"/>
        <v>786.73423890607432</v>
      </c>
      <c r="BI104" s="59">
        <f ca="1">AVERAGE(OFFSET($BH$3,0,0,'Données projet'!$E$11+1,1))-AVERAGE(OFFSET($H$3,0,0,'Données projet'!$E$11+1,1))</f>
        <v>217.20784862627357</v>
      </c>
      <c r="BJ104" s="59">
        <f t="shared" si="92"/>
        <v>147.24433901219732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1">
        <f t="shared" si="86"/>
        <v>20.857475351088922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67">
        <f t="shared" si="56"/>
        <v>459.91308290314612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5.2583333333333373</v>
      </c>
      <c r="N105" s="13">
        <f>IF('Données projet'!$A$36&gt;35,N104+M105-V104,IF(A105&lt;'Données projet'!$A$36,$K$205^A105,IF(A105='Données projet'!$A$36,'Données projet'!$B$36,N104+M105-V104)))</f>
        <v>229.51089743589714</v>
      </c>
      <c r="O105" s="13">
        <f>N105*VLOOKUP('Données projet'!$B$9,Paramètres!$A$1:$I$89,3,0)*VLOOKUP('Données projet'!$B$9,Paramètres!$A$1:$I$89,5,0)</f>
        <v>207.66145999999972</v>
      </c>
      <c r="P105" s="13">
        <f t="shared" si="87"/>
        <v>51.424223287461992</v>
      </c>
      <c r="Q105" s="20">
        <f t="shared" si="107"/>
        <v>451.2408983923292</v>
      </c>
      <c r="R105" s="59">
        <f t="shared" si="55"/>
        <v>744.57423172566246</v>
      </c>
      <c r="S105" s="59">
        <f ca="1">AVERAGE(OFFSET($R$3,0,0,'Données projet'!$E$9+1,1))-AVERAGE(OFFSET($H$3,0,0,'Données projet'!$E$9+1,1))</f>
        <v>180.68512008344129</v>
      </c>
      <c r="T105" s="59">
        <f t="shared" si="88"/>
        <v>125.86231758828899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7.6</v>
      </c>
      <c r="AI105" s="13">
        <f>IF('Données projet'!$A$62&gt;35,AI104+AH105-AQ104,IF(A105&lt;'Données projet'!$A$62,$AF$205^A105,IF(A105='Données projet'!$A$62,'Données projet'!$B$62,AI104+AH105-AQ104)))</f>
        <v>330.2000000000001</v>
      </c>
      <c r="AJ105" s="13">
        <f>AI105*VLOOKUP('Données projet'!$B$10,Paramètres!$A$1:$I$89,3,0)*VLOOKUP('Données projet'!$B$10,Paramètres!$A$1:$I$89,5,0)</f>
        <v>283.31160000000011</v>
      </c>
      <c r="AK105" s="13">
        <f t="shared" si="89"/>
        <v>67.666365540271329</v>
      </c>
      <c r="AL105" s="20">
        <f t="shared" si="58"/>
        <v>611.28662331597275</v>
      </c>
      <c r="AM105" s="59">
        <f t="shared" si="59"/>
        <v>904.619956649306</v>
      </c>
      <c r="AN105" s="59">
        <f ca="1">AVERAGE(OFFSET($AM$3,0,0,'Données projet'!$E$10+1,1))-AVERAGE(OFFSET($H$3,0,0,'Données projet'!$E$10+1,1))</f>
        <v>335.81667389179631</v>
      </c>
      <c r="AO105" s="59">
        <f t="shared" si="90"/>
        <v>137.96364450570718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0.79975827715911685</v>
      </c>
      <c r="AW105" s="21">
        <f>EXP(-LN(2)/2)*AW104+(1-EXP(-LN(2)/2))/(LN(2)/2)*AQ105*AT105*VLOOKUP('Données projet'!$B$10,Paramètres!$A$1:$I$89,3,0)*0.475*44/12</f>
        <v>1.2995304620480624E-10</v>
      </c>
      <c r="AX105" s="21">
        <f t="shared" si="60"/>
        <v>0.7997582772890699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5.3</v>
      </c>
      <c r="BD105" s="12">
        <f>IF('Données projet'!$A$88&gt;35,BD104+BC105-BL104,IF(A105&lt;'Données projet'!$A$88,$BA$205^A105,IF(A105='Données projet'!$A$88,'Données projet'!$B$88,BD104+BC105-BL104)))</f>
        <v>229.70000000000007</v>
      </c>
      <c r="BE105" s="13">
        <f>BD105*VLOOKUP('Données projet'!$B$11,Paramètres!$A$1:$I$89,3,0)*VLOOKUP('Données projet'!$B$11,Paramètres!$A$1:$I$89,5,0)</f>
        <v>232.9158000000001</v>
      </c>
      <c r="BF105" s="13">
        <f t="shared" si="91"/>
        <v>56.912682670805999</v>
      </c>
      <c r="BG105" s="20">
        <f t="shared" si="61"/>
        <v>504.7846073183207</v>
      </c>
      <c r="BH105" s="59">
        <f t="shared" si="62"/>
        <v>798.11794065165395</v>
      </c>
      <c r="BI105" s="59">
        <f ca="1">AVERAGE(OFFSET($BH$3,0,0,'Données projet'!$E$11+1,1))-AVERAGE(OFFSET($H$3,0,0,'Données projet'!$E$11+1,1))</f>
        <v>217.20784862627357</v>
      </c>
      <c r="BJ105" s="59">
        <f t="shared" si="92"/>
        <v>147.24433901219732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1">
        <f t="shared" si="86"/>
        <v>21.038055622045484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67">
        <f t="shared" si="56"/>
        <v>461.50458354172883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234.76923076923077</v>
      </c>
      <c r="L106" s="12">
        <f>VLOOKUP(A106,'Données projet'!$A$35:$I$55,9,0)</f>
        <v>5.2583333333333373</v>
      </c>
      <c r="M106" s="12">
        <f t="array" ref="M106">INDEX(L:L,MIN(IF(ISNUMBER(L106:L302),ROW(L106:L302),"")))</f>
        <v>5.2583333333333373</v>
      </c>
      <c r="N106" s="13">
        <f>IF('Données projet'!$A$36&gt;35,N105+M106-V105,IF(A106&lt;'Données projet'!$A$36,$K$205^A106,IF(A106='Données projet'!$A$36,'Données projet'!$B$36,N105+M106-V105)))</f>
        <v>234.76923076923046</v>
      </c>
      <c r="O106" s="13">
        <f>N106*VLOOKUP('Données projet'!$B$9,Paramètres!$A$1:$I$89,3,0)*VLOOKUP('Données projet'!$B$9,Paramètres!$A$1:$I$89,5,0)</f>
        <v>212.41919999999973</v>
      </c>
      <c r="P106" s="13">
        <f t="shared" si="87"/>
        <v>52.463888829926184</v>
      </c>
      <c r="Q106" s="20">
        <f t="shared" si="107"/>
        <v>461.33804637878757</v>
      </c>
      <c r="R106" s="59">
        <f t="shared" si="55"/>
        <v>754.67137971212082</v>
      </c>
      <c r="S106" s="59">
        <f ca="1">AVERAGE(OFFSET($R$3,0,0,'Données projet'!$E$9+1,1))-AVERAGE(OFFSET($H$3,0,0,'Données projet'!$E$9+1,1))</f>
        <v>180.68512008344129</v>
      </c>
      <c r="T106" s="59">
        <f t="shared" si="88"/>
        <v>125.86231758828899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39.512820512820511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7.6</v>
      </c>
      <c r="AI106" s="13">
        <f>IF('Données projet'!$A$62&gt;35,AI105+AH106-AQ105,IF(A106&lt;'Données projet'!$A$62,$AF$205^A106,IF(A106='Données projet'!$A$62,'Données projet'!$B$62,AI105+AH106-AQ105)))</f>
        <v>337.80000000000013</v>
      </c>
      <c r="AJ106" s="13">
        <f>AI106*VLOOKUP('Données projet'!$B$10,Paramètres!$A$1:$I$89,3,0)*VLOOKUP('Données projet'!$B$10,Paramètres!$A$1:$I$89,5,0)</f>
        <v>289.83240000000012</v>
      </c>
      <c r="AK106" s="13">
        <f t="shared" si="89"/>
        <v>69.040685521472909</v>
      </c>
      <c r="AL106" s="20">
        <f t="shared" si="58"/>
        <v>625.03729061656554</v>
      </c>
      <c r="AM106" s="59">
        <f t="shared" si="59"/>
        <v>918.3706239498988</v>
      </c>
      <c r="AN106" s="59">
        <f ca="1">AVERAGE(OFFSET($AM$3,0,0,'Données projet'!$E$10+1,1))-AVERAGE(OFFSET($H$3,0,0,'Données projet'!$E$10+1,1))</f>
        <v>335.81667389179631</v>
      </c>
      <c r="AO106" s="59">
        <f t="shared" si="90"/>
        <v>137.96364450570718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0.77788884501274091</v>
      </c>
      <c r="AW106" s="21">
        <f>EXP(-LN(2)/2)*AW105+(1-EXP(-LN(2)/2))/(LN(2)/2)*AQ106*AT106*VLOOKUP('Données projet'!$B$10,Paramètres!$A$1:$I$89,3,0)*0.475*44/12</f>
        <v>9.1890680207267225E-11</v>
      </c>
      <c r="AX106" s="21">
        <f t="shared" si="60"/>
        <v>0.77788884510463163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235</v>
      </c>
      <c r="BB106" s="12">
        <f>VLOOKUP(A106,'Données projet'!$A$87:$I$107,9,0)</f>
        <v>5.3</v>
      </c>
      <c r="BC106" s="12">
        <f t="array" ref="BC106">INDEX(BB:BB,MIN(IF(ISNUMBER(BB106:BB302),ROW(BB106:BB302),"")))</f>
        <v>5.3</v>
      </c>
      <c r="BD106" s="12">
        <f>IF('Données projet'!$A$88&gt;35,BD105+BC106-BL105,IF(A106&lt;'Données projet'!$A$88,$BA$205^A106,IF(A106='Données projet'!$A$88,'Données projet'!$B$88,BD105+BC106-BL105)))</f>
        <v>235.00000000000009</v>
      </c>
      <c r="BE106" s="13">
        <f>BD106*VLOOKUP('Données projet'!$B$11,Paramètres!$A$1:$I$89,3,0)*VLOOKUP('Données projet'!$B$11,Paramètres!$A$1:$I$89,5,0)</f>
        <v>238.29000000000011</v>
      </c>
      <c r="BF106" s="13">
        <f t="shared" si="91"/>
        <v>58.071462681001563</v>
      </c>
      <c r="BG106" s="20">
        <f t="shared" si="61"/>
        <v>516.16288083607787</v>
      </c>
      <c r="BH106" s="59">
        <f t="shared" si="62"/>
        <v>809.49621416941113</v>
      </c>
      <c r="BI106" s="59">
        <f ca="1">AVERAGE(OFFSET($BH$3,0,0,'Données projet'!$E$11+1,1))-AVERAGE(OFFSET($H$3,0,0,'Données projet'!$E$11+1,1))</f>
        <v>217.20784862627357</v>
      </c>
      <c r="BJ106" s="59">
        <f t="shared" si="92"/>
        <v>147.24433901219732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40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1">
        <f t="shared" si="86"/>
        <v>21.21843193164279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67">
        <f t="shared" si="56"/>
        <v>463.09572894761084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5.0961538461538449</v>
      </c>
      <c r="N107" s="13">
        <f>IF('Données projet'!$A$36&gt;35,N106+M107-V106,IF(A107&lt;'Données projet'!$A$36,$K$205^A107,IF(A107='Données projet'!$A$36,'Données projet'!$B$36,N106+M107-V106)))</f>
        <v>200.3525641025638</v>
      </c>
      <c r="O107" s="13">
        <f>N107*VLOOKUP('Données projet'!$B$9,Paramètres!$A$1:$I$89,3,0)*VLOOKUP('Données projet'!$B$9,Paramètres!$A$1:$I$89,5,0)</f>
        <v>181.27899999999974</v>
      </c>
      <c r="P107" s="13">
        <f t="shared" si="87"/>
        <v>45.606622736998297</v>
      </c>
      <c r="Q107" s="20">
        <f t="shared" si="107"/>
        <v>395.15912626693824</v>
      </c>
      <c r="R107" s="59">
        <f t="shared" si="55"/>
        <v>688.49245960027156</v>
      </c>
      <c r="S107" s="59">
        <f ca="1">AVERAGE(OFFSET($R$3,0,0,'Données projet'!$E$9+1,1))-AVERAGE(OFFSET($H$3,0,0,'Données projet'!$E$9+1,1))</f>
        <v>180.68512008344129</v>
      </c>
      <c r="T107" s="59">
        <f t="shared" si="88"/>
        <v>125.86231758828899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7.6</v>
      </c>
      <c r="AI107" s="13">
        <f>IF('Données projet'!$A$62&gt;35,AI106+AH107-AQ106,IF(A107&lt;'Données projet'!$A$62,$AF$205^A107,IF(A107='Données projet'!$A$62,'Données projet'!$B$62,AI106+AH107-AQ106)))</f>
        <v>345.40000000000015</v>
      </c>
      <c r="AJ107" s="13">
        <f>AI107*VLOOKUP('Données projet'!$B$10,Paramètres!$A$1:$I$89,3,0)*VLOOKUP('Données projet'!$B$10,Paramètres!$A$1:$I$89,5,0)</f>
        <v>296.35320000000013</v>
      </c>
      <c r="AK107" s="13">
        <f t="shared" si="89"/>
        <v>70.411410783502902</v>
      </c>
      <c r="AL107" s="20">
        <f t="shared" si="58"/>
        <v>638.78169711460112</v>
      </c>
      <c r="AM107" s="59">
        <f t="shared" si="59"/>
        <v>932.11503044793449</v>
      </c>
      <c r="AN107" s="59">
        <f ca="1">AVERAGE(OFFSET($AM$3,0,0,'Données projet'!$E$10+1,1))-AVERAGE(OFFSET($H$3,0,0,'Données projet'!$E$10+1,1))</f>
        <v>335.81667389179631</v>
      </c>
      <c r="AO107" s="59">
        <f t="shared" si="90"/>
        <v>137.96364450570718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0.756617433638471</v>
      </c>
      <c r="AW107" s="21">
        <f>EXP(-LN(2)/2)*AW106+(1-EXP(-LN(2)/2))/(LN(2)/2)*AQ107*AT107*VLOOKUP('Données projet'!$B$10,Paramètres!$A$1:$I$89,3,0)*0.475*44/12</f>
        <v>6.4976523102403119E-11</v>
      </c>
      <c r="AX107" s="21">
        <f t="shared" si="60"/>
        <v>0.75661743370344747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5.0999999999999996</v>
      </c>
      <c r="BD107" s="12">
        <f>IF('Données projet'!$A$88&gt;35,BD106+BC107-BL106,IF(A107&lt;'Données projet'!$A$88,$BA$205^A107,IF(A107='Données projet'!$A$88,'Données projet'!$B$88,BD106+BC107-BL106)))</f>
        <v>200.10000000000008</v>
      </c>
      <c r="BE107" s="13">
        <f>BD107*VLOOKUP('Données projet'!$B$11,Paramètres!$A$1:$I$89,3,0)*VLOOKUP('Données projet'!$B$11,Paramètres!$A$1:$I$89,5,0)</f>
        <v>202.90140000000008</v>
      </c>
      <c r="BF107" s="13">
        <f t="shared" si="91"/>
        <v>50.381272148922108</v>
      </c>
      <c r="BG107" s="20">
        <f t="shared" si="61"/>
        <v>441.13398732603946</v>
      </c>
      <c r="BH107" s="59">
        <f t="shared" si="62"/>
        <v>734.46732065937272</v>
      </c>
      <c r="BI107" s="59">
        <f ca="1">AVERAGE(OFFSET($BH$3,0,0,'Données projet'!$E$11+1,1))-AVERAGE(OFFSET($H$3,0,0,'Données projet'!$E$11+1,1))</f>
        <v>217.20784862627357</v>
      </c>
      <c r="BJ107" s="59">
        <f t="shared" si="92"/>
        <v>147.24433901219732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1">
        <f t="shared" si="86"/>
        <v>21.398606468170534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67">
        <f t="shared" si="56"/>
        <v>464.68652293206327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5.0961538461538449</v>
      </c>
      <c r="N108" s="13">
        <f>IF('Données projet'!$A$36&gt;35,N107+M108-V107,IF(A108&lt;'Données projet'!$A$36,$K$205^A108,IF(A108='Données projet'!$A$36,'Données projet'!$B$36,N107+M108-V107)))</f>
        <v>205.44871794871764</v>
      </c>
      <c r="O108" s="13">
        <f>N108*VLOOKUP('Données projet'!$B$9,Paramètres!$A$1:$I$89,3,0)*VLOOKUP('Données projet'!$B$9,Paramètres!$A$1:$I$89,5,0)</f>
        <v>185.8899999999997</v>
      </c>
      <c r="P108" s="13">
        <f t="shared" si="87"/>
        <v>46.630136922287527</v>
      </c>
      <c r="Q108" s="20">
        <f t="shared" si="107"/>
        <v>404.97257180631692</v>
      </c>
      <c r="R108" s="59">
        <f t="shared" si="55"/>
        <v>698.30590513965024</v>
      </c>
      <c r="S108" s="59">
        <f ca="1">AVERAGE(OFFSET($R$3,0,0,'Données projet'!$E$9+1,1))-AVERAGE(OFFSET($H$3,0,0,'Données projet'!$E$9+1,1))</f>
        <v>180.68512008344129</v>
      </c>
      <c r="T108" s="59">
        <f t="shared" si="88"/>
        <v>125.86231758828899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7.6</v>
      </c>
      <c r="AI108" s="13">
        <f>IF('Données projet'!$A$62&gt;35,AI107+AH108-AQ107,IF(A108&lt;'Données projet'!$A$62,$AF$205^A108,IF(A108='Données projet'!$A$62,'Données projet'!$B$62,AI107+AH108-AQ107)))</f>
        <v>353.00000000000017</v>
      </c>
      <c r="AJ108" s="13">
        <f>AI108*VLOOKUP('Données projet'!$B$10,Paramètres!$A$1:$I$89,3,0)*VLOOKUP('Données projet'!$B$10,Paramètres!$A$1:$I$89,5,0)</f>
        <v>302.87400000000019</v>
      </c>
      <c r="AK108" s="13">
        <f t="shared" si="89"/>
        <v>71.778629530876074</v>
      </c>
      <c r="AL108" s="20">
        <f t="shared" si="58"/>
        <v>652.51999643294278</v>
      </c>
      <c r="AM108" s="59">
        <f t="shared" si="59"/>
        <v>945.85332976627615</v>
      </c>
      <c r="AN108" s="59">
        <f ca="1">AVERAGE(OFFSET($AM$3,0,0,'Données projet'!$E$10+1,1))-AVERAGE(OFFSET($H$3,0,0,'Données projet'!$E$10+1,1))</f>
        <v>335.81667389179631</v>
      </c>
      <c r="AO108" s="59">
        <f t="shared" si="90"/>
        <v>137.96364450570718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0.73592769012684545</v>
      </c>
      <c r="AW108" s="21">
        <f>EXP(-LN(2)/2)*AW107+(1-EXP(-LN(2)/2))/(LN(2)/2)*AQ108*AT108*VLOOKUP('Données projet'!$B$10,Paramètres!$A$1:$I$89,3,0)*0.475*44/12</f>
        <v>4.5945340103633612E-11</v>
      </c>
      <c r="AX108" s="21">
        <f t="shared" si="60"/>
        <v>0.7359276901727908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5.0999999999999996</v>
      </c>
      <c r="BD108" s="12">
        <f>IF('Données projet'!$A$88&gt;35,BD107+BC108-BL107,IF(A108&lt;'Données projet'!$A$88,$BA$205^A108,IF(A108='Données projet'!$A$88,'Données projet'!$B$88,BD107+BC108-BL107)))</f>
        <v>205.20000000000007</v>
      </c>
      <c r="BE108" s="13">
        <f>BD108*VLOOKUP('Données projet'!$B$11,Paramètres!$A$1:$I$89,3,0)*VLOOKUP('Données projet'!$B$11,Paramètres!$A$1:$I$89,5,0)</f>
        <v>208.07280000000009</v>
      </c>
      <c r="BF108" s="13">
        <f t="shared" si="91"/>
        <v>51.514218302854367</v>
      </c>
      <c r="BG108" s="20">
        <f t="shared" si="61"/>
        <v>452.11405687747151</v>
      </c>
      <c r="BH108" s="59">
        <f t="shared" si="62"/>
        <v>745.44739021080477</v>
      </c>
      <c r="BI108" s="59">
        <f ca="1">AVERAGE(OFFSET($BH$3,0,0,'Données projet'!$E$11+1,1))-AVERAGE(OFFSET($H$3,0,0,'Données projet'!$E$11+1,1))</f>
        <v>217.20784862627357</v>
      </c>
      <c r="BJ108" s="59">
        <f t="shared" si="92"/>
        <v>147.24433901219732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1">
        <f t="shared" si="86"/>
        <v>21.578581375833281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67">
        <f t="shared" si="56"/>
        <v>466.27696922957591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5.0961538461538449</v>
      </c>
      <c r="N109" s="13">
        <f>IF('Données projet'!$A$36&gt;35,N108+M109-V108,IF(A109&lt;'Données projet'!$A$36,$K$205^A109,IF(A109='Données projet'!$A$36,'Données projet'!$B$36,N108+M109-V108)))</f>
        <v>210.54487179487148</v>
      </c>
      <c r="O109" s="13">
        <f>N109*VLOOKUP('Données projet'!$B$9,Paramètres!$A$1:$I$89,3,0)*VLOOKUP('Données projet'!$B$9,Paramètres!$A$1:$I$89,5,0)</f>
        <v>190.50099999999969</v>
      </c>
      <c r="P109" s="13">
        <f t="shared" si="87"/>
        <v>47.65069985627148</v>
      </c>
      <c r="Q109" s="20">
        <f t="shared" si="107"/>
        <v>414.78087724967219</v>
      </c>
      <c r="R109" s="59">
        <f t="shared" si="55"/>
        <v>708.1142105830055</v>
      </c>
      <c r="S109" s="59">
        <f ca="1">AVERAGE(OFFSET($R$3,0,0,'Données projet'!$E$9+1,1))-AVERAGE(OFFSET($H$3,0,0,'Données projet'!$E$9+1,1))</f>
        <v>180.68512008344129</v>
      </c>
      <c r="T109" s="59">
        <f t="shared" si="88"/>
        <v>125.86231758828899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7.6</v>
      </c>
      <c r="AI109" s="13">
        <f>IF('Données projet'!$A$62&gt;35,AI108+AH109-AQ108,IF(A109&lt;'Données projet'!$A$62,$AF$205^A109,IF(A109='Données projet'!$A$62,'Données projet'!$B$62,AI108+AH109-AQ108)))</f>
        <v>360.60000000000019</v>
      </c>
      <c r="AJ109" s="13">
        <f>AI109*VLOOKUP('Données projet'!$B$10,Paramètres!$A$1:$I$89,3,0)*VLOOKUP('Données projet'!$B$10,Paramètres!$A$1:$I$89,5,0)</f>
        <v>309.3948000000002</v>
      </c>
      <c r="AK109" s="13">
        <f t="shared" si="89"/>
        <v>73.142425953119783</v>
      </c>
      <c r="AL109" s="20">
        <f t="shared" si="58"/>
        <v>666.25233520168399</v>
      </c>
      <c r="AM109" s="59">
        <f t="shared" si="59"/>
        <v>959.58566853501725</v>
      </c>
      <c r="AN109" s="59">
        <f ca="1">AVERAGE(OFFSET($AM$3,0,0,'Données projet'!$E$10+1,1))-AVERAGE(OFFSET($H$3,0,0,'Données projet'!$E$10+1,1))</f>
        <v>335.81667389179631</v>
      </c>
      <c r="AO109" s="59">
        <f t="shared" si="90"/>
        <v>137.96364450570718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0.71580370873957166</v>
      </c>
      <c r="AW109" s="21">
        <f>EXP(-LN(2)/2)*AW108+(1-EXP(-LN(2)/2))/(LN(2)/2)*AQ109*AT109*VLOOKUP('Données projet'!$B$10,Paramètres!$A$1:$I$89,3,0)*0.475*44/12</f>
        <v>3.2488261551201559E-11</v>
      </c>
      <c r="AX109" s="21">
        <f t="shared" si="60"/>
        <v>0.7158037087720599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5.0999999999999996</v>
      </c>
      <c r="BD109" s="12">
        <f>IF('Données projet'!$A$88&gt;35,BD108+BC109-BL108,IF(A109&lt;'Données projet'!$A$88,$BA$205^A109,IF(A109='Données projet'!$A$88,'Données projet'!$B$88,BD108+BC109-BL108)))</f>
        <v>210.30000000000007</v>
      </c>
      <c r="BE109" s="13">
        <f>BD109*VLOOKUP('Données projet'!$B$11,Paramètres!$A$1:$I$89,3,0)*VLOOKUP('Données projet'!$B$11,Paramètres!$A$1:$I$89,5,0)</f>
        <v>213.24420000000009</v>
      </c>
      <c r="BF109" s="13">
        <f t="shared" si="91"/>
        <v>52.643891243747198</v>
      </c>
      <c r="BG109" s="20">
        <f t="shared" si="61"/>
        <v>463.08842558285983</v>
      </c>
      <c r="BH109" s="59">
        <f t="shared" si="62"/>
        <v>756.42175891619308</v>
      </c>
      <c r="BI109" s="59">
        <f ca="1">AVERAGE(OFFSET($BH$3,0,0,'Données projet'!$E$11+1,1))-AVERAGE(OFFSET($H$3,0,0,'Données projet'!$E$11+1,1))</f>
        <v>217.20784862627357</v>
      </c>
      <c r="BJ109" s="59">
        <f t="shared" si="92"/>
        <v>147.24433901219732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1">
        <f t="shared" si="86"/>
        <v>21.758358756045919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67">
        <f t="shared" si="56"/>
        <v>467.86707150011296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5.0961538461538449</v>
      </c>
      <c r="N110" s="13">
        <f>IF('Données projet'!$A$36&gt;35,N109+M110-V109,IF(A110&lt;'Données projet'!$A$36,$K$205^A110,IF(A110='Données projet'!$A$36,'Données projet'!$B$36,N109+M110-V109)))</f>
        <v>215.64102564102532</v>
      </c>
      <c r="O110" s="13">
        <f>N110*VLOOKUP('Données projet'!$B$9,Paramètres!$A$1:$I$89,3,0)*VLOOKUP('Données projet'!$B$9,Paramètres!$A$1:$I$89,5,0)</f>
        <v>195.11199999999971</v>
      </c>
      <c r="P110" s="13">
        <f t="shared" si="87"/>
        <v>48.668391191190658</v>
      </c>
      <c r="Q110" s="20">
        <f t="shared" si="107"/>
        <v>424.58418132465653</v>
      </c>
      <c r="R110" s="59">
        <f t="shared" si="55"/>
        <v>717.91751465798984</v>
      </c>
      <c r="S110" s="59">
        <f ca="1">AVERAGE(OFFSET($R$3,0,0,'Données projet'!$E$9+1,1))-AVERAGE(OFFSET($H$3,0,0,'Données projet'!$E$9+1,1))</f>
        <v>180.68512008344129</v>
      </c>
      <c r="T110" s="59">
        <f t="shared" si="88"/>
        <v>125.86231758828899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7.6</v>
      </c>
      <c r="AI110" s="13">
        <f>IF('Données projet'!$A$62&gt;35,AI109+AH110-AQ109,IF(A110&lt;'Données projet'!$A$62,$AF$205^A110,IF(A110='Données projet'!$A$62,'Données projet'!$B$62,AI109+AH110-AQ109)))</f>
        <v>368.20000000000022</v>
      </c>
      <c r="AJ110" s="13">
        <f>AI110*VLOOKUP('Données projet'!$B$10,Paramètres!$A$1:$I$89,3,0)*VLOOKUP('Données projet'!$B$10,Paramètres!$A$1:$I$89,5,0)</f>
        <v>315.91560000000021</v>
      </c>
      <c r="AK110" s="13">
        <f t="shared" si="89"/>
        <v>74.502880488238247</v>
      </c>
      <c r="AL110" s="20">
        <f t="shared" si="58"/>
        <v>679.97885351701518</v>
      </c>
      <c r="AM110" s="59">
        <f t="shared" si="59"/>
        <v>973.31218685034855</v>
      </c>
      <c r="AN110" s="59">
        <f ca="1">AVERAGE(OFFSET($AM$3,0,0,'Données projet'!$E$10+1,1))-AVERAGE(OFFSET($H$3,0,0,'Données projet'!$E$10+1,1))</f>
        <v>335.81667389179631</v>
      </c>
      <c r="AO110" s="59">
        <f t="shared" si="90"/>
        <v>137.96364450570718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0.69623001868160705</v>
      </c>
      <c r="AW110" s="21">
        <f>EXP(-LN(2)/2)*AW109+(1-EXP(-LN(2)/2))/(LN(2)/2)*AQ110*AT110*VLOOKUP('Données projet'!$B$10,Paramètres!$A$1:$I$89,3,0)*0.475*44/12</f>
        <v>2.2972670051816806E-11</v>
      </c>
      <c r="AX110" s="21">
        <f t="shared" si="60"/>
        <v>0.69623001870457968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5.0999999999999996</v>
      </c>
      <c r="BD110" s="12">
        <f>IF('Données projet'!$A$88&gt;35,BD109+BC110-BL109,IF(A110&lt;'Données projet'!$A$88,$BA$205^A110,IF(A110='Données projet'!$A$88,'Données projet'!$B$88,BD109+BC110-BL109)))</f>
        <v>215.40000000000006</v>
      </c>
      <c r="BE110" s="13">
        <f>BD110*VLOOKUP('Données projet'!$B$11,Paramètres!$A$1:$I$89,3,0)*VLOOKUP('Données projet'!$B$11,Paramètres!$A$1:$I$89,5,0)</f>
        <v>218.41560000000007</v>
      </c>
      <c r="BF110" s="13">
        <f t="shared" si="91"/>
        <v>53.770379482810206</v>
      </c>
      <c r="BG110" s="20">
        <f t="shared" si="61"/>
        <v>474.05724759922788</v>
      </c>
      <c r="BH110" s="59">
        <f t="shared" si="62"/>
        <v>767.39058093256119</v>
      </c>
      <c r="BI110" s="59">
        <f ca="1">AVERAGE(OFFSET($BH$3,0,0,'Données projet'!$E$11+1,1))-AVERAGE(OFFSET($H$3,0,0,'Données projet'!$E$11+1,1))</f>
        <v>217.20784862627357</v>
      </c>
      <c r="BJ110" s="59">
        <f t="shared" si="92"/>
        <v>147.24433901219732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1">
        <f t="shared" si="86"/>
        <v>21.937940668679364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67">
        <f t="shared" si="56"/>
        <v>469.45683333128278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5.0961538461538449</v>
      </c>
      <c r="N111" s="13">
        <f>IF('Données projet'!$A$36&gt;35,N110+M111-V110,IF(A111&lt;'Données projet'!$A$36,$K$205^A111,IF(A111='Données projet'!$A$36,'Données projet'!$B$36,N110+M111-V110)))</f>
        <v>220.73717948717916</v>
      </c>
      <c r="O111" s="13">
        <f>N111*VLOOKUP('Données projet'!$B$9,Paramètres!$A$1:$I$89,3,0)*VLOOKUP('Données projet'!$B$9,Paramètres!$A$1:$I$89,5,0)</f>
        <v>199.7229999999997</v>
      </c>
      <c r="P111" s="13">
        <f t="shared" si="87"/>
        <v>49.683286599758986</v>
      </c>
      <c r="Q111" s="20">
        <f t="shared" si="107"/>
        <v>434.38261582791301</v>
      </c>
      <c r="R111" s="59">
        <f t="shared" si="55"/>
        <v>727.71594916124627</v>
      </c>
      <c r="S111" s="59">
        <f ca="1">AVERAGE(OFFSET($R$3,0,0,'Données projet'!$E$9+1,1))-AVERAGE(OFFSET($H$3,0,0,'Données projet'!$E$9+1,1))</f>
        <v>180.68512008344129</v>
      </c>
      <c r="T111" s="59">
        <f t="shared" si="88"/>
        <v>125.86231758828899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7.6</v>
      </c>
      <c r="AI111" s="13">
        <f>IF('Données projet'!$A$62&gt;35,AI110+AH111-AQ110,IF(A111&lt;'Données projet'!$A$62,$AF$205^A111,IF(A111='Données projet'!$A$62,'Données projet'!$B$62,AI110+AH111-AQ110)))</f>
        <v>375.80000000000024</v>
      </c>
      <c r="AJ111" s="13">
        <f>AI111*VLOOKUP('Données projet'!$B$10,Paramètres!$A$1:$I$89,3,0)*VLOOKUP('Données projet'!$B$10,Paramètres!$A$1:$I$89,5,0)</f>
        <v>322.43640000000022</v>
      </c>
      <c r="AK111" s="13">
        <f t="shared" si="89"/>
        <v>75.860070063809587</v>
      </c>
      <c r="AL111" s="20">
        <f t="shared" si="58"/>
        <v>693.69968536113538</v>
      </c>
      <c r="AM111" s="59">
        <f t="shared" si="59"/>
        <v>987.03301869446864</v>
      </c>
      <c r="AN111" s="59">
        <f ca="1">AVERAGE(OFFSET($AM$3,0,0,'Données projet'!$E$10+1,1))-AVERAGE(OFFSET($H$3,0,0,'Données projet'!$E$10+1,1))</f>
        <v>335.81667389179631</v>
      </c>
      <c r="AO111" s="59">
        <f t="shared" si="90"/>
        <v>137.96364450570718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0.67719157220761306</v>
      </c>
      <c r="AW111" s="21">
        <f>EXP(-LN(2)/2)*AW110+(1-EXP(-LN(2)/2))/(LN(2)/2)*AQ111*AT111*VLOOKUP('Données projet'!$B$10,Paramètres!$A$1:$I$89,3,0)*0.475*44/12</f>
        <v>1.624413077560078E-11</v>
      </c>
      <c r="AX111" s="21">
        <f t="shared" si="60"/>
        <v>0.67719157222385717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5.0999999999999996</v>
      </c>
      <c r="BD111" s="12">
        <f>IF('Données projet'!$A$88&gt;35,BD110+BC111-BL110,IF(A111&lt;'Données projet'!$A$88,$BA$205^A111,IF(A111='Données projet'!$A$88,'Données projet'!$B$88,BD110+BC111-BL110)))</f>
        <v>220.50000000000006</v>
      </c>
      <c r="BE111" s="13">
        <f>BD111*VLOOKUP('Données projet'!$B$11,Paramètres!$A$1:$I$89,3,0)*VLOOKUP('Données projet'!$B$11,Paramètres!$A$1:$I$89,5,0)</f>
        <v>223.58700000000007</v>
      </c>
      <c r="BF111" s="13">
        <f t="shared" si="91"/>
        <v>54.893767100838339</v>
      </c>
      <c r="BG111" s="20">
        <f t="shared" si="61"/>
        <v>485.02066936729352</v>
      </c>
      <c r="BH111" s="59">
        <f t="shared" si="62"/>
        <v>778.35400270062678</v>
      </c>
      <c r="BI111" s="59">
        <f ca="1">AVERAGE(OFFSET($BH$3,0,0,'Données projet'!$E$11+1,1))-AVERAGE(OFFSET($H$3,0,0,'Données projet'!$E$11+1,1))</f>
        <v>217.20784862627357</v>
      </c>
      <c r="BJ111" s="59">
        <f t="shared" si="92"/>
        <v>147.24433901219732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1">
        <f t="shared" si="86"/>
        <v>22.117329133258693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67">
        <f t="shared" si="56"/>
        <v>471.04625824042512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5.0961538461538449</v>
      </c>
      <c r="N112" s="13">
        <f>IF('Données projet'!$A$36&gt;35,N111+M112-V111,IF(A112&lt;'Données projet'!$A$36,$K$205^A112,IF(A112='Données projet'!$A$36,'Données projet'!$B$36,N111+M112-V111)))</f>
        <v>225.833333333333</v>
      </c>
      <c r="O112" s="13">
        <f>N112*VLOOKUP('Données projet'!$B$9,Paramètres!$A$1:$I$89,3,0)*VLOOKUP('Données projet'!$B$9,Paramètres!$A$1:$I$89,5,0)</f>
        <v>204.33399999999966</v>
      </c>
      <c r="P112" s="13">
        <f t="shared" si="87"/>
        <v>50.695458061201691</v>
      </c>
      <c r="Q112" s="20">
        <f t="shared" si="107"/>
        <v>444.17630612325894</v>
      </c>
      <c r="R112" s="59">
        <f t="shared" si="55"/>
        <v>737.50963945659225</v>
      </c>
      <c r="S112" s="59">
        <f ca="1">AVERAGE(OFFSET($R$3,0,0,'Données projet'!$E$9+1,1))-AVERAGE(OFFSET($H$3,0,0,'Données projet'!$E$9+1,1))</f>
        <v>180.68512008344129</v>
      </c>
      <c r="T112" s="59">
        <f t="shared" si="88"/>
        <v>125.86231758828899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7.6</v>
      </c>
      <c r="AI112" s="13">
        <f>IF('Données projet'!$A$62&gt;35,AI111+AH112-AQ111,IF(A112&lt;'Données projet'!$A$62,$AF$205^A112,IF(A112='Données projet'!$A$62,'Données projet'!$B$62,AI111+AH112-AQ111)))</f>
        <v>383.40000000000026</v>
      </c>
      <c r="AJ112" s="13">
        <f>AI112*VLOOKUP('Données projet'!$B$10,Paramètres!$A$1:$I$89,3,0)*VLOOKUP('Données projet'!$B$10,Paramètres!$A$1:$I$89,5,0)</f>
        <v>328.95720000000023</v>
      </c>
      <c r="AK112" s="13">
        <f t="shared" si="89"/>
        <v>77.214068318029646</v>
      </c>
      <c r="AL112" s="20">
        <f t="shared" si="58"/>
        <v>707.41495898723531</v>
      </c>
      <c r="AM112" s="59">
        <f t="shared" si="59"/>
        <v>1000.7482923205687</v>
      </c>
      <c r="AN112" s="59">
        <f ca="1">AVERAGE(OFFSET($AM$3,0,0,'Données projet'!$E$10+1,1))-AVERAGE(OFFSET($H$3,0,0,'Données projet'!$E$10+1,1))</f>
        <v>335.81667389179631</v>
      </c>
      <c r="AO112" s="59">
        <f t="shared" si="90"/>
        <v>137.96364450570718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0.65867373305363885</v>
      </c>
      <c r="AW112" s="21">
        <f>EXP(-LN(2)/2)*AW111+(1-EXP(-LN(2)/2))/(LN(2)/2)*AQ112*AT112*VLOOKUP('Données projet'!$B$10,Paramètres!$A$1:$I$89,3,0)*0.475*44/12</f>
        <v>1.1486335025908403E-11</v>
      </c>
      <c r="AX112" s="21">
        <f t="shared" si="60"/>
        <v>0.65867373306512522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5.0999999999999996</v>
      </c>
      <c r="BD112" s="12">
        <f>IF('Données projet'!$A$88&gt;35,BD111+BC112-BL111,IF(A112&lt;'Données projet'!$A$88,$BA$205^A112,IF(A112='Données projet'!$A$88,'Données projet'!$B$88,BD111+BC112-BL111)))</f>
        <v>225.60000000000005</v>
      </c>
      <c r="BE112" s="13">
        <f>BD112*VLOOKUP('Données projet'!$B$11,Paramètres!$A$1:$I$89,3,0)*VLOOKUP('Données projet'!$B$11,Paramètres!$A$1:$I$89,5,0)</f>
        <v>228.75840000000008</v>
      </c>
      <c r="BF112" s="13">
        <f t="shared" si="91"/>
        <v>56.014134067241017</v>
      </c>
      <c r="BG112" s="20">
        <f t="shared" si="61"/>
        <v>495.97883016711165</v>
      </c>
      <c r="BH112" s="59">
        <f t="shared" si="62"/>
        <v>789.31216350044497</v>
      </c>
      <c r="BI112" s="59">
        <f ca="1">AVERAGE(OFFSET($BH$3,0,0,'Données projet'!$E$11+1,1))-AVERAGE(OFFSET($H$3,0,0,'Données projet'!$E$11+1,1))</f>
        <v>217.20784862627357</v>
      </c>
      <c r="BJ112" s="59">
        <f t="shared" si="92"/>
        <v>147.24433901219732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1">
        <f t="shared" si="86"/>
        <v>22.296526130116188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67">
        <f t="shared" si="56"/>
        <v>472.6353496766186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5.0961538461538449</v>
      </c>
      <c r="N113" s="13">
        <f>IF('Données projet'!$A$36&gt;35,N112+M113-V112,IF(A113&lt;'Données projet'!$A$36,$K$205^A113,IF(A113='Données projet'!$A$36,'Données projet'!$B$36,N112+M113-V112)))</f>
        <v>230.92948717948684</v>
      </c>
      <c r="O113" s="13">
        <f>N113*VLOOKUP('Données projet'!$B$9,Paramètres!$A$1:$I$89,3,0)*VLOOKUP('Données projet'!$B$9,Paramètres!$A$1:$I$89,5,0)</f>
        <v>208.94499999999971</v>
      </c>
      <c r="P113" s="13">
        <f t="shared" si="87"/>
        <v>51.704974120746144</v>
      </c>
      <c r="Q113" s="20">
        <f t="shared" si="107"/>
        <v>453.96537159363237</v>
      </c>
      <c r="R113" s="59">
        <f t="shared" si="55"/>
        <v>747.29870492696568</v>
      </c>
      <c r="S113" s="59">
        <f ca="1">AVERAGE(OFFSET($R$3,0,0,'Données projet'!$E$9+1,1))-AVERAGE(OFFSET($H$3,0,0,'Données projet'!$E$9+1,1))</f>
        <v>180.68512008344129</v>
      </c>
      <c r="T113" s="59">
        <f t="shared" si="88"/>
        <v>125.86231758828899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391</v>
      </c>
      <c r="AG113" s="12">
        <f>VLOOKUP(A113,'Données projet'!$A$61:$I$81,9,0)</f>
        <v>7.6</v>
      </c>
      <c r="AH113" s="12">
        <f t="array" ref="AH113">INDEX(AG:AG,MIN(IF(ISNUMBER(AG113:AG309),ROW(AG113:AG309),"")))</f>
        <v>7.6</v>
      </c>
      <c r="AI113" s="13">
        <f>IF('Données projet'!$A$62&gt;35,AI112+AH113-AQ112,IF(A113&lt;'Données projet'!$A$62,$AF$205^A113,IF(A113='Données projet'!$A$62,'Données projet'!$B$62,AI112+AH113-AQ112)))</f>
        <v>391.00000000000028</v>
      </c>
      <c r="AJ113" s="13">
        <f>AI113*VLOOKUP('Données projet'!$B$10,Paramètres!$A$1:$I$89,3,0)*VLOOKUP('Données projet'!$B$10,Paramètres!$A$1:$I$89,5,0)</f>
        <v>335.47800000000029</v>
      </c>
      <c r="AK113" s="13">
        <f t="shared" si="89"/>
        <v>78.564945802733007</v>
      </c>
      <c r="AL113" s="20">
        <f t="shared" si="58"/>
        <v>721.1247972730938</v>
      </c>
      <c r="AM113" s="59">
        <f t="shared" si="59"/>
        <v>1014.4581306064272</v>
      </c>
      <c r="AN113" s="59">
        <f ca="1">AVERAGE(OFFSET($AM$3,0,0,'Données projet'!$E$10+1,1))-AVERAGE(OFFSET($H$3,0,0,'Données projet'!$E$10+1,1))</f>
        <v>335.81667389179631</v>
      </c>
      <c r="AO113" s="59">
        <f t="shared" si="90"/>
        <v>137.96364450570718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58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0.64066226518514091</v>
      </c>
      <c r="AW113" s="21">
        <f>EXP(-LN(2)/2)*AW112+(1-EXP(-LN(2)/2))/(LN(2)/2)*AQ113*AT113*VLOOKUP('Données projet'!$B$10,Paramètres!$A$1:$I$89,3,0)*0.475*44/12</f>
        <v>8.1220653878003899E-12</v>
      </c>
      <c r="AX113" s="21">
        <f t="shared" si="60"/>
        <v>0.64066226519326297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5.0999999999999996</v>
      </c>
      <c r="BD113" s="12">
        <f>IF('Données projet'!$A$88&gt;35,BD112+BC113-BL112,IF(A113&lt;'Données projet'!$A$88,$BA$205^A113,IF(A113='Données projet'!$A$88,'Données projet'!$B$88,BD112+BC113-BL112)))</f>
        <v>230.70000000000005</v>
      </c>
      <c r="BE113" s="13">
        <f>BD113*VLOOKUP('Données projet'!$B$11,Paramètres!$A$1:$I$89,3,0)*VLOOKUP('Données projet'!$B$11,Paramètres!$A$1:$I$89,5,0)</f>
        <v>233.92980000000009</v>
      </c>
      <c r="BF113" s="13">
        <f t="shared" si="91"/>
        <v>57.131556529410027</v>
      </c>
      <c r="BG113" s="20">
        <f t="shared" si="61"/>
        <v>506.93186262205592</v>
      </c>
      <c r="BH113" s="59">
        <f t="shared" si="62"/>
        <v>800.26519595538923</v>
      </c>
      <c r="BI113" s="59">
        <f ca="1">AVERAGE(OFFSET($BH$3,0,0,'Données projet'!$E$11+1,1))-AVERAGE(OFFSET($H$3,0,0,'Données projet'!$E$11+1,1))</f>
        <v>217.20784862627357</v>
      </c>
      <c r="BJ113" s="59">
        <f t="shared" si="92"/>
        <v>147.24433901219732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1">
        <f t="shared" si="86"/>
        <v>22.475533601501073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67">
        <f t="shared" si="56"/>
        <v>474.2241110226139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5.0961538461538449</v>
      </c>
      <c r="N114" s="13">
        <f>IF('Données projet'!$A$36&gt;35,N113+M114-V113,IF(A114&lt;'Données projet'!$A$36,$K$205^A114,IF(A114='Données projet'!$A$36,'Données projet'!$B$36,N113+M114-V113)))</f>
        <v>236.02564102564068</v>
      </c>
      <c r="O114" s="13">
        <f>N114*VLOOKUP('Données projet'!$B$9,Paramètres!$A$1:$I$89,3,0)*VLOOKUP('Données projet'!$B$9,Paramètres!$A$1:$I$89,5,0)</f>
        <v>213.5559999999997</v>
      </c>
      <c r="P114" s="13">
        <f t="shared" si="87"/>
        <v>52.71190012556103</v>
      </c>
      <c r="Q114" s="20">
        <f t="shared" si="107"/>
        <v>463.74992605201828</v>
      </c>
      <c r="R114" s="59">
        <f t="shared" si="55"/>
        <v>757.08325938535154</v>
      </c>
      <c r="S114" s="59">
        <f ca="1">AVERAGE(OFFSET($R$3,0,0,'Données projet'!$E$9+1,1))-AVERAGE(OFFSET($H$3,0,0,'Données projet'!$E$9+1,1))</f>
        <v>180.68512008344129</v>
      </c>
      <c r="T114" s="59">
        <f t="shared" si="88"/>
        <v>125.86231758828899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</v>
      </c>
      <c r="AI114" s="13">
        <f>IF('Données projet'!$A$62&gt;35,AI113+AH114-AQ113,IF(A114&lt;'Données projet'!$A$62,$AF$205^A114,IF(A114='Données projet'!$A$62,'Données projet'!$B$62,AI113+AH114-AQ113)))</f>
        <v>339.8000000000003</v>
      </c>
      <c r="AJ114" s="13">
        <f>AI114*VLOOKUP('Données projet'!$B$10,Paramètres!$A$1:$I$89,3,0)*VLOOKUP('Données projet'!$B$10,Paramètres!$A$1:$I$89,5,0)</f>
        <v>291.5484000000003</v>
      </c>
      <c r="AK114" s="13">
        <f t="shared" si="89"/>
        <v>69.40174753959208</v>
      </c>
      <c r="AL114" s="20">
        <f t="shared" si="58"/>
        <v>628.6548402981233</v>
      </c>
      <c r="AM114" s="59">
        <f t="shared" si="59"/>
        <v>921.98817363145668</v>
      </c>
      <c r="AN114" s="59">
        <f ca="1">AVERAGE(OFFSET($AM$3,0,0,'Données projet'!$E$10+1,1))-AVERAGE(OFFSET($H$3,0,0,'Données projet'!$E$10+1,1))</f>
        <v>335.81667389179631</v>
      </c>
      <c r="AO114" s="59">
        <f t="shared" si="90"/>
        <v>137.96364450570718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0.62314332185268895</v>
      </c>
      <c r="AW114" s="21">
        <f>EXP(-LN(2)/2)*AW113+(1-EXP(-LN(2)/2))/(LN(2)/2)*AQ114*AT114*VLOOKUP('Données projet'!$B$10,Paramètres!$A$1:$I$89,3,0)*0.475*44/12</f>
        <v>5.7431675129542016E-12</v>
      </c>
      <c r="AX114" s="21">
        <f t="shared" si="60"/>
        <v>0.62314332185843213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5.0999999999999996</v>
      </c>
      <c r="BD114" s="12">
        <f>IF('Données projet'!$A$88&gt;35,BD113+BC114-BL113,IF(A114&lt;'Données projet'!$A$88,$BA$205^A114,IF(A114='Données projet'!$A$88,'Données projet'!$B$88,BD113+BC114-BL113)))</f>
        <v>235.80000000000004</v>
      </c>
      <c r="BE114" s="13">
        <f>BD114*VLOOKUP('Données projet'!$B$11,Paramètres!$A$1:$I$89,3,0)*VLOOKUP('Données projet'!$B$11,Paramètres!$A$1:$I$89,5,0)</f>
        <v>239.10120000000006</v>
      </c>
      <c r="BF114" s="13">
        <f t="shared" si="91"/>
        <v>58.246107075777331</v>
      </c>
      <c r="BG114" s="20">
        <f t="shared" si="61"/>
        <v>517.87989315697894</v>
      </c>
      <c r="BH114" s="59">
        <f t="shared" si="62"/>
        <v>811.21322649031231</v>
      </c>
      <c r="BI114" s="59">
        <f ca="1">AVERAGE(OFFSET($BH$3,0,0,'Données projet'!$E$11+1,1))-AVERAGE(OFFSET($H$3,0,0,'Données projet'!$E$11+1,1))</f>
        <v>217.20784862627357</v>
      </c>
      <c r="BJ114" s="59">
        <f t="shared" si="92"/>
        <v>147.24433901219732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1">
        <f t="shared" si="86"/>
        <v>22.654353452648337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67">
        <f t="shared" si="56"/>
        <v>475.81254559669543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5.0961538461538449</v>
      </c>
      <c r="N115" s="13">
        <f>IF('Données projet'!$A$36&gt;35,N114+M115-V114,IF(A115&lt;'Données projet'!$A$36,$K$205^A115,IF(A115='Données projet'!$A$36,'Données projet'!$B$36,N114+M115-V114)))</f>
        <v>241.12179487179452</v>
      </c>
      <c r="O115" s="13">
        <f>N115*VLOOKUP('Données projet'!$B$9,Paramètres!$A$1:$I$89,3,0)*VLOOKUP('Données projet'!$B$9,Paramètres!$A$1:$I$89,5,0)</f>
        <v>218.16699999999966</v>
      </c>
      <c r="P115" s="13">
        <f t="shared" si="87"/>
        <v>53.716298439743952</v>
      </c>
      <c r="Q115" s="20">
        <f t="shared" si="107"/>
        <v>473.53007811588674</v>
      </c>
      <c r="R115" s="59">
        <f t="shared" si="55"/>
        <v>766.86341144922005</v>
      </c>
      <c r="S115" s="59">
        <f ca="1">AVERAGE(OFFSET($R$3,0,0,'Données projet'!$E$9+1,1))-AVERAGE(OFFSET($H$3,0,0,'Données projet'!$E$9+1,1))</f>
        <v>180.68512008344129</v>
      </c>
      <c r="T115" s="59">
        <f t="shared" si="88"/>
        <v>125.86231758828899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</v>
      </c>
      <c r="AI115" s="13">
        <f>IF('Données projet'!$A$62&gt;35,AI114+AH115-AQ114,IF(A115&lt;'Données projet'!$A$62,$AF$205^A115,IF(A115='Données projet'!$A$62,'Données projet'!$B$62,AI114+AH115-AQ114)))</f>
        <v>346.60000000000031</v>
      </c>
      <c r="AJ115" s="13">
        <f>AI115*VLOOKUP('Données projet'!$B$10,Paramètres!$A$1:$I$89,3,0)*VLOOKUP('Données projet'!$B$10,Paramètres!$A$1:$I$89,5,0)</f>
        <v>297.38280000000032</v>
      </c>
      <c r="AK115" s="13">
        <f t="shared" si="89"/>
        <v>70.627518341589479</v>
      </c>
      <c r="AL115" s="20">
        <f t="shared" si="58"/>
        <v>640.95130444493554</v>
      </c>
      <c r="AM115" s="59">
        <f t="shared" si="59"/>
        <v>934.28463777826892</v>
      </c>
      <c r="AN115" s="59">
        <f ca="1">AVERAGE(OFFSET($AM$3,0,0,'Données projet'!$E$10+1,1))-AVERAGE(OFFSET($H$3,0,0,'Données projet'!$E$10+1,1))</f>
        <v>335.81667389179631</v>
      </c>
      <c r="AO115" s="59">
        <f t="shared" si="90"/>
        <v>137.96364450570718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0.60610343494694408</v>
      </c>
      <c r="AW115" s="21">
        <f>EXP(-LN(2)/2)*AW114+(1-EXP(-LN(2)/2))/(LN(2)/2)*AQ115*AT115*VLOOKUP('Données projet'!$B$10,Paramètres!$A$1:$I$89,3,0)*0.475*44/12</f>
        <v>4.0610326939001949E-12</v>
      </c>
      <c r="AX115" s="21">
        <f t="shared" si="60"/>
        <v>0.60610343495100516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5.0999999999999996</v>
      </c>
      <c r="BD115" s="12">
        <f>IF('Données projet'!$A$88&gt;35,BD114+BC115-BL114,IF(A115&lt;'Données projet'!$A$88,$BA$205^A115,IF(A115='Données projet'!$A$88,'Données projet'!$B$88,BD114+BC115-BL114)))</f>
        <v>240.90000000000003</v>
      </c>
      <c r="BE115" s="13">
        <f>BD115*VLOOKUP('Données projet'!$B$11,Paramètres!$A$1:$I$89,3,0)*VLOOKUP('Données projet'!$B$11,Paramètres!$A$1:$I$89,5,0)</f>
        <v>244.27260000000007</v>
      </c>
      <c r="BF115" s="13">
        <f t="shared" si="91"/>
        <v>59.357854975473522</v>
      </c>
      <c r="BG115" s="20">
        <f t="shared" si="61"/>
        <v>528.82304241561644</v>
      </c>
      <c r="BH115" s="59">
        <f t="shared" si="62"/>
        <v>822.15637574894981</v>
      </c>
      <c r="BI115" s="59">
        <f ca="1">AVERAGE(OFFSET($BH$3,0,0,'Données projet'!$E$11+1,1))-AVERAGE(OFFSET($H$3,0,0,'Données projet'!$E$11+1,1))</f>
        <v>217.20784862627357</v>
      </c>
      <c r="BJ115" s="59">
        <f t="shared" si="92"/>
        <v>147.24433901219732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1">
        <f t="shared" si="86"/>
        <v>22.832987552808103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67">
        <f t="shared" si="56"/>
        <v>477.40065665447366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246.21794871794873</v>
      </c>
      <c r="L116" s="12">
        <f>VLOOKUP(A116,'Données projet'!$A$35:$I$55,9,0)</f>
        <v>5.0961538461538449</v>
      </c>
      <c r="M116" s="12">
        <f t="array" ref="M116">INDEX(L:L,MIN(IF(ISNUMBER(L116:L312),ROW(L116:L312),"")))</f>
        <v>5.0961538461538449</v>
      </c>
      <c r="N116" s="13">
        <f>IF('Données projet'!$A$36&gt;35,N115+M116-V115,IF(A116&lt;'Données projet'!$A$36,$K$205^A116,IF(A116='Données projet'!$A$36,'Données projet'!$B$36,N115+M116-V115)))</f>
        <v>246.21794871794836</v>
      </c>
      <c r="O116" s="13">
        <f>N116*VLOOKUP('Données projet'!$B$9,Paramètres!$A$1:$I$89,3,0)*VLOOKUP('Données projet'!$B$9,Paramètres!$A$1:$I$89,5,0)</f>
        <v>222.77799999999965</v>
      </c>
      <c r="P116" s="13">
        <f t="shared" si="87"/>
        <v>54.718228640620396</v>
      </c>
      <c r="Q116" s="20">
        <f t="shared" si="107"/>
        <v>483.30593154907984</v>
      </c>
      <c r="R116" s="59">
        <f t="shared" si="55"/>
        <v>776.63926488241316</v>
      </c>
      <c r="S116" s="59">
        <f ca="1">AVERAGE(OFFSET($R$3,0,0,'Données projet'!$E$9+1,1))-AVERAGE(OFFSET($H$3,0,0,'Données projet'!$E$9+1,1))</f>
        <v>180.68512008344129</v>
      </c>
      <c r="T116" s="59">
        <f t="shared" si="88"/>
        <v>125.86231758828899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31.602564102564099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</v>
      </c>
      <c r="AI116" s="13">
        <f>IF('Données projet'!$A$62&gt;35,AI115+AH116-AQ115,IF(A116&lt;'Données projet'!$A$62,$AF$205^A116,IF(A116='Données projet'!$A$62,'Données projet'!$B$62,AI115+AH116-AQ115)))</f>
        <v>353.40000000000032</v>
      </c>
      <c r="AJ116" s="13">
        <f>AI116*VLOOKUP('Données projet'!$B$10,Paramètres!$A$1:$I$89,3,0)*VLOOKUP('Données projet'!$B$10,Paramètres!$A$1:$I$89,5,0)</f>
        <v>303.21720000000033</v>
      </c>
      <c r="AK116" s="13">
        <f t="shared" si="89"/>
        <v>71.850492891887853</v>
      </c>
      <c r="AL116" s="20">
        <f t="shared" si="58"/>
        <v>653.24289845337205</v>
      </c>
      <c r="AM116" s="59">
        <f t="shared" si="59"/>
        <v>946.57623178670542</v>
      </c>
      <c r="AN116" s="59">
        <f ca="1">AVERAGE(OFFSET($AM$3,0,0,'Données projet'!$E$10+1,1))-AVERAGE(OFFSET($H$3,0,0,'Données projet'!$E$10+1,1))</f>
        <v>335.81667389179631</v>
      </c>
      <c r="AO116" s="59">
        <f t="shared" si="90"/>
        <v>137.96364450570718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0.58952950464472553</v>
      </c>
      <c r="AW116" s="21">
        <f>EXP(-LN(2)/2)*AW115+(1-EXP(-LN(2)/2))/(LN(2)/2)*AQ116*AT116*VLOOKUP('Données projet'!$B$10,Paramètres!$A$1:$I$89,3,0)*0.475*44/12</f>
        <v>2.8715837564771008E-12</v>
      </c>
      <c r="AX116" s="21">
        <f t="shared" si="60"/>
        <v>0.58952950464759712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246</v>
      </c>
      <c r="BB116" s="12">
        <f>VLOOKUP(A116,'Données projet'!$A$87:$I$107,9,0)</f>
        <v>5.0999999999999996</v>
      </c>
      <c r="BC116" s="12">
        <f t="array" ref="BC116">INDEX(BB:BB,MIN(IF(ISNUMBER(BB116:BB312),ROW(BB116:BB312),"")))</f>
        <v>5.0999999999999996</v>
      </c>
      <c r="BD116" s="12">
        <f>IF('Données projet'!$A$88&gt;35,BD115+BC116-BL115,IF(A116&lt;'Données projet'!$A$88,$BA$205^A116,IF(A116='Données projet'!$A$88,'Données projet'!$B$88,BD115+BC116-BL115)))</f>
        <v>246.00000000000003</v>
      </c>
      <c r="BE116" s="13">
        <f>BD116*VLOOKUP('Données projet'!$B$11,Paramètres!$A$1:$I$89,3,0)*VLOOKUP('Données projet'!$B$11,Paramètres!$A$1:$I$89,5,0)</f>
        <v>249.44400000000007</v>
      </c>
      <c r="BF116" s="13">
        <f t="shared" si="91"/>
        <v>60.466866397117656</v>
      </c>
      <c r="BG116" s="20">
        <f t="shared" si="61"/>
        <v>539.76142564164661</v>
      </c>
      <c r="BH116" s="59">
        <f t="shared" si="62"/>
        <v>833.09475897497987</v>
      </c>
      <c r="BI116" s="59">
        <f ca="1">AVERAGE(OFFSET($BH$3,0,0,'Données projet'!$E$11+1,1))-AVERAGE(OFFSET($H$3,0,0,'Données projet'!$E$11+1,1))</f>
        <v>217.20784862627357</v>
      </c>
      <c r="BJ116" s="59">
        <f t="shared" si="92"/>
        <v>147.24433901219732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32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1">
        <f t="shared" si="86"/>
        <v>23.011437736237557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67">
        <f t="shared" si="56"/>
        <v>478.98844739061326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5.3066239316239274</v>
      </c>
      <c r="N117" s="13">
        <f>IF('Données projet'!$A$36&gt;35,N116+M117-V116,IF(A117&lt;'Données projet'!$A$36,$K$205^A117,IF(A117='Données projet'!$A$36,'Données projet'!$B$36,N116+M117-V116)))</f>
        <v>219.9220085470082</v>
      </c>
      <c r="O117" s="13">
        <f>N117*VLOOKUP('Données projet'!$B$9,Paramètres!$A$1:$I$89,3,0)*VLOOKUP('Données projet'!$B$9,Paramètres!$A$1:$I$89,5,0)</f>
        <v>198.98543333333302</v>
      </c>
      <c r="P117" s="13">
        <f t="shared" si="87"/>
        <v>49.521130725595967</v>
      </c>
      <c r="Q117" s="20">
        <f t="shared" si="107"/>
        <v>432.8155990693013</v>
      </c>
      <c r="R117" s="59">
        <f t="shared" si="55"/>
        <v>726.14893240263461</v>
      </c>
      <c r="S117" s="59">
        <f ca="1">AVERAGE(OFFSET($R$3,0,0,'Données projet'!$E$9+1,1))-AVERAGE(OFFSET($H$3,0,0,'Données projet'!$E$9+1,1))</f>
        <v>180.68512008344129</v>
      </c>
      <c r="T117" s="59">
        <f t="shared" si="88"/>
        <v>125.86231758828899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6.8</v>
      </c>
      <c r="AI117" s="13">
        <f>IF('Données projet'!$A$62&gt;35,AI116+AH117-AQ116,IF(A117&lt;'Données projet'!$A$62,$AF$205^A117,IF(A117='Données projet'!$A$62,'Données projet'!$B$62,AI116+AH117-AQ116)))</f>
        <v>360.20000000000033</v>
      </c>
      <c r="AJ117" s="13">
        <f>AI117*VLOOKUP('Données projet'!$B$10,Paramètres!$A$1:$I$89,3,0)*VLOOKUP('Données projet'!$B$10,Paramètres!$A$1:$I$89,5,0)</f>
        <v>309.05160000000029</v>
      </c>
      <c r="AK117" s="13">
        <f t="shared" si="89"/>
        <v>73.070731198088453</v>
      </c>
      <c r="AL117" s="20">
        <f t="shared" si="58"/>
        <v>665.52972683667122</v>
      </c>
      <c r="AM117" s="59">
        <f t="shared" si="59"/>
        <v>958.86306017000447</v>
      </c>
      <c r="AN117" s="59">
        <f ca="1">AVERAGE(OFFSET($AM$3,0,0,'Données projet'!$E$10+1,1))-AVERAGE(OFFSET($H$3,0,0,'Données projet'!$E$10+1,1))</f>
        <v>335.81667389179631</v>
      </c>
      <c r="AO117" s="59">
        <f t="shared" si="90"/>
        <v>137.96364450570718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0.57340878933820627</v>
      </c>
      <c r="AW117" s="21">
        <f>EXP(-LN(2)/2)*AW116+(1-EXP(-LN(2)/2))/(LN(2)/2)*AQ117*AT117*VLOOKUP('Données projet'!$B$10,Paramètres!$A$1:$I$89,3,0)*0.475*44/12</f>
        <v>2.0305163469500975E-12</v>
      </c>
      <c r="AX117" s="21">
        <f t="shared" si="60"/>
        <v>0.57340878934023676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5.333333333333333</v>
      </c>
      <c r="BD117" s="12">
        <f>IF('Données projet'!$A$88&gt;35,BD116+BC117-BL116,IF(A117&lt;'Données projet'!$A$88,$BA$205^A117,IF(A117='Données projet'!$A$88,'Données projet'!$B$88,BD116+BC117-BL116)))</f>
        <v>219.33333333333337</v>
      </c>
      <c r="BE117" s="13">
        <f>BD117*VLOOKUP('Données projet'!$B$11,Paramètres!$A$1:$I$89,3,0)*VLOOKUP('Données projet'!$B$11,Paramètres!$A$1:$I$89,5,0)</f>
        <v>222.40400000000005</v>
      </c>
      <c r="BF117" s="13">
        <f t="shared" si="91"/>
        <v>54.637052295045308</v>
      </c>
      <c r="BG117" s="20">
        <f t="shared" si="61"/>
        <v>482.5131660805373</v>
      </c>
      <c r="BH117" s="59">
        <f t="shared" si="62"/>
        <v>775.84649941387056</v>
      </c>
      <c r="BI117" s="59">
        <f ca="1">AVERAGE(OFFSET($BH$3,0,0,'Données projet'!$E$11+1,1))-AVERAGE(OFFSET($H$3,0,0,'Données projet'!$E$11+1,1))</f>
        <v>217.20784862627357</v>
      </c>
      <c r="BJ117" s="59">
        <f t="shared" si="92"/>
        <v>147.24433901219732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1">
        <f t="shared" si="86"/>
        <v>23.189705803157189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67">
        <f t="shared" si="56"/>
        <v>480.57592094049829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5.3066239316239274</v>
      </c>
      <c r="N118" s="13">
        <f>IF('Données projet'!$A$36&gt;35,N117+M118-V117,IF(A118&lt;'Données projet'!$A$36,$K$205^A118,IF(A118='Données projet'!$A$36,'Données projet'!$B$36,N117+M118-V117)))</f>
        <v>225.22863247863214</v>
      </c>
      <c r="O118" s="13">
        <f>N118*VLOOKUP('Données projet'!$B$9,Paramètres!$A$1:$I$89,3,0)*VLOOKUP('Données projet'!$B$9,Paramètres!$A$1:$I$89,5,0)</f>
        <v>203.78686666666636</v>
      </c>
      <c r="P118" s="13">
        <f t="shared" si="87"/>
        <v>50.57549569083951</v>
      </c>
      <c r="Q118" s="20">
        <f t="shared" si="107"/>
        <v>443.01444777265607</v>
      </c>
      <c r="R118" s="59">
        <f t="shared" si="55"/>
        <v>736.34778110598938</v>
      </c>
      <c r="S118" s="59">
        <f ca="1">AVERAGE(OFFSET($R$3,0,0,'Données projet'!$E$9+1,1))-AVERAGE(OFFSET($H$3,0,0,'Données projet'!$E$9+1,1))</f>
        <v>180.68512008344129</v>
      </c>
      <c r="T118" s="59">
        <f t="shared" si="88"/>
        <v>125.86231758828899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</v>
      </c>
      <c r="AI118" s="13">
        <f>IF('Données projet'!$A$62&gt;35,AI117+AH118-AQ117,IF(A118&lt;'Données projet'!$A$62,$AF$205^A118,IF(A118='Données projet'!$A$62,'Données projet'!$B$62,AI117+AH118-AQ117)))</f>
        <v>367.00000000000034</v>
      </c>
      <c r="AJ118" s="13">
        <f>AI118*VLOOKUP('Données projet'!$B$10,Paramètres!$A$1:$I$89,3,0)*VLOOKUP('Données projet'!$B$10,Paramètres!$A$1:$I$89,5,0)</f>
        <v>314.88600000000031</v>
      </c>
      <c r="AK118" s="13">
        <f t="shared" si="89"/>
        <v>74.288290872440228</v>
      </c>
      <c r="AL118" s="20">
        <f t="shared" si="58"/>
        <v>677.8118899361674</v>
      </c>
      <c r="AM118" s="59">
        <f t="shared" si="59"/>
        <v>971.14522326950078</v>
      </c>
      <c r="AN118" s="59">
        <f ca="1">AVERAGE(OFFSET($AM$3,0,0,'Données projet'!$E$10+1,1))-AVERAGE(OFFSET($H$3,0,0,'Données projet'!$E$10+1,1))</f>
        <v>335.81667389179631</v>
      </c>
      <c r="AO118" s="59">
        <f t="shared" si="90"/>
        <v>137.96364450570718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0.55772889583949536</v>
      </c>
      <c r="AW118" s="21">
        <f>EXP(-LN(2)/2)*AW117+(1-EXP(-LN(2)/2))/(LN(2)/2)*AQ118*AT118*VLOOKUP('Données projet'!$B$10,Paramètres!$A$1:$I$89,3,0)*0.475*44/12</f>
        <v>1.4357918782385504E-12</v>
      </c>
      <c r="AX118" s="21">
        <f t="shared" si="60"/>
        <v>0.5577288958409311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5.333333333333333</v>
      </c>
      <c r="BD118" s="12">
        <f>IF('Données projet'!$A$88&gt;35,BD117+BC118-BL117,IF(A118&lt;'Données projet'!$A$88,$BA$205^A118,IF(A118='Données projet'!$A$88,'Données projet'!$B$88,BD117+BC118-BL117)))</f>
        <v>224.66666666666671</v>
      </c>
      <c r="BE118" s="13">
        <f>BD118*VLOOKUP('Données projet'!$B$11,Paramètres!$A$1:$I$89,3,0)*VLOOKUP('Données projet'!$B$11,Paramètres!$A$1:$I$89,5,0)</f>
        <v>227.81200000000004</v>
      </c>
      <c r="BF118" s="13">
        <f t="shared" si="91"/>
        <v>55.809321909379769</v>
      </c>
      <c r="BG118" s="20">
        <f t="shared" si="61"/>
        <v>493.97380232550307</v>
      </c>
      <c r="BH118" s="59">
        <f t="shared" si="62"/>
        <v>787.30713565883639</v>
      </c>
      <c r="BI118" s="59">
        <f ca="1">AVERAGE(OFFSET($BH$3,0,0,'Données projet'!$E$11+1,1))-AVERAGE(OFFSET($H$3,0,0,'Données projet'!$E$11+1,1))</f>
        <v>217.20784862627357</v>
      </c>
      <c r="BJ118" s="59">
        <f t="shared" si="92"/>
        <v>147.24433901219732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1">
        <f t="shared" si="86"/>
        <v>23.367793520672667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67">
        <f t="shared" si="56"/>
        <v>482.16308038183774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5.3066239316239274</v>
      </c>
      <c r="N119" s="13">
        <f>IF('Données projet'!$A$36&gt;35,N118+M119-V118,IF(A119&lt;'Données projet'!$A$36,$K$205^A119,IF(A119='Données projet'!$A$36,'Données projet'!$B$36,N118+M119-V118)))</f>
        <v>230.53525641025607</v>
      </c>
      <c r="O119" s="13">
        <f>N119*VLOOKUP('Données projet'!$B$9,Paramètres!$A$1:$I$89,3,0)*VLOOKUP('Données projet'!$B$9,Paramètres!$A$1:$I$89,5,0)</f>
        <v>208.58829999999969</v>
      </c>
      <c r="P119" s="13">
        <f t="shared" si="87"/>
        <v>51.626972732243416</v>
      </c>
      <c r="Q119" s="20">
        <f t="shared" si="107"/>
        <v>453.20826667532333</v>
      </c>
      <c r="R119" s="59">
        <f t="shared" si="55"/>
        <v>746.54160000865659</v>
      </c>
      <c r="S119" s="59">
        <f ca="1">AVERAGE(OFFSET($R$3,0,0,'Données projet'!$E$9+1,1))-AVERAGE(OFFSET($H$3,0,0,'Données projet'!$E$9+1,1))</f>
        <v>180.68512008344129</v>
      </c>
      <c r="T119" s="59">
        <f t="shared" si="88"/>
        <v>125.86231758828899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</v>
      </c>
      <c r="AI119" s="13">
        <f>IF('Données projet'!$A$62&gt;35,AI118+AH119-AQ118,IF(A119&lt;'Données projet'!$A$62,$AF$205^A119,IF(A119='Données projet'!$A$62,'Données projet'!$B$62,AI118+AH119-AQ118)))</f>
        <v>373.80000000000035</v>
      </c>
      <c r="AJ119" s="13">
        <f>AI119*VLOOKUP('Données projet'!$B$10,Paramètres!$A$1:$I$89,3,0)*VLOOKUP('Données projet'!$B$10,Paramètres!$A$1:$I$89,5,0)</f>
        <v>320.72040000000032</v>
      </c>
      <c r="AK119" s="13">
        <f t="shared" si="89"/>
        <v>75.503227270035836</v>
      </c>
      <c r="AL119" s="20">
        <f t="shared" si="58"/>
        <v>690.08948416197961</v>
      </c>
      <c r="AM119" s="59">
        <f t="shared" si="59"/>
        <v>983.42281749531298</v>
      </c>
      <c r="AN119" s="59">
        <f ca="1">AVERAGE(OFFSET($AM$3,0,0,'Données projet'!$E$10+1,1))-AVERAGE(OFFSET($H$3,0,0,'Données projet'!$E$10+1,1))</f>
        <v>335.81667389179631</v>
      </c>
      <c r="AO119" s="59">
        <f t="shared" si="90"/>
        <v>137.96364450570718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0.54247776985307639</v>
      </c>
      <c r="AW119" s="21">
        <f>EXP(-LN(2)/2)*AW118+(1-EXP(-LN(2)/2))/(LN(2)/2)*AQ119*AT119*VLOOKUP('Données projet'!$B$10,Paramètres!$A$1:$I$89,3,0)*0.475*44/12</f>
        <v>1.0152581734750487E-12</v>
      </c>
      <c r="AX119" s="21">
        <f t="shared" si="60"/>
        <v>0.54247776985409168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5.333333333333333</v>
      </c>
      <c r="BD119" s="12">
        <f>IF('Données projet'!$A$88&gt;35,BD118+BC119-BL118,IF(A119&lt;'Données projet'!$A$88,$BA$205^A119,IF(A119='Données projet'!$A$88,'Données projet'!$B$88,BD118+BC119-BL118)))</f>
        <v>230.00000000000006</v>
      </c>
      <c r="BE119" s="13">
        <f>BD119*VLOOKUP('Données projet'!$B$11,Paramètres!$A$1:$I$89,3,0)*VLOOKUP('Données projet'!$B$11,Paramètres!$A$1:$I$89,5,0)</f>
        <v>233.22000000000006</v>
      </c>
      <c r="BF119" s="13">
        <f t="shared" si="91"/>
        <v>56.978356452817273</v>
      </c>
      <c r="BG119" s="20">
        <f t="shared" si="61"/>
        <v>505.42880415532346</v>
      </c>
      <c r="BH119" s="59">
        <f t="shared" si="62"/>
        <v>798.76213748865678</v>
      </c>
      <c r="BI119" s="59">
        <f ca="1">AVERAGE(OFFSET($BH$3,0,0,'Données projet'!$E$11+1,1))-AVERAGE(OFFSET($H$3,0,0,'Données projet'!$E$11+1,1))</f>
        <v>217.20784862627357</v>
      </c>
      <c r="BJ119" s="59">
        <f t="shared" si="92"/>
        <v>147.24433901219732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1">
        <f t="shared" si="86"/>
        <v>23.545702623664145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67">
        <f t="shared" si="56"/>
        <v>483.7499287362146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5.3066239316239274</v>
      </c>
      <c r="N120" s="13">
        <f>IF('Données projet'!$A$36&gt;35,N119+M120-V119,IF(A120&lt;'Données projet'!$A$36,$K$205^A120,IF(A120='Données projet'!$A$36,'Données projet'!$B$36,N119+M120-V119)))</f>
        <v>235.84188034188</v>
      </c>
      <c r="O120" s="13">
        <f>N120*VLOOKUP('Données projet'!$B$9,Paramètres!$A$1:$I$89,3,0)*VLOOKUP('Données projet'!$B$9,Paramètres!$A$1:$I$89,5,0)</f>
        <v>213.389733333333</v>
      </c>
      <c r="P120" s="13">
        <f t="shared" si="87"/>
        <v>52.675635977819994</v>
      </c>
      <c r="Q120" s="20">
        <f t="shared" si="107"/>
        <v>463.39718488359148</v>
      </c>
      <c r="R120" s="59">
        <f t="shared" si="55"/>
        <v>756.73051821692479</v>
      </c>
      <c r="S120" s="59">
        <f ca="1">AVERAGE(OFFSET($R$3,0,0,'Données projet'!$E$9+1,1))-AVERAGE(OFFSET($H$3,0,0,'Données projet'!$E$9+1,1))</f>
        <v>180.68512008344129</v>
      </c>
      <c r="T120" s="59">
        <f t="shared" si="88"/>
        <v>125.86231758828899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</v>
      </c>
      <c r="AI120" s="13">
        <f>IF('Données projet'!$A$62&gt;35,AI119+AH120-AQ119,IF(A120&lt;'Données projet'!$A$62,$AF$205^A120,IF(A120='Données projet'!$A$62,'Données projet'!$B$62,AI119+AH120-AQ119)))</f>
        <v>380.60000000000036</v>
      </c>
      <c r="AJ120" s="13">
        <f>AI120*VLOOKUP('Données projet'!$B$10,Paramètres!$A$1:$I$89,3,0)*VLOOKUP('Données projet'!$B$10,Paramètres!$A$1:$I$89,5,0)</f>
        <v>326.55480000000034</v>
      </c>
      <c r="AK120" s="13">
        <f t="shared" si="89"/>
        <v>76.715593616667263</v>
      </c>
      <c r="AL120" s="20">
        <f t="shared" si="58"/>
        <v>702.36260221569603</v>
      </c>
      <c r="AM120" s="59">
        <f t="shared" si="59"/>
        <v>995.6959355490294</v>
      </c>
      <c r="AN120" s="59">
        <f ca="1">AVERAGE(OFFSET($AM$3,0,0,'Données projet'!$E$10+1,1))-AVERAGE(OFFSET($H$3,0,0,'Données projet'!$E$10+1,1))</f>
        <v>335.81667389179631</v>
      </c>
      <c r="AO120" s="59">
        <f t="shared" si="90"/>
        <v>137.96364450570718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0.52764368670877793</v>
      </c>
      <c r="AW120" s="21">
        <f>EXP(-LN(2)/2)*AW119+(1-EXP(-LN(2)/2))/(LN(2)/2)*AQ120*AT120*VLOOKUP('Données projet'!$B$10,Paramètres!$A$1:$I$89,3,0)*0.475*44/12</f>
        <v>7.1789593911927519E-13</v>
      </c>
      <c r="AX120" s="21">
        <f t="shared" si="60"/>
        <v>0.5276436867094958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5.333333333333333</v>
      </c>
      <c r="BD120" s="12">
        <f>IF('Données projet'!$A$88&gt;35,BD119+BC120-BL119,IF(A120&lt;'Données projet'!$A$88,$BA$205^A120,IF(A120='Données projet'!$A$88,'Données projet'!$B$88,BD119+BC120-BL119)))</f>
        <v>235.3333333333334</v>
      </c>
      <c r="BE120" s="13">
        <f>BD120*VLOOKUP('Données projet'!$B$11,Paramètres!$A$1:$I$89,3,0)*VLOOKUP('Données projet'!$B$11,Paramètres!$A$1:$I$89,5,0)</f>
        <v>238.6280000000001</v>
      </c>
      <c r="BF120" s="13">
        <f t="shared" si="91"/>
        <v>58.144239575603599</v>
      </c>
      <c r="BG120" s="20">
        <f t="shared" si="61"/>
        <v>516.87831726084312</v>
      </c>
      <c r="BH120" s="59">
        <f t="shared" si="62"/>
        <v>810.21165059417649</v>
      </c>
      <c r="BI120" s="59">
        <f ca="1">AVERAGE(OFFSET($BH$3,0,0,'Données projet'!$E$11+1,1))-AVERAGE(OFFSET($H$3,0,0,'Données projet'!$E$11+1,1))</f>
        <v>217.20784862627357</v>
      </c>
      <c r="BJ120" s="59">
        <f t="shared" si="92"/>
        <v>147.24433901219732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1">
        <f t="shared" si="86"/>
        <v>23.72343481564414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67">
        <f t="shared" si="56"/>
        <v>485.33646897057974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5.3066239316239274</v>
      </c>
      <c r="N121" s="13">
        <f>IF('Données projet'!$A$36&gt;35,N120+M121-V120,IF(A121&lt;'Données projet'!$A$36,$K$205^A121,IF(A121='Données projet'!$A$36,'Données projet'!$B$36,N120+M121-V120)))</f>
        <v>241.14850427350393</v>
      </c>
      <c r="O121" s="13">
        <f>N121*VLOOKUP('Données projet'!$B$9,Paramètres!$A$1:$I$89,3,0)*VLOOKUP('Données projet'!$B$9,Paramètres!$A$1:$I$89,5,0)</f>
        <v>218.19116666666633</v>
      </c>
      <c r="P121" s="13">
        <f t="shared" si="87"/>
        <v>53.721556029282723</v>
      </c>
      <c r="Q121" s="20">
        <f t="shared" si="107"/>
        <v>473.58132536211127</v>
      </c>
      <c r="R121" s="59">
        <f t="shared" si="55"/>
        <v>766.91465869544459</v>
      </c>
      <c r="S121" s="59">
        <f ca="1">AVERAGE(OFFSET($R$3,0,0,'Données projet'!$E$9+1,1))-AVERAGE(OFFSET($H$3,0,0,'Données projet'!$E$9+1,1))</f>
        <v>180.68512008344129</v>
      </c>
      <c r="T121" s="59">
        <f t="shared" si="88"/>
        <v>125.86231758828899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</v>
      </c>
      <c r="AI121" s="13">
        <f>IF('Données projet'!$A$62&gt;35,AI120+AH121-AQ120,IF(A121&lt;'Données projet'!$A$62,$AF$205^A121,IF(A121='Données projet'!$A$62,'Données projet'!$B$62,AI120+AH121-AQ120)))</f>
        <v>387.40000000000038</v>
      </c>
      <c r="AJ121" s="13">
        <f>AI121*VLOOKUP('Données projet'!$B$10,Paramètres!$A$1:$I$89,3,0)*VLOOKUP('Données projet'!$B$10,Paramètres!$A$1:$I$89,5,0)</f>
        <v>332.38920000000036</v>
      </c>
      <c r="AK121" s="13">
        <f t="shared" si="89"/>
        <v>77.925441127286135</v>
      </c>
      <c r="AL121" s="20">
        <f t="shared" si="58"/>
        <v>714.63133329669063</v>
      </c>
      <c r="AM121" s="59">
        <f t="shared" si="59"/>
        <v>1007.9646666300239</v>
      </c>
      <c r="AN121" s="59">
        <f ca="1">AVERAGE(OFFSET($AM$3,0,0,'Données projet'!$E$10+1,1))-AVERAGE(OFFSET($H$3,0,0,'Données projet'!$E$10+1,1))</f>
        <v>335.81667389179631</v>
      </c>
      <c r="AO121" s="59">
        <f t="shared" si="90"/>
        <v>137.96364450570718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0.51321524234815086</v>
      </c>
      <c r="AW121" s="21">
        <f>EXP(-LN(2)/2)*AW120+(1-EXP(-LN(2)/2))/(LN(2)/2)*AQ121*AT121*VLOOKUP('Données projet'!$B$10,Paramètres!$A$1:$I$89,3,0)*0.475*44/12</f>
        <v>5.0762908673752437E-13</v>
      </c>
      <c r="AX121" s="21">
        <f t="shared" si="60"/>
        <v>0.51321524234865845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5.333333333333333</v>
      </c>
      <c r="BD121" s="12">
        <f>IF('Données projet'!$A$88&gt;35,BD120+BC121-BL120,IF(A121&lt;'Données projet'!$A$88,$BA$205^A121,IF(A121='Données projet'!$A$88,'Données projet'!$B$88,BD120+BC121-BL120)))</f>
        <v>240.66666666666674</v>
      </c>
      <c r="BE121" s="13">
        <f>BD121*VLOOKUP('Données projet'!$B$11,Paramètres!$A$1:$I$89,3,0)*VLOOKUP('Données projet'!$B$11,Paramètres!$A$1:$I$89,5,0)</f>
        <v>244.03600000000012</v>
      </c>
      <c r="BF121" s="13">
        <f t="shared" si="91"/>
        <v>59.307050920061464</v>
      </c>
      <c r="BG121" s="20">
        <f t="shared" si="61"/>
        <v>528.32248035244049</v>
      </c>
      <c r="BH121" s="59">
        <f t="shared" si="62"/>
        <v>821.65581368577386</v>
      </c>
      <c r="BI121" s="59">
        <f ca="1">AVERAGE(OFFSET($BH$3,0,0,'Données projet'!$E$11+1,1))-AVERAGE(OFFSET($H$3,0,0,'Données projet'!$E$11+1,1))</f>
        <v>217.20784862627357</v>
      </c>
      <c r="BJ121" s="59">
        <f t="shared" si="92"/>
        <v>147.24433901219732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1">
        <f t="shared" si="86"/>
        <v>23.900991769585712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67">
        <f t="shared" si="56"/>
        <v>486.92270399869466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5.3066239316239274</v>
      </c>
      <c r="N122" s="13">
        <f>IF('Données projet'!$A$36&gt;35,N121+M122-V121,IF(A122&lt;'Données projet'!$A$36,$K$205^A122,IF(A122='Données projet'!$A$36,'Données projet'!$B$36,N121+M122-V121)))</f>
        <v>246.45512820512786</v>
      </c>
      <c r="O122" s="13">
        <f>N122*VLOOKUP('Données projet'!$B$9,Paramètres!$A$1:$I$89,3,0)*VLOOKUP('Données projet'!$B$9,Paramètres!$A$1:$I$89,5,0)</f>
        <v>222.99259999999967</v>
      </c>
      <c r="P122" s="13">
        <f t="shared" si="87"/>
        <v>54.764800203643112</v>
      </c>
      <c r="Q122" s="20">
        <f t="shared" si="107"/>
        <v>483.76080535467781</v>
      </c>
      <c r="R122" s="59">
        <f t="shared" si="55"/>
        <v>777.09413868801107</v>
      </c>
      <c r="S122" s="59">
        <f ca="1">AVERAGE(OFFSET($R$3,0,0,'Données projet'!$E$9+1,1))-AVERAGE(OFFSET($H$3,0,0,'Données projet'!$E$9+1,1))</f>
        <v>180.68512008344129</v>
      </c>
      <c r="T122" s="59">
        <f t="shared" si="88"/>
        <v>125.86231758828899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6.8</v>
      </c>
      <c r="AI122" s="13">
        <f>IF('Données projet'!$A$62&gt;35,AI121+AH122-AQ121,IF(A122&lt;'Données projet'!$A$62,$AF$205^A122,IF(A122='Données projet'!$A$62,'Données projet'!$B$62,AI121+AH122-AQ121)))</f>
        <v>394.20000000000039</v>
      </c>
      <c r="AJ122" s="13">
        <f>AI122*VLOOKUP('Données projet'!$B$10,Paramètres!$A$1:$I$89,3,0)*VLOOKUP('Données projet'!$B$10,Paramètres!$A$1:$I$89,5,0)</f>
        <v>338.22360000000037</v>
      </c>
      <c r="AK122" s="13">
        <f t="shared" si="89"/>
        <v>79.132819115910223</v>
      </c>
      <c r="AL122" s="20">
        <f t="shared" si="58"/>
        <v>726.89576329354441</v>
      </c>
      <c r="AM122" s="59">
        <f t="shared" si="59"/>
        <v>1020.2290966268777</v>
      </c>
      <c r="AN122" s="59">
        <f ca="1">AVERAGE(OFFSET($AM$3,0,0,'Données projet'!$E$10+1,1))-AVERAGE(OFFSET($H$3,0,0,'Données projet'!$E$10+1,1))</f>
        <v>335.81667389179631</v>
      </c>
      <c r="AO122" s="59">
        <f t="shared" si="90"/>
        <v>137.96364450570718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0.49918134455732405</v>
      </c>
      <c r="AW122" s="21">
        <f>EXP(-LN(2)/2)*AW121+(1-EXP(-LN(2)/2))/(LN(2)/2)*AQ122*AT122*VLOOKUP('Données projet'!$B$10,Paramètres!$A$1:$I$89,3,0)*0.475*44/12</f>
        <v>3.589479695596376E-13</v>
      </c>
      <c r="AX122" s="21">
        <f t="shared" si="60"/>
        <v>0.49918134455768298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5.333333333333333</v>
      </c>
      <c r="BD122" s="12">
        <f>IF('Données projet'!$A$88&gt;35,BD121+BC122-BL121,IF(A122&lt;'Données projet'!$A$88,$BA$205^A122,IF(A122='Données projet'!$A$88,'Données projet'!$B$88,BD121+BC122-BL121)))</f>
        <v>246.00000000000009</v>
      </c>
      <c r="BE122" s="13">
        <f>BD122*VLOOKUP('Données projet'!$B$11,Paramètres!$A$1:$I$89,3,0)*VLOOKUP('Données projet'!$B$11,Paramètres!$A$1:$I$89,5,0)</f>
        <v>249.4440000000001</v>
      </c>
      <c r="BF122" s="13">
        <f t="shared" si="91"/>
        <v>60.466866397117656</v>
      </c>
      <c r="BG122" s="20">
        <f t="shared" si="61"/>
        <v>539.76142564164661</v>
      </c>
      <c r="BH122" s="59">
        <f t="shared" si="62"/>
        <v>833.09475897497987</v>
      </c>
      <c r="BI122" s="59">
        <f ca="1">AVERAGE(OFFSET($BH$3,0,0,'Données projet'!$E$11+1,1))-AVERAGE(OFFSET($H$3,0,0,'Données projet'!$E$11+1,1))</f>
        <v>217.20784862627357</v>
      </c>
      <c r="BJ122" s="59">
        <f t="shared" si="92"/>
        <v>147.24433901219732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1">
        <f t="shared" si="86"/>
        <v>24.078375128721721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67">
        <f t="shared" si="56"/>
        <v>488.50863668252316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5.3066239316239274</v>
      </c>
      <c r="N123" s="13">
        <f>IF('Données projet'!$A$36&gt;35,N122+M123-V122,IF(A123&lt;'Données projet'!$A$36,$K$205^A123,IF(A123='Données projet'!$A$36,'Données projet'!$B$36,N122+M123-V122)))</f>
        <v>251.7617521367518</v>
      </c>
      <c r="O123" s="13">
        <f>N123*VLOOKUP('Données projet'!$B$9,Paramètres!$A$1:$I$89,3,0)*VLOOKUP('Données projet'!$B$9,Paramètres!$A$1:$I$89,5,0)</f>
        <v>227.794033333333</v>
      </c>
      <c r="P123" s="13">
        <f t="shared" si="87"/>
        <v>55.805432753411694</v>
      </c>
      <c r="Q123" s="20">
        <f t="shared" si="107"/>
        <v>493.93573676774707</v>
      </c>
      <c r="R123" s="59">
        <f t="shared" si="55"/>
        <v>787.26907010108039</v>
      </c>
      <c r="S123" s="59">
        <f ca="1">AVERAGE(OFFSET($R$3,0,0,'Données projet'!$E$9+1,1))-AVERAGE(OFFSET($H$3,0,0,'Données projet'!$E$9+1,1))</f>
        <v>180.68512008344129</v>
      </c>
      <c r="T123" s="59">
        <f t="shared" si="88"/>
        <v>125.86231758828899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401</v>
      </c>
      <c r="AG123" s="12">
        <f>VLOOKUP(A123,'Données projet'!$A$61:$I$81,9,0)</f>
        <v>6.8</v>
      </c>
      <c r="AH123" s="12">
        <f t="array" ref="AH123">INDEX(AG:AG,MIN(IF(ISNUMBER(AG123:AG319),ROW(AG123:AG319),"")))</f>
        <v>6.8</v>
      </c>
      <c r="AI123" s="13">
        <f>IF('Données projet'!$A$62&gt;35,AI122+AH123-AQ122,IF(A123&lt;'Données projet'!$A$62,$AF$205^A123,IF(A123='Données projet'!$A$62,'Données projet'!$B$62,AI122+AH123-AQ122)))</f>
        <v>401.0000000000004</v>
      </c>
      <c r="AJ123" s="13">
        <f>AI123*VLOOKUP('Données projet'!$B$10,Paramètres!$A$1:$I$89,3,0)*VLOOKUP('Données projet'!$B$10,Paramètres!$A$1:$I$89,5,0)</f>
        <v>344.05800000000039</v>
      </c>
      <c r="AK123" s="13">
        <f t="shared" si="89"/>
        <v>80.337775097732305</v>
      </c>
      <c r="AL123" s="20">
        <f t="shared" si="58"/>
        <v>739.15597496188423</v>
      </c>
      <c r="AM123" s="59">
        <f t="shared" si="59"/>
        <v>1032.4893082952176</v>
      </c>
      <c r="AN123" s="59">
        <f ca="1">AVERAGE(OFFSET($AM$3,0,0,'Données projet'!$E$10+1,1))-AVERAGE(OFFSET($H$3,0,0,'Données projet'!$E$10+1,1))</f>
        <v>335.81667389179631</v>
      </c>
      <c r="AO123" s="59">
        <f t="shared" si="90"/>
        <v>137.96364450570718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53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0.48553120443959802</v>
      </c>
      <c r="AW123" s="21">
        <f>EXP(-LN(2)/2)*AW122+(1-EXP(-LN(2)/2))/(LN(2)/2)*AQ123*AT123*VLOOKUP('Données projet'!$B$10,Paramètres!$A$1:$I$89,3,0)*0.475*44/12</f>
        <v>2.5381454336876218E-13</v>
      </c>
      <c r="AX123" s="21">
        <f t="shared" si="60"/>
        <v>0.48553120443985182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5.333333333333333</v>
      </c>
      <c r="BD123" s="12">
        <f>IF('Données projet'!$A$88&gt;35,BD122+BC123-BL122,IF(A123&lt;'Données projet'!$A$88,$BA$205^A123,IF(A123='Données projet'!$A$88,'Données projet'!$B$88,BD122+BC123-BL122)))</f>
        <v>251.33333333333343</v>
      </c>
      <c r="BE123" s="13">
        <f>BD123*VLOOKUP('Données projet'!$B$11,Paramètres!$A$1:$I$89,3,0)*VLOOKUP('Données projet'!$B$11,Paramètres!$A$1:$I$89,5,0)</f>
        <v>254.85200000000012</v>
      </c>
      <c r="BF123" s="13">
        <f t="shared" si="91"/>
        <v>61.623758438173802</v>
      </c>
      <c r="BG123" s="20">
        <f t="shared" si="61"/>
        <v>551.19527927981949</v>
      </c>
      <c r="BH123" s="59">
        <f t="shared" si="62"/>
        <v>844.52861261315275</v>
      </c>
      <c r="BI123" s="59">
        <f ca="1">AVERAGE(OFFSET($BH$3,0,0,'Données projet'!$E$11+1,1))-AVERAGE(OFFSET($H$3,0,0,'Données projet'!$E$11+1,1))</f>
        <v>217.20784862627357</v>
      </c>
      <c r="BJ123" s="59">
        <f t="shared" si="92"/>
        <v>147.24433901219732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1">
        <f t="shared" si="86"/>
        <v>24.255586507317027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67">
        <f t="shared" si="56"/>
        <v>490.09426983357662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5.3066239316239274</v>
      </c>
      <c r="N124" s="13">
        <f>IF('Données projet'!$A$36&gt;35,N123+M124-V123,IF(A124&lt;'Données projet'!$A$36,$K$205^A124,IF(A124='Données projet'!$A$36,'Données projet'!$B$36,N123+M124-V123)))</f>
        <v>257.0683760683757</v>
      </c>
      <c r="O124" s="13">
        <f>N124*VLOOKUP('Données projet'!$B$9,Paramètres!$A$1:$I$89,3,0)*VLOOKUP('Données projet'!$B$9,Paramètres!$A$1:$I$89,5,0)</f>
        <v>232.59546666666634</v>
      </c>
      <c r="P124" s="13">
        <f t="shared" si="87"/>
        <v>56.843515067710278</v>
      </c>
      <c r="Q124" s="20">
        <f t="shared" si="107"/>
        <v>504.10622652070589</v>
      </c>
      <c r="R124" s="59">
        <f t="shared" si="55"/>
        <v>797.4395598540392</v>
      </c>
      <c r="S124" s="59">
        <f ca="1">AVERAGE(OFFSET($R$3,0,0,'Données projet'!$E$9+1,1))-AVERAGE(OFFSET($H$3,0,0,'Données projet'!$E$9+1,1))</f>
        <v>180.68512008344129</v>
      </c>
      <c r="T124" s="59">
        <f t="shared" si="88"/>
        <v>125.86231758828899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5.9</v>
      </c>
      <c r="AI124" s="13">
        <f>IF('Données projet'!$A$62&gt;35,AI123+AH124-AQ123,IF(A124&lt;'Données projet'!$A$62,$AF$205^A124,IF(A124='Données projet'!$A$62,'Données projet'!$B$62,AI123+AH124-AQ123)))</f>
        <v>353.90000000000038</v>
      </c>
      <c r="AJ124" s="13">
        <f>AI124*VLOOKUP('Données projet'!$B$10,Paramètres!$A$1:$I$89,3,0)*VLOOKUP('Données projet'!$B$10,Paramètres!$A$1:$I$89,5,0)</f>
        <v>303.64620000000036</v>
      </c>
      <c r="AK124" s="13">
        <f t="shared" si="89"/>
        <v>71.940308781184143</v>
      </c>
      <c r="AL124" s="20">
        <f t="shared" si="58"/>
        <v>654.14650279389639</v>
      </c>
      <c r="AM124" s="59">
        <f t="shared" si="59"/>
        <v>947.47983612722965</v>
      </c>
      <c r="AN124" s="59">
        <f ca="1">AVERAGE(OFFSET($AM$3,0,0,'Données projet'!$E$10+1,1))-AVERAGE(OFFSET($H$3,0,0,'Données projet'!$E$10+1,1))</f>
        <v>335.81667389179631</v>
      </c>
      <c r="AO124" s="59">
        <f t="shared" si="90"/>
        <v>137.96364450570718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0.47225432812122087</v>
      </c>
      <c r="AW124" s="21">
        <f>EXP(-LN(2)/2)*AW123+(1-EXP(-LN(2)/2))/(LN(2)/2)*AQ124*AT124*VLOOKUP('Données projet'!$B$10,Paramètres!$A$1:$I$89,3,0)*0.475*44/12</f>
        <v>1.794739847798188E-13</v>
      </c>
      <c r="AX124" s="21">
        <f t="shared" si="60"/>
        <v>0.47225432812140034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5.333333333333333</v>
      </c>
      <c r="BD124" s="12">
        <f>IF('Données projet'!$A$88&gt;35,BD123+BC124-BL123,IF(A124&lt;'Données projet'!$A$88,$BA$205^A124,IF(A124='Données projet'!$A$88,'Données projet'!$B$88,BD123+BC124-BL123)))</f>
        <v>256.66666666666674</v>
      </c>
      <c r="BE124" s="13">
        <f>BD124*VLOOKUP('Données projet'!$B$11,Paramètres!$A$1:$I$89,3,0)*VLOOKUP('Données projet'!$B$11,Paramètres!$A$1:$I$89,5,0)</f>
        <v>260.2600000000001</v>
      </c>
      <c r="BF124" s="13">
        <f t="shared" si="91"/>
        <v>62.77779622499358</v>
      </c>
      <c r="BG124" s="20">
        <f t="shared" si="61"/>
        <v>562.6241617585307</v>
      </c>
      <c r="BH124" s="59">
        <f t="shared" si="62"/>
        <v>855.95749509186408</v>
      </c>
      <c r="BI124" s="59">
        <f ca="1">AVERAGE(OFFSET($BH$3,0,0,'Données projet'!$E$11+1,1))-AVERAGE(OFFSET($H$3,0,0,'Données projet'!$E$11+1,1))</f>
        <v>217.20784862627357</v>
      </c>
      <c r="BJ124" s="59">
        <f t="shared" si="92"/>
        <v>147.24433901219732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1">
        <f t="shared" si="86"/>
        <v>24.432627491414117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67">
        <f t="shared" si="56"/>
        <v>491.67960621421241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5.3066239316239274</v>
      </c>
      <c r="N125" s="13">
        <f>IF('Données projet'!$A$36&gt;35,N124+M125-V124,IF(A125&lt;'Données projet'!$A$36,$K$205^A125,IF(A125='Données projet'!$A$36,'Données projet'!$B$36,N124+M125-V124)))</f>
        <v>262.3749999999996</v>
      </c>
      <c r="O125" s="13">
        <f>N125*VLOOKUP('Données projet'!$B$9,Paramètres!$A$1:$I$89,3,0)*VLOOKUP('Données projet'!$B$9,Paramètres!$A$1:$I$89,5,0)</f>
        <v>237.39689999999962</v>
      </c>
      <c r="P125" s="13">
        <f t="shared" si="87"/>
        <v>57.87910585630879</v>
      </c>
      <c r="Q125" s="20">
        <f t="shared" si="107"/>
        <v>514.27237686640376</v>
      </c>
      <c r="R125" s="59">
        <f t="shared" si="55"/>
        <v>807.60571019973713</v>
      </c>
      <c r="S125" s="59">
        <f ca="1">AVERAGE(OFFSET($R$3,0,0,'Données projet'!$E$9+1,1))-AVERAGE(OFFSET($H$3,0,0,'Données projet'!$E$9+1,1))</f>
        <v>180.68512008344129</v>
      </c>
      <c r="T125" s="59">
        <f t="shared" si="88"/>
        <v>125.86231758828899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5.9</v>
      </c>
      <c r="AI125" s="13">
        <f>IF('Données projet'!$A$62&gt;35,AI124+AH125-AQ124,IF(A125&lt;'Données projet'!$A$62,$AF$205^A125,IF(A125='Données projet'!$A$62,'Données projet'!$B$62,AI124+AH125-AQ124)))</f>
        <v>359.80000000000035</v>
      </c>
      <c r="AJ125" s="13">
        <f>AI125*VLOOKUP('Données projet'!$B$10,Paramètres!$A$1:$I$89,3,0)*VLOOKUP('Données projet'!$B$10,Paramètres!$A$1:$I$89,5,0)</f>
        <v>308.70840000000032</v>
      </c>
      <c r="AK125" s="13">
        <f t="shared" si="89"/>
        <v>72.999027175082958</v>
      </c>
      <c r="AL125" s="20">
        <f t="shared" si="58"/>
        <v>664.8071023299367</v>
      </c>
      <c r="AM125" s="59">
        <f t="shared" si="59"/>
        <v>958.14043566326995</v>
      </c>
      <c r="AN125" s="59">
        <f ca="1">AVERAGE(OFFSET($AM$3,0,0,'Données projet'!$E$10+1,1))-AVERAGE(OFFSET($H$3,0,0,'Données projet'!$E$10+1,1))</f>
        <v>335.81667389179631</v>
      </c>
      <c r="AO125" s="59">
        <f t="shared" si="90"/>
        <v>137.96364450570718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0.45934050868397031</v>
      </c>
      <c r="AW125" s="21">
        <f>EXP(-LN(2)/2)*AW124+(1-EXP(-LN(2)/2))/(LN(2)/2)*AQ125*AT125*VLOOKUP('Données projet'!$B$10,Paramètres!$A$1:$I$89,3,0)*0.475*44/12</f>
        <v>1.2690727168438109E-13</v>
      </c>
      <c r="AX125" s="21">
        <f t="shared" si="60"/>
        <v>0.4593405086840972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5.333333333333333</v>
      </c>
      <c r="BD125" s="12">
        <f>IF('Données projet'!$A$88&gt;35,BD124+BC125-BL124,IF(A125&lt;'Données projet'!$A$88,$BA$205^A125,IF(A125='Données projet'!$A$88,'Données projet'!$B$88,BD124+BC125-BL124)))</f>
        <v>262.00000000000006</v>
      </c>
      <c r="BE125" s="13">
        <f>BD125*VLOOKUP('Données projet'!$B$11,Paramètres!$A$1:$I$89,3,0)*VLOOKUP('Données projet'!$B$11,Paramètres!$A$1:$I$89,5,0)</f>
        <v>265.66800000000006</v>
      </c>
      <c r="BF125" s="13">
        <f t="shared" si="91"/>
        <v>63.929045899944406</v>
      </c>
      <c r="BG125" s="20">
        <f t="shared" si="61"/>
        <v>574.04818827573661</v>
      </c>
      <c r="BH125" s="59">
        <f t="shared" si="62"/>
        <v>867.38152160906998</v>
      </c>
      <c r="BI125" s="59">
        <f ca="1">AVERAGE(OFFSET($BH$3,0,0,'Données projet'!$E$11+1,1))-AVERAGE(OFFSET($H$3,0,0,'Données projet'!$E$11+1,1))</f>
        <v>217.20784862627357</v>
      </c>
      <c r="BJ125" s="59">
        <f t="shared" si="92"/>
        <v>147.24433901219732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1">
        <f t="shared" si="86"/>
        <v>24.609499639553714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67">
        <f t="shared" si="56"/>
        <v>493.26464853888888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5.3066239316239274</v>
      </c>
      <c r="N126" s="13">
        <f>IF('Données projet'!$A$36&gt;35,N125+M126-V125,IF(A126&lt;'Données projet'!$A$36,$K$205^A126,IF(A126='Données projet'!$A$36,'Données projet'!$B$36,N125+M126-V125)))</f>
        <v>267.68162393162351</v>
      </c>
      <c r="O126" s="13">
        <f>N126*VLOOKUP('Données projet'!$B$9,Paramètres!$A$1:$I$89,3,0)*VLOOKUP('Données projet'!$B$9,Paramètres!$A$1:$I$89,5,0)</f>
        <v>242.19833333333295</v>
      </c>
      <c r="P126" s="13">
        <f t="shared" si="87"/>
        <v>58.912261318352805</v>
      </c>
      <c r="Q126" s="20">
        <f t="shared" si="107"/>
        <v>524.43428568501929</v>
      </c>
      <c r="R126" s="59">
        <f t="shared" si="55"/>
        <v>817.76761901835266</v>
      </c>
      <c r="S126" s="59">
        <f ca="1">AVERAGE(OFFSET($R$3,0,0,'Données projet'!$E$9+1,1))-AVERAGE(OFFSET($H$3,0,0,'Données projet'!$E$9+1,1))</f>
        <v>180.68512008344129</v>
      </c>
      <c r="T126" s="59">
        <f t="shared" si="88"/>
        <v>125.86231758828899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5.9</v>
      </c>
      <c r="AI126" s="13">
        <f>IF('Données projet'!$A$62&gt;35,AI125+AH126-AQ125,IF(A126&lt;'Données projet'!$A$62,$AF$205^A126,IF(A126='Données projet'!$A$62,'Données projet'!$B$62,AI125+AH126-AQ125)))</f>
        <v>365.70000000000033</v>
      </c>
      <c r="AJ126" s="13">
        <f>AI126*VLOOKUP('Données projet'!$B$10,Paramètres!$A$1:$I$89,3,0)*VLOOKUP('Données projet'!$B$10,Paramètres!$A$1:$I$89,5,0)</f>
        <v>313.77060000000029</v>
      </c>
      <c r="AK126" s="13">
        <f t="shared" si="89"/>
        <v>74.055726596216218</v>
      </c>
      <c r="AL126" s="20">
        <f t="shared" si="58"/>
        <v>675.46418548841041</v>
      </c>
      <c r="AM126" s="59">
        <f t="shared" si="59"/>
        <v>968.79751882174378</v>
      </c>
      <c r="AN126" s="59">
        <f ca="1">AVERAGE(OFFSET($AM$3,0,0,'Données projet'!$E$10+1,1))-AVERAGE(OFFSET($H$3,0,0,'Données projet'!$E$10+1,1))</f>
        <v>335.81667389179631</v>
      </c>
      <c r="AO126" s="59">
        <f t="shared" si="90"/>
        <v>137.96364450570718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0.44677981831833963</v>
      </c>
      <c r="AW126" s="21">
        <f>EXP(-LN(2)/2)*AW125+(1-EXP(-LN(2)/2))/(LN(2)/2)*AQ126*AT126*VLOOKUP('Données projet'!$B$10,Paramètres!$A$1:$I$89,3,0)*0.475*44/12</f>
        <v>8.9736992389909399E-14</v>
      </c>
      <c r="AX126" s="21">
        <f t="shared" si="60"/>
        <v>0.44677981831842939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5.333333333333333</v>
      </c>
      <c r="BD126" s="12">
        <f>IF('Données projet'!$A$88&gt;35,BD125+BC126-BL125,IF(A126&lt;'Données projet'!$A$88,$BA$205^A126,IF(A126='Données projet'!$A$88,'Données projet'!$B$88,BD125+BC126-BL125)))</f>
        <v>267.33333333333337</v>
      </c>
      <c r="BE126" s="13">
        <f>BD126*VLOOKUP('Données projet'!$B$11,Paramètres!$A$1:$I$89,3,0)*VLOOKUP('Données projet'!$B$11,Paramètres!$A$1:$I$89,5,0)</f>
        <v>271.07600000000008</v>
      </c>
      <c r="BF126" s="13">
        <f t="shared" si="91"/>
        <v>65.077570758635957</v>
      </c>
      <c r="BG126" s="20">
        <f t="shared" si="61"/>
        <v>585.46746907129102</v>
      </c>
      <c r="BH126" s="59">
        <f t="shared" si="62"/>
        <v>878.80080240462439</v>
      </c>
      <c r="BI126" s="59">
        <f ca="1">AVERAGE(OFFSET($BH$3,0,0,'Données projet'!$E$11+1,1))-AVERAGE(OFFSET($H$3,0,0,'Données projet'!$E$11+1,1))</f>
        <v>217.20784862627357</v>
      </c>
      <c r="BJ126" s="59">
        <f t="shared" si="92"/>
        <v>147.24433901219732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1">
        <f t="shared" si="86"/>
        <v>24.786204483471373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67">
        <f t="shared" si="56"/>
        <v>494.84939947537879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5.3066239316239274</v>
      </c>
      <c r="N127" s="13">
        <f>IF('Données projet'!$A$36&gt;35,N126+M127-V126,IF(A127&lt;'Données projet'!$A$36,$K$205^A127,IF(A127='Données projet'!$A$36,'Données projet'!$B$36,N126+M127-V126)))</f>
        <v>272.98824786324741</v>
      </c>
      <c r="O127" s="13">
        <f>N127*VLOOKUP('Données projet'!$B$9,Paramètres!$A$1:$I$89,3,0)*VLOOKUP('Données projet'!$B$9,Paramètres!$A$1:$I$89,5,0)</f>
        <v>246.99976666666623</v>
      </c>
      <c r="P127" s="13">
        <f t="shared" si="87"/>
        <v>59.943035297333779</v>
      </c>
      <c r="Q127" s="20">
        <f t="shared" si="107"/>
        <v>534.59204675396666</v>
      </c>
      <c r="R127" s="59">
        <f t="shared" si="55"/>
        <v>827.92538008730003</v>
      </c>
      <c r="S127" s="59">
        <f ca="1">AVERAGE(OFFSET($R$3,0,0,'Données projet'!$E$9+1,1))-AVERAGE(OFFSET($H$3,0,0,'Données projet'!$E$9+1,1))</f>
        <v>180.68512008344129</v>
      </c>
      <c r="T127" s="59">
        <f t="shared" si="88"/>
        <v>125.86231758828899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5.9</v>
      </c>
      <c r="AI127" s="13">
        <f>IF('Données projet'!$A$62&gt;35,AI126+AH127-AQ126,IF(A127&lt;'Données projet'!$A$62,$AF$205^A127,IF(A127='Données projet'!$A$62,'Données projet'!$B$62,AI126+AH127-AQ126)))</f>
        <v>371.60000000000031</v>
      </c>
      <c r="AJ127" s="13">
        <f>AI127*VLOOKUP('Données projet'!$B$10,Paramètres!$A$1:$I$89,3,0)*VLOOKUP('Données projet'!$B$10,Paramètres!$A$1:$I$89,5,0)</f>
        <v>318.8328000000003</v>
      </c>
      <c r="AK127" s="13">
        <f t="shared" si="89"/>
        <v>75.110443378112123</v>
      </c>
      <c r="AL127" s="20">
        <f t="shared" si="58"/>
        <v>686.11781555021241</v>
      </c>
      <c r="AM127" s="59">
        <f t="shared" si="59"/>
        <v>979.45114888354578</v>
      </c>
      <c r="AN127" s="59">
        <f ca="1">AVERAGE(OFFSET($AM$3,0,0,'Données projet'!$E$10+1,1))-AVERAGE(OFFSET($H$3,0,0,'Données projet'!$E$10+1,1))</f>
        <v>335.81667389179631</v>
      </c>
      <c r="AO127" s="59">
        <f t="shared" si="90"/>
        <v>137.96364450570718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0.4345626006912951</v>
      </c>
      <c r="AW127" s="21">
        <f>EXP(-LN(2)/2)*AW126+(1-EXP(-LN(2)/2))/(LN(2)/2)*AQ127*AT127*VLOOKUP('Données projet'!$B$10,Paramètres!$A$1:$I$89,3,0)*0.475*44/12</f>
        <v>6.3453635842190546E-14</v>
      </c>
      <c r="AX127" s="21">
        <f t="shared" si="60"/>
        <v>0.43456260069135855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5.333333333333333</v>
      </c>
      <c r="BD127" s="12">
        <f>IF('Données projet'!$A$88&gt;35,BD126+BC127-BL126,IF(A127&lt;'Données projet'!$A$88,$BA$205^A127,IF(A127='Données projet'!$A$88,'Données projet'!$B$88,BD126+BC127-BL126)))</f>
        <v>272.66666666666669</v>
      </c>
      <c r="BE127" s="13">
        <f>BD127*VLOOKUP('Données projet'!$B$11,Paramètres!$A$1:$I$89,3,0)*VLOOKUP('Données projet'!$B$11,Paramètres!$A$1:$I$89,5,0)</f>
        <v>276.48400000000004</v>
      </c>
      <c r="BF127" s="13">
        <f t="shared" si="91"/>
        <v>66.223431426751858</v>
      </c>
      <c r="BG127" s="20">
        <f t="shared" si="61"/>
        <v>596.88210973492619</v>
      </c>
      <c r="BH127" s="59">
        <f t="shared" si="62"/>
        <v>890.21544306825945</v>
      </c>
      <c r="BI127" s="59">
        <f ca="1">AVERAGE(OFFSET($BH$3,0,0,'Données projet'!$E$11+1,1))-AVERAGE(OFFSET($H$3,0,0,'Données projet'!$E$11+1,1))</f>
        <v>217.20784862627357</v>
      </c>
      <c r="BJ127" s="59">
        <f t="shared" si="92"/>
        <v>147.24433901219732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1">
        <f t="shared" si="86"/>
        <v>24.96274352877078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67">
        <f t="shared" si="56"/>
        <v>496.43386164594193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278.29487179487177</v>
      </c>
      <c r="L128" s="12">
        <f>VLOOKUP(A128,'Données projet'!$A$35:$I$55,9,0)</f>
        <v>5.3066239316239274</v>
      </c>
      <c r="M128" s="12">
        <f t="array" ref="M128">INDEX(L:L,MIN(IF(ISNUMBER(L128:L324),ROW(L128:L324),"")))</f>
        <v>5.3066239316239274</v>
      </c>
      <c r="N128" s="13">
        <f>IF('Données projet'!$A$36&gt;35,N127+M128-V127,IF(A128&lt;'Données projet'!$A$36,$K$205^A128,IF(A128='Données projet'!$A$36,'Données projet'!$B$36,N127+M128-V127)))</f>
        <v>278.29487179487131</v>
      </c>
      <c r="O128" s="13">
        <f>N128*VLOOKUP('Données projet'!$B$9,Paramètres!$A$1:$I$89,3,0)*VLOOKUP('Données projet'!$B$9,Paramètres!$A$1:$I$89,5,0)</f>
        <v>251.80119999999957</v>
      </c>
      <c r="P128" s="13">
        <f t="shared" si="87"/>
        <v>60.971479423668242</v>
      </c>
      <c r="Q128" s="20">
        <f t="shared" si="107"/>
        <v>544.74574999622132</v>
      </c>
      <c r="R128" s="59">
        <f t="shared" si="55"/>
        <v>838.07908332955458</v>
      </c>
      <c r="S128" s="59">
        <f ca="1">AVERAGE(OFFSET($R$3,0,0,'Données projet'!$E$9+1,1))-AVERAGE(OFFSET($H$3,0,0,'Données projet'!$E$9+1,1))</f>
        <v>180.68512008344129</v>
      </c>
      <c r="T128" s="59">
        <f t="shared" si="88"/>
        <v>125.86231758828899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48.160256410256409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5.9</v>
      </c>
      <c r="AI128" s="13">
        <f>IF('Données projet'!$A$62&gt;35,AI127+AH128-AQ127,IF(A128&lt;'Données projet'!$A$62,$AF$205^A128,IF(A128='Données projet'!$A$62,'Données projet'!$B$62,AI127+AH128-AQ127)))</f>
        <v>377.50000000000028</v>
      </c>
      <c r="AJ128" s="13">
        <f>AI128*VLOOKUP('Données projet'!$B$10,Paramètres!$A$1:$I$89,3,0)*VLOOKUP('Données projet'!$B$10,Paramètres!$A$1:$I$89,5,0)</f>
        <v>323.89500000000027</v>
      </c>
      <c r="AK128" s="13">
        <f t="shared" si="89"/>
        <v>76.163212634369074</v>
      </c>
      <c r="AL128" s="20">
        <f t="shared" si="58"/>
        <v>696.76805367152656</v>
      </c>
      <c r="AM128" s="59">
        <f t="shared" si="59"/>
        <v>990.10138700485982</v>
      </c>
      <c r="AN128" s="59">
        <f ca="1">AVERAGE(OFFSET($AM$3,0,0,'Données projet'!$E$10+1,1))-AVERAGE(OFFSET($H$3,0,0,'Données projet'!$E$10+1,1))</f>
        <v>335.81667389179631</v>
      </c>
      <c r="AO128" s="59">
        <f t="shared" si="90"/>
        <v>137.96364450570718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0.42267946352273766</v>
      </c>
      <c r="AW128" s="21">
        <f>EXP(-LN(2)/2)*AW127+(1-EXP(-LN(2)/2))/(LN(2)/2)*AQ128*AT128*VLOOKUP('Données projet'!$B$10,Paramètres!$A$1:$I$89,3,0)*0.475*44/12</f>
        <v>4.48684961949547E-14</v>
      </c>
      <c r="AX128" s="21">
        <f t="shared" si="60"/>
        <v>0.42267946352278252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278</v>
      </c>
      <c r="BB128" s="12">
        <f>VLOOKUP(A128,'Données projet'!$A$87:$I$107,9,0)</f>
        <v>5.333333333333333</v>
      </c>
      <c r="BC128" s="12">
        <f t="array" ref="BC128">INDEX(BB:BB,MIN(IF(ISNUMBER(BB128:BB324),ROW(BB128:BB324),"")))</f>
        <v>5.333333333333333</v>
      </c>
      <c r="BD128" s="12">
        <f>IF('Données projet'!$A$88&gt;35,BD127+BC128-BL127,IF(A128&lt;'Données projet'!$A$88,$BA$205^A128,IF(A128='Données projet'!$A$88,'Données projet'!$B$88,BD127+BC128-BL127)))</f>
        <v>278</v>
      </c>
      <c r="BE128" s="13">
        <f>BD128*VLOOKUP('Données projet'!$B$11,Paramètres!$A$1:$I$89,3,0)*VLOOKUP('Données projet'!$B$11,Paramètres!$A$1:$I$89,5,0)</f>
        <v>281.89200000000005</v>
      </c>
      <c r="BF128" s="13">
        <f t="shared" si="91"/>
        <v>67.366686022655671</v>
      </c>
      <c r="BG128" s="20">
        <f t="shared" si="61"/>
        <v>608.29221148945874</v>
      </c>
      <c r="BH128" s="59">
        <f t="shared" si="62"/>
        <v>901.62554482279211</v>
      </c>
      <c r="BI128" s="59">
        <f ca="1">AVERAGE(OFFSET($BH$3,0,0,'Données projet'!$E$11+1,1))-AVERAGE(OFFSET($H$3,0,0,'Données projet'!$E$11+1,1))</f>
        <v>217.20784862627357</v>
      </c>
      <c r="BJ128" s="59">
        <f t="shared" si="92"/>
        <v>147.24433901219732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48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1">
        <f t="shared" si="86"/>
        <v>25.139118255575003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67">
        <f t="shared" si="56"/>
        <v>498.0180376284593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5.2446581196581219</v>
      </c>
      <c r="N129" s="13">
        <f>IF('Données projet'!$A$36&gt;35,N128+M129-V128,IF(A129&lt;'Données projet'!$A$36,$K$205^A129,IF(A129='Données projet'!$A$36,'Données projet'!$B$36,N128+M129-V128)))</f>
        <v>235.37927350427304</v>
      </c>
      <c r="O129" s="13">
        <f>N129*VLOOKUP('Données projet'!$B$9,Paramètres!$A$1:$I$89,3,0)*VLOOKUP('Données projet'!$B$9,Paramètres!$A$1:$I$89,5,0)</f>
        <v>212.97116666666628</v>
      </c>
      <c r="P129" s="13">
        <f t="shared" si="87"/>
        <v>52.584328525271125</v>
      </c>
      <c r="Q129" s="20">
        <f t="shared" si="107"/>
        <v>462.50915412595759</v>
      </c>
      <c r="R129" s="59">
        <f t="shared" si="55"/>
        <v>755.84248745929085</v>
      </c>
      <c r="S129" s="59">
        <f ca="1">AVERAGE(OFFSET($R$3,0,0,'Données projet'!$E$9+1,1))-AVERAGE(OFFSET($H$3,0,0,'Données projet'!$E$9+1,1))</f>
        <v>180.68512008344129</v>
      </c>
      <c r="T129" s="59">
        <f t="shared" si="88"/>
        <v>125.86231758828899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5.9</v>
      </c>
      <c r="AI129" s="13">
        <f>IF('Données projet'!$A$62&gt;35,AI128+AH129-AQ128,IF(A129&lt;'Données projet'!$A$62,$AF$205^A129,IF(A129='Données projet'!$A$62,'Données projet'!$B$62,AI128+AH129-AQ128)))</f>
        <v>383.40000000000026</v>
      </c>
      <c r="AJ129" s="13">
        <f>AI129*VLOOKUP('Données projet'!$B$10,Paramètres!$A$1:$I$89,3,0)*VLOOKUP('Données projet'!$B$10,Paramètres!$A$1:$I$89,5,0)</f>
        <v>328.95720000000023</v>
      </c>
      <c r="AK129" s="13">
        <f t="shared" si="89"/>
        <v>77.214068318029646</v>
      </c>
      <c r="AL129" s="20">
        <f t="shared" si="58"/>
        <v>707.41495898723531</v>
      </c>
      <c r="AM129" s="59">
        <f t="shared" si="59"/>
        <v>1000.7482923205687</v>
      </c>
      <c r="AN129" s="59">
        <f ca="1">AVERAGE(OFFSET($AM$3,0,0,'Données projet'!$E$10+1,1))-AVERAGE(OFFSET($H$3,0,0,'Données projet'!$E$10+1,1))</f>
        <v>335.81667389179631</v>
      </c>
      <c r="AO129" s="59">
        <f t="shared" si="90"/>
        <v>137.96364450570718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0.41112127136496146</v>
      </c>
      <c r="AW129" s="21">
        <f>EXP(-LN(2)/2)*AW128+(1-EXP(-LN(2)/2))/(LN(2)/2)*AQ129*AT129*VLOOKUP('Données projet'!$B$10,Paramètres!$A$1:$I$89,3,0)*0.475*44/12</f>
        <v>3.1726817921095273E-14</v>
      </c>
      <c r="AX129" s="21">
        <f t="shared" si="60"/>
        <v>0.41112127136499321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5.25</v>
      </c>
      <c r="BD129" s="12">
        <f>IF('Données projet'!$A$88&gt;35,BD128+BC129-BL128,IF(A129&lt;'Données projet'!$A$88,$BA$205^A129,IF(A129='Données projet'!$A$88,'Données projet'!$B$88,BD128+BC129-BL128)))</f>
        <v>235.25</v>
      </c>
      <c r="BE129" s="13">
        <f>BD129*VLOOKUP('Données projet'!$B$11,Paramètres!$A$1:$I$89,3,0)*VLOOKUP('Données projet'!$B$11,Paramètres!$A$1:$I$89,5,0)</f>
        <v>238.54349999999999</v>
      </c>
      <c r="BF129" s="13">
        <f t="shared" si="91"/>
        <v>58.126046477499791</v>
      </c>
      <c r="BG129" s="20">
        <f t="shared" si="61"/>
        <v>516.69946011497882</v>
      </c>
      <c r="BH129" s="59">
        <f t="shared" si="62"/>
        <v>810.03279344831208</v>
      </c>
      <c r="BI129" s="59">
        <f ca="1">AVERAGE(OFFSET($BH$3,0,0,'Données projet'!$E$11+1,1))-AVERAGE(OFFSET($H$3,0,0,'Données projet'!$E$11+1,1))</f>
        <v>217.20784862627357</v>
      </c>
      <c r="BJ129" s="59">
        <f t="shared" si="92"/>
        <v>147.24433901219732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1">
        <f t="shared" si="86"/>
        <v>25.31533011915646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67">
        <f t="shared" si="56"/>
        <v>499.60192995753027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5.2446581196581219</v>
      </c>
      <c r="N130" s="13">
        <f>IF('Données projet'!$A$36&gt;35,N129+M130-V129,IF(A130&lt;'Données projet'!$A$36,$K$205^A130,IF(A130='Données projet'!$A$36,'Données projet'!$B$36,N129+M130-V129)))</f>
        <v>240.62393162393116</v>
      </c>
      <c r="O130" s="13">
        <f>N130*VLOOKUP('Données projet'!$B$9,Paramètres!$A$1:$I$89,3,0)*VLOOKUP('Données projet'!$B$9,Paramètres!$A$1:$I$89,5,0)</f>
        <v>217.7165333333329</v>
      </c>
      <c r="P130" s="13">
        <f t="shared" si="87"/>
        <v>53.618284552972121</v>
      </c>
      <c r="Q130" s="20">
        <f t="shared" si="107"/>
        <v>472.57480781864791</v>
      </c>
      <c r="R130" s="59">
        <f t="shared" si="55"/>
        <v>765.90814115198123</v>
      </c>
      <c r="S130" s="59">
        <f ca="1">AVERAGE(OFFSET($R$3,0,0,'Données projet'!$E$9+1,1))-AVERAGE(OFFSET($H$3,0,0,'Données projet'!$E$9+1,1))</f>
        <v>180.68512008344129</v>
      </c>
      <c r="T130" s="59">
        <f t="shared" si="88"/>
        <v>125.86231758828899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5.9</v>
      </c>
      <c r="AI130" s="13">
        <f>IF('Données projet'!$A$62&gt;35,AI129+AH130-AQ129,IF(A130&lt;'Données projet'!$A$62,$AF$205^A130,IF(A130='Données projet'!$A$62,'Données projet'!$B$62,AI129+AH130-AQ129)))</f>
        <v>389.30000000000024</v>
      </c>
      <c r="AJ130" s="13">
        <f>AI130*VLOOKUP('Données projet'!$B$10,Paramètres!$A$1:$I$89,3,0)*VLOOKUP('Données projet'!$B$10,Paramètres!$A$1:$I$89,5,0)</f>
        <v>334.01940000000025</v>
      </c>
      <c r="AK130" s="13">
        <f t="shared" si="89"/>
        <v>78.263043277196772</v>
      </c>
      <c r="AL130" s="20">
        <f t="shared" si="58"/>
        <v>718.05858870778468</v>
      </c>
      <c r="AM130" s="59">
        <f t="shared" si="59"/>
        <v>1011.3919220411181</v>
      </c>
      <c r="AN130" s="59">
        <f ca="1">AVERAGE(OFFSET($AM$3,0,0,'Données projet'!$E$10+1,1))-AVERAGE(OFFSET($H$3,0,0,'Données projet'!$E$10+1,1))</f>
        <v>335.81667389179631</v>
      </c>
      <c r="AO130" s="59">
        <f t="shared" si="90"/>
        <v>137.96364450570718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0.39987913857955854</v>
      </c>
      <c r="AW130" s="21">
        <f>EXP(-LN(2)/2)*AW129+(1-EXP(-LN(2)/2))/(LN(2)/2)*AQ130*AT130*VLOOKUP('Données projet'!$B$10,Paramètres!$A$1:$I$89,3,0)*0.475*44/12</f>
        <v>2.243424809747735E-14</v>
      </c>
      <c r="AX130" s="21">
        <f t="shared" si="60"/>
        <v>0.39987913857958096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5.25</v>
      </c>
      <c r="BD130" s="12">
        <f>IF('Données projet'!$A$88&gt;35,BD129+BC130-BL129,IF(A130&lt;'Données projet'!$A$88,$BA$205^A130,IF(A130='Données projet'!$A$88,'Données projet'!$B$88,BD129+BC130-BL129)))</f>
        <v>240.5</v>
      </c>
      <c r="BE130" s="13">
        <f>BD130*VLOOKUP('Données projet'!$B$11,Paramètres!$A$1:$I$89,3,0)*VLOOKUP('Données projet'!$B$11,Paramètres!$A$1:$I$89,5,0)</f>
        <v>243.86700000000005</v>
      </c>
      <c r="BF130" s="13">
        <f t="shared" si="91"/>
        <v>59.270758798971528</v>
      </c>
      <c r="BG130" s="20">
        <f t="shared" si="61"/>
        <v>527.96492990820877</v>
      </c>
      <c r="BH130" s="59">
        <f t="shared" si="62"/>
        <v>821.29826324154214</v>
      </c>
      <c r="BI130" s="59">
        <f ca="1">AVERAGE(OFFSET($BH$3,0,0,'Données projet'!$E$11+1,1))-AVERAGE(OFFSET($H$3,0,0,'Données projet'!$E$11+1,1))</f>
        <v>217.20784862627357</v>
      </c>
      <c r="BJ130" s="59">
        <f t="shared" si="92"/>
        <v>147.24433901219732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1">
        <f t="shared" si="86"/>
        <v>25.491380550546399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67">
        <f t="shared" si="56"/>
        <v>501.18554112553443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5.2446581196581219</v>
      </c>
      <c r="N131" s="13">
        <f>IF('Données projet'!$A$36&gt;35,N130+M131-V130,IF(A131&lt;'Données projet'!$A$36,$K$205^A131,IF(A131='Données projet'!$A$36,'Données projet'!$B$36,N130+M131-V130)))</f>
        <v>245.86858974358927</v>
      </c>
      <c r="O131" s="13">
        <f>N131*VLOOKUP('Données projet'!$B$9,Paramètres!$A$1:$I$89,3,0)*VLOOKUP('Données projet'!$B$9,Paramètres!$A$1:$I$89,5,0)</f>
        <v>222.46189999999956</v>
      </c>
      <c r="P131" s="13">
        <f t="shared" si="87"/>
        <v>54.649620474067063</v>
      </c>
      <c r="Q131" s="20">
        <f t="shared" ref="Q131:Q153" si="108">(O131+P131)*0.475*44/12</f>
        <v>482.6358981589994</v>
      </c>
      <c r="R131" s="59">
        <f t="shared" ref="R131:R194" si="109">Q131+(I131+J131)*44/12</f>
        <v>775.96923149233271</v>
      </c>
      <c r="S131" s="59">
        <f ca="1">AVERAGE(OFFSET($R$3,0,0,'Données projet'!$E$9+1,1))-AVERAGE(OFFSET($H$3,0,0,'Données projet'!$E$9+1,1))</f>
        <v>180.68512008344129</v>
      </c>
      <c r="T131" s="59">
        <f t="shared" si="88"/>
        <v>125.86231758828899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5.9</v>
      </c>
      <c r="AI131" s="13">
        <f>IF('Données projet'!$A$62&gt;35,AI130+AH131-AQ130,IF(A131&lt;'Données projet'!$A$62,$AF$205^A131,IF(A131='Données projet'!$A$62,'Données projet'!$B$62,AI130+AH131-AQ130)))</f>
        <v>395.20000000000022</v>
      </c>
      <c r="AJ131" s="13">
        <f>AI131*VLOOKUP('Données projet'!$B$10,Paramètres!$A$1:$I$89,3,0)*VLOOKUP('Données projet'!$B$10,Paramètres!$A$1:$I$89,5,0)</f>
        <v>339.08160000000021</v>
      </c>
      <c r="AK131" s="13">
        <f t="shared" si="89"/>
        <v>79.310169307181994</v>
      </c>
      <c r="AL131" s="20">
        <f t="shared" si="58"/>
        <v>728.69899821000888</v>
      </c>
      <c r="AM131" s="59">
        <f t="shared" si="59"/>
        <v>1022.0323315433423</v>
      </c>
      <c r="AN131" s="59">
        <f ca="1">AVERAGE(OFFSET($AM$3,0,0,'Données projet'!$E$10+1,1))-AVERAGE(OFFSET($H$3,0,0,'Données projet'!$E$10+1,1))</f>
        <v>335.81667389179631</v>
      </c>
      <c r="AO131" s="59">
        <f t="shared" si="90"/>
        <v>137.96364450570718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0.38894442250637057</v>
      </c>
      <c r="AW131" s="21">
        <f>EXP(-LN(2)/2)*AW130+(1-EXP(-LN(2)/2))/(LN(2)/2)*AQ131*AT131*VLOOKUP('Données projet'!$B$10,Paramètres!$A$1:$I$89,3,0)*0.475*44/12</f>
        <v>1.5863408960547636E-14</v>
      </c>
      <c r="AX131" s="21">
        <f t="shared" si="60"/>
        <v>0.38894442250638644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5.25</v>
      </c>
      <c r="BD131" s="12">
        <f>IF('Données projet'!$A$88&gt;35,BD130+BC131-BL130,IF(A131&lt;'Données projet'!$A$88,$BA$205^A131,IF(A131='Données projet'!$A$88,'Données projet'!$B$88,BD130+BC131-BL130)))</f>
        <v>245.75</v>
      </c>
      <c r="BE131" s="13">
        <f>BD131*VLOOKUP('Données projet'!$B$11,Paramètres!$A$1:$I$89,3,0)*VLOOKUP('Données projet'!$B$11,Paramètres!$A$1:$I$89,5,0)</f>
        <v>249.19050000000001</v>
      </c>
      <c r="BF131" s="13">
        <f t="shared" si="91"/>
        <v>60.412565904794612</v>
      </c>
      <c r="BG131" s="20">
        <f t="shared" si="61"/>
        <v>539.22533978418392</v>
      </c>
      <c r="BH131" s="59">
        <f t="shared" si="62"/>
        <v>832.55867311751717</v>
      </c>
      <c r="BI131" s="59">
        <f ca="1">AVERAGE(OFFSET($BH$3,0,0,'Données projet'!$E$11+1,1))-AVERAGE(OFFSET($H$3,0,0,'Données projet'!$E$11+1,1))</f>
        <v>217.20784862627357</v>
      </c>
      <c r="BJ131" s="59">
        <f t="shared" si="92"/>
        <v>147.24433901219732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1">
        <f t="shared" si="86"/>
        <v>25.667270957125002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67">
        <f t="shared" ref="H132:H195" si="110">(B132+E132+F132)*44/12+(C132+D132)*0.475*44/12</f>
        <v>502.76887358365883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5.2446581196581219</v>
      </c>
      <c r="N132" s="13">
        <f>IF('Données projet'!$A$36&gt;35,N131+M132-V131,IF(A132&lt;'Données projet'!$A$36,$K$205^A132,IF(A132='Données projet'!$A$36,'Données projet'!$B$36,N131+M132-V131)))</f>
        <v>251.11324786324738</v>
      </c>
      <c r="O132" s="13">
        <f>N132*VLOOKUP('Données projet'!$B$9,Paramètres!$A$1:$I$89,3,0)*VLOOKUP('Données projet'!$B$9,Paramètres!$A$1:$I$89,5,0)</f>
        <v>227.20726666666624</v>
      </c>
      <c r="P132" s="13">
        <f t="shared" si="87"/>
        <v>55.678398616153615</v>
      </c>
      <c r="Q132" s="20">
        <f t="shared" si="108"/>
        <v>492.69253370091127</v>
      </c>
      <c r="R132" s="59">
        <f t="shared" si="109"/>
        <v>786.02586703424458</v>
      </c>
      <c r="S132" s="59">
        <f ca="1">AVERAGE(OFFSET($R$3,0,0,'Données projet'!$E$9+1,1))-AVERAGE(OFFSET($H$3,0,0,'Données projet'!$E$9+1,1))</f>
        <v>180.68512008344129</v>
      </c>
      <c r="T132" s="59">
        <f t="shared" si="88"/>
        <v>125.86231758828899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5.9</v>
      </c>
      <c r="AI132" s="13">
        <f>IF('Données projet'!$A$62&gt;35,AI131+AH132-AQ131,IF(A132&lt;'Données projet'!$A$62,$AF$205^A132,IF(A132='Données projet'!$A$62,'Données projet'!$B$62,AI131+AH132-AQ131)))</f>
        <v>401.10000000000019</v>
      </c>
      <c r="AJ132" s="13">
        <f>AI132*VLOOKUP('Données projet'!$B$10,Paramètres!$A$1:$I$89,3,0)*VLOOKUP('Données projet'!$B$10,Paramètres!$A$1:$I$89,5,0)</f>
        <v>344.14380000000023</v>
      </c>
      <c r="AK132" s="13">
        <f t="shared" si="89"/>
        <v>80.355477199451585</v>
      </c>
      <c r="AL132" s="20">
        <f t="shared" ref="AL132:AL153" si="112">(AJ132+AK132)*0.475*44/12</f>
        <v>739.33624112237851</v>
      </c>
      <c r="AM132" s="59">
        <f t="shared" ref="AM132:AM195" si="113">AL132+(AD132+AE132)*44/12</f>
        <v>1032.6695744557119</v>
      </c>
      <c r="AN132" s="59">
        <f ca="1">AVERAGE(OFFSET($AM$3,0,0,'Données projet'!$E$10+1,1))-AVERAGE(OFFSET($H$3,0,0,'Données projet'!$E$10+1,1))</f>
        <v>335.81667389179631</v>
      </c>
      <c r="AO132" s="59">
        <f t="shared" si="90"/>
        <v>137.96364450570718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0.37830871681923561</v>
      </c>
      <c r="AW132" s="21">
        <f>EXP(-LN(2)/2)*AW131+(1-EXP(-LN(2)/2))/(LN(2)/2)*AQ132*AT132*VLOOKUP('Données projet'!$B$10,Paramètres!$A$1:$I$89,3,0)*0.475*44/12</f>
        <v>1.1217124048738675E-14</v>
      </c>
      <c r="AX132" s="21">
        <f t="shared" ref="AX132:AX153" si="114">SUM(AU132:AW132)</f>
        <v>0.37830871681924683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5.25</v>
      </c>
      <c r="BD132" s="12">
        <f>IF('Données projet'!$A$88&gt;35,BD131+BC132-BL131,IF(A132&lt;'Données projet'!$A$88,$BA$205^A132,IF(A132='Données projet'!$A$88,'Données projet'!$B$88,BD131+BC132-BL131)))</f>
        <v>251</v>
      </c>
      <c r="BE132" s="13">
        <f>BD132*VLOOKUP('Données projet'!$B$11,Paramètres!$A$1:$I$89,3,0)*VLOOKUP('Données projet'!$B$11,Paramètres!$A$1:$I$89,5,0)</f>
        <v>254.51400000000001</v>
      </c>
      <c r="BF132" s="13">
        <f t="shared" si="91"/>
        <v>61.55153700847297</v>
      </c>
      <c r="BG132" s="20">
        <f t="shared" ref="BG132:BG153" si="115">(BE132+BF132)*0.475*44/12</f>
        <v>550.48081028975696</v>
      </c>
      <c r="BH132" s="59">
        <f t="shared" ref="BH132:BH195" si="116">BG132+(AY132+AZ132)*44/12</f>
        <v>843.81414362309033</v>
      </c>
      <c r="BI132" s="59">
        <f ca="1">AVERAGE(OFFSET($BH$3,0,0,'Données projet'!$E$11+1,1))-AVERAGE(OFFSET($H$3,0,0,'Données projet'!$E$11+1,1))</f>
        <v>217.20784862627357</v>
      </c>
      <c r="BJ132" s="59">
        <f t="shared" si="92"/>
        <v>147.24433901219732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1">
        <f t="shared" ref="D133:D196" si="140">IFERROR(EXP(-1.0587+0.8836*LN(C133)+0.284),0)</f>
        <v>25.843002723192335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67">
        <f t="shared" si="110"/>
        <v>504.35192974289276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5.2446581196581219</v>
      </c>
      <c r="N133" s="13">
        <f>IF('Données projet'!$A$36&gt;35,N132+M133-V132,IF(A133&lt;'Données projet'!$A$36,$K$205^A133,IF(A133='Données projet'!$A$36,'Données projet'!$B$36,N132+M133-V132)))</f>
        <v>256.35790598290549</v>
      </c>
      <c r="O133" s="13">
        <f>N133*VLOOKUP('Données projet'!$B$9,Paramètres!$A$1:$I$89,3,0)*VLOOKUP('Données projet'!$B$9,Paramètres!$A$1:$I$89,5,0)</f>
        <v>231.95263333333287</v>
      </c>
      <c r="P133" s="13">
        <f t="shared" ref="P133:P196" si="141">EXP(-1.0587+0.8836*LN(O133)+0.284)</f>
        <v>56.704678554548856</v>
      </c>
      <c r="Q133" s="20">
        <f t="shared" si="108"/>
        <v>502.74481820472732</v>
      </c>
      <c r="R133" s="59">
        <f t="shared" si="109"/>
        <v>796.07815153806064</v>
      </c>
      <c r="S133" s="59">
        <f ca="1">AVERAGE(OFFSET($R$3,0,0,'Données projet'!$E$9+1,1))-AVERAGE(OFFSET($H$3,0,0,'Données projet'!$E$9+1,1))</f>
        <v>180.68512008344129</v>
      </c>
      <c r="T133" s="59">
        <f t="shared" ref="T133:T196" si="142">$T$3</f>
        <v>125.86231758828899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407</v>
      </c>
      <c r="AG133" s="12">
        <f>VLOOKUP(A133,'Données projet'!$A$61:$I$81,9,0)</f>
        <v>5.9</v>
      </c>
      <c r="AH133" s="12">
        <f t="array" ref="AH133">INDEX(AG:AG,MIN(IF(ISNUMBER(AG133:AG329),ROW(AG133:AG329),"")))</f>
        <v>5.9</v>
      </c>
      <c r="AI133" s="13">
        <f>IF('Données projet'!$A$62&gt;35,AI132+AH133-AQ132,IF(A133&lt;'Données projet'!$A$62,$AF$205^A133,IF(A133='Données projet'!$A$62,'Données projet'!$B$62,AI132+AH133-AQ132)))</f>
        <v>407.00000000000017</v>
      </c>
      <c r="AJ133" s="13">
        <f>AI133*VLOOKUP('Données projet'!$B$10,Paramètres!$A$1:$I$89,3,0)*VLOOKUP('Données projet'!$B$10,Paramètres!$A$1:$I$89,5,0)</f>
        <v>349.20600000000019</v>
      </c>
      <c r="AK133" s="13">
        <f t="shared" ref="AK133:AK153" si="143">EXP(-1.0587+0.8836*LN(AJ133)+0.284)</f>
        <v>81.39899678761104</v>
      </c>
      <c r="AL133" s="20">
        <f t="shared" si="112"/>
        <v>749.97036940508951</v>
      </c>
      <c r="AM133" s="59">
        <f t="shared" si="113"/>
        <v>1043.3037027384228</v>
      </c>
      <c r="AN133" s="59">
        <f ca="1">AVERAGE(OFFSET($AM$3,0,0,'Données projet'!$E$10+1,1))-AVERAGE(OFFSET($H$3,0,0,'Données projet'!$E$10+1,1))</f>
        <v>335.81667389179631</v>
      </c>
      <c r="AO133" s="59">
        <f t="shared" ref="AO133:AO196" si="144">$AO$3</f>
        <v>137.96364450570718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47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0.36796384506342283</v>
      </c>
      <c r="AW133" s="21">
        <f>EXP(-LN(2)/2)*AW132+(1-EXP(-LN(2)/2))/(LN(2)/2)*AQ133*AT133*VLOOKUP('Données projet'!$B$10,Paramètres!$A$1:$I$89,3,0)*0.475*44/12</f>
        <v>7.9317044802738182E-15</v>
      </c>
      <c r="AX133" s="21">
        <f t="shared" si="114"/>
        <v>0.36796384506343077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5.25</v>
      </c>
      <c r="BD133" s="12">
        <f>IF('Données projet'!$A$88&gt;35,BD132+BC133-BL132,IF(A133&lt;'Données projet'!$A$88,$BA$205^A133,IF(A133='Données projet'!$A$88,'Données projet'!$B$88,BD132+BC133-BL132)))</f>
        <v>256.25</v>
      </c>
      <c r="BE133" s="13">
        <f>BD133*VLOOKUP('Données projet'!$B$11,Paramètres!$A$1:$I$89,3,0)*VLOOKUP('Données projet'!$B$11,Paramètres!$A$1:$I$89,5,0)</f>
        <v>259.83750000000003</v>
      </c>
      <c r="BF133" s="13">
        <f t="shared" ref="BF133:BF153" si="145">EXP(-1.0587+0.8836*LN(BE133)+0.284)</f>
        <v>62.687738262670237</v>
      </c>
      <c r="BG133" s="20">
        <f t="shared" si="115"/>
        <v>561.73145664081733</v>
      </c>
      <c r="BH133" s="59">
        <f t="shared" si="116"/>
        <v>855.0647899741507</v>
      </c>
      <c r="BI133" s="59">
        <f ca="1">AVERAGE(OFFSET($BH$3,0,0,'Données projet'!$E$11+1,1))-AVERAGE(OFFSET($H$3,0,0,'Données projet'!$E$11+1,1))</f>
        <v>217.20784862627357</v>
      </c>
      <c r="BJ133" s="59">
        <f t="shared" ref="BJ133:BJ196" si="146">$BJ$3</f>
        <v>147.24433901219732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1">
        <f t="shared" si="140"/>
        <v>26.018577210521507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67">
        <f t="shared" si="110"/>
        <v>505.93471197499105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5.2446581196581219</v>
      </c>
      <c r="N134" s="13">
        <f>IF('Données projet'!$A$36&gt;35,N133+M134-V133,IF(A134&lt;'Données projet'!$A$36,$K$205^A134,IF(A134='Données projet'!$A$36,'Données projet'!$B$36,N133+M134-V133)))</f>
        <v>261.60256410256363</v>
      </c>
      <c r="O134" s="13">
        <f>N134*VLOOKUP('Données projet'!$B$9,Paramètres!$A$1:$I$89,3,0)*VLOOKUP('Données projet'!$B$9,Paramètres!$A$1:$I$89,5,0)</f>
        <v>236.69799999999958</v>
      </c>
      <c r="P134" s="13">
        <f t="shared" si="141"/>
        <v>57.728517287605179</v>
      </c>
      <c r="Q134" s="20">
        <f t="shared" si="108"/>
        <v>512.7928509425783</v>
      </c>
      <c r="R134" s="59">
        <f t="shared" si="109"/>
        <v>806.12618427591156</v>
      </c>
      <c r="S134" s="59">
        <f ca="1">AVERAGE(OFFSET($R$3,0,0,'Données projet'!$E$9+1,1))-AVERAGE(OFFSET($H$3,0,0,'Données projet'!$E$9+1,1))</f>
        <v>180.68512008344129</v>
      </c>
      <c r="T134" s="59">
        <f t="shared" si="142"/>
        <v>125.86231758828899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5.0999999999999996</v>
      </c>
      <c r="AI134" s="13">
        <f>IF('Données projet'!$A$62&gt;35,AI133+AH134-AQ133,IF(A134&lt;'Données projet'!$A$62,$AF$205^A134,IF(A134='Données projet'!$A$62,'Données projet'!$B$62,AI133+AH134-AQ133)))</f>
        <v>365.10000000000019</v>
      </c>
      <c r="AJ134" s="13">
        <f>AI134*VLOOKUP('Données projet'!$B$10,Paramètres!$A$1:$I$89,3,0)*VLOOKUP('Données projet'!$B$10,Paramètres!$A$1:$I$89,5,0)</f>
        <v>313.25580000000019</v>
      </c>
      <c r="AK134" s="13">
        <f t="shared" si="143"/>
        <v>73.948356797752027</v>
      </c>
      <c r="AL134" s="20">
        <f t="shared" si="112"/>
        <v>674.38057308941836</v>
      </c>
      <c r="AM134" s="59">
        <f t="shared" si="113"/>
        <v>967.71390642275173</v>
      </c>
      <c r="AN134" s="59">
        <f ca="1">AVERAGE(OFFSET($AM$3,0,0,'Données projet'!$E$10+1,1))-AVERAGE(OFFSET($H$3,0,0,'Données projet'!$E$10+1,1))</f>
        <v>335.81667389179631</v>
      </c>
      <c r="AO134" s="59">
        <f t="shared" si="144"/>
        <v>137.96364450570718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0.35790185436978594</v>
      </c>
      <c r="AW134" s="21">
        <f>EXP(-LN(2)/2)*AW133+(1-EXP(-LN(2)/2))/(LN(2)/2)*AQ134*AT134*VLOOKUP('Données projet'!$B$10,Paramètres!$A$1:$I$89,3,0)*0.475*44/12</f>
        <v>5.6085620243693375E-15</v>
      </c>
      <c r="AX134" s="21">
        <f t="shared" si="114"/>
        <v>0.35790185436979155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5.25</v>
      </c>
      <c r="BD134" s="12">
        <f>IF('Données projet'!$A$88&gt;35,BD133+BC134-BL133,IF(A134&lt;'Données projet'!$A$88,$BA$205^A134,IF(A134='Données projet'!$A$88,'Données projet'!$B$88,BD133+BC134-BL133)))</f>
        <v>261.5</v>
      </c>
      <c r="BE134" s="13">
        <f>BD134*VLOOKUP('Données projet'!$B$11,Paramètres!$A$1:$I$89,3,0)*VLOOKUP('Données projet'!$B$11,Paramètres!$A$1:$I$89,5,0)</f>
        <v>265.161</v>
      </c>
      <c r="BF134" s="13">
        <f t="shared" si="145"/>
        <v>63.82123295446074</v>
      </c>
      <c r="BG134" s="20">
        <f t="shared" si="115"/>
        <v>572.97738906235247</v>
      </c>
      <c r="BH134" s="59">
        <f t="shared" si="116"/>
        <v>866.31072239568584</v>
      </c>
      <c r="BI134" s="59">
        <f ca="1">AVERAGE(OFFSET($BH$3,0,0,'Données projet'!$E$11+1,1))-AVERAGE(OFFSET($H$3,0,0,'Données projet'!$E$11+1,1))</f>
        <v>217.20784862627357</v>
      </c>
      <c r="BJ134" s="59">
        <f t="shared" si="146"/>
        <v>147.24433901219732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1">
        <f t="shared" si="140"/>
        <v>26.193995758894371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67">
        <f t="shared" si="110"/>
        <v>507.51722261340717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5.2446581196581219</v>
      </c>
      <c r="N135" s="13">
        <f>IF('Données projet'!$A$36&gt;35,N134+M135-V134,IF(A135&lt;'Données projet'!$A$36,$K$205^A135,IF(A135='Données projet'!$A$36,'Données projet'!$B$36,N134+M135-V134)))</f>
        <v>266.84722222222177</v>
      </c>
      <c r="O135" s="13">
        <f>N135*VLOOKUP('Données projet'!$B$9,Paramètres!$A$1:$I$89,3,0)*VLOOKUP('Données projet'!$B$9,Paramètres!$A$1:$I$89,5,0)</f>
        <v>241.44336666666626</v>
      </c>
      <c r="P135" s="13">
        <f t="shared" si="141"/>
        <v>58.749969397569316</v>
      </c>
      <c r="Q135" s="20">
        <f t="shared" si="108"/>
        <v>522.83672697854365</v>
      </c>
      <c r="R135" s="59">
        <f t="shared" si="109"/>
        <v>816.17006031187702</v>
      </c>
      <c r="S135" s="59">
        <f ca="1">AVERAGE(OFFSET($R$3,0,0,'Données projet'!$E$9+1,1))-AVERAGE(OFFSET($H$3,0,0,'Données projet'!$E$9+1,1))</f>
        <v>180.68512008344129</v>
      </c>
      <c r="T135" s="59">
        <f t="shared" si="142"/>
        <v>125.86231758828899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5.0999999999999996</v>
      </c>
      <c r="AI135" s="13">
        <f>IF('Données projet'!$A$62&gt;35,AI134+AH135-AQ134,IF(A135&lt;'Données projet'!$A$62,$AF$205^A135,IF(A135='Données projet'!$A$62,'Données projet'!$B$62,AI134+AH135-AQ134)))</f>
        <v>370.20000000000022</v>
      </c>
      <c r="AJ135" s="13">
        <f>AI135*VLOOKUP('Données projet'!$B$10,Paramètres!$A$1:$I$89,3,0)*VLOOKUP('Données projet'!$B$10,Paramètres!$A$1:$I$89,5,0)</f>
        <v>317.63160000000022</v>
      </c>
      <c r="AK135" s="13">
        <f t="shared" si="143"/>
        <v>74.860349124335784</v>
      </c>
      <c r="AL135" s="20">
        <f t="shared" si="112"/>
        <v>683.59014472488514</v>
      </c>
      <c r="AM135" s="59">
        <f t="shared" si="113"/>
        <v>976.92347805821851</v>
      </c>
      <c r="AN135" s="59">
        <f ca="1">AVERAGE(OFFSET($AM$3,0,0,'Données projet'!$E$10+1,1))-AVERAGE(OFFSET($H$3,0,0,'Données projet'!$E$10+1,1))</f>
        <v>335.81667389179631</v>
      </c>
      <c r="AO135" s="59">
        <f t="shared" si="144"/>
        <v>137.96364450570718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0.34811500934080364</v>
      </c>
      <c r="AW135" s="21">
        <f>EXP(-LN(2)/2)*AW134+(1-EXP(-LN(2)/2))/(LN(2)/2)*AQ135*AT135*VLOOKUP('Données projet'!$B$10,Paramètres!$A$1:$I$89,3,0)*0.475*44/12</f>
        <v>3.9658522401369091E-15</v>
      </c>
      <c r="AX135" s="21">
        <f t="shared" si="114"/>
        <v>0.34811500934080758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5.25</v>
      </c>
      <c r="BD135" s="12">
        <f>IF('Données projet'!$A$88&gt;35,BD134+BC135-BL134,IF(A135&lt;'Données projet'!$A$88,$BA$205^A135,IF(A135='Données projet'!$A$88,'Données projet'!$B$88,BD134+BC135-BL134)))</f>
        <v>266.75</v>
      </c>
      <c r="BE135" s="13">
        <f>BD135*VLOOKUP('Données projet'!$B$11,Paramètres!$A$1:$I$89,3,0)*VLOOKUP('Données projet'!$B$11,Paramètres!$A$1:$I$89,5,0)</f>
        <v>270.48450000000003</v>
      </c>
      <c r="BF135" s="13">
        <f t="shared" si="145"/>
        <v>64.952081684457482</v>
      </c>
      <c r="BG135" s="20">
        <f t="shared" si="115"/>
        <v>584.21871310043014</v>
      </c>
      <c r="BH135" s="59">
        <f t="shared" si="116"/>
        <v>877.55204643376351</v>
      </c>
      <c r="BI135" s="59">
        <f ca="1">AVERAGE(OFFSET($BH$3,0,0,'Données projet'!$E$11+1,1))-AVERAGE(OFFSET($H$3,0,0,'Données projet'!$E$11+1,1))</f>
        <v>217.20784862627357</v>
      </c>
      <c r="BJ135" s="59">
        <f t="shared" si="146"/>
        <v>147.24433901219732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1">
        <f t="shared" si="140"/>
        <v>26.369259686620403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67">
        <f t="shared" si="110"/>
        <v>509.09946395419666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5.2446581196581219</v>
      </c>
      <c r="N136" s="13">
        <f>IF('Données projet'!$A$36&gt;35,N135+M136-V135,IF(A136&lt;'Données projet'!$A$36,$K$205^A136,IF(A136='Données projet'!$A$36,'Données projet'!$B$36,N135+M136-V135)))</f>
        <v>272.09188034187991</v>
      </c>
      <c r="O136" s="13">
        <f>N136*VLOOKUP('Données projet'!$B$9,Paramètres!$A$1:$I$89,3,0)*VLOOKUP('Données projet'!$B$9,Paramètres!$A$1:$I$89,5,0)</f>
        <v>246.18873333333292</v>
      </c>
      <c r="P136" s="13">
        <f t="shared" si="141"/>
        <v>59.769087198438612</v>
      </c>
      <c r="Q136" s="20">
        <f t="shared" si="108"/>
        <v>532.87653742616862</v>
      </c>
      <c r="R136" s="59">
        <f t="shared" si="109"/>
        <v>826.20987075950188</v>
      </c>
      <c r="S136" s="59">
        <f ca="1">AVERAGE(OFFSET($R$3,0,0,'Données projet'!$E$9+1,1))-AVERAGE(OFFSET($H$3,0,0,'Données projet'!$E$9+1,1))</f>
        <v>180.68512008344129</v>
      </c>
      <c r="T136" s="59">
        <f t="shared" si="142"/>
        <v>125.86231758828899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5.0999999999999996</v>
      </c>
      <c r="AI136" s="13">
        <f>IF('Données projet'!$A$62&gt;35,AI135+AH136-AQ135,IF(A136&lt;'Données projet'!$A$62,$AF$205^A136,IF(A136='Données projet'!$A$62,'Données projet'!$B$62,AI135+AH136-AQ135)))</f>
        <v>375.30000000000024</v>
      </c>
      <c r="AJ136" s="13">
        <f>AI136*VLOOKUP('Données projet'!$B$10,Paramètres!$A$1:$I$89,3,0)*VLOOKUP('Données projet'!$B$10,Paramètres!$A$1:$I$89,5,0)</f>
        <v>322.00740000000025</v>
      </c>
      <c r="AK136" s="13">
        <f t="shared" si="143"/>
        <v>75.770880134416487</v>
      </c>
      <c r="AL136" s="20">
        <f t="shared" si="112"/>
        <v>692.7971712341091</v>
      </c>
      <c r="AM136" s="59">
        <f t="shared" si="113"/>
        <v>986.13050456744236</v>
      </c>
      <c r="AN136" s="59">
        <f ca="1">AVERAGE(OFFSET($AM$3,0,0,'Données projet'!$E$10+1,1))-AVERAGE(OFFSET($H$3,0,0,'Données projet'!$E$10+1,1))</f>
        <v>335.81667389179631</v>
      </c>
      <c r="AO136" s="59">
        <f t="shared" si="144"/>
        <v>137.96364450570718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0.33859578610380664</v>
      </c>
      <c r="AW136" s="21">
        <f>EXP(-LN(2)/2)*AW135+(1-EXP(-LN(2)/2))/(LN(2)/2)*AQ136*AT136*VLOOKUP('Données projet'!$B$10,Paramètres!$A$1:$I$89,3,0)*0.475*44/12</f>
        <v>2.8042810121846687E-15</v>
      </c>
      <c r="AX136" s="21">
        <f t="shared" si="114"/>
        <v>0.33859578610380947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5.25</v>
      </c>
      <c r="BD136" s="12">
        <f>IF('Données projet'!$A$88&gt;35,BD135+BC136-BL135,IF(A136&lt;'Données projet'!$A$88,$BA$205^A136,IF(A136='Données projet'!$A$88,'Données projet'!$B$88,BD135+BC136-BL135)))</f>
        <v>272</v>
      </c>
      <c r="BE136" s="13">
        <f>BD136*VLOOKUP('Données projet'!$B$11,Paramètres!$A$1:$I$89,3,0)*VLOOKUP('Données projet'!$B$11,Paramètres!$A$1:$I$89,5,0)</f>
        <v>275.80800000000005</v>
      </c>
      <c r="BF136" s="13">
        <f t="shared" si="145"/>
        <v>66.08034253144065</v>
      </c>
      <c r="BG136" s="20">
        <f t="shared" si="115"/>
        <v>595.45552990892577</v>
      </c>
      <c r="BH136" s="59">
        <f t="shared" si="116"/>
        <v>888.78886324225914</v>
      </c>
      <c r="BI136" s="59">
        <f ca="1">AVERAGE(OFFSET($BH$3,0,0,'Données projet'!$E$11+1,1))-AVERAGE(OFFSET($H$3,0,0,'Données projet'!$E$11+1,1))</f>
        <v>217.20784862627357</v>
      </c>
      <c r="BJ136" s="59">
        <f t="shared" si="146"/>
        <v>147.24433901219732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1">
        <f t="shared" si="140"/>
        <v>26.544370291039762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67">
        <f t="shared" si="110"/>
        <v>510.68143825689367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5.2446581196581219</v>
      </c>
      <c r="N137" s="13">
        <f>IF('Données projet'!$A$36&gt;35,N136+M137-V136,IF(A137&lt;'Données projet'!$A$36,$K$205^A137,IF(A137='Données projet'!$A$36,'Données projet'!$B$36,N136+M137-V136)))</f>
        <v>277.33653846153805</v>
      </c>
      <c r="O137" s="13">
        <f>N137*VLOOKUP('Données projet'!$B$9,Paramètres!$A$1:$I$89,3,0)*VLOOKUP('Données projet'!$B$9,Paramètres!$A$1:$I$89,5,0)</f>
        <v>250.9340999999996</v>
      </c>
      <c r="P137" s="13">
        <f t="shared" si="141"/>
        <v>60.785920872094742</v>
      </c>
      <c r="Q137" s="20">
        <f t="shared" si="108"/>
        <v>542.91236968556427</v>
      </c>
      <c r="R137" s="59">
        <f t="shared" si="109"/>
        <v>836.24570301889753</v>
      </c>
      <c r="S137" s="59">
        <f ca="1">AVERAGE(OFFSET($R$3,0,0,'Données projet'!$E$9+1,1))-AVERAGE(OFFSET($H$3,0,0,'Données projet'!$E$9+1,1))</f>
        <v>180.68512008344129</v>
      </c>
      <c r="T137" s="59">
        <f t="shared" si="142"/>
        <v>125.86231758828899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5.0999999999999996</v>
      </c>
      <c r="AI137" s="13">
        <f>IF('Données projet'!$A$62&gt;35,AI136+AH137-AQ136,IF(A137&lt;'Données projet'!$A$62,$AF$205^A137,IF(A137='Données projet'!$A$62,'Données projet'!$B$62,AI136+AH137-AQ136)))</f>
        <v>380.40000000000026</v>
      </c>
      <c r="AJ137" s="13">
        <f>AI137*VLOOKUP('Données projet'!$B$10,Paramètres!$A$1:$I$89,3,0)*VLOOKUP('Données projet'!$B$10,Paramètres!$A$1:$I$89,5,0)</f>
        <v>326.38320000000027</v>
      </c>
      <c r="AK137" s="13">
        <f t="shared" si="143"/>
        <v>76.679971981333125</v>
      </c>
      <c r="AL137" s="20">
        <f t="shared" si="112"/>
        <v>702.00169120082239</v>
      </c>
      <c r="AM137" s="59">
        <f t="shared" si="113"/>
        <v>995.33502453415576</v>
      </c>
      <c r="AN137" s="59">
        <f ca="1">AVERAGE(OFFSET($AM$3,0,0,'Données projet'!$E$10+1,1))-AVERAGE(OFFSET($H$3,0,0,'Données projet'!$E$10+1,1))</f>
        <v>335.81667389179631</v>
      </c>
      <c r="AO137" s="59">
        <f t="shared" si="144"/>
        <v>137.96364450570718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0.32933686652681954</v>
      </c>
      <c r="AW137" s="21">
        <f>EXP(-LN(2)/2)*AW136+(1-EXP(-LN(2)/2))/(LN(2)/2)*AQ137*AT137*VLOOKUP('Données projet'!$B$10,Paramètres!$A$1:$I$89,3,0)*0.475*44/12</f>
        <v>1.9829261200684546E-15</v>
      </c>
      <c r="AX137" s="21">
        <f t="shared" si="114"/>
        <v>0.32933686652682154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5.25</v>
      </c>
      <c r="BD137" s="12">
        <f>IF('Données projet'!$A$88&gt;35,BD136+BC137-BL136,IF(A137&lt;'Données projet'!$A$88,$BA$205^A137,IF(A137='Données projet'!$A$88,'Données projet'!$B$88,BD136+BC137-BL136)))</f>
        <v>277.25</v>
      </c>
      <c r="BE137" s="13">
        <f>BD137*VLOOKUP('Données projet'!$B$11,Paramètres!$A$1:$I$89,3,0)*VLOOKUP('Données projet'!$B$11,Paramètres!$A$1:$I$89,5,0)</f>
        <v>281.13150000000002</v>
      </c>
      <c r="BF137" s="13">
        <f t="shared" si="145"/>
        <v>67.20607120391513</v>
      </c>
      <c r="BG137" s="20">
        <f t="shared" si="115"/>
        <v>606.68793651348562</v>
      </c>
      <c r="BH137" s="59">
        <f t="shared" si="116"/>
        <v>900.021269846819</v>
      </c>
      <c r="BI137" s="59">
        <f ca="1">AVERAGE(OFFSET($BH$3,0,0,'Données projet'!$E$11+1,1))-AVERAGE(OFFSET($H$3,0,0,'Données projet'!$E$11+1,1))</f>
        <v>217.20784862627357</v>
      </c>
      <c r="BJ137" s="59">
        <f t="shared" si="146"/>
        <v>147.24433901219732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1">
        <f t="shared" si="140"/>
        <v>26.719328849010672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67">
        <f t="shared" si="110"/>
        <v>512.26314774535967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5.2446581196581219</v>
      </c>
      <c r="N138" s="13">
        <f>IF('Données projet'!$A$36&gt;35,N137+M138-V137,IF(A138&lt;'Données projet'!$A$36,$K$205^A138,IF(A138='Données projet'!$A$36,'Données projet'!$B$36,N137+M138-V137)))</f>
        <v>282.5811965811962</v>
      </c>
      <c r="O138" s="13">
        <f>N138*VLOOKUP('Données projet'!$B$9,Paramètres!$A$1:$I$89,3,0)*VLOOKUP('Données projet'!$B$9,Paramètres!$A$1:$I$89,5,0)</f>
        <v>255.67946666666631</v>
      </c>
      <c r="P138" s="13">
        <f t="shared" si="141"/>
        <v>61.800518593848722</v>
      </c>
      <c r="Q138" s="20">
        <f t="shared" si="108"/>
        <v>552.94430766206358</v>
      </c>
      <c r="R138" s="59">
        <f t="shared" si="109"/>
        <v>846.27764099539695</v>
      </c>
      <c r="S138" s="59">
        <f ca="1">AVERAGE(OFFSET($R$3,0,0,'Données projet'!$E$9+1,1))-AVERAGE(OFFSET($H$3,0,0,'Données projet'!$E$9+1,1))</f>
        <v>180.68512008344129</v>
      </c>
      <c r="T138" s="59">
        <f t="shared" si="142"/>
        <v>125.86231758828899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5.0999999999999996</v>
      </c>
      <c r="AI138" s="13">
        <f>IF('Données projet'!$A$62&gt;35,AI137+AH138-AQ137,IF(A138&lt;'Données projet'!$A$62,$AF$205^A138,IF(A138='Données projet'!$A$62,'Données projet'!$B$62,AI137+AH138-AQ137)))</f>
        <v>385.50000000000028</v>
      </c>
      <c r="AJ138" s="13">
        <f>AI138*VLOOKUP('Données projet'!$B$10,Paramètres!$A$1:$I$89,3,0)*VLOOKUP('Données projet'!$B$10,Paramètres!$A$1:$I$89,5,0)</f>
        <v>330.7590000000003</v>
      </c>
      <c r="AK138" s="13">
        <f t="shared" si="143"/>
        <v>77.587646190269894</v>
      </c>
      <c r="AL138" s="20">
        <f t="shared" si="112"/>
        <v>711.20374211472051</v>
      </c>
      <c r="AM138" s="59">
        <f t="shared" si="113"/>
        <v>1004.5370754480539</v>
      </c>
      <c r="AN138" s="59">
        <f ca="1">AVERAGE(OFFSET($AM$3,0,0,'Données projet'!$E$10+1,1))-AVERAGE(OFFSET($H$3,0,0,'Données projet'!$E$10+1,1))</f>
        <v>335.81667389179631</v>
      </c>
      <c r="AO138" s="59">
        <f t="shared" si="144"/>
        <v>137.96364450570718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0.32033113259257057</v>
      </c>
      <c r="AW138" s="21">
        <f>EXP(-LN(2)/2)*AW137+(1-EXP(-LN(2)/2))/(LN(2)/2)*AQ138*AT138*VLOOKUP('Données projet'!$B$10,Paramètres!$A$1:$I$89,3,0)*0.475*44/12</f>
        <v>1.4021405060923344E-15</v>
      </c>
      <c r="AX138" s="21">
        <f t="shared" si="114"/>
        <v>0.32033113259257195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5.25</v>
      </c>
      <c r="BD138" s="12">
        <f>IF('Données projet'!$A$88&gt;35,BD137+BC138-BL137,IF(A138&lt;'Données projet'!$A$88,$BA$205^A138,IF(A138='Données projet'!$A$88,'Données projet'!$B$88,BD137+BC138-BL137)))</f>
        <v>282.5</v>
      </c>
      <c r="BE138" s="13">
        <f>BD138*VLOOKUP('Données projet'!$B$11,Paramètres!$A$1:$I$89,3,0)*VLOOKUP('Données projet'!$B$11,Paramètres!$A$1:$I$89,5,0)</f>
        <v>286.45499999999998</v>
      </c>
      <c r="BF138" s="13">
        <f t="shared" si="145"/>
        <v>68.329321179865715</v>
      </c>
      <c r="BG138" s="20">
        <f t="shared" si="115"/>
        <v>617.91602605493279</v>
      </c>
      <c r="BH138" s="59">
        <f t="shared" si="116"/>
        <v>911.24935938826616</v>
      </c>
      <c r="BI138" s="59">
        <f ca="1">AVERAGE(OFFSET($BH$3,0,0,'Données projet'!$E$11+1,1))-AVERAGE(OFFSET($H$3,0,0,'Données projet'!$E$11+1,1))</f>
        <v>217.20784862627357</v>
      </c>
      <c r="BJ138" s="59">
        <f t="shared" si="146"/>
        <v>147.24433901219732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1">
        <f t="shared" si="140"/>
        <v>26.894136617382109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67">
        <f t="shared" si="110"/>
        <v>513.8445946086066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5.2446581196581219</v>
      </c>
      <c r="N139" s="13">
        <f>IF('Données projet'!$A$36&gt;35,N138+M139-V138,IF(A139&lt;'Données projet'!$A$36,$K$205^A139,IF(A139='Données projet'!$A$36,'Données projet'!$B$36,N138+M139-V138)))</f>
        <v>287.82585470085434</v>
      </c>
      <c r="O139" s="13">
        <f>N139*VLOOKUP('Données projet'!$B$9,Paramètres!$A$1:$I$89,3,0)*VLOOKUP('Données projet'!$B$9,Paramètres!$A$1:$I$89,5,0)</f>
        <v>260.42483333333297</v>
      </c>
      <c r="P139" s="13">
        <f t="shared" si="141"/>
        <v>62.81292664840214</v>
      </c>
      <c r="Q139" s="20">
        <f t="shared" si="108"/>
        <v>562.97243196818863</v>
      </c>
      <c r="R139" s="59">
        <f t="shared" si="109"/>
        <v>856.30576530152189</v>
      </c>
      <c r="S139" s="59">
        <f ca="1">AVERAGE(OFFSET($R$3,0,0,'Données projet'!$E$9+1,1))-AVERAGE(OFFSET($H$3,0,0,'Données projet'!$E$9+1,1))</f>
        <v>180.68512008344129</v>
      </c>
      <c r="T139" s="59">
        <f t="shared" si="142"/>
        <v>125.86231758828899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5.0999999999999996</v>
      </c>
      <c r="AI139" s="13">
        <f>IF('Données projet'!$A$62&gt;35,AI138+AH139-AQ138,IF(A139&lt;'Données projet'!$A$62,$AF$205^A139,IF(A139='Données projet'!$A$62,'Données projet'!$B$62,AI138+AH139-AQ138)))</f>
        <v>390.60000000000031</v>
      </c>
      <c r="AJ139" s="13">
        <f>AI139*VLOOKUP('Données projet'!$B$10,Paramètres!$A$1:$I$89,3,0)*VLOOKUP('Données projet'!$B$10,Paramètres!$A$1:$I$89,5,0)</f>
        <v>335.13480000000033</v>
      </c>
      <c r="AK139" s="13">
        <f t="shared" si="143"/>
        <v>78.493923684137798</v>
      </c>
      <c r="AL139" s="20">
        <f t="shared" si="112"/>
        <v>720.40336041654052</v>
      </c>
      <c r="AM139" s="59">
        <f t="shared" si="113"/>
        <v>1013.7366937498739</v>
      </c>
      <c r="AN139" s="59">
        <f ca="1">AVERAGE(OFFSET($AM$3,0,0,'Données projet'!$E$10+1,1))-AVERAGE(OFFSET($H$3,0,0,'Données projet'!$E$10+1,1))</f>
        <v>335.81667389179631</v>
      </c>
      <c r="AO139" s="59">
        <f t="shared" si="144"/>
        <v>137.96364450570718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0.31157166092634458</v>
      </c>
      <c r="AW139" s="21">
        <f>EXP(-LN(2)/2)*AW138+(1-EXP(-LN(2)/2))/(LN(2)/2)*AQ139*AT139*VLOOKUP('Données projet'!$B$10,Paramètres!$A$1:$I$89,3,0)*0.475*44/12</f>
        <v>9.9146306003422728E-16</v>
      </c>
      <c r="AX139" s="21">
        <f t="shared" si="114"/>
        <v>0.31157166092634558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5.25</v>
      </c>
      <c r="BD139" s="12">
        <f>IF('Données projet'!$A$88&gt;35,BD138+BC139-BL138,IF(A139&lt;'Données projet'!$A$88,$BA$205^A139,IF(A139='Données projet'!$A$88,'Données projet'!$B$88,BD138+BC139-BL138)))</f>
        <v>287.75</v>
      </c>
      <c r="BE139" s="13">
        <f>BD139*VLOOKUP('Données projet'!$B$11,Paramètres!$A$1:$I$89,3,0)*VLOOKUP('Données projet'!$B$11,Paramètres!$A$1:$I$89,5,0)</f>
        <v>291.77850000000001</v>
      </c>
      <c r="BF139" s="13">
        <f t="shared" si="145"/>
        <v>69.450143835827646</v>
      </c>
      <c r="BG139" s="20">
        <f t="shared" si="115"/>
        <v>629.1398880140664</v>
      </c>
      <c r="BH139" s="59">
        <f t="shared" si="116"/>
        <v>922.47322134739966</v>
      </c>
      <c r="BI139" s="59">
        <f ca="1">AVERAGE(OFFSET($BH$3,0,0,'Données projet'!$E$11+1,1))-AVERAGE(OFFSET($H$3,0,0,'Données projet'!$E$11+1,1))</f>
        <v>217.20784862627357</v>
      </c>
      <c r="BJ139" s="59">
        <f t="shared" si="146"/>
        <v>147.24433901219732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1">
        <f t="shared" si="140"/>
        <v>27.068794833452092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67">
        <f t="shared" si="110"/>
        <v>515.42578100159517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293.07051282051282</v>
      </c>
      <c r="L140" s="12">
        <f>VLOOKUP(A140,'Données projet'!$A$35:$I$55,9,0)</f>
        <v>5.2446581196581219</v>
      </c>
      <c r="M140" s="12">
        <f t="array" ref="M140">INDEX(L:L,MIN(IF(ISNUMBER(L140:L336),ROW(L140:L336),"")))</f>
        <v>5.2446581196581219</v>
      </c>
      <c r="N140" s="13">
        <f>IF('Données projet'!$A$36&gt;35,N139+M140-V139,IF(A140&lt;'Données projet'!$A$36,$K$205^A140,IF(A140='Données projet'!$A$36,'Données projet'!$B$36,N139+M140-V139)))</f>
        <v>293.07051282051248</v>
      </c>
      <c r="O140" s="13">
        <f>N140*VLOOKUP('Données projet'!$B$9,Paramètres!$A$1:$I$89,3,0)*VLOOKUP('Données projet'!$B$9,Paramètres!$A$1:$I$89,5,0)</f>
        <v>265.17019999999968</v>
      </c>
      <c r="P140" s="13">
        <f t="shared" si="141"/>
        <v>63.823189537116463</v>
      </c>
      <c r="Q140" s="20">
        <f t="shared" si="108"/>
        <v>572.9968201104773</v>
      </c>
      <c r="R140" s="59">
        <f t="shared" si="109"/>
        <v>866.33015344381056</v>
      </c>
      <c r="S140" s="59">
        <f ca="1">AVERAGE(OFFSET($R$3,0,0,'Données projet'!$E$9+1,1))-AVERAGE(OFFSET($H$3,0,0,'Données projet'!$E$9+1,1))</f>
        <v>180.68512008344129</v>
      </c>
      <c r="T140" s="59">
        <f t="shared" si="142"/>
        <v>125.86231758828899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51.160256410256409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5.0999999999999996</v>
      </c>
      <c r="AI140" s="13">
        <f>IF('Données projet'!$A$62&gt;35,AI139+AH140-AQ139,IF(A140&lt;'Données projet'!$A$62,$AF$205^A140,IF(A140='Données projet'!$A$62,'Données projet'!$B$62,AI139+AH140-AQ139)))</f>
        <v>395.70000000000033</v>
      </c>
      <c r="AJ140" s="13">
        <f>AI140*VLOOKUP('Données projet'!$B$10,Paramètres!$A$1:$I$89,3,0)*VLOOKUP('Données projet'!$B$10,Paramètres!$A$1:$I$89,5,0)</f>
        <v>339.5106000000003</v>
      </c>
      <c r="AK140" s="13">
        <f t="shared" si="143"/>
        <v>79.398824808064774</v>
      </c>
      <c r="AL140" s="20">
        <f t="shared" si="112"/>
        <v>729.60058154071328</v>
      </c>
      <c r="AM140" s="59">
        <f t="shared" si="113"/>
        <v>1022.9339148740466</v>
      </c>
      <c r="AN140" s="59">
        <f ca="1">AVERAGE(OFFSET($AM$3,0,0,'Données projet'!$E$10+1,1))-AVERAGE(OFFSET($H$3,0,0,'Données projet'!$E$10+1,1))</f>
        <v>335.81667389179631</v>
      </c>
      <c r="AO140" s="59">
        <f t="shared" si="144"/>
        <v>137.96364450570718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0.30305171747347215</v>
      </c>
      <c r="AW140" s="21">
        <f>EXP(-LN(2)/2)*AW139+(1-EXP(-LN(2)/2))/(LN(2)/2)*AQ140*AT140*VLOOKUP('Données projet'!$B$10,Paramètres!$A$1:$I$89,3,0)*0.475*44/12</f>
        <v>7.0107025304616718E-16</v>
      </c>
      <c r="AX140" s="21">
        <f t="shared" si="114"/>
        <v>0.30305171747347287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293</v>
      </c>
      <c r="BB140" s="12">
        <f>VLOOKUP(A140,'Données projet'!$A$87:$I$107,9,0)</f>
        <v>5.25</v>
      </c>
      <c r="BC140" s="12">
        <f t="array" ref="BC140">INDEX(BB:BB,MIN(IF(ISNUMBER(BB140:BB336),ROW(BB140:BB336),"")))</f>
        <v>5.25</v>
      </c>
      <c r="BD140" s="12">
        <f>IF('Données projet'!$A$88&gt;35,BD139+BC140-BL139,IF(A140&lt;'Données projet'!$A$88,$BA$205^A140,IF(A140='Données projet'!$A$88,'Données projet'!$B$88,BD139+BC140-BL139)))</f>
        <v>293</v>
      </c>
      <c r="BE140" s="13">
        <f>BD140*VLOOKUP('Données projet'!$B$11,Paramètres!$A$1:$I$89,3,0)*VLOOKUP('Données projet'!$B$11,Paramètres!$A$1:$I$89,5,0)</f>
        <v>297.10200000000003</v>
      </c>
      <c r="BF140" s="13">
        <f t="shared" si="145"/>
        <v>70.568588566272823</v>
      </c>
      <c r="BG140" s="20">
        <f t="shared" si="115"/>
        <v>640.35960841959184</v>
      </c>
      <c r="BH140" s="59">
        <f t="shared" si="116"/>
        <v>933.69294175292521</v>
      </c>
      <c r="BI140" s="59">
        <f ca="1">AVERAGE(OFFSET($BH$3,0,0,'Données projet'!$E$11+1,1))-AVERAGE(OFFSET($H$3,0,0,'Données projet'!$E$11+1,1))</f>
        <v>217.20784862627357</v>
      </c>
      <c r="BJ140" s="59">
        <f t="shared" si="146"/>
        <v>147.24433901219732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51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1">
        <f t="shared" si="140"/>
        <v>27.243304715412286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67">
        <f t="shared" si="110"/>
        <v>517.00670904600918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5.1063034188034209</v>
      </c>
      <c r="N141" s="13">
        <f>IF('Données projet'!$A$36&gt;35,N140+M141-V140,IF(A141&lt;'Données projet'!$A$36,$K$205^A141,IF(A141='Données projet'!$A$36,'Données projet'!$B$36,N140+M141-V140)))</f>
        <v>247.01655982905947</v>
      </c>
      <c r="O141" s="13">
        <f>N141*VLOOKUP('Données projet'!$B$9,Paramètres!$A$1:$I$89,3,0)*VLOOKUP('Données projet'!$B$9,Paramètres!$A$1:$I$89,5,0)</f>
        <v>223.500583333333</v>
      </c>
      <c r="P141" s="13">
        <f t="shared" si="141"/>
        <v>54.875019768659023</v>
      </c>
      <c r="Q141" s="20">
        <f t="shared" si="108"/>
        <v>484.83750873596932</v>
      </c>
      <c r="R141" s="59">
        <f t="shared" si="109"/>
        <v>778.17084206930258</v>
      </c>
      <c r="S141" s="59">
        <f ca="1">AVERAGE(OFFSET($R$3,0,0,'Données projet'!$E$9+1,1))-AVERAGE(OFFSET($H$3,0,0,'Données projet'!$E$9+1,1))</f>
        <v>180.68512008344129</v>
      </c>
      <c r="T141" s="59">
        <f t="shared" si="142"/>
        <v>125.86231758828899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5.0999999999999996</v>
      </c>
      <c r="AI141" s="13">
        <f>IF('Données projet'!$A$62&gt;35,AI140+AH141-AQ140,IF(A141&lt;'Données projet'!$A$62,$AF$205^A141,IF(A141='Données projet'!$A$62,'Données projet'!$B$62,AI140+AH141-AQ140)))</f>
        <v>400.80000000000035</v>
      </c>
      <c r="AJ141" s="13">
        <f>AI141*VLOOKUP('Données projet'!$B$10,Paramètres!$A$1:$I$89,3,0)*VLOOKUP('Données projet'!$B$10,Paramètres!$A$1:$I$89,5,0)</f>
        <v>343.88640000000038</v>
      </c>
      <c r="AK141" s="13">
        <f t="shared" si="143"/>
        <v>80.302369352588414</v>
      </c>
      <c r="AL141" s="20">
        <f t="shared" si="112"/>
        <v>738.79543995575875</v>
      </c>
      <c r="AM141" s="59">
        <f t="shared" si="113"/>
        <v>1032.1287732890921</v>
      </c>
      <c r="AN141" s="59">
        <f ca="1">AVERAGE(OFFSET($AM$3,0,0,'Données projet'!$E$10+1,1))-AVERAGE(OFFSET($H$3,0,0,'Données projet'!$E$10+1,1))</f>
        <v>335.81667389179631</v>
      </c>
      <c r="AO141" s="59">
        <f t="shared" si="144"/>
        <v>137.96364450570718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0.29476475232236288</v>
      </c>
      <c r="AW141" s="21">
        <f>EXP(-LN(2)/2)*AW140+(1-EXP(-LN(2)/2))/(LN(2)/2)*AQ141*AT141*VLOOKUP('Données projet'!$B$10,Paramètres!$A$1:$I$89,3,0)*0.475*44/12</f>
        <v>4.9573153001711364E-16</v>
      </c>
      <c r="AX141" s="21">
        <f t="shared" si="114"/>
        <v>0.29476475232236338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5.083333333333333</v>
      </c>
      <c r="BD141" s="12">
        <f>IF('Données projet'!$A$88&gt;35,BD140+BC141-BL140,IF(A141&lt;'Données projet'!$A$88,$BA$205^A141,IF(A141='Données projet'!$A$88,'Données projet'!$B$88,BD140+BC141-BL140)))</f>
        <v>247.08333333333331</v>
      </c>
      <c r="BE141" s="13">
        <f>BD141*VLOOKUP('Données projet'!$B$11,Paramètres!$A$1:$I$89,3,0)*VLOOKUP('Données projet'!$B$11,Paramètres!$A$1:$I$89,5,0)</f>
        <v>250.54249999999999</v>
      </c>
      <c r="BF141" s="13">
        <f t="shared" si="145"/>
        <v>60.702094402852389</v>
      </c>
      <c r="BG141" s="20">
        <f t="shared" si="115"/>
        <v>542.08433525163457</v>
      </c>
      <c r="BH141" s="59">
        <f t="shared" si="116"/>
        <v>835.41766858496794</v>
      </c>
      <c r="BI141" s="59">
        <f ca="1">AVERAGE(OFFSET($BH$3,0,0,'Données projet'!$E$11+1,1))-AVERAGE(OFFSET($H$3,0,0,'Données projet'!$E$11+1,1))</f>
        <v>217.20784862627357</v>
      </c>
      <c r="BJ141" s="59">
        <f t="shared" si="146"/>
        <v>147.24433901219732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1">
        <f t="shared" si="140"/>
        <v>27.417667462779246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67">
        <f t="shared" si="110"/>
        <v>518.58738083100661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5.1063034188034209</v>
      </c>
      <c r="N142" s="13">
        <f>IF('Données projet'!$A$36&gt;35,N141+M142-V141,IF(A142&lt;'Données projet'!$A$36,$K$205^A142,IF(A142='Données projet'!$A$36,'Données projet'!$B$36,N141+M142-V141)))</f>
        <v>252.12286324786288</v>
      </c>
      <c r="O142" s="13">
        <f>N142*VLOOKUP('Données projet'!$B$9,Paramètres!$A$1:$I$89,3,0)*VLOOKUP('Données projet'!$B$9,Paramètres!$A$1:$I$89,5,0)</f>
        <v>228.12076666666633</v>
      </c>
      <c r="P142" s="13">
        <f t="shared" si="141"/>
        <v>55.876153534759418</v>
      </c>
      <c r="Q142" s="20">
        <f t="shared" si="108"/>
        <v>494.62796935081639</v>
      </c>
      <c r="R142" s="59">
        <f t="shared" si="109"/>
        <v>787.9613026841497</v>
      </c>
      <c r="S142" s="59">
        <f ca="1">AVERAGE(OFFSET($R$3,0,0,'Données projet'!$E$9+1,1))-AVERAGE(OFFSET($H$3,0,0,'Données projet'!$E$9+1,1))</f>
        <v>180.68512008344129</v>
      </c>
      <c r="T142" s="59">
        <f t="shared" si="142"/>
        <v>125.86231758828899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5.0999999999999996</v>
      </c>
      <c r="AI142" s="13">
        <f>IF('Données projet'!$A$62&gt;35,AI141+AH142-AQ141,IF(A142&lt;'Données projet'!$A$62,$AF$205^A142,IF(A142='Données projet'!$A$62,'Données projet'!$B$62,AI141+AH142-AQ141)))</f>
        <v>405.90000000000038</v>
      </c>
      <c r="AJ142" s="13">
        <f>AI142*VLOOKUP('Données projet'!$B$10,Paramètres!$A$1:$I$89,3,0)*VLOOKUP('Données projet'!$B$10,Paramètres!$A$1:$I$89,5,0)</f>
        <v>348.26220000000035</v>
      </c>
      <c r="AK142" s="13">
        <f t="shared" si="143"/>
        <v>81.204576575634022</v>
      </c>
      <c r="AL142" s="20">
        <f t="shared" si="112"/>
        <v>747.98796920256325</v>
      </c>
      <c r="AM142" s="59">
        <f t="shared" si="113"/>
        <v>1041.3213025358966</v>
      </c>
      <c r="AN142" s="59">
        <f ca="1">AVERAGE(OFFSET($AM$3,0,0,'Données projet'!$E$10+1,1))-AVERAGE(OFFSET($H$3,0,0,'Données projet'!$E$10+1,1))</f>
        <v>335.81667389179631</v>
      </c>
      <c r="AO142" s="59">
        <f t="shared" si="144"/>
        <v>137.96364450570718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0.28670439466910325</v>
      </c>
      <c r="AW142" s="21">
        <f>EXP(-LN(2)/2)*AW141+(1-EXP(-LN(2)/2))/(LN(2)/2)*AQ142*AT142*VLOOKUP('Données projet'!$B$10,Paramètres!$A$1:$I$89,3,0)*0.475*44/12</f>
        <v>3.5053512652308359E-16</v>
      </c>
      <c r="AX142" s="21">
        <f t="shared" si="114"/>
        <v>0.28670439466910358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5.083333333333333</v>
      </c>
      <c r="BD142" s="12">
        <f>IF('Données projet'!$A$88&gt;35,BD141+BC142-BL141,IF(A142&lt;'Données projet'!$A$88,$BA$205^A142,IF(A142='Données projet'!$A$88,'Données projet'!$B$88,BD141+BC142-BL141)))</f>
        <v>252.16666666666666</v>
      </c>
      <c r="BE142" s="13">
        <f>BD142*VLOOKUP('Données projet'!$B$11,Paramètres!$A$1:$I$89,3,0)*VLOOKUP('Données projet'!$B$11,Paramètres!$A$1:$I$89,5,0)</f>
        <v>255.697</v>
      </c>
      <c r="BF142" s="13">
        <f t="shared" si="145"/>
        <v>61.804263274020578</v>
      </c>
      <c r="BG142" s="20">
        <f t="shared" si="115"/>
        <v>552.98136686891917</v>
      </c>
      <c r="BH142" s="59">
        <f t="shared" si="116"/>
        <v>846.31470020225242</v>
      </c>
      <c r="BI142" s="59">
        <f ca="1">AVERAGE(OFFSET($BH$3,0,0,'Données projet'!$E$11+1,1))-AVERAGE(OFFSET($H$3,0,0,'Données projet'!$E$11+1,1))</f>
        <v>217.20784862627357</v>
      </c>
      <c r="BJ142" s="59">
        <f t="shared" si="146"/>
        <v>147.24433901219732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1">
        <f t="shared" si="140"/>
        <v>27.591884256812975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67">
        <f t="shared" si="110"/>
        <v>520.16779841394873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5.1063034188034209</v>
      </c>
      <c r="N143" s="13">
        <f>IF('Données projet'!$A$36&gt;35,N142+M143-V142,IF(A143&lt;'Données projet'!$A$36,$K$205^A143,IF(A143='Données projet'!$A$36,'Données projet'!$B$36,N142+M143-V142)))</f>
        <v>257.22916666666629</v>
      </c>
      <c r="O143" s="13">
        <f>N143*VLOOKUP('Données projet'!$B$9,Paramètres!$A$1:$I$89,3,0)*VLOOKUP('Données projet'!$B$9,Paramètres!$A$1:$I$89,5,0)</f>
        <v>232.74094999999966</v>
      </c>
      <c r="P143" s="13">
        <f t="shared" si="141"/>
        <v>56.874929761004168</v>
      </c>
      <c r="Q143" s="20">
        <f t="shared" si="108"/>
        <v>504.41432391708167</v>
      </c>
      <c r="R143" s="59">
        <f t="shared" si="109"/>
        <v>797.74765725041493</v>
      </c>
      <c r="S143" s="59">
        <f ca="1">AVERAGE(OFFSET($R$3,0,0,'Données projet'!$E$9+1,1))-AVERAGE(OFFSET($H$3,0,0,'Données projet'!$E$9+1,1))</f>
        <v>180.68512008344129</v>
      </c>
      <c r="T143" s="59">
        <f t="shared" si="142"/>
        <v>125.86231758828899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411</v>
      </c>
      <c r="AG143" s="12">
        <f>VLOOKUP(A143,'Données projet'!$A$61:$I$81,9,0)</f>
        <v>5.0999999999999996</v>
      </c>
      <c r="AH143" s="12">
        <f t="array" ref="AH143">INDEX(AG:AG,MIN(IF(ISNUMBER(AG143:AG339),ROW(AG143:AG339),"")))</f>
        <v>5.0999999999999996</v>
      </c>
      <c r="AI143" s="13">
        <f>IF('Données projet'!$A$62&gt;35,AI142+AH143-AQ142,IF(A143&lt;'Données projet'!$A$62,$AF$205^A143,IF(A143='Données projet'!$A$62,'Données projet'!$B$62,AI142+AH143-AQ142)))</f>
        <v>411.0000000000004</v>
      </c>
      <c r="AJ143" s="13">
        <f>AI143*VLOOKUP('Données projet'!$B$10,Paramètres!$A$1:$I$89,3,0)*VLOOKUP('Données projet'!$B$10,Paramètres!$A$1:$I$89,5,0)</f>
        <v>352.63800000000037</v>
      </c>
      <c r="AK143" s="13">
        <f t="shared" si="143"/>
        <v>82.105465223356973</v>
      </c>
      <c r="AL143" s="20">
        <f t="shared" si="112"/>
        <v>757.17820193068076</v>
      </c>
      <c r="AM143" s="59">
        <f t="shared" si="113"/>
        <v>1050.5115352640141</v>
      </c>
      <c r="AN143" s="59">
        <f ca="1">AVERAGE(OFFSET($AM$3,0,0,'Données projet'!$E$10+1,1))-AVERAGE(OFFSET($H$3,0,0,'Données projet'!$E$10+1,1))</f>
        <v>335.81667389179631</v>
      </c>
      <c r="AO143" s="59">
        <f t="shared" si="144"/>
        <v>137.96364450570718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41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0.27886444791974779</v>
      </c>
      <c r="AW143" s="21">
        <f>EXP(-LN(2)/2)*AW142+(1-EXP(-LN(2)/2))/(LN(2)/2)*AQ143*AT143*VLOOKUP('Données projet'!$B$10,Paramètres!$A$1:$I$89,3,0)*0.475*44/12</f>
        <v>2.4786576500855682E-16</v>
      </c>
      <c r="AX143" s="21">
        <f t="shared" si="114"/>
        <v>0.27886444791974802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5.083333333333333</v>
      </c>
      <c r="BD143" s="12">
        <f>IF('Données projet'!$A$88&gt;35,BD142+BC143-BL142,IF(A143&lt;'Données projet'!$A$88,$BA$205^A143,IF(A143='Données projet'!$A$88,'Données projet'!$B$88,BD142+BC143-BL142)))</f>
        <v>257.25</v>
      </c>
      <c r="BE143" s="13">
        <f>BD143*VLOOKUP('Données projet'!$B$11,Paramètres!$A$1:$I$89,3,0)*VLOOKUP('Données projet'!$B$11,Paramètres!$A$1:$I$89,5,0)</f>
        <v>260.85150000000004</v>
      </c>
      <c r="BF143" s="13">
        <f t="shared" si="145"/>
        <v>62.903848792523881</v>
      </c>
      <c r="BG143" s="20">
        <f t="shared" si="115"/>
        <v>563.87389914697917</v>
      </c>
      <c r="BH143" s="59">
        <f t="shared" si="116"/>
        <v>857.20723248031254</v>
      </c>
      <c r="BI143" s="59">
        <f ca="1">AVERAGE(OFFSET($BH$3,0,0,'Données projet'!$E$11+1,1))-AVERAGE(OFFSET($H$3,0,0,'Données projet'!$E$11+1,1))</f>
        <v>217.20784862627357</v>
      </c>
      <c r="BJ143" s="59">
        <f t="shared" si="146"/>
        <v>147.24433901219732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1">
        <f t="shared" si="140"/>
        <v>27.765956260923254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67">
        <f t="shared" si="110"/>
        <v>521.74796382110731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5.1063034188034209</v>
      </c>
      <c r="N144" s="13">
        <f>IF('Données projet'!$A$36&gt;35,N143+M144-V143,IF(A144&lt;'Données projet'!$A$36,$K$205^A144,IF(A144='Données projet'!$A$36,'Données projet'!$B$36,N143+M144-V143)))</f>
        <v>262.33547008546969</v>
      </c>
      <c r="O144" s="13">
        <f>N144*VLOOKUP('Données projet'!$B$9,Paramètres!$A$1:$I$89,3,0)*VLOOKUP('Données projet'!$B$9,Paramètres!$A$1:$I$89,5,0)</f>
        <v>237.36113333333296</v>
      </c>
      <c r="P144" s="13">
        <f t="shared" si="141"/>
        <v>57.871400641465833</v>
      </c>
      <c r="Q144" s="20">
        <f t="shared" si="108"/>
        <v>514.19666333944122</v>
      </c>
      <c r="R144" s="59">
        <f t="shared" si="109"/>
        <v>807.52999667277459</v>
      </c>
      <c r="S144" s="59">
        <f ca="1">AVERAGE(OFFSET($R$3,0,0,'Données projet'!$E$9+1,1))-AVERAGE(OFFSET($H$3,0,0,'Données projet'!$E$9+1,1))</f>
        <v>180.68512008344129</v>
      </c>
      <c r="T144" s="59">
        <f t="shared" si="142"/>
        <v>125.86231758828899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4.5</v>
      </c>
      <c r="AI144" s="13">
        <f>IF('Données projet'!$A$62&gt;35,AI143+AH144-AQ143,IF(A144&lt;'Données projet'!$A$62,$AF$205^A144,IF(A144='Données projet'!$A$62,'Données projet'!$B$62,AI143+AH144-AQ143)))</f>
        <v>374.5000000000004</v>
      </c>
      <c r="AJ144" s="13">
        <f>AI144*VLOOKUP('Données projet'!$B$10,Paramètres!$A$1:$I$89,3,0)*VLOOKUP('Données projet'!$B$10,Paramètres!$A$1:$I$89,5,0)</f>
        <v>321.32100000000037</v>
      </c>
      <c r="AK144" s="13">
        <f t="shared" si="143"/>
        <v>75.628147467658394</v>
      </c>
      <c r="AL144" s="20">
        <f t="shared" si="112"/>
        <v>691.35309850617239</v>
      </c>
      <c r="AM144" s="59">
        <f t="shared" si="113"/>
        <v>984.68643183950576</v>
      </c>
      <c r="AN144" s="59">
        <f ca="1">AVERAGE(OFFSET($AM$3,0,0,'Données projet'!$E$10+1,1))-AVERAGE(OFFSET($H$3,0,0,'Données projet'!$E$10+1,1))</f>
        <v>335.81667389179631</v>
      </c>
      <c r="AO144" s="59">
        <f t="shared" si="144"/>
        <v>137.96364450570718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0.2712388849265383</v>
      </c>
      <c r="AW144" s="21">
        <f>EXP(-LN(2)/2)*AW143+(1-EXP(-LN(2)/2))/(LN(2)/2)*AQ144*AT144*VLOOKUP('Données projet'!$B$10,Paramètres!$A$1:$I$89,3,0)*0.475*44/12</f>
        <v>1.752675632615418E-16</v>
      </c>
      <c r="AX144" s="21">
        <f t="shared" si="114"/>
        <v>0.27123888492653847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5.083333333333333</v>
      </c>
      <c r="BD144" s="12">
        <f>IF('Données projet'!$A$88&gt;35,BD143+BC144-BL143,IF(A144&lt;'Données projet'!$A$88,$BA$205^A144,IF(A144='Données projet'!$A$88,'Données projet'!$B$88,BD143+BC144-BL143)))</f>
        <v>262.33333333333331</v>
      </c>
      <c r="BE144" s="13">
        <f>BD144*VLOOKUP('Données projet'!$B$11,Paramètres!$A$1:$I$89,3,0)*VLOOKUP('Données projet'!$B$11,Paramètres!$A$1:$I$89,5,0)</f>
        <v>266.00599999999997</v>
      </c>
      <c r="BF144" s="13">
        <f t="shared" si="145"/>
        <v>64.000907890095533</v>
      </c>
      <c r="BG144" s="20">
        <f t="shared" si="115"/>
        <v>574.76203124191625</v>
      </c>
      <c r="BH144" s="59">
        <f t="shared" si="116"/>
        <v>868.0953645752495</v>
      </c>
      <c r="BI144" s="59">
        <f ca="1">AVERAGE(OFFSET($BH$3,0,0,'Données projet'!$E$11+1,1))-AVERAGE(OFFSET($H$3,0,0,'Données projet'!$E$11+1,1))</f>
        <v>217.20784862627357</v>
      </c>
      <c r="BJ144" s="59">
        <f t="shared" si="146"/>
        <v>147.24433901219732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1">
        <f t="shared" si="140"/>
        <v>27.939884621063818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67">
        <f t="shared" si="110"/>
        <v>523.3278790483522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5.1063034188034209</v>
      </c>
      <c r="N145" s="13">
        <f>IF('Données projet'!$A$36&gt;35,N144+M145-V144,IF(A145&lt;'Données projet'!$A$36,$K$205^A145,IF(A145='Données projet'!$A$36,'Données projet'!$B$36,N144+M145-V144)))</f>
        <v>267.4417735042731</v>
      </c>
      <c r="O145" s="13">
        <f>N145*VLOOKUP('Données projet'!$B$9,Paramètres!$A$1:$I$89,3,0)*VLOOKUP('Données projet'!$B$9,Paramètres!$A$1:$I$89,5,0)</f>
        <v>241.98131666666632</v>
      </c>
      <c r="P145" s="13">
        <f t="shared" si="141"/>
        <v>58.865616222095206</v>
      </c>
      <c r="Q145" s="20">
        <f t="shared" si="108"/>
        <v>523.97507478125954</v>
      </c>
      <c r="R145" s="59">
        <f t="shared" si="109"/>
        <v>817.30840811459279</v>
      </c>
      <c r="S145" s="59">
        <f ca="1">AVERAGE(OFFSET($R$3,0,0,'Données projet'!$E$9+1,1))-AVERAGE(OFFSET($H$3,0,0,'Données projet'!$E$9+1,1))</f>
        <v>180.68512008344129</v>
      </c>
      <c r="T145" s="59">
        <f t="shared" si="142"/>
        <v>125.86231758828899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4.5</v>
      </c>
      <c r="AI145" s="13">
        <f>IF('Données projet'!$A$62&gt;35,AI144+AH145-AQ144,IF(A145&lt;'Données projet'!$A$62,$AF$205^A145,IF(A145='Données projet'!$A$62,'Données projet'!$B$62,AI144+AH145-AQ144)))</f>
        <v>379.0000000000004</v>
      </c>
      <c r="AJ145" s="13">
        <f>AI145*VLOOKUP('Données projet'!$B$10,Paramètres!$A$1:$I$89,3,0)*VLOOKUP('Données projet'!$B$10,Paramètres!$A$1:$I$89,5,0)</f>
        <v>325.18200000000041</v>
      </c>
      <c r="AK145" s="13">
        <f t="shared" si="143"/>
        <v>76.430559420348956</v>
      </c>
      <c r="AL145" s="20">
        <f t="shared" si="112"/>
        <v>699.47520765710851</v>
      </c>
      <c r="AM145" s="59">
        <f t="shared" si="113"/>
        <v>992.80854099044177</v>
      </c>
      <c r="AN145" s="59">
        <f ca="1">AVERAGE(OFFSET($AM$3,0,0,'Données projet'!$E$10+1,1))-AVERAGE(OFFSET($H$3,0,0,'Données projet'!$E$10+1,1))</f>
        <v>335.81667389179631</v>
      </c>
      <c r="AO145" s="59">
        <f t="shared" si="144"/>
        <v>137.96364450570718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0.26382184335438907</v>
      </c>
      <c r="AW145" s="21">
        <f>EXP(-LN(2)/2)*AW144+(1-EXP(-LN(2)/2))/(LN(2)/2)*AQ145*AT145*VLOOKUP('Données projet'!$B$10,Paramètres!$A$1:$I$89,3,0)*0.475*44/12</f>
        <v>1.2393288250427841E-16</v>
      </c>
      <c r="AX145" s="21">
        <f t="shared" si="114"/>
        <v>0.26382184335438918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5.083333333333333</v>
      </c>
      <c r="BD145" s="12">
        <f>IF('Données projet'!$A$88&gt;35,BD144+BC145-BL144,IF(A145&lt;'Données projet'!$A$88,$BA$205^A145,IF(A145='Données projet'!$A$88,'Données projet'!$B$88,BD144+BC145-BL144)))</f>
        <v>267.41666666666663</v>
      </c>
      <c r="BE145" s="13">
        <f>BD145*VLOOKUP('Données projet'!$B$11,Paramètres!$A$1:$I$89,3,0)*VLOOKUP('Données projet'!$B$11,Paramètres!$A$1:$I$89,5,0)</f>
        <v>271.16050000000001</v>
      </c>
      <c r="BF145" s="13">
        <f t="shared" si="145"/>
        <v>65.095495165875292</v>
      </c>
      <c r="BG145" s="20">
        <f t="shared" si="115"/>
        <v>585.64585824723281</v>
      </c>
      <c r="BH145" s="59">
        <f t="shared" si="116"/>
        <v>878.97919158056607</v>
      </c>
      <c r="BI145" s="59">
        <f ca="1">AVERAGE(OFFSET($BH$3,0,0,'Données projet'!$E$11+1,1))-AVERAGE(OFFSET($H$3,0,0,'Données projet'!$E$11+1,1))</f>
        <v>217.20784862627357</v>
      </c>
      <c r="BJ145" s="59">
        <f t="shared" si="146"/>
        <v>147.24433901219732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1">
        <f t="shared" si="140"/>
        <v>28.113670466115568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67">
        <f t="shared" si="110"/>
        <v>524.90754606181736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5.1063034188034209</v>
      </c>
      <c r="N146" s="13">
        <f>IF('Données projet'!$A$36&gt;35,N145+M146-V145,IF(A146&lt;'Données projet'!$A$36,$K$205^A146,IF(A146='Données projet'!$A$36,'Données projet'!$B$36,N145+M146-V145)))</f>
        <v>272.54807692307651</v>
      </c>
      <c r="O146" s="13">
        <f>N146*VLOOKUP('Données projet'!$B$9,Paramètres!$A$1:$I$89,3,0)*VLOOKUP('Données projet'!$B$9,Paramètres!$A$1:$I$89,5,0)</f>
        <v>246.60149999999962</v>
      </c>
      <c r="P146" s="13">
        <f t="shared" si="141"/>
        <v>59.857624528428133</v>
      </c>
      <c r="Q146" s="20">
        <f t="shared" si="108"/>
        <v>533.74964188701165</v>
      </c>
      <c r="R146" s="59">
        <f t="shared" si="109"/>
        <v>827.08297522034491</v>
      </c>
      <c r="S146" s="59">
        <f ca="1">AVERAGE(OFFSET($R$3,0,0,'Données projet'!$E$9+1,1))-AVERAGE(OFFSET($H$3,0,0,'Données projet'!$E$9+1,1))</f>
        <v>180.68512008344129</v>
      </c>
      <c r="T146" s="59">
        <f t="shared" si="142"/>
        <v>125.86231758828899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4.5</v>
      </c>
      <c r="AI146" s="13">
        <f>IF('Données projet'!$A$62&gt;35,AI145+AH146-AQ145,IF(A146&lt;'Données projet'!$A$62,$AF$205^A146,IF(A146='Données projet'!$A$62,'Données projet'!$B$62,AI145+AH146-AQ145)))</f>
        <v>383.5000000000004</v>
      </c>
      <c r="AJ146" s="13">
        <f>AI146*VLOOKUP('Données projet'!$B$10,Paramètres!$A$1:$I$89,3,0)*VLOOKUP('Données projet'!$B$10,Paramètres!$A$1:$I$89,5,0)</f>
        <v>329.0430000000004</v>
      </c>
      <c r="AK146" s="13">
        <f t="shared" si="143"/>
        <v>77.231863131590558</v>
      </c>
      <c r="AL146" s="20">
        <f t="shared" si="112"/>
        <v>707.59538662085424</v>
      </c>
      <c r="AM146" s="59">
        <f t="shared" si="113"/>
        <v>1000.9287199541875</v>
      </c>
      <c r="AN146" s="59">
        <f ca="1">AVERAGE(OFFSET($AM$3,0,0,'Données projet'!$E$10+1,1))-AVERAGE(OFFSET($H$3,0,0,'Données projet'!$E$10+1,1))</f>
        <v>335.81667389179631</v>
      </c>
      <c r="AO146" s="59">
        <f t="shared" si="144"/>
        <v>137.96364450570718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0.25660762117407554</v>
      </c>
      <c r="AW146" s="21">
        <f>EXP(-LN(2)/2)*AW145+(1-EXP(-LN(2)/2))/(LN(2)/2)*AQ146*AT146*VLOOKUP('Données projet'!$B$10,Paramètres!$A$1:$I$89,3,0)*0.475*44/12</f>
        <v>8.7633781630770898E-17</v>
      </c>
      <c r="AX146" s="21">
        <f t="shared" si="114"/>
        <v>0.25660762117407565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5.083333333333333</v>
      </c>
      <c r="BD146" s="12">
        <f>IF('Données projet'!$A$88&gt;35,BD145+BC146-BL145,IF(A146&lt;'Données projet'!$A$88,$BA$205^A146,IF(A146='Données projet'!$A$88,'Données projet'!$B$88,BD145+BC146-BL145)))</f>
        <v>272.49999999999994</v>
      </c>
      <c r="BE146" s="13">
        <f>BD146*VLOOKUP('Données projet'!$B$11,Paramètres!$A$1:$I$89,3,0)*VLOOKUP('Données projet'!$B$11,Paramètres!$A$1:$I$89,5,0)</f>
        <v>276.31499999999994</v>
      </c>
      <c r="BF146" s="13">
        <f t="shared" si="145"/>
        <v>66.187663024472343</v>
      </c>
      <c r="BG146" s="20">
        <f t="shared" si="115"/>
        <v>596.52547143428922</v>
      </c>
      <c r="BH146" s="59">
        <f t="shared" si="116"/>
        <v>889.85880476762259</v>
      </c>
      <c r="BI146" s="59">
        <f ca="1">AVERAGE(OFFSET($BH$3,0,0,'Données projet'!$E$11+1,1))-AVERAGE(OFFSET($H$3,0,0,'Données projet'!$E$11+1,1))</f>
        <v>217.20784862627357</v>
      </c>
      <c r="BJ146" s="59">
        <f t="shared" si="146"/>
        <v>147.24433901219732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1">
        <f t="shared" si="140"/>
        <v>28.287314908258214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67">
        <f t="shared" si="110"/>
        <v>526.48696679854902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5.1063034188034209</v>
      </c>
      <c r="N147" s="13">
        <f>IF('Données projet'!$A$36&gt;35,N146+M147-V146,IF(A147&lt;'Données projet'!$A$36,$K$205^A147,IF(A147='Données projet'!$A$36,'Données projet'!$B$36,N146+M147-V146)))</f>
        <v>277.65438034187991</v>
      </c>
      <c r="O147" s="13">
        <f>N147*VLOOKUP('Données projet'!$B$9,Paramètres!$A$1:$I$89,3,0)*VLOOKUP('Données projet'!$B$9,Paramètres!$A$1:$I$89,5,0)</f>
        <v>251.22168333333292</v>
      </c>
      <c r="P147" s="13">
        <f t="shared" si="141"/>
        <v>60.847471683449903</v>
      </c>
      <c r="Q147" s="20">
        <f t="shared" si="108"/>
        <v>543.52044498756334</v>
      </c>
      <c r="R147" s="59">
        <f t="shared" si="109"/>
        <v>836.85377832089671</v>
      </c>
      <c r="S147" s="59">
        <f ca="1">AVERAGE(OFFSET($R$3,0,0,'Données projet'!$E$9+1,1))-AVERAGE(OFFSET($H$3,0,0,'Données projet'!$E$9+1,1))</f>
        <v>180.68512008344129</v>
      </c>
      <c r="T147" s="59">
        <f t="shared" si="142"/>
        <v>125.86231758828899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4.5</v>
      </c>
      <c r="AI147" s="13">
        <f>IF('Données projet'!$A$62&gt;35,AI146+AH147-AQ146,IF(A147&lt;'Données projet'!$A$62,$AF$205^A147,IF(A147='Données projet'!$A$62,'Données projet'!$B$62,AI146+AH147-AQ146)))</f>
        <v>388.0000000000004</v>
      </c>
      <c r="AJ147" s="13">
        <f>AI147*VLOOKUP('Données projet'!$B$10,Paramètres!$A$1:$I$89,3,0)*VLOOKUP('Données projet'!$B$10,Paramètres!$A$1:$I$89,5,0)</f>
        <v>332.90400000000039</v>
      </c>
      <c r="AK147" s="13">
        <f t="shared" si="143"/>
        <v>78.032073109961104</v>
      </c>
      <c r="AL147" s="20">
        <f t="shared" si="112"/>
        <v>715.71366066651626</v>
      </c>
      <c r="AM147" s="59">
        <f t="shared" si="113"/>
        <v>1009.0469939998495</v>
      </c>
      <c r="AN147" s="59">
        <f ca="1">AVERAGE(OFFSET($AM$3,0,0,'Données projet'!$E$10+1,1))-AVERAGE(OFFSET($H$3,0,0,'Données projet'!$E$10+1,1))</f>
        <v>335.81667389179631</v>
      </c>
      <c r="AO147" s="59">
        <f t="shared" si="144"/>
        <v>137.96364450570718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0.24959067227866213</v>
      </c>
      <c r="AW147" s="21">
        <f>EXP(-LN(2)/2)*AW146+(1-EXP(-LN(2)/2))/(LN(2)/2)*AQ147*AT147*VLOOKUP('Données projet'!$B$10,Paramètres!$A$1:$I$89,3,0)*0.475*44/12</f>
        <v>6.1966441252139205E-17</v>
      </c>
      <c r="AX147" s="21">
        <f t="shared" si="114"/>
        <v>0.24959067227866219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5.083333333333333</v>
      </c>
      <c r="BD147" s="12">
        <f>IF('Données projet'!$A$88&gt;35,BD146+BC147-BL146,IF(A147&lt;'Données projet'!$A$88,$BA$205^A147,IF(A147='Données projet'!$A$88,'Données projet'!$B$88,BD146+BC147-BL146)))</f>
        <v>277.58333333333326</v>
      </c>
      <c r="BE147" s="13">
        <f>BD147*VLOOKUP('Données projet'!$B$11,Paramètres!$A$1:$I$89,3,0)*VLOOKUP('Données projet'!$B$11,Paramètres!$A$1:$I$89,5,0)</f>
        <v>281.46949999999993</v>
      </c>
      <c r="BF147" s="13">
        <f t="shared" si="145"/>
        <v>67.277461803434392</v>
      </c>
      <c r="BG147" s="20">
        <f t="shared" si="115"/>
        <v>607.40095847431473</v>
      </c>
      <c r="BH147" s="59">
        <f t="shared" si="116"/>
        <v>900.73429180764811</v>
      </c>
      <c r="BI147" s="59">
        <f ca="1">AVERAGE(OFFSET($BH$3,0,0,'Données projet'!$E$11+1,1))-AVERAGE(OFFSET($H$3,0,0,'Données projet'!$E$11+1,1))</f>
        <v>217.20784862627357</v>
      </c>
      <c r="BJ147" s="59">
        <f t="shared" si="146"/>
        <v>147.24433901219732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1">
        <f t="shared" si="140"/>
        <v>28.460819043331849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67">
        <f t="shared" si="110"/>
        <v>528.06614316713558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5.1063034188034209</v>
      </c>
      <c r="N148" s="13">
        <f>IF('Données projet'!$A$36&gt;35,N147+M148-V147,IF(A148&lt;'Données projet'!$A$36,$K$205^A148,IF(A148='Données projet'!$A$36,'Données projet'!$B$36,N147+M148-V147)))</f>
        <v>282.76068376068332</v>
      </c>
      <c r="O148" s="13">
        <f>N148*VLOOKUP('Données projet'!$B$9,Paramètres!$A$1:$I$89,3,0)*VLOOKUP('Données projet'!$B$9,Paramètres!$A$1:$I$89,5,0)</f>
        <v>255.84186666666628</v>
      </c>
      <c r="P148" s="13">
        <f t="shared" si="141"/>
        <v>61.83520201654526</v>
      </c>
      <c r="Q148" s="20">
        <f t="shared" si="108"/>
        <v>553.28756128992666</v>
      </c>
      <c r="R148" s="59">
        <f t="shared" si="109"/>
        <v>846.62089462326003</v>
      </c>
      <c r="S148" s="59">
        <f ca="1">AVERAGE(OFFSET($R$3,0,0,'Données projet'!$E$9+1,1))-AVERAGE(OFFSET($H$3,0,0,'Données projet'!$E$9+1,1))</f>
        <v>180.68512008344129</v>
      </c>
      <c r="T148" s="59">
        <f t="shared" si="142"/>
        <v>125.86231758828899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4.5</v>
      </c>
      <c r="AI148" s="13">
        <f>IF('Données projet'!$A$62&gt;35,AI147+AH148-AQ147,IF(A148&lt;'Données projet'!$A$62,$AF$205^A148,IF(A148='Données projet'!$A$62,'Données projet'!$B$62,AI147+AH148-AQ147)))</f>
        <v>392.5000000000004</v>
      </c>
      <c r="AJ148" s="13">
        <f>AI148*VLOOKUP('Données projet'!$B$10,Paramètres!$A$1:$I$89,3,0)*VLOOKUP('Données projet'!$B$10,Paramètres!$A$1:$I$89,5,0)</f>
        <v>336.76500000000038</v>
      </c>
      <c r="AK148" s="13">
        <f t="shared" si="143"/>
        <v>78.831203508129136</v>
      </c>
      <c r="AL148" s="20">
        <f t="shared" si="112"/>
        <v>723.83005444332548</v>
      </c>
      <c r="AM148" s="59">
        <f t="shared" si="113"/>
        <v>1017.1633877766587</v>
      </c>
      <c r="AN148" s="59">
        <f ca="1">AVERAGE(OFFSET($AM$3,0,0,'Données projet'!$E$10+1,1))-AVERAGE(OFFSET($H$3,0,0,'Données projet'!$E$10+1,1))</f>
        <v>335.81667389179631</v>
      </c>
      <c r="AO148" s="59">
        <f t="shared" si="144"/>
        <v>137.96364450570718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0.24276560221979912</v>
      </c>
      <c r="AW148" s="21">
        <f>EXP(-LN(2)/2)*AW147+(1-EXP(-LN(2)/2))/(LN(2)/2)*AQ148*AT148*VLOOKUP('Données projet'!$B$10,Paramètres!$A$1:$I$89,3,0)*0.475*44/12</f>
        <v>4.3816890815385449E-17</v>
      </c>
      <c r="AX148" s="21">
        <f t="shared" si="114"/>
        <v>0.24276560221979918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5.083333333333333</v>
      </c>
      <c r="BD148" s="12">
        <f>IF('Données projet'!$A$88&gt;35,BD147+BC148-BL147,IF(A148&lt;'Données projet'!$A$88,$BA$205^A148,IF(A148='Données projet'!$A$88,'Données projet'!$B$88,BD147+BC148-BL147)))</f>
        <v>282.66666666666657</v>
      </c>
      <c r="BE148" s="13">
        <f>BD148*VLOOKUP('Données projet'!$B$11,Paramètres!$A$1:$I$89,3,0)*VLOOKUP('Données projet'!$B$11,Paramètres!$A$1:$I$89,5,0)</f>
        <v>286.62399999999997</v>
      </c>
      <c r="BF148" s="13">
        <f t="shared" si="145"/>
        <v>68.364939891116023</v>
      </c>
      <c r="BG148" s="20">
        <f t="shared" si="115"/>
        <v>618.27240364369368</v>
      </c>
      <c r="BH148" s="59">
        <f t="shared" si="116"/>
        <v>911.60573697702694</v>
      </c>
      <c r="BI148" s="59">
        <f ca="1">AVERAGE(OFFSET($BH$3,0,0,'Données projet'!$E$11+1,1))-AVERAGE(OFFSET($H$3,0,0,'Données projet'!$E$11+1,1))</f>
        <v>217.20784862627357</v>
      </c>
      <c r="BJ148" s="59">
        <f t="shared" si="146"/>
        <v>147.24433901219732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1">
        <f t="shared" si="140"/>
        <v>28.634183951187829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67">
        <f t="shared" si="110"/>
        <v>529.64507704831817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5.1063034188034209</v>
      </c>
      <c r="N149" s="13">
        <f>IF('Données projet'!$A$36&gt;35,N148+M149-V148,IF(A149&lt;'Données projet'!$A$36,$K$205^A149,IF(A149='Données projet'!$A$36,'Données projet'!$B$36,N148+M149-V148)))</f>
        <v>287.86698717948673</v>
      </c>
      <c r="O149" s="13">
        <f>N149*VLOOKUP('Données projet'!$B$9,Paramètres!$A$1:$I$89,3,0)*VLOOKUP('Données projet'!$B$9,Paramètres!$A$1:$I$89,5,0)</f>
        <v>260.46204999999958</v>
      </c>
      <c r="P149" s="13">
        <f t="shared" si="141"/>
        <v>62.820858164354384</v>
      </c>
      <c r="Q149" s="20">
        <f t="shared" si="108"/>
        <v>563.05106505291644</v>
      </c>
      <c r="R149" s="59">
        <f t="shared" si="109"/>
        <v>856.38439838624981</v>
      </c>
      <c r="S149" s="59">
        <f ca="1">AVERAGE(OFFSET($R$3,0,0,'Données projet'!$E$9+1,1))-AVERAGE(OFFSET($H$3,0,0,'Données projet'!$E$9+1,1))</f>
        <v>180.68512008344129</v>
      </c>
      <c r="T149" s="59">
        <f t="shared" si="142"/>
        <v>125.86231758828899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4.5</v>
      </c>
      <c r="AI149" s="13">
        <f>IF('Données projet'!$A$62&gt;35,AI148+AH149-AQ148,IF(A149&lt;'Données projet'!$A$62,$AF$205^A149,IF(A149='Données projet'!$A$62,'Données projet'!$B$62,AI148+AH149-AQ148)))</f>
        <v>397.0000000000004</v>
      </c>
      <c r="AJ149" s="13">
        <f>AI149*VLOOKUP('Données projet'!$B$10,Paramètres!$A$1:$I$89,3,0)*VLOOKUP('Données projet'!$B$10,Paramètres!$A$1:$I$89,5,0)</f>
        <v>340.62600000000037</v>
      </c>
      <c r="AK149" s="13">
        <f t="shared" si="143"/>
        <v>79.629268135563379</v>
      </c>
      <c r="AL149" s="20">
        <f t="shared" si="112"/>
        <v>731.94459200277345</v>
      </c>
      <c r="AM149" s="59">
        <f t="shared" si="113"/>
        <v>1025.2779253361068</v>
      </c>
      <c r="AN149" s="59">
        <f ca="1">AVERAGE(OFFSET($AM$3,0,0,'Données projet'!$E$10+1,1))-AVERAGE(OFFSET($H$3,0,0,'Données projet'!$E$10+1,1))</f>
        <v>335.81667389179631</v>
      </c>
      <c r="AO149" s="59">
        <f t="shared" si="144"/>
        <v>137.96364450570718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0.23612716406061054</v>
      </c>
      <c r="AW149" s="21">
        <f>EXP(-LN(2)/2)*AW148+(1-EXP(-LN(2)/2))/(LN(2)/2)*AQ149*AT149*VLOOKUP('Données projet'!$B$10,Paramètres!$A$1:$I$89,3,0)*0.475*44/12</f>
        <v>3.0983220626069602E-17</v>
      </c>
      <c r="AX149" s="21">
        <f t="shared" si="114"/>
        <v>0.23612716406061057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5.083333333333333</v>
      </c>
      <c r="BD149" s="12">
        <f>IF('Données projet'!$A$88&gt;35,BD148+BC149-BL148,IF(A149&lt;'Données projet'!$A$88,$BA$205^A149,IF(A149='Données projet'!$A$88,'Données projet'!$B$88,BD148+BC149-BL148)))</f>
        <v>287.74999999999989</v>
      </c>
      <c r="BE149" s="13">
        <f>BD149*VLOOKUP('Données projet'!$B$11,Paramètres!$A$1:$I$89,3,0)*VLOOKUP('Données projet'!$B$11,Paramètres!$A$1:$I$89,5,0)</f>
        <v>291.77849999999989</v>
      </c>
      <c r="BF149" s="13">
        <f t="shared" si="145"/>
        <v>69.450143835827646</v>
      </c>
      <c r="BG149" s="20">
        <f t="shared" si="115"/>
        <v>629.13988801406629</v>
      </c>
      <c r="BH149" s="59">
        <f t="shared" si="116"/>
        <v>922.47322134739966</v>
      </c>
      <c r="BI149" s="59">
        <f ca="1">AVERAGE(OFFSET($BH$3,0,0,'Données projet'!$E$11+1,1))-AVERAGE(OFFSET($H$3,0,0,'Données projet'!$E$11+1,1))</f>
        <v>217.20784862627357</v>
      </c>
      <c r="BJ149" s="59">
        <f t="shared" si="146"/>
        <v>147.24433901219732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1">
        <f t="shared" si="140"/>
        <v>28.807410696029962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67">
        <f t="shared" si="110"/>
        <v>531.22377029558493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5.1063034188034209</v>
      </c>
      <c r="N150" s="13">
        <f>IF('Données projet'!$A$36&gt;35,N149+M150-V149,IF(A150&lt;'Données projet'!$A$36,$K$205^A150,IF(A150='Données projet'!$A$36,'Données projet'!$B$36,N149+M150-V149)))</f>
        <v>292.97329059829013</v>
      </c>
      <c r="O150" s="13">
        <f>N150*VLOOKUP('Données projet'!$B$9,Paramètres!$A$1:$I$89,3,0)*VLOOKUP('Données projet'!$B$9,Paramètres!$A$1:$I$89,5,0)</f>
        <v>265.08223333333291</v>
      </c>
      <c r="P150" s="13">
        <f t="shared" si="141"/>
        <v>63.804481164271408</v>
      </c>
      <c r="Q150" s="20">
        <f t="shared" si="108"/>
        <v>572.8110277499942</v>
      </c>
      <c r="R150" s="59">
        <f t="shared" si="109"/>
        <v>866.14436108332757</v>
      </c>
      <c r="S150" s="59">
        <f ca="1">AVERAGE(OFFSET($R$3,0,0,'Données projet'!$E$9+1,1))-AVERAGE(OFFSET($H$3,0,0,'Données projet'!$E$9+1,1))</f>
        <v>180.68512008344129</v>
      </c>
      <c r="T150" s="59">
        <f t="shared" si="142"/>
        <v>125.86231758828899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4.5</v>
      </c>
      <c r="AI150" s="13">
        <f>IF('Données projet'!$A$62&gt;35,AI149+AH150-AQ149,IF(A150&lt;'Données projet'!$A$62,$AF$205^A150,IF(A150='Données projet'!$A$62,'Données projet'!$B$62,AI149+AH150-AQ149)))</f>
        <v>401.5000000000004</v>
      </c>
      <c r="AJ150" s="13">
        <f>AI150*VLOOKUP('Données projet'!$B$10,Paramètres!$A$1:$I$89,3,0)*VLOOKUP('Données projet'!$B$10,Paramètres!$A$1:$I$89,5,0)</f>
        <v>344.48700000000042</v>
      </c>
      <c r="AK150" s="13">
        <f t="shared" si="143"/>
        <v>80.426280470648379</v>
      </c>
      <c r="AL150" s="20">
        <f t="shared" si="112"/>
        <v>740.05729681971332</v>
      </c>
      <c r="AM150" s="59">
        <f t="shared" si="113"/>
        <v>1033.3906301530467</v>
      </c>
      <c r="AN150" s="59">
        <f ca="1">AVERAGE(OFFSET($AM$3,0,0,'Données projet'!$E$10+1,1))-AVERAGE(OFFSET($H$3,0,0,'Données projet'!$E$10+1,1))</f>
        <v>335.81667389179631</v>
      </c>
      <c r="AO150" s="59">
        <f t="shared" si="144"/>
        <v>137.96364450570718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0.22967025434198526</v>
      </c>
      <c r="AW150" s="21">
        <f>EXP(-LN(2)/2)*AW149+(1-EXP(-LN(2)/2))/(LN(2)/2)*AQ150*AT150*VLOOKUP('Données projet'!$B$10,Paramètres!$A$1:$I$89,3,0)*0.475*44/12</f>
        <v>2.1908445407692724E-17</v>
      </c>
      <c r="AX150" s="21">
        <f t="shared" si="114"/>
        <v>0.22967025434198529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5.083333333333333</v>
      </c>
      <c r="BD150" s="12">
        <f>IF('Données projet'!$A$88&gt;35,BD149+BC150-BL149,IF(A150&lt;'Données projet'!$A$88,$BA$205^A150,IF(A150='Données projet'!$A$88,'Données projet'!$B$88,BD149+BC150-BL149)))</f>
        <v>292.8333333333332</v>
      </c>
      <c r="BE150" s="13">
        <f>BD150*VLOOKUP('Données projet'!$B$11,Paramètres!$A$1:$I$89,3,0)*VLOOKUP('Données projet'!$B$11,Paramètres!$A$1:$I$89,5,0)</f>
        <v>296.93299999999988</v>
      </c>
      <c r="BF150" s="13">
        <f t="shared" si="145"/>
        <v>70.533118447053894</v>
      </c>
      <c r="BG150" s="20">
        <f t="shared" si="115"/>
        <v>640.00348962861858</v>
      </c>
      <c r="BH150" s="59">
        <f t="shared" si="116"/>
        <v>933.33682296195184</v>
      </c>
      <c r="BI150" s="59">
        <f ca="1">AVERAGE(OFFSET($BH$3,0,0,'Données projet'!$E$11+1,1))-AVERAGE(OFFSET($H$3,0,0,'Données projet'!$E$11+1,1))</f>
        <v>217.20784862627357</v>
      </c>
      <c r="BJ150" s="59">
        <f t="shared" si="146"/>
        <v>147.24433901219732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1">
        <f t="shared" si="140"/>
        <v>28.980500326746164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67">
        <f t="shared" si="110"/>
        <v>532.80222473574895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5.1063034188034209</v>
      </c>
      <c r="N151" s="13">
        <f>IF('Données projet'!$A$36&gt;35,N150+M151-V150,IF(A151&lt;'Données projet'!$A$36,$K$205^A151,IF(A151='Données projet'!$A$36,'Données projet'!$B$36,N150+M151-V150)))</f>
        <v>298.07959401709354</v>
      </c>
      <c r="O151" s="13">
        <f>N151*VLOOKUP('Données projet'!$B$9,Paramètres!$A$1:$I$89,3,0)*VLOOKUP('Données projet'!$B$9,Paramètres!$A$1:$I$89,5,0)</f>
        <v>269.70241666666624</v>
      </c>
      <c r="P151" s="13">
        <f t="shared" si="141"/>
        <v>64.786110541238813</v>
      </c>
      <c r="Q151" s="20">
        <f t="shared" si="108"/>
        <v>582.56751822043464</v>
      </c>
      <c r="R151" s="59">
        <f t="shared" si="109"/>
        <v>875.90085155376801</v>
      </c>
      <c r="S151" s="59">
        <f ca="1">AVERAGE(OFFSET($R$3,0,0,'Données projet'!$E$9+1,1))-AVERAGE(OFFSET($H$3,0,0,'Données projet'!$E$9+1,1))</f>
        <v>180.68512008344129</v>
      </c>
      <c r="T151" s="59">
        <f t="shared" si="142"/>
        <v>125.86231758828899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4.5</v>
      </c>
      <c r="AI151" s="13">
        <f>IF('Données projet'!$A$62&gt;35,AI150+AH151-AQ150,IF(A151&lt;'Données projet'!$A$62,$AF$205^A151,IF(A151='Données projet'!$A$62,'Données projet'!$B$62,AI150+AH151-AQ150)))</f>
        <v>406.0000000000004</v>
      </c>
      <c r="AJ151" s="13">
        <f>AI151*VLOOKUP('Données projet'!$B$10,Paramètres!$A$1:$I$89,3,0)*VLOOKUP('Données projet'!$B$10,Paramètres!$A$1:$I$89,5,0)</f>
        <v>348.34800000000041</v>
      </c>
      <c r="AK151" s="13">
        <f t="shared" si="143"/>
        <v>81.222253672242772</v>
      </c>
      <c r="AL151" s="20">
        <f t="shared" si="112"/>
        <v>748.16819181249014</v>
      </c>
      <c r="AM151" s="59">
        <f t="shared" si="113"/>
        <v>1041.5015251458235</v>
      </c>
      <c r="AN151" s="59">
        <f ca="1">AVERAGE(OFFSET($AM$3,0,0,'Données projet'!$E$10+1,1))-AVERAGE(OFFSET($H$3,0,0,'Données projet'!$E$10+1,1))</f>
        <v>335.81667389179631</v>
      </c>
      <c r="AO151" s="59">
        <f t="shared" si="144"/>
        <v>137.96364450570718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0.22338990915916992</v>
      </c>
      <c r="AW151" s="21">
        <f>EXP(-LN(2)/2)*AW150+(1-EXP(-LN(2)/2))/(LN(2)/2)*AQ151*AT151*VLOOKUP('Données projet'!$B$10,Paramètres!$A$1:$I$89,3,0)*0.475*44/12</f>
        <v>1.5491610313034801E-17</v>
      </c>
      <c r="AX151" s="21">
        <f t="shared" si="114"/>
        <v>0.22338990915916995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5.083333333333333</v>
      </c>
      <c r="BD151" s="12">
        <f>IF('Données projet'!$A$88&gt;35,BD150+BC151-BL150,IF(A151&lt;'Données projet'!$A$88,$BA$205^A151,IF(A151='Données projet'!$A$88,'Données projet'!$B$88,BD150+BC151-BL150)))</f>
        <v>297.91666666666652</v>
      </c>
      <c r="BE151" s="13">
        <f>BD151*VLOOKUP('Données projet'!$B$11,Paramètres!$A$1:$I$89,3,0)*VLOOKUP('Données projet'!$B$11,Paramètres!$A$1:$I$89,5,0)</f>
        <v>302.08749999999986</v>
      </c>
      <c r="BF151" s="13">
        <f t="shared" si="145"/>
        <v>71.613906889444365</v>
      </c>
      <c r="BG151" s="20">
        <f t="shared" si="115"/>
        <v>650.86328366578198</v>
      </c>
      <c r="BH151" s="59">
        <f t="shared" si="116"/>
        <v>944.19661699911535</v>
      </c>
      <c r="BI151" s="59">
        <f ca="1">AVERAGE(OFFSET($BH$3,0,0,'Données projet'!$E$11+1,1))-AVERAGE(OFFSET($H$3,0,0,'Données projet'!$E$11+1,1))</f>
        <v>217.20784862627357</v>
      </c>
      <c r="BJ151" s="59">
        <f t="shared" si="146"/>
        <v>147.24433901219732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1">
        <f t="shared" si="140"/>
        <v>29.153453877230778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67">
        <f t="shared" si="110"/>
        <v>534.38044216950959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303.18589743589746</v>
      </c>
      <c r="L152" s="12">
        <f>VLOOKUP(A152,'Données projet'!$A$35:$I$55,9,0)</f>
        <v>5.1063034188034209</v>
      </c>
      <c r="M152" s="12">
        <f t="array" ref="M152">INDEX(L:L,MIN(IF(ISNUMBER(L152:L348),ROW(L152:L348),"")))</f>
        <v>5.1063034188034209</v>
      </c>
      <c r="N152" s="13">
        <f>IF('Données projet'!$A$36&gt;35,N151+M152-V151,IF(A152&lt;'Données projet'!$A$36,$K$205^A152,IF(A152='Données projet'!$A$36,'Données projet'!$B$36,N151+M152-V151)))</f>
        <v>303.18589743589695</v>
      </c>
      <c r="O152" s="13">
        <f>N152*VLOOKUP('Données projet'!$B$9,Paramètres!$A$1:$I$89,3,0)*VLOOKUP('Données projet'!$B$9,Paramètres!$A$1:$I$89,5,0)</f>
        <v>274.32259999999957</v>
      </c>
      <c r="P152" s="13">
        <f t="shared" si="141"/>
        <v>65.765784388426695</v>
      </c>
      <c r="Q152" s="20">
        <f t="shared" si="108"/>
        <v>592.3206028098424</v>
      </c>
      <c r="R152" s="59">
        <f t="shared" si="109"/>
        <v>885.65393614317577</v>
      </c>
      <c r="S152" s="59">
        <f ca="1">AVERAGE(OFFSET($R$3,0,0,'Données projet'!$E$9+1,1))-AVERAGE(OFFSET($H$3,0,0,'Données projet'!$E$9+1,1))</f>
        <v>180.68512008344129</v>
      </c>
      <c r="T152" s="59">
        <f t="shared" si="142"/>
        <v>125.86231758828899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120.50641025641026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4.5</v>
      </c>
      <c r="AI152" s="13">
        <f>IF('Données projet'!$A$62&gt;35,AI151+AH152-AQ151,IF(A152&lt;'Données projet'!$A$62,$AF$205^A152,IF(A152='Données projet'!$A$62,'Données projet'!$B$62,AI151+AH152-AQ151)))</f>
        <v>410.5000000000004</v>
      </c>
      <c r="AJ152" s="13">
        <f>AI152*VLOOKUP('Données projet'!$B$10,Paramètres!$A$1:$I$89,3,0)*VLOOKUP('Données projet'!$B$10,Paramètres!$A$1:$I$89,5,0)</f>
        <v>352.2090000000004</v>
      </c>
      <c r="AK152" s="13">
        <f t="shared" si="143"/>
        <v>82.01720059070972</v>
      </c>
      <c r="AL152" s="20">
        <f t="shared" si="112"/>
        <v>756.27729936215337</v>
      </c>
      <c r="AM152" s="59">
        <f t="shared" si="113"/>
        <v>1049.6106326954866</v>
      </c>
      <c r="AN152" s="59">
        <f ca="1">AVERAGE(OFFSET($AM$3,0,0,'Données projet'!$E$10+1,1))-AVERAGE(OFFSET($H$3,0,0,'Données projet'!$E$10+1,1))</f>
        <v>335.81667389179631</v>
      </c>
      <c r="AO152" s="59">
        <f t="shared" si="144"/>
        <v>137.96364450570718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0.21728130034564766</v>
      </c>
      <c r="AW152" s="21">
        <f>EXP(-LN(2)/2)*AW151+(1-EXP(-LN(2)/2))/(LN(2)/2)*AQ152*AT152*VLOOKUP('Données projet'!$B$10,Paramètres!$A$1:$I$89,3,0)*0.475*44/12</f>
        <v>1.0954222703846362E-17</v>
      </c>
      <c r="AX152" s="21">
        <f t="shared" si="114"/>
        <v>0.21728130034564766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303</v>
      </c>
      <c r="BB152" s="12">
        <f>VLOOKUP(A152,'Données projet'!$A$87:$I$107,9,0)</f>
        <v>5.083333333333333</v>
      </c>
      <c r="BC152" s="12">
        <f t="array" ref="BC152">INDEX(BB:BB,MIN(IF(ISNUMBER(BB152:BB348),ROW(BB152:BB348),"")))</f>
        <v>5.083333333333333</v>
      </c>
      <c r="BD152" s="12">
        <f>IF('Données projet'!$A$88&gt;35,BD151+BC152-BL151,IF(A152&lt;'Données projet'!$A$88,$BA$205^A152,IF(A152='Données projet'!$A$88,'Données projet'!$B$88,BD151+BC152-BL151)))</f>
        <v>302.99999999999983</v>
      </c>
      <c r="BE152" s="13">
        <f>BD152*VLOOKUP('Données projet'!$B$11,Paramètres!$A$1:$I$89,3,0)*VLOOKUP('Données projet'!$B$11,Paramètres!$A$1:$I$89,5,0)</f>
        <v>307.24199999999985</v>
      </c>
      <c r="BF152" s="13">
        <f t="shared" si="145"/>
        <v>72.692550770207774</v>
      </c>
      <c r="BG152" s="20">
        <f t="shared" si="115"/>
        <v>661.71934259144484</v>
      </c>
      <c r="BH152" s="59">
        <f t="shared" si="116"/>
        <v>955.05267592477821</v>
      </c>
      <c r="BI152" s="59">
        <f ca="1">AVERAGE(OFFSET($BH$3,0,0,'Données projet'!$E$11+1,1))-AVERAGE(OFFSET($H$3,0,0,'Données projet'!$E$11+1,1))</f>
        <v>217.20784862627357</v>
      </c>
      <c r="BJ152" s="59">
        <f t="shared" si="146"/>
        <v>147.24433901219732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121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1">
        <f t="shared" si="140"/>
        <v>29.326272366698181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67">
        <f t="shared" si="110"/>
        <v>535.95842437199872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3.0945512820512846</v>
      </c>
      <c r="N153" s="13">
        <f>IF('Données projet'!$A$36&gt;35,N152+M153-V152,IF(A153&lt;'Données projet'!$A$36,$K$205^A153,IF(A153='Données projet'!$A$36,'Données projet'!$B$36,N152+M153-V152)))</f>
        <v>185.77403846153794</v>
      </c>
      <c r="O153" s="13">
        <f>N153*VLOOKUP('Données projet'!$B$9,Paramètres!$A$1:$I$89,3,0)*VLOOKUP('Données projet'!$B$9,Paramètres!$A$1:$I$89,5,0)</f>
        <v>168.08834999999954</v>
      </c>
      <c r="P153" s="13">
        <f t="shared" si="141"/>
        <v>42.661596193999998</v>
      </c>
      <c r="Q153" s="20">
        <f t="shared" si="108"/>
        <v>367.05615628788252</v>
      </c>
      <c r="R153" s="59">
        <f t="shared" si="109"/>
        <v>660.38948962121583</v>
      </c>
      <c r="S153" s="59">
        <f ca="1">AVERAGE(OFFSET($R$3,0,0,'Données projet'!$E$9+1,1))-AVERAGE(OFFSET($H$3,0,0,'Données projet'!$E$9+1,1))</f>
        <v>180.68512008344129</v>
      </c>
      <c r="T153" s="59">
        <f t="shared" si="142"/>
        <v>125.86231758828899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415</v>
      </c>
      <c r="AG153" s="12">
        <f>VLOOKUP(A153,'Données projet'!$A$61:$I$81,9,0)</f>
        <v>4.5</v>
      </c>
      <c r="AH153" s="12">
        <f t="array" ref="AH153">INDEX(AG:AG,MIN(IF(ISNUMBER(AG153:AG349),ROW(AG153:AG349),"")))</f>
        <v>4.5</v>
      </c>
      <c r="AI153" s="13">
        <f>IF('Données projet'!$A$62&gt;35,AI152+AH153-AQ152,IF(A153&lt;'Données projet'!$A$62,$AF$205^A153,IF(A153='Données projet'!$A$62,'Données projet'!$B$62,AI152+AH153-AQ152)))</f>
        <v>415.0000000000004</v>
      </c>
      <c r="AJ153" s="13">
        <f>AI153*VLOOKUP('Données projet'!$B$10,Paramètres!$A$1:$I$89,3,0)*VLOOKUP('Données projet'!$B$10,Paramètres!$A$1:$I$89,5,0)</f>
        <v>356.07000000000039</v>
      </c>
      <c r="AK153" s="13">
        <f t="shared" si="143"/>
        <v>82.811133778450127</v>
      </c>
      <c r="AL153" s="20">
        <f t="shared" si="112"/>
        <v>764.3846413308014</v>
      </c>
      <c r="AM153" s="59">
        <f t="shared" si="113"/>
        <v>1057.7179746641348</v>
      </c>
      <c r="AN153" s="59">
        <f ca="1">AVERAGE(OFFSET($AM$3,0,0,'Données projet'!$E$10+1,1))-AVERAGE(OFFSET($H$3,0,0,'Données projet'!$E$10+1,1))</f>
        <v>335.81667389179631</v>
      </c>
      <c r="AO153" s="59">
        <f t="shared" si="144"/>
        <v>137.96364450570718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37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0.21133973176136894</v>
      </c>
      <c r="AW153" s="21">
        <f>EXP(-LN(2)/2)*AW152+(1-EXP(-LN(2)/2))/(LN(2)/2)*AQ153*AT153*VLOOKUP('Données projet'!$B$10,Paramètres!$A$1:$I$89,3,0)*0.475*44/12</f>
        <v>7.7458051565174006E-18</v>
      </c>
      <c r="AX153" s="21">
        <f t="shared" si="114"/>
        <v>0.21133973176136894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3.25</v>
      </c>
      <c r="BD153" s="12">
        <f>IF('Données projet'!$A$88&gt;35,BD152+BC153-BL152,IF(A153&lt;'Données projet'!$A$88,$BA$205^A153,IF(A153='Données projet'!$A$88,'Données projet'!$B$88,BD152+BC153-BL152)))</f>
        <v>185.24999999999983</v>
      </c>
      <c r="BE153" s="13">
        <f>BD153*VLOOKUP('Données projet'!$B$11,Paramètres!$A$1:$I$89,3,0)*VLOOKUP('Données projet'!$B$11,Paramètres!$A$1:$I$89,5,0)</f>
        <v>187.84349999999984</v>
      </c>
      <c r="BF153" s="13">
        <f t="shared" si="145"/>
        <v>47.062865040440165</v>
      </c>
      <c r="BG153" s="20">
        <f t="shared" si="115"/>
        <v>409.12858577876631</v>
      </c>
      <c r="BH153" s="59">
        <f t="shared" si="116"/>
        <v>702.46191911209962</v>
      </c>
      <c r="BI153" s="59">
        <f ca="1">AVERAGE(OFFSET($BH$3,0,0,'Données projet'!$E$11+1,1))-AVERAGE(OFFSET($H$3,0,0,'Données projet'!$E$11+1,1))</f>
        <v>217.20784862627357</v>
      </c>
      <c r="BJ153" s="59">
        <f t="shared" si="146"/>
        <v>147.24433901219732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1">
        <f t="shared" si="140"/>
        <v>29.498956799987411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67">
        <f t="shared" si="110"/>
        <v>537.53617309331071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3.0945512820512846</v>
      </c>
      <c r="N154" s="13">
        <f>IF('Données projet'!$A$36&gt;35,N153+M154-V153,IF(A154&lt;'Données projet'!$A$36,$K$205^A154,IF(A154='Données projet'!$A$36,'Données projet'!$B$36,N153+M154-V153)))</f>
        <v>188.86858974358921</v>
      </c>
      <c r="O154" s="13">
        <f>N154*VLOOKUP('Données projet'!$B$9,Paramètres!$A$1:$I$89,3,0)*VLOOKUP('Données projet'!$B$9,Paramètres!$A$1:$I$89,5,0)</f>
        <v>170.8882999999995</v>
      </c>
      <c r="P154" s="13">
        <f t="shared" si="141"/>
        <v>43.288912849762468</v>
      </c>
      <c r="Q154" s="20">
        <f t="shared" ref="Q154:Q203" si="162">(O154+P154)*0.475*44/12</f>
        <v>373.02531238000211</v>
      </c>
      <c r="R154" s="59">
        <f t="shared" si="109"/>
        <v>666.35864571333536</v>
      </c>
      <c r="S154" s="59">
        <f ca="1">AVERAGE(OFFSET($R$3,0,0,'Données projet'!$E$9+1,1))-AVERAGE(OFFSET($H$3,0,0,'Données projet'!$E$9+1,1))</f>
        <v>180.68512008344129</v>
      </c>
      <c r="T154" s="59">
        <f t="shared" si="142"/>
        <v>125.86231758828899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378.0000000000004</v>
      </c>
      <c r="AJ154" s="13">
        <f>AI154*VLOOKUP('Données projet'!$B$10,Paramètres!$A$1:$I$89,3,0)*VLOOKUP('Données projet'!$B$10,Paramètres!$A$1:$I$89,5,0)</f>
        <v>324.32400000000035</v>
      </c>
      <c r="AK154" s="13">
        <f t="shared" ref="AK154:AK203" si="164">EXP(-1.0587+0.8836*LN(AJ154)+0.284)</f>
        <v>76.252341944982831</v>
      </c>
      <c r="AL154" s="20">
        <f t="shared" ref="AL154:AL203" si="165">(AJ154+AK154)*0.475*44/12</f>
        <v>697.67046222084571</v>
      </c>
      <c r="AM154" s="59">
        <f t="shared" si="113"/>
        <v>991.00379555417908</v>
      </c>
      <c r="AN154" s="59">
        <f ca="1">AVERAGE(OFFSET($AM$3,0,0,'Données projet'!$E$10+1,1))-AVERAGE(OFFSET($H$3,0,0,'Données projet'!$E$10+1,1))</f>
        <v>335.81667389179631</v>
      </c>
      <c r="AO154" s="59">
        <f t="shared" si="144"/>
        <v>137.96364450570718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0.20556063568248084</v>
      </c>
      <c r="AW154" s="21">
        <f>EXP(-LN(2)/2)*AW153+(1-EXP(-LN(2)/2))/(LN(2)/2)*AQ154*AT154*VLOOKUP('Données projet'!$B$10,Paramètres!$A$1:$I$89,3,0)*0.475*44/12</f>
        <v>5.4771113519231811E-18</v>
      </c>
      <c r="AX154" s="21">
        <f t="shared" ref="AX154:AX203" si="166">SUM(AU154:AW154)</f>
        <v>0.20556063568248084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3.25</v>
      </c>
      <c r="BD154" s="12">
        <f>IF('Données projet'!$A$88&gt;35,BD153+BC154-BL153,IF(A154&lt;'Données projet'!$A$88,$BA$205^A154,IF(A154='Données projet'!$A$88,'Données projet'!$B$88,BD153+BC154-BL153)))</f>
        <v>188.49999999999983</v>
      </c>
      <c r="BE154" s="13">
        <f>BD154*VLOOKUP('Données projet'!$B$11,Paramètres!$A$1:$I$89,3,0)*VLOOKUP('Données projet'!$B$11,Paramètres!$A$1:$I$89,5,0)</f>
        <v>191.13899999999984</v>
      </c>
      <c r="BF154" s="13">
        <f t="shared" ref="BF154:BF203" si="167">EXP(-1.0587+0.8836*LN(BE154)+0.284)</f>
        <v>47.791681917572504</v>
      </c>
      <c r="BG154" s="20">
        <f t="shared" ref="BG154:BG203" si="168">(BE154+BF154)*0.475*44/12</f>
        <v>416.13760433977177</v>
      </c>
      <c r="BH154" s="59">
        <f t="shared" si="116"/>
        <v>709.47093767310503</v>
      </c>
      <c r="BI154" s="59">
        <f ca="1">AVERAGE(OFFSET($BH$3,0,0,'Données projet'!$E$11+1,1))-AVERAGE(OFFSET($H$3,0,0,'Données projet'!$E$11+1,1))</f>
        <v>217.20784862627357</v>
      </c>
      <c r="BJ154" s="59">
        <f t="shared" si="146"/>
        <v>147.24433901219732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1">
        <f t="shared" si="140"/>
        <v>29.671508167859105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67">
        <f t="shared" si="110"/>
        <v>539.11369005902054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3.0945512820512846</v>
      </c>
      <c r="N155" s="13">
        <f>IF('Données projet'!$A$36&gt;35,N154+M155-V154,IF(A155&lt;'Données projet'!$A$36,$K$205^A155,IF(A155='Données projet'!$A$36,'Données projet'!$B$36,N154+M155-V154)))</f>
        <v>191.96314102564048</v>
      </c>
      <c r="O155" s="13">
        <f>N155*VLOOKUP('Données projet'!$B$9,Paramètres!$A$1:$I$89,3,0)*VLOOKUP('Données projet'!$B$9,Paramètres!$A$1:$I$89,5,0)</f>
        <v>173.6882499999995</v>
      </c>
      <c r="P155" s="13">
        <f t="shared" si="141"/>
        <v>43.915034185437626</v>
      </c>
      <c r="Q155" s="20">
        <f t="shared" si="162"/>
        <v>378.99238662296966</v>
      </c>
      <c r="R155" s="59">
        <f t="shared" si="109"/>
        <v>672.32571995630292</v>
      </c>
      <c r="S155" s="59">
        <f ca="1">AVERAGE(OFFSET($R$3,0,0,'Données projet'!$E$9+1,1))-AVERAGE(OFFSET($H$3,0,0,'Données projet'!$E$9+1,1))</f>
        <v>180.68512008344129</v>
      </c>
      <c r="T155" s="59">
        <f t="shared" si="142"/>
        <v>125.86231758828899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378.0000000000004</v>
      </c>
      <c r="AJ155" s="13">
        <f>AI155*VLOOKUP('Données projet'!$B$10,Paramètres!$A$1:$I$89,3,0)*VLOOKUP('Données projet'!$B$10,Paramètres!$A$1:$I$89,5,0)</f>
        <v>324.32400000000035</v>
      </c>
      <c r="AK155" s="13">
        <f t="shared" si="164"/>
        <v>76.252341944982831</v>
      </c>
      <c r="AL155" s="20">
        <f t="shared" si="165"/>
        <v>697.67046222084571</v>
      </c>
      <c r="AM155" s="59">
        <f t="shared" si="113"/>
        <v>991.00379555417908</v>
      </c>
      <c r="AN155" s="59">
        <f ca="1">AVERAGE(OFFSET($AM$3,0,0,'Données projet'!$E$10+1,1))-AVERAGE(OFFSET($H$3,0,0,'Données projet'!$E$10+1,1))</f>
        <v>335.81667389179631</v>
      </c>
      <c r="AO155" s="59">
        <f t="shared" si="144"/>
        <v>137.96364450570718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0.19993956928977938</v>
      </c>
      <c r="AW155" s="21">
        <f>EXP(-LN(2)/2)*AW154+(1-EXP(-LN(2)/2))/(LN(2)/2)*AQ155*AT155*VLOOKUP('Données projet'!$B$10,Paramètres!$A$1:$I$89,3,0)*0.475*44/12</f>
        <v>3.8729025782587003E-18</v>
      </c>
      <c r="AX155" s="21">
        <f t="shared" si="166"/>
        <v>0.19993956928977938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3.25</v>
      </c>
      <c r="BD155" s="12">
        <f>IF('Données projet'!$A$88&gt;35,BD154+BC155-BL154,IF(A155&lt;'Données projet'!$A$88,$BA$205^A155,IF(A155='Données projet'!$A$88,'Données projet'!$B$88,BD154+BC155-BL154)))</f>
        <v>191.74999999999983</v>
      </c>
      <c r="BE155" s="13">
        <f>BD155*VLOOKUP('Données projet'!$B$11,Paramètres!$A$1:$I$89,3,0)*VLOOKUP('Données projet'!$B$11,Paramètres!$A$1:$I$89,5,0)</f>
        <v>194.43449999999984</v>
      </c>
      <c r="BF155" s="13">
        <f t="shared" si="167"/>
        <v>48.519037524810038</v>
      </c>
      <c r="BG155" s="20">
        <f t="shared" si="168"/>
        <v>423.14407785571052</v>
      </c>
      <c r="BH155" s="59">
        <f t="shared" si="116"/>
        <v>716.47741118904378</v>
      </c>
      <c r="BI155" s="59">
        <f ca="1">AVERAGE(OFFSET($BH$3,0,0,'Données projet'!$E$11+1,1))-AVERAGE(OFFSET($H$3,0,0,'Données projet'!$E$11+1,1))</f>
        <v>217.20784862627357</v>
      </c>
      <c r="BJ155" s="59">
        <f t="shared" si="146"/>
        <v>147.24433901219732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1">
        <f t="shared" si="140"/>
        <v>29.843927447283722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67">
        <f t="shared" si="110"/>
        <v>540.69097697068514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195.05769230769232</v>
      </c>
      <c r="L156" s="12">
        <f>VLOOKUP(A156,'Données projet'!$A$35:$I$55,9,0)</f>
        <v>3.0945512820512846</v>
      </c>
      <c r="M156" s="12">
        <f t="array" ref="M156">INDEX(L:L,MIN(IF(ISNUMBER(L156:L352),ROW(L156:L352),"")))</f>
        <v>3.0945512820512846</v>
      </c>
      <c r="N156" s="13">
        <f>IF('Données projet'!$A$36&gt;35,N155+M156-V155,IF(A156&lt;'Données projet'!$A$36,$K$205^A156,IF(A156='Données projet'!$A$36,'Données projet'!$B$36,N155+M156-V155)))</f>
        <v>195.05769230769175</v>
      </c>
      <c r="O156" s="13">
        <f>N156*VLOOKUP('Données projet'!$B$9,Paramètres!$A$1:$I$89,3,0)*VLOOKUP('Données projet'!$B$9,Paramètres!$A$1:$I$89,5,0)</f>
        <v>176.48819999999949</v>
      </c>
      <c r="P156" s="13">
        <f t="shared" si="141"/>
        <v>44.539981694883714</v>
      </c>
      <c r="Q156" s="20">
        <f t="shared" si="162"/>
        <v>384.95741645192157</v>
      </c>
      <c r="R156" s="59">
        <f t="shared" si="109"/>
        <v>678.29074978525489</v>
      </c>
      <c r="S156" s="59">
        <f ca="1">AVERAGE(OFFSET($R$3,0,0,'Données projet'!$E$9+1,1))-AVERAGE(OFFSET($H$3,0,0,'Données projet'!$E$9+1,1))</f>
        <v>180.68512008344129</v>
      </c>
      <c r="T156" s="59">
        <f t="shared" si="142"/>
        <v>125.86231758828899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70.115384615384613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378.0000000000004</v>
      </c>
      <c r="AJ156" s="13">
        <f>AI156*VLOOKUP('Données projet'!$B$10,Paramètres!$A$1:$I$89,3,0)*VLOOKUP('Données projet'!$B$10,Paramètres!$A$1:$I$89,5,0)</f>
        <v>324.32400000000035</v>
      </c>
      <c r="AK156" s="13">
        <f t="shared" si="164"/>
        <v>76.252341944982831</v>
      </c>
      <c r="AL156" s="20">
        <f t="shared" si="165"/>
        <v>697.67046222084571</v>
      </c>
      <c r="AM156" s="59">
        <f t="shared" si="113"/>
        <v>991.00379555417908</v>
      </c>
      <c r="AN156" s="59">
        <f ca="1">AVERAGE(OFFSET($AM$3,0,0,'Données projet'!$E$10+1,1))-AVERAGE(OFFSET($H$3,0,0,'Données projet'!$E$10+1,1))</f>
        <v>335.81667389179631</v>
      </c>
      <c r="AO156" s="59">
        <f t="shared" si="144"/>
        <v>137.96364450570718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0.19447221125318537</v>
      </c>
      <c r="AW156" s="21">
        <f>EXP(-LN(2)/2)*AW155+(1-EXP(-LN(2)/2))/(LN(2)/2)*AQ156*AT156*VLOOKUP('Données projet'!$B$10,Paramètres!$A$1:$I$89,3,0)*0.475*44/12</f>
        <v>2.7385556759615906E-18</v>
      </c>
      <c r="AX156" s="21">
        <f t="shared" si="166"/>
        <v>0.19447221125318537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195</v>
      </c>
      <c r="BB156" s="12">
        <f>VLOOKUP(A156,'Données projet'!$A$87:$I$107,9,0)</f>
        <v>3.25</v>
      </c>
      <c r="BC156" s="12">
        <f t="array" ref="BC156">INDEX(BB:BB,MIN(IF(ISNUMBER(BB156:BB352),ROW(BB156:BB352),"")))</f>
        <v>3.25</v>
      </c>
      <c r="BD156" s="12">
        <f>IF('Données projet'!$A$88&gt;35,BD155+BC156-BL155,IF(A156&lt;'Données projet'!$A$88,$BA$205^A156,IF(A156='Données projet'!$A$88,'Données projet'!$B$88,BD155+BC156-BL155)))</f>
        <v>194.99999999999983</v>
      </c>
      <c r="BE156" s="13">
        <f>BD156*VLOOKUP('Données projet'!$B$11,Paramètres!$A$1:$I$89,3,0)*VLOOKUP('Données projet'!$B$11,Paramètres!$A$1:$I$89,5,0)</f>
        <v>197.72999999999985</v>
      </c>
      <c r="BF156" s="13">
        <f t="shared" si="167"/>
        <v>49.244959487759623</v>
      </c>
      <c r="BG156" s="20">
        <f t="shared" si="168"/>
        <v>430.14805444118105</v>
      </c>
      <c r="BH156" s="59">
        <f t="shared" si="116"/>
        <v>723.48138777451436</v>
      </c>
      <c r="BI156" s="59">
        <f ca="1">AVERAGE(OFFSET($BH$3,0,0,'Données projet'!$E$11+1,1))-AVERAGE(OFFSET($H$3,0,0,'Données projet'!$E$11+1,1))</f>
        <v>217.20784862627357</v>
      </c>
      <c r="BJ156" s="59">
        <f t="shared" si="146"/>
        <v>147.24433901219732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70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1">
        <f t="shared" si="140"/>
        <v>30.016215601722468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67">
        <f t="shared" si="110"/>
        <v>542.26803550633258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1.8717948717948687</v>
      </c>
      <c r="N157" s="13">
        <f>IF('Données projet'!$A$36&gt;35,N156+M157-V156,IF(A157&lt;'Données projet'!$A$36,$K$205^A157,IF(A157='Données projet'!$A$36,'Données projet'!$B$36,N156+M157-V156)))</f>
        <v>126.814102564102</v>
      </c>
      <c r="O157" s="13">
        <f>N157*VLOOKUP('Données projet'!$B$9,Paramètres!$A$1:$I$89,3,0)*VLOOKUP('Données projet'!$B$9,Paramètres!$A$1:$I$89,5,0)</f>
        <v>114.74139999999949</v>
      </c>
      <c r="P157" s="13">
        <f t="shared" si="141"/>
        <v>30.445336927793697</v>
      </c>
      <c r="Q157" s="20">
        <f t="shared" si="162"/>
        <v>252.8669001492398</v>
      </c>
      <c r="R157" s="59">
        <f t="shared" si="109"/>
        <v>546.20023348257314</v>
      </c>
      <c r="S157" s="59">
        <f ca="1">AVERAGE(OFFSET($R$3,0,0,'Données projet'!$E$9+1,1))-AVERAGE(OFFSET($H$3,0,0,'Données projet'!$E$9+1,1))</f>
        <v>180.68512008344129</v>
      </c>
      <c r="T157" s="59">
        <f t="shared" si="142"/>
        <v>125.86231758828899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378.0000000000004</v>
      </c>
      <c r="AJ157" s="13">
        <f>AI157*VLOOKUP('Données projet'!$B$10,Paramètres!$A$1:$I$89,3,0)*VLOOKUP('Données projet'!$B$10,Paramètres!$A$1:$I$89,5,0)</f>
        <v>324.32400000000035</v>
      </c>
      <c r="AK157" s="13">
        <f t="shared" si="164"/>
        <v>76.252341944982831</v>
      </c>
      <c r="AL157" s="20">
        <f t="shared" si="165"/>
        <v>697.67046222084571</v>
      </c>
      <c r="AM157" s="59">
        <f t="shared" si="113"/>
        <v>991.00379555417908</v>
      </c>
      <c r="AN157" s="59">
        <f ca="1">AVERAGE(OFFSET($AM$3,0,0,'Données projet'!$E$10+1,1))-AVERAGE(OFFSET($H$3,0,0,'Données projet'!$E$10+1,1))</f>
        <v>335.81667389179631</v>
      </c>
      <c r="AO157" s="59">
        <f t="shared" si="144"/>
        <v>137.96364450570718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0.18915435840961789</v>
      </c>
      <c r="AW157" s="21">
        <f>EXP(-LN(2)/2)*AW156+(1-EXP(-LN(2)/2))/(LN(2)/2)*AQ157*AT157*VLOOKUP('Données projet'!$B$10,Paramètres!$A$1:$I$89,3,0)*0.475*44/12</f>
        <v>1.9364512891293502E-18</v>
      </c>
      <c r="AX157" s="21">
        <f t="shared" si="166"/>
        <v>0.18915435840961789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1.75</v>
      </c>
      <c r="BD157" s="12">
        <f>IF('Données projet'!$A$88&gt;35,BD156+BC157-BL156,IF(A157&lt;'Données projet'!$A$88,$BA$205^A157,IF(A157='Données projet'!$A$88,'Données projet'!$B$88,BD156+BC157-BL156)))</f>
        <v>126.74999999999983</v>
      </c>
      <c r="BE157" s="13">
        <f>BD157*VLOOKUP('Données projet'!$B$11,Paramètres!$A$1:$I$89,3,0)*VLOOKUP('Données projet'!$B$11,Paramètres!$A$1:$I$89,5,0)</f>
        <v>128.52449999999982</v>
      </c>
      <c r="BF157" s="13">
        <f t="shared" si="167"/>
        <v>33.655188429227799</v>
      </c>
      <c r="BG157" s="20">
        <f t="shared" si="168"/>
        <v>282.46295734757138</v>
      </c>
      <c r="BH157" s="59">
        <f t="shared" si="116"/>
        <v>575.79629068090469</v>
      </c>
      <c r="BI157" s="59">
        <f ca="1">AVERAGE(OFFSET($BH$3,0,0,'Données projet'!$E$11+1,1))-AVERAGE(OFFSET($H$3,0,0,'Données projet'!$E$11+1,1))</f>
        <v>217.20784862627357</v>
      </c>
      <c r="BJ157" s="59">
        <f t="shared" si="146"/>
        <v>147.24433901219732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1">
        <f t="shared" si="140"/>
        <v>30.188373581400619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67">
        <f t="shared" si="110"/>
        <v>543.84486732093865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1.8717948717948687</v>
      </c>
      <c r="N158" s="13">
        <f>IF('Données projet'!$A$36&gt;35,N157+M158-V157,IF(A158&lt;'Données projet'!$A$36,$K$205^A158,IF(A158='Données projet'!$A$36,'Données projet'!$B$36,N157+M158-V157)))</f>
        <v>128.68589743589686</v>
      </c>
      <c r="O158" s="13">
        <f>N158*VLOOKUP('Données projet'!$B$9,Paramètres!$A$1:$I$89,3,0)*VLOOKUP('Données projet'!$B$9,Paramètres!$A$1:$I$89,5,0)</f>
        <v>116.43499999999946</v>
      </c>
      <c r="P158" s="13">
        <f t="shared" si="141"/>
        <v>30.842067793939275</v>
      </c>
      <c r="Q158" s="20">
        <f t="shared" si="162"/>
        <v>256.5075597411099</v>
      </c>
      <c r="R158" s="59">
        <f t="shared" si="109"/>
        <v>549.84089307444322</v>
      </c>
      <c r="S158" s="59">
        <f ca="1">AVERAGE(OFFSET($R$3,0,0,'Données projet'!$E$9+1,1))-AVERAGE(OFFSET($H$3,0,0,'Données projet'!$E$9+1,1))</f>
        <v>180.68512008344129</v>
      </c>
      <c r="T158" s="59">
        <f t="shared" si="142"/>
        <v>125.86231758828899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378.0000000000004</v>
      </c>
      <c r="AJ158" s="13">
        <f>AI158*VLOOKUP('Données projet'!$B$10,Paramètres!$A$1:$I$89,3,0)*VLOOKUP('Données projet'!$B$10,Paramètres!$A$1:$I$89,5,0)</f>
        <v>324.32400000000035</v>
      </c>
      <c r="AK158" s="13">
        <f t="shared" si="164"/>
        <v>76.252341944982831</v>
      </c>
      <c r="AL158" s="20">
        <f t="shared" si="165"/>
        <v>697.67046222084571</v>
      </c>
      <c r="AM158" s="59">
        <f t="shared" si="113"/>
        <v>991.00379555417908</v>
      </c>
      <c r="AN158" s="59">
        <f ca="1">AVERAGE(OFFSET($AM$3,0,0,'Données projet'!$E$10+1,1))-AVERAGE(OFFSET($H$3,0,0,'Données projet'!$E$10+1,1))</f>
        <v>335.81667389179631</v>
      </c>
      <c r="AO158" s="59">
        <f t="shared" si="144"/>
        <v>137.96364450570718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0.1839819225317115</v>
      </c>
      <c r="AW158" s="21">
        <f>EXP(-LN(2)/2)*AW157+(1-EXP(-LN(2)/2))/(LN(2)/2)*AQ158*AT158*VLOOKUP('Données projet'!$B$10,Paramètres!$A$1:$I$89,3,0)*0.475*44/12</f>
        <v>1.3692778379807953E-18</v>
      </c>
      <c r="AX158" s="21">
        <f t="shared" si="166"/>
        <v>0.1839819225317115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1.75</v>
      </c>
      <c r="BD158" s="12">
        <f>IF('Données projet'!$A$88&gt;35,BD157+BC158-BL157,IF(A158&lt;'Données projet'!$A$88,$BA$205^A158,IF(A158='Données projet'!$A$88,'Données projet'!$B$88,BD157+BC158-BL157)))</f>
        <v>128.49999999999983</v>
      </c>
      <c r="BE158" s="13">
        <f>BD158*VLOOKUP('Données projet'!$B$11,Paramètres!$A$1:$I$89,3,0)*VLOOKUP('Données projet'!$B$11,Paramètres!$A$1:$I$89,5,0)</f>
        <v>130.29899999999984</v>
      </c>
      <c r="BF158" s="13">
        <f t="shared" si="167"/>
        <v>34.065440212996222</v>
      </c>
      <c r="BG158" s="20">
        <f t="shared" si="168"/>
        <v>286.26806670430142</v>
      </c>
      <c r="BH158" s="59">
        <f t="shared" si="116"/>
        <v>579.60140003763468</v>
      </c>
      <c r="BI158" s="59">
        <f ca="1">AVERAGE(OFFSET($BH$3,0,0,'Données projet'!$E$11+1,1))-AVERAGE(OFFSET($H$3,0,0,'Données projet'!$E$11+1,1))</f>
        <v>217.20784862627357</v>
      </c>
      <c r="BJ158" s="59">
        <f t="shared" si="146"/>
        <v>147.24433901219732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1">
        <f t="shared" si="140"/>
        <v>30.360402323573442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67">
        <f t="shared" si="110"/>
        <v>545.42147404688967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1.8717948717948687</v>
      </c>
      <c r="N159" s="13">
        <f>IF('Données projet'!$A$36&gt;35,N158+M159-V158,IF(A159&lt;'Données projet'!$A$36,$K$205^A159,IF(A159='Données projet'!$A$36,'Données projet'!$B$36,N158+M159-V158)))</f>
        <v>130.55769230769172</v>
      </c>
      <c r="O159" s="13">
        <f>N159*VLOOKUP('Données projet'!$B$9,Paramètres!$A$1:$I$89,3,0)*VLOOKUP('Données projet'!$B$9,Paramètres!$A$1:$I$89,5,0)</f>
        <v>118.12859999999947</v>
      </c>
      <c r="P159" s="13">
        <f t="shared" si="141"/>
        <v>31.238127501943364</v>
      </c>
      <c r="Q159" s="20">
        <f t="shared" si="162"/>
        <v>260.14705039921705</v>
      </c>
      <c r="R159" s="59">
        <f t="shared" si="109"/>
        <v>553.48038373255031</v>
      </c>
      <c r="S159" s="59">
        <f ca="1">AVERAGE(OFFSET($R$3,0,0,'Données projet'!$E$9+1,1))-AVERAGE(OFFSET($H$3,0,0,'Données projet'!$E$9+1,1))</f>
        <v>180.68512008344129</v>
      </c>
      <c r="T159" s="59">
        <f t="shared" si="142"/>
        <v>125.86231758828899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378.0000000000004</v>
      </c>
      <c r="AJ159" s="13">
        <f>AI159*VLOOKUP('Données projet'!$B$10,Paramètres!$A$1:$I$89,3,0)*VLOOKUP('Données projet'!$B$10,Paramètres!$A$1:$I$89,5,0)</f>
        <v>324.32400000000035</v>
      </c>
      <c r="AK159" s="13">
        <f t="shared" si="164"/>
        <v>76.252341944982831</v>
      </c>
      <c r="AL159" s="20">
        <f t="shared" si="165"/>
        <v>697.67046222084571</v>
      </c>
      <c r="AM159" s="59">
        <f t="shared" si="113"/>
        <v>991.00379555417908</v>
      </c>
      <c r="AN159" s="59">
        <f ca="1">AVERAGE(OFFSET($AM$3,0,0,'Données projet'!$E$10+1,1))-AVERAGE(OFFSET($H$3,0,0,'Données projet'!$E$10+1,1))</f>
        <v>335.81667389179631</v>
      </c>
      <c r="AO159" s="59">
        <f t="shared" si="144"/>
        <v>137.96364450570718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0.17895092718489303</v>
      </c>
      <c r="AW159" s="21">
        <f>EXP(-LN(2)/2)*AW158+(1-EXP(-LN(2)/2))/(LN(2)/2)*AQ159*AT159*VLOOKUP('Données projet'!$B$10,Paramètres!$A$1:$I$89,3,0)*0.475*44/12</f>
        <v>9.6822564456467508E-19</v>
      </c>
      <c r="AX159" s="21">
        <f t="shared" si="166"/>
        <v>0.17895092718489303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1.75</v>
      </c>
      <c r="BD159" s="12">
        <f>IF('Données projet'!$A$88&gt;35,BD158+BC159-BL158,IF(A159&lt;'Données projet'!$A$88,$BA$205^A159,IF(A159='Données projet'!$A$88,'Données projet'!$B$88,BD158+BC159-BL158)))</f>
        <v>130.24999999999983</v>
      </c>
      <c r="BE159" s="13">
        <f>BD159*VLOOKUP('Données projet'!$B$11,Paramètres!$A$1:$I$89,3,0)*VLOOKUP('Données projet'!$B$11,Paramètres!$A$1:$I$89,5,0)</f>
        <v>132.07349999999985</v>
      </c>
      <c r="BF159" s="13">
        <f t="shared" si="167"/>
        <v>34.475042153838814</v>
      </c>
      <c r="BG159" s="20">
        <f t="shared" si="168"/>
        <v>290.07204425126901</v>
      </c>
      <c r="BH159" s="59">
        <f t="shared" si="116"/>
        <v>583.40537758460232</v>
      </c>
      <c r="BI159" s="59">
        <f ca="1">AVERAGE(OFFSET($BH$3,0,0,'Données projet'!$E$11+1,1))-AVERAGE(OFFSET($H$3,0,0,'Données projet'!$E$11+1,1))</f>
        <v>217.20784862627357</v>
      </c>
      <c r="BJ159" s="59">
        <f t="shared" si="146"/>
        <v>147.24433901219732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1">
        <f t="shared" si="140"/>
        <v>30.532302752785306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67">
        <f t="shared" si="110"/>
        <v>546.99785729443374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132.42948717948718</v>
      </c>
      <c r="L160" s="12">
        <f>VLOOKUP(A160,'Données projet'!$A$35:$I$55,9,0)</f>
        <v>1.8717948717948687</v>
      </c>
      <c r="M160" s="12">
        <f t="array" ref="M160">INDEX(L:L,MIN(IF(ISNUMBER(L160:L356),ROW(L160:L356),"")))</f>
        <v>1.8717948717948687</v>
      </c>
      <c r="N160" s="13">
        <f>IF('Données projet'!$A$36&gt;35,N159+M160-V159,IF(A160&lt;'Données projet'!$A$36,$K$205^A160,IF(A160='Données projet'!$A$36,'Données projet'!$B$36,N159+M160-V159)))</f>
        <v>132.42948717948659</v>
      </c>
      <c r="O160" s="13">
        <f>N160*VLOOKUP('Données projet'!$B$9,Paramètres!$A$1:$I$89,3,0)*VLOOKUP('Données projet'!$B$9,Paramètres!$A$1:$I$89,5,0)</f>
        <v>119.82219999999947</v>
      </c>
      <c r="P160" s="13">
        <f t="shared" si="141"/>
        <v>31.633526785966847</v>
      </c>
      <c r="Q160" s="20">
        <f t="shared" si="162"/>
        <v>263.7853908188913</v>
      </c>
      <c r="R160" s="59">
        <f t="shared" si="109"/>
        <v>557.11872415222456</v>
      </c>
      <c r="S160" s="59">
        <f ca="1">AVERAGE(OFFSET($R$3,0,0,'Données projet'!$E$9+1,1))-AVERAGE(OFFSET($H$3,0,0,'Données projet'!$E$9+1,1))</f>
        <v>180.68512008344129</v>
      </c>
      <c r="T160" s="59">
        <f t="shared" si="142"/>
        <v>125.86231758828899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45.71153846153846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378.0000000000004</v>
      </c>
      <c r="AJ160" s="13">
        <f>AI160*VLOOKUP('Données projet'!$B$10,Paramètres!$A$1:$I$89,3,0)*VLOOKUP('Données projet'!$B$10,Paramètres!$A$1:$I$89,5,0)</f>
        <v>324.32400000000035</v>
      </c>
      <c r="AK160" s="13">
        <f t="shared" si="164"/>
        <v>76.252341944982831</v>
      </c>
      <c r="AL160" s="20">
        <f t="shared" si="165"/>
        <v>697.67046222084571</v>
      </c>
      <c r="AM160" s="59">
        <f t="shared" si="113"/>
        <v>991.00379555417908</v>
      </c>
      <c r="AN160" s="59">
        <f ca="1">AVERAGE(OFFSET($AM$3,0,0,'Données projet'!$E$10+1,1))-AVERAGE(OFFSET($H$3,0,0,'Données projet'!$E$10+1,1))</f>
        <v>335.81667389179631</v>
      </c>
      <c r="AO160" s="59">
        <f t="shared" si="144"/>
        <v>137.96364450570718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0.17405750467040187</v>
      </c>
      <c r="AW160" s="21">
        <f>EXP(-LN(2)/2)*AW159+(1-EXP(-LN(2)/2))/(LN(2)/2)*AQ160*AT160*VLOOKUP('Données projet'!$B$10,Paramètres!$A$1:$I$89,3,0)*0.475*44/12</f>
        <v>6.8463891899039764E-19</v>
      </c>
      <c r="AX160" s="21">
        <f t="shared" si="166"/>
        <v>0.17405750467040187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132</v>
      </c>
      <c r="BB160" s="12">
        <f>VLOOKUP(A160,'Données projet'!$A$87:$I$107,9,0)</f>
        <v>1.75</v>
      </c>
      <c r="BC160" s="12">
        <f t="array" ref="BC160">INDEX(BB:BB,MIN(IF(ISNUMBER(BB160:BB356),ROW(BB160:BB356),"")))</f>
        <v>1.75</v>
      </c>
      <c r="BD160" s="12">
        <f>IF('Données projet'!$A$88&gt;35,BD159+BC160-BL159,IF(A160&lt;'Données projet'!$A$88,$BA$205^A160,IF(A160='Données projet'!$A$88,'Données projet'!$B$88,BD159+BC160-BL159)))</f>
        <v>131.99999999999983</v>
      </c>
      <c r="BE160" s="13">
        <f>BD160*VLOOKUP('Données projet'!$B$11,Paramètres!$A$1:$I$89,3,0)*VLOOKUP('Données projet'!$B$11,Paramètres!$A$1:$I$89,5,0)</f>
        <v>133.84799999999984</v>
      </c>
      <c r="BF160" s="13">
        <f t="shared" si="167"/>
        <v>34.884003992121627</v>
      </c>
      <c r="BG160" s="20">
        <f t="shared" si="168"/>
        <v>293.87490695294485</v>
      </c>
      <c r="BH160" s="59">
        <f t="shared" si="116"/>
        <v>587.20824028627817</v>
      </c>
      <c r="BI160" s="59">
        <f ca="1">AVERAGE(OFFSET($BH$3,0,0,'Données projet'!$E$11+1,1))-AVERAGE(OFFSET($H$3,0,0,'Données projet'!$E$11+1,1))</f>
        <v>217.20784862627357</v>
      </c>
      <c r="BJ160" s="59">
        <f t="shared" si="146"/>
        <v>147.24433901219732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46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1">
        <f t="shared" si="140"/>
        <v>30.704075781121787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67">
        <f t="shared" si="110"/>
        <v>548.57401865211966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1.1618589743589709</v>
      </c>
      <c r="N161" s="13">
        <f>IF('Données projet'!$A$36&gt;35,N160+M161-V160,IF(A161&lt;'Données projet'!$A$36,$K$205^A161,IF(A161='Données projet'!$A$36,'Données projet'!$B$36,N160+M161-V160)))</f>
        <v>87.879807692307111</v>
      </c>
      <c r="O161" s="13">
        <f>N161*VLOOKUP('Données projet'!$B$9,Paramètres!$A$1:$I$89,3,0)*VLOOKUP('Données projet'!$B$9,Paramètres!$A$1:$I$89,5,0)</f>
        <v>79.513649999999473</v>
      </c>
      <c r="P161" s="13">
        <f t="shared" si="141"/>
        <v>22.01822685528159</v>
      </c>
      <c r="Q161" s="20">
        <f t="shared" si="162"/>
        <v>176.83468552294786</v>
      </c>
      <c r="R161" s="59">
        <f t="shared" si="109"/>
        <v>470.16801885628115</v>
      </c>
      <c r="S161" s="59">
        <f ca="1">AVERAGE(OFFSET($R$3,0,0,'Données projet'!$E$9+1,1))-AVERAGE(OFFSET($H$3,0,0,'Données projet'!$E$9+1,1))</f>
        <v>180.68512008344129</v>
      </c>
      <c r="T161" s="59">
        <f t="shared" si="142"/>
        <v>125.86231758828899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378.0000000000004</v>
      </c>
      <c r="AJ161" s="13">
        <f>AI161*VLOOKUP('Données projet'!$B$10,Paramètres!$A$1:$I$89,3,0)*VLOOKUP('Données projet'!$B$10,Paramètres!$A$1:$I$89,5,0)</f>
        <v>324.32400000000035</v>
      </c>
      <c r="AK161" s="13">
        <f t="shared" si="164"/>
        <v>76.252341944982831</v>
      </c>
      <c r="AL161" s="20">
        <f t="shared" si="165"/>
        <v>697.67046222084571</v>
      </c>
      <c r="AM161" s="59">
        <f t="shared" si="113"/>
        <v>991.00379555417908</v>
      </c>
      <c r="AN161" s="59">
        <f ca="1">AVERAGE(OFFSET($AM$3,0,0,'Données projet'!$E$10+1,1))-AVERAGE(OFFSET($H$3,0,0,'Données projet'!$E$10+1,1))</f>
        <v>335.81667389179631</v>
      </c>
      <c r="AO161" s="59">
        <f t="shared" si="144"/>
        <v>137.96364450570718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0.16929789305190338</v>
      </c>
      <c r="AW161" s="21">
        <f>EXP(-LN(2)/2)*AW160+(1-EXP(-LN(2)/2))/(LN(2)/2)*AQ161*AT161*VLOOKUP('Données projet'!$B$10,Paramètres!$A$1:$I$89,3,0)*0.475*44/12</f>
        <v>4.8411282228233754E-19</v>
      </c>
      <c r="AX161" s="21">
        <f t="shared" si="166"/>
        <v>0.16929789305190338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1.25</v>
      </c>
      <c r="BD161" s="12">
        <f>IF('Données projet'!$A$88&gt;35,BD160+BC161-BL160,IF(A161&lt;'Données projet'!$A$88,$BA$205^A161,IF(A161='Données projet'!$A$88,'Données projet'!$B$88,BD160+BC161-BL160)))</f>
        <v>87.249999999999829</v>
      </c>
      <c r="BE161" s="13">
        <f>BD161*VLOOKUP('Données projet'!$B$11,Paramètres!$A$1:$I$89,3,0)*VLOOKUP('Données projet'!$B$11,Paramètres!$A$1:$I$89,5,0)</f>
        <v>88.471499999999835</v>
      </c>
      <c r="BF161" s="13">
        <f t="shared" si="167"/>
        <v>24.196220904080832</v>
      </c>
      <c r="BG161" s="20">
        <f t="shared" si="168"/>
        <v>196.22961390794049</v>
      </c>
      <c r="BH161" s="59">
        <f t="shared" si="116"/>
        <v>489.56294724127383</v>
      </c>
      <c r="BI161" s="59">
        <f ca="1">AVERAGE(OFFSET($BH$3,0,0,'Données projet'!$E$11+1,1))-AVERAGE(OFFSET($H$3,0,0,'Données projet'!$E$11+1,1))</f>
        <v>217.20784862627357</v>
      </c>
      <c r="BJ161" s="59">
        <f t="shared" si="146"/>
        <v>147.24433901219732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1">
        <f t="shared" si="140"/>
        <v>30.875722308455476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67">
        <f t="shared" si="110"/>
        <v>550.14995968722587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1.1618589743589709</v>
      </c>
      <c r="N162" s="13">
        <f>IF('Données projet'!$A$36&gt;35,N161+M162-V161,IF(A162&lt;'Données projet'!$A$36,$K$205^A162,IF(A162='Données projet'!$A$36,'Données projet'!$B$36,N161+M162-V161)))</f>
        <v>89.041666666666089</v>
      </c>
      <c r="O162" s="13">
        <f>N162*VLOOKUP('Données projet'!$B$9,Paramètres!$A$1:$I$89,3,0)*VLOOKUP('Données projet'!$B$9,Paramètres!$A$1:$I$89,5,0)</f>
        <v>80.564899999999483</v>
      </c>
      <c r="P162" s="13">
        <f t="shared" si="141"/>
        <v>22.275248501153087</v>
      </c>
      <c r="Q162" s="20">
        <f t="shared" si="162"/>
        <v>179.11325863950739</v>
      </c>
      <c r="R162" s="59">
        <f t="shared" si="109"/>
        <v>472.44659197284068</v>
      </c>
      <c r="S162" s="59">
        <f ca="1">AVERAGE(OFFSET($R$3,0,0,'Données projet'!$E$9+1,1))-AVERAGE(OFFSET($H$3,0,0,'Données projet'!$E$9+1,1))</f>
        <v>180.68512008344129</v>
      </c>
      <c r="T162" s="59">
        <f t="shared" si="142"/>
        <v>125.86231758828899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378.0000000000004</v>
      </c>
      <c r="AJ162" s="13">
        <f>AI162*VLOOKUP('Données projet'!$B$10,Paramètres!$A$1:$I$89,3,0)*VLOOKUP('Données projet'!$B$10,Paramètres!$A$1:$I$89,5,0)</f>
        <v>324.32400000000035</v>
      </c>
      <c r="AK162" s="13">
        <f t="shared" si="164"/>
        <v>76.252341944982831</v>
      </c>
      <c r="AL162" s="20">
        <f t="shared" si="165"/>
        <v>697.67046222084571</v>
      </c>
      <c r="AM162" s="59">
        <f t="shared" si="113"/>
        <v>991.00379555417908</v>
      </c>
      <c r="AN162" s="59">
        <f ca="1">AVERAGE(OFFSET($AM$3,0,0,'Données projet'!$E$10+1,1))-AVERAGE(OFFSET($H$3,0,0,'Données projet'!$E$10+1,1))</f>
        <v>335.81667389179631</v>
      </c>
      <c r="AO162" s="59">
        <f t="shared" si="144"/>
        <v>137.96364450570718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0.16466843326340982</v>
      </c>
      <c r="AW162" s="21">
        <f>EXP(-LN(2)/2)*AW161+(1-EXP(-LN(2)/2))/(LN(2)/2)*AQ162*AT162*VLOOKUP('Données projet'!$B$10,Paramètres!$A$1:$I$89,3,0)*0.475*44/12</f>
        <v>3.4231945949519882E-19</v>
      </c>
      <c r="AX162" s="21">
        <f t="shared" si="166"/>
        <v>0.16466843326340982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1.25</v>
      </c>
      <c r="BD162" s="12">
        <f>IF('Données projet'!$A$88&gt;35,BD161+BC162-BL161,IF(A162&lt;'Données projet'!$A$88,$BA$205^A162,IF(A162='Données projet'!$A$88,'Données projet'!$B$88,BD161+BC162-BL161)))</f>
        <v>88.499999999999829</v>
      </c>
      <c r="BE162" s="13">
        <f>BD162*VLOOKUP('Données projet'!$B$11,Paramètres!$A$1:$I$89,3,0)*VLOOKUP('Données projet'!$B$11,Paramètres!$A$1:$I$89,5,0)</f>
        <v>89.738999999999834</v>
      </c>
      <c r="BF162" s="13">
        <f t="shared" si="167"/>
        <v>24.502267443112583</v>
      </c>
      <c r="BG162" s="20">
        <f t="shared" si="168"/>
        <v>198.97020746342079</v>
      </c>
      <c r="BH162" s="59">
        <f t="shared" si="116"/>
        <v>492.30354079675408</v>
      </c>
      <c r="BI162" s="59">
        <f ca="1">AVERAGE(OFFSET($BH$3,0,0,'Données projet'!$E$11+1,1))-AVERAGE(OFFSET($H$3,0,0,'Données projet'!$E$11+1,1))</f>
        <v>217.20784862627357</v>
      </c>
      <c r="BJ162" s="59">
        <f t="shared" si="146"/>
        <v>147.24433901219732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1">
        <f t="shared" si="140"/>
        <v>31.047243222685147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67">
        <f t="shared" si="110"/>
        <v>551.72568194617588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1.1618589743589709</v>
      </c>
      <c r="N163" s="13">
        <f>IF('Données projet'!$A$36&gt;35,N162+M163-V162,IF(A163&lt;'Données projet'!$A$36,$K$205^A163,IF(A163='Données projet'!$A$36,'Données projet'!$B$36,N162+M163-V162)))</f>
        <v>90.203525641025067</v>
      </c>
      <c r="O163" s="13">
        <f>N163*VLOOKUP('Données projet'!$B$9,Paramètres!$A$1:$I$89,3,0)*VLOOKUP('Données projet'!$B$9,Paramètres!$A$1:$I$89,5,0)</f>
        <v>81.616149999999479</v>
      </c>
      <c r="P163" s="13">
        <f t="shared" si="141"/>
        <v>22.531880055891996</v>
      </c>
      <c r="Q163" s="20">
        <f t="shared" si="162"/>
        <v>181.39115234734427</v>
      </c>
      <c r="R163" s="59">
        <f t="shared" si="109"/>
        <v>474.72448568067762</v>
      </c>
      <c r="S163" s="59">
        <f ca="1">AVERAGE(OFFSET($R$3,0,0,'Données projet'!$E$9+1,1))-AVERAGE(OFFSET($H$3,0,0,'Données projet'!$E$9+1,1))</f>
        <v>180.68512008344129</v>
      </c>
      <c r="T163" s="59">
        <f t="shared" si="142"/>
        <v>125.86231758828899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378.0000000000004</v>
      </c>
      <c r="AJ163" s="13">
        <f>AI163*VLOOKUP('Données projet'!$B$10,Paramètres!$A$1:$I$89,3,0)*VLOOKUP('Données projet'!$B$10,Paramètres!$A$1:$I$89,5,0)</f>
        <v>324.32400000000035</v>
      </c>
      <c r="AK163" s="13">
        <f t="shared" si="164"/>
        <v>76.252341944982831</v>
      </c>
      <c r="AL163" s="20">
        <f t="shared" si="165"/>
        <v>697.67046222084571</v>
      </c>
      <c r="AM163" s="59">
        <f t="shared" si="113"/>
        <v>991.00379555417908</v>
      </c>
      <c r="AN163" s="59">
        <f ca="1">AVERAGE(OFFSET($AM$3,0,0,'Données projet'!$E$10+1,1))-AVERAGE(OFFSET($H$3,0,0,'Données projet'!$E$10+1,1))</f>
        <v>335.81667389179631</v>
      </c>
      <c r="AO163" s="59">
        <f t="shared" si="144"/>
        <v>137.96364450570718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0.16016556629628534</v>
      </c>
      <c r="AW163" s="21">
        <f>EXP(-LN(2)/2)*AW162+(1-EXP(-LN(2)/2))/(LN(2)/2)*AQ163*AT163*VLOOKUP('Données projet'!$B$10,Paramètres!$A$1:$I$89,3,0)*0.475*44/12</f>
        <v>2.4205641114116877E-19</v>
      </c>
      <c r="AX163" s="21">
        <f t="shared" si="166"/>
        <v>0.16016556629628534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1.25</v>
      </c>
      <c r="BD163" s="12">
        <f>IF('Données projet'!$A$88&gt;35,BD162+BC163-BL162,IF(A163&lt;'Données projet'!$A$88,$BA$205^A163,IF(A163='Données projet'!$A$88,'Données projet'!$B$88,BD162+BC163-BL162)))</f>
        <v>89.749999999999829</v>
      </c>
      <c r="BE163" s="13">
        <f>BD163*VLOOKUP('Données projet'!$B$11,Paramètres!$A$1:$I$89,3,0)*VLOOKUP('Données projet'!$B$11,Paramètres!$A$1:$I$89,5,0)</f>
        <v>91.006499999999832</v>
      </c>
      <c r="BF163" s="13">
        <f t="shared" si="167"/>
        <v>24.807811216598456</v>
      </c>
      <c r="BG163" s="20">
        <f t="shared" si="168"/>
        <v>201.70992536890867</v>
      </c>
      <c r="BH163" s="59">
        <f t="shared" si="116"/>
        <v>495.04325870224199</v>
      </c>
      <c r="BI163" s="59">
        <f ca="1">AVERAGE(OFFSET($BH$3,0,0,'Données projet'!$E$11+1,1))-AVERAGE(OFFSET($H$3,0,0,'Données projet'!$E$11+1,1))</f>
        <v>217.20784862627357</v>
      </c>
      <c r="BJ163" s="59">
        <f t="shared" si="146"/>
        <v>147.24433901219732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1">
        <f t="shared" si="140"/>
        <v>31.218639399968879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67">
        <f t="shared" si="110"/>
        <v>553.30118695494502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91.365384615384613</v>
      </c>
      <c r="L164" s="12">
        <f>VLOOKUP(A164,'Données projet'!$A$35:$I$55,9,0)</f>
        <v>1.1618589743589709</v>
      </c>
      <c r="M164" s="12">
        <f t="array" ref="M164">INDEX(L:L,MIN(IF(ISNUMBER(L164:L360),ROW(L164:L360),"")))</f>
        <v>1.1618589743589709</v>
      </c>
      <c r="N164" s="13">
        <f>IF('Données projet'!$A$36&gt;35,N163+M164-V163,IF(A164&lt;'Données projet'!$A$36,$K$205^A164,IF(A164='Données projet'!$A$36,'Données projet'!$B$36,N163+M164-V163)))</f>
        <v>91.365384615384045</v>
      </c>
      <c r="O164" s="13">
        <f>N164*VLOOKUP('Données projet'!$B$9,Paramètres!$A$1:$I$89,3,0)*VLOOKUP('Données projet'!$B$9,Paramètres!$A$1:$I$89,5,0)</f>
        <v>82.667399999999489</v>
      </c>
      <c r="P164" s="13">
        <f t="shared" si="141"/>
        <v>22.788127124999448</v>
      </c>
      <c r="Q164" s="20">
        <f t="shared" si="162"/>
        <v>183.66837640937317</v>
      </c>
      <c r="R164" s="59">
        <f t="shared" si="109"/>
        <v>477.00170974270645</v>
      </c>
      <c r="S164" s="59">
        <f ca="1">AVERAGE(OFFSET($R$3,0,0,'Données projet'!$E$9+1,1))-AVERAGE(OFFSET($H$3,0,0,'Données projet'!$E$9+1,1))</f>
        <v>180.68512008344129</v>
      </c>
      <c r="T164" s="59">
        <f t="shared" si="142"/>
        <v>125.86231758828899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91.365384615384613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378.0000000000004</v>
      </c>
      <c r="AJ164" s="13">
        <f>AI164*VLOOKUP('Données projet'!$B$10,Paramètres!$A$1:$I$89,3,0)*VLOOKUP('Données projet'!$B$10,Paramètres!$A$1:$I$89,5,0)</f>
        <v>324.32400000000035</v>
      </c>
      <c r="AK164" s="13">
        <f t="shared" si="164"/>
        <v>76.252341944982831</v>
      </c>
      <c r="AL164" s="20">
        <f t="shared" si="165"/>
        <v>697.67046222084571</v>
      </c>
      <c r="AM164" s="59">
        <f t="shared" si="113"/>
        <v>991.00379555417908</v>
      </c>
      <c r="AN164" s="59">
        <f ca="1">AVERAGE(OFFSET($AM$3,0,0,'Données projet'!$E$10+1,1))-AVERAGE(OFFSET($H$3,0,0,'Données projet'!$E$10+1,1))</f>
        <v>335.81667389179631</v>
      </c>
      <c r="AO164" s="59">
        <f t="shared" si="144"/>
        <v>137.96364450570718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0.15578583046317235</v>
      </c>
      <c r="AW164" s="21">
        <f>EXP(-LN(2)/2)*AW163+(1-EXP(-LN(2)/2))/(LN(2)/2)*AQ164*AT164*VLOOKUP('Données projet'!$B$10,Paramètres!$A$1:$I$89,3,0)*0.475*44/12</f>
        <v>1.7115972974759941E-19</v>
      </c>
      <c r="AX164" s="21">
        <f t="shared" si="166"/>
        <v>0.15578583046317235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91</v>
      </c>
      <c r="BB164" s="12">
        <f>VLOOKUP(A164,'Données projet'!$A$87:$I$107,9,0)</f>
        <v>1.25</v>
      </c>
      <c r="BC164" s="12">
        <f t="array" ref="BC164">INDEX(BB:BB,MIN(IF(ISNUMBER(BB164:BB360),ROW(BB164:BB360),"")))</f>
        <v>1.25</v>
      </c>
      <c r="BD164" s="12">
        <f>IF('Données projet'!$A$88&gt;35,BD163+BC164-BL163,IF(A164&lt;'Données projet'!$A$88,$BA$205^A164,IF(A164='Données projet'!$A$88,'Données projet'!$B$88,BD163+BC164-BL163)))</f>
        <v>90.999999999999829</v>
      </c>
      <c r="BE164" s="13">
        <f>BD164*VLOOKUP('Données projet'!$B$11,Paramètres!$A$1:$I$89,3,0)*VLOOKUP('Données projet'!$B$11,Paramètres!$A$1:$I$89,5,0)</f>
        <v>92.27399999999983</v>
      </c>
      <c r="BF164" s="13">
        <f t="shared" si="167"/>
        <v>25.112860036087532</v>
      </c>
      <c r="BG164" s="20">
        <f t="shared" si="168"/>
        <v>204.44878122951886</v>
      </c>
      <c r="BH164" s="59">
        <f t="shared" si="116"/>
        <v>497.78211456285214</v>
      </c>
      <c r="BI164" s="59">
        <f ca="1">AVERAGE(OFFSET($BH$3,0,0,'Données projet'!$E$11+1,1))-AVERAGE(OFFSET($H$3,0,0,'Données projet'!$E$11+1,1))</f>
        <v>217.20784862627357</v>
      </c>
      <c r="BJ164" s="59">
        <f t="shared" si="146"/>
        <v>147.24433901219732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91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1">
        <f t="shared" si="140"/>
        <v>31.389911704951448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67">
        <f t="shared" si="110"/>
        <v>554.87647621945644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-5.1431925385259092E-13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180.68512008344129</v>
      </c>
      <c r="T165" s="59">
        <f t="shared" si="142"/>
        <v>125.86231758828899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378.0000000000004</v>
      </c>
      <c r="AJ165" s="13">
        <f>AI165*VLOOKUP('Données projet'!$B$10,Paramètres!$A$1:$I$89,3,0)*VLOOKUP('Données projet'!$B$10,Paramètres!$A$1:$I$89,5,0)</f>
        <v>324.32400000000035</v>
      </c>
      <c r="AK165" s="13">
        <f t="shared" si="164"/>
        <v>76.252341944982831</v>
      </c>
      <c r="AL165" s="20">
        <f t="shared" si="165"/>
        <v>697.67046222084571</v>
      </c>
      <c r="AM165" s="59">
        <f t="shared" si="113"/>
        <v>991.00379555417908</v>
      </c>
      <c r="AN165" s="59">
        <f ca="1">AVERAGE(OFFSET($AM$3,0,0,'Données projet'!$E$10+1,1))-AVERAGE(OFFSET($H$3,0,0,'Données projet'!$E$10+1,1))</f>
        <v>335.81667389179631</v>
      </c>
      <c r="AO165" s="59">
        <f t="shared" si="144"/>
        <v>137.96364450570718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0.15152585873673613</v>
      </c>
      <c r="AW165" s="21">
        <f>EXP(-LN(2)/2)*AW164+(1-EXP(-LN(2)/2))/(LN(2)/2)*AQ165*AT165*VLOOKUP('Données projet'!$B$10,Paramètres!$A$1:$I$89,3,0)*0.475*44/12</f>
        <v>1.2102820557058438E-19</v>
      </c>
      <c r="AX165" s="21">
        <f t="shared" si="166"/>
        <v>0.15152585873673613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-1.72917680174578E-13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217.20784862627357</v>
      </c>
      <c r="BJ165" s="59">
        <f t="shared" si="146"/>
        <v>147.24433901219732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1">
        <f t="shared" si="140"/>
        <v>31.561060990985393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67">
        <f t="shared" si="110"/>
        <v>556.45155122596543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-5.1431925385259092E-13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180.68512008344129</v>
      </c>
      <c r="T166" s="59">
        <f t="shared" si="142"/>
        <v>125.86231758828899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378.0000000000004</v>
      </c>
      <c r="AJ166" s="13">
        <f>AI166*VLOOKUP('Données projet'!$B$10,Paramètres!$A$1:$I$89,3,0)*VLOOKUP('Données projet'!$B$10,Paramètres!$A$1:$I$89,5,0)</f>
        <v>324.32400000000035</v>
      </c>
      <c r="AK166" s="13">
        <f t="shared" si="164"/>
        <v>76.252341944982831</v>
      </c>
      <c r="AL166" s="20">
        <f t="shared" si="165"/>
        <v>697.67046222084571</v>
      </c>
      <c r="AM166" s="59">
        <f t="shared" si="113"/>
        <v>991.00379555417908</v>
      </c>
      <c r="AN166" s="59">
        <f ca="1">AVERAGE(OFFSET($AM$3,0,0,'Données projet'!$E$10+1,1))-AVERAGE(OFFSET($H$3,0,0,'Données projet'!$E$10+1,1))</f>
        <v>335.81667389179631</v>
      </c>
      <c r="AO166" s="59">
        <f t="shared" si="144"/>
        <v>137.96364450570718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0.14738237616118149</v>
      </c>
      <c r="AW166" s="21">
        <f>EXP(-LN(2)/2)*AW165+(1-EXP(-LN(2)/2))/(LN(2)/2)*AQ166*AT166*VLOOKUP('Données projet'!$B$10,Paramètres!$A$1:$I$89,3,0)*0.475*44/12</f>
        <v>8.5579864873799705E-20</v>
      </c>
      <c r="AX166" s="21">
        <f t="shared" si="166"/>
        <v>0.14738237616118149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-1.72917680174578E-13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217.20784862627357</v>
      </c>
      <c r="BJ166" s="59">
        <f t="shared" si="146"/>
        <v>147.24433901219732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1">
        <f t="shared" si="140"/>
        <v>31.732088100347205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67">
        <f t="shared" si="110"/>
        <v>558.02641344143728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-5.1431925385259092E-13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180.68512008344129</v>
      </c>
      <c r="T167" s="59">
        <f t="shared" si="142"/>
        <v>125.86231758828899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378.0000000000004</v>
      </c>
      <c r="AJ167" s="13">
        <f>AI167*VLOOKUP('Données projet'!$B$10,Paramètres!$A$1:$I$89,3,0)*VLOOKUP('Données projet'!$B$10,Paramètres!$A$1:$I$89,5,0)</f>
        <v>324.32400000000035</v>
      </c>
      <c r="AK167" s="13">
        <f t="shared" si="164"/>
        <v>76.252341944982831</v>
      </c>
      <c r="AL167" s="20">
        <f t="shared" si="165"/>
        <v>697.67046222084571</v>
      </c>
      <c r="AM167" s="59">
        <f t="shared" si="113"/>
        <v>991.00379555417908</v>
      </c>
      <c r="AN167" s="59">
        <f ca="1">AVERAGE(OFFSET($AM$3,0,0,'Données projet'!$E$10+1,1))-AVERAGE(OFFSET($H$3,0,0,'Données projet'!$E$10+1,1))</f>
        <v>335.81667389179631</v>
      </c>
      <c r="AO167" s="59">
        <f t="shared" si="144"/>
        <v>137.96364450570718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0.14335219733455168</v>
      </c>
      <c r="AW167" s="21">
        <f>EXP(-LN(2)/2)*AW166+(1-EXP(-LN(2)/2))/(LN(2)/2)*AQ167*AT167*VLOOKUP('Données projet'!$B$10,Paramètres!$A$1:$I$89,3,0)*0.475*44/12</f>
        <v>6.0514102785292192E-20</v>
      </c>
      <c r="AX167" s="21">
        <f t="shared" si="166"/>
        <v>0.14335219733455168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-1.72917680174578E-13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217.20784862627357</v>
      </c>
      <c r="BJ167" s="59">
        <f t="shared" si="146"/>
        <v>147.24433901219732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1">
        <f t="shared" si="140"/>
        <v>31.902993864447446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67">
        <f t="shared" si="110"/>
        <v>559.60106431391182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-5.1431925385259092E-13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180.68512008344129</v>
      </c>
      <c r="T168" s="59">
        <f t="shared" si="142"/>
        <v>125.86231758828899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378.0000000000004</v>
      </c>
      <c r="AJ168" s="13">
        <f>AI168*VLOOKUP('Données projet'!$B$10,Paramètres!$A$1:$I$89,3,0)*VLOOKUP('Données projet'!$B$10,Paramètres!$A$1:$I$89,5,0)</f>
        <v>324.32400000000035</v>
      </c>
      <c r="AK168" s="13">
        <f t="shared" si="164"/>
        <v>76.252341944982831</v>
      </c>
      <c r="AL168" s="20">
        <f t="shared" si="165"/>
        <v>697.67046222084571</v>
      </c>
      <c r="AM168" s="59">
        <f t="shared" si="113"/>
        <v>991.00379555417908</v>
      </c>
      <c r="AN168" s="59">
        <f ca="1">AVERAGE(OFFSET($AM$3,0,0,'Données projet'!$E$10+1,1))-AVERAGE(OFFSET($H$3,0,0,'Données projet'!$E$10+1,1))</f>
        <v>335.81667389179631</v>
      </c>
      <c r="AO168" s="59">
        <f t="shared" si="144"/>
        <v>137.96364450570718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0.13943222395987395</v>
      </c>
      <c r="AW168" s="21">
        <f>EXP(-LN(2)/2)*AW167+(1-EXP(-LN(2)/2))/(LN(2)/2)*AQ168*AT168*VLOOKUP('Données projet'!$B$10,Paramètres!$A$1:$I$89,3,0)*0.475*44/12</f>
        <v>4.2789932436899852E-20</v>
      </c>
      <c r="AX168" s="21">
        <f t="shared" si="166"/>
        <v>0.13943222395987395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-1.72917680174578E-13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217.20784862627357</v>
      </c>
      <c r="BJ168" s="59">
        <f t="shared" si="146"/>
        <v>147.24433901219732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1">
        <f t="shared" si="140"/>
        <v>32.073779104036042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67">
        <f t="shared" si="110"/>
        <v>561.17550527286198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-5.1431925385259092E-13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180.68512008344129</v>
      </c>
      <c r="T169" s="59">
        <f t="shared" si="142"/>
        <v>125.86231758828899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378.0000000000004</v>
      </c>
      <c r="AJ169" s="13">
        <f>AI169*VLOOKUP('Données projet'!$B$10,Paramètres!$A$1:$I$89,3,0)*VLOOKUP('Données projet'!$B$10,Paramètres!$A$1:$I$89,5,0)</f>
        <v>324.32400000000035</v>
      </c>
      <c r="AK169" s="13">
        <f t="shared" si="164"/>
        <v>76.252341944982831</v>
      </c>
      <c r="AL169" s="20">
        <f t="shared" si="165"/>
        <v>697.67046222084571</v>
      </c>
      <c r="AM169" s="59">
        <f t="shared" si="113"/>
        <v>991.00379555417908</v>
      </c>
      <c r="AN169" s="59">
        <f ca="1">AVERAGE(OFFSET($AM$3,0,0,'Données projet'!$E$10+1,1))-AVERAGE(OFFSET($H$3,0,0,'Données projet'!$E$10+1,1))</f>
        <v>335.81667389179631</v>
      </c>
      <c r="AO169" s="59">
        <f t="shared" si="144"/>
        <v>137.96364450570718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0.13561944246326921</v>
      </c>
      <c r="AW169" s="21">
        <f>EXP(-LN(2)/2)*AW168+(1-EXP(-LN(2)/2))/(LN(2)/2)*AQ169*AT169*VLOOKUP('Données projet'!$B$10,Paramètres!$A$1:$I$89,3,0)*0.475*44/12</f>
        <v>3.0257051392646096E-20</v>
      </c>
      <c r="AX169" s="21">
        <f t="shared" si="166"/>
        <v>0.13561944246326921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-1.72917680174578E-13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217.20784862627357</v>
      </c>
      <c r="BJ169" s="59">
        <f t="shared" si="146"/>
        <v>147.24433901219732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1">
        <f t="shared" si="140"/>
        <v>32.244444629402366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67">
        <f t="shared" si="110"/>
        <v>562.74973772954172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-5.1431925385259092E-13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180.68512008344129</v>
      </c>
      <c r="T170" s="59">
        <f t="shared" si="142"/>
        <v>125.86231758828899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378.0000000000004</v>
      </c>
      <c r="AJ170" s="13">
        <f>AI170*VLOOKUP('Données projet'!$B$10,Paramètres!$A$1:$I$89,3,0)*VLOOKUP('Données projet'!$B$10,Paramètres!$A$1:$I$89,5,0)</f>
        <v>324.32400000000035</v>
      </c>
      <c r="AK170" s="13">
        <f t="shared" si="164"/>
        <v>76.252341944982831</v>
      </c>
      <c r="AL170" s="20">
        <f t="shared" si="165"/>
        <v>697.67046222084571</v>
      </c>
      <c r="AM170" s="59">
        <f t="shared" si="113"/>
        <v>991.00379555417908</v>
      </c>
      <c r="AN170" s="59">
        <f ca="1">AVERAGE(OFFSET($AM$3,0,0,'Données projet'!$E$10+1,1))-AVERAGE(OFFSET($H$3,0,0,'Données projet'!$E$10+1,1))</f>
        <v>335.81667389179631</v>
      </c>
      <c r="AO170" s="59">
        <f t="shared" si="144"/>
        <v>137.96364450570718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0.13191092167719459</v>
      </c>
      <c r="AW170" s="21">
        <f>EXP(-LN(2)/2)*AW169+(1-EXP(-LN(2)/2))/(LN(2)/2)*AQ170*AT170*VLOOKUP('Données projet'!$B$10,Paramètres!$A$1:$I$89,3,0)*0.475*44/12</f>
        <v>2.1394966218449926E-20</v>
      </c>
      <c r="AX170" s="21">
        <f t="shared" si="166"/>
        <v>0.13191092167719459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-1.72917680174578E-13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217.20784862627357</v>
      </c>
      <c r="BJ170" s="59">
        <f t="shared" si="146"/>
        <v>147.24433901219732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1">
        <f t="shared" si="140"/>
        <v>32.41499124057033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67">
        <f t="shared" si="110"/>
        <v>564.32376307732591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-5.1431925385259092E-13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180.68512008344129</v>
      </c>
      <c r="T171" s="59">
        <f t="shared" si="142"/>
        <v>125.86231758828899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378.0000000000004</v>
      </c>
      <c r="AJ171" s="13">
        <f>AI171*VLOOKUP('Données projet'!$B$10,Paramètres!$A$1:$I$89,3,0)*VLOOKUP('Données projet'!$B$10,Paramètres!$A$1:$I$89,5,0)</f>
        <v>324.32400000000035</v>
      </c>
      <c r="AK171" s="13">
        <f t="shared" si="164"/>
        <v>76.252341944982831</v>
      </c>
      <c r="AL171" s="20">
        <f t="shared" si="165"/>
        <v>697.67046222084571</v>
      </c>
      <c r="AM171" s="59">
        <f t="shared" si="113"/>
        <v>991.00379555417908</v>
      </c>
      <c r="AN171" s="59">
        <f ca="1">AVERAGE(OFFSET($AM$3,0,0,'Données projet'!$E$10+1,1))-AVERAGE(OFFSET($H$3,0,0,'Données projet'!$E$10+1,1))</f>
        <v>335.81667389179631</v>
      </c>
      <c r="AO171" s="59">
        <f t="shared" si="144"/>
        <v>137.96364450570718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0.12830381058703783</v>
      </c>
      <c r="AW171" s="21">
        <f>EXP(-LN(2)/2)*AW170+(1-EXP(-LN(2)/2))/(LN(2)/2)*AQ171*AT171*VLOOKUP('Données projet'!$B$10,Paramètres!$A$1:$I$89,3,0)*0.475*44/12</f>
        <v>1.5128525696323048E-20</v>
      </c>
      <c r="AX171" s="21">
        <f t="shared" si="166"/>
        <v>0.12830381058703783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-1.72917680174578E-13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217.20784862627357</v>
      </c>
      <c r="BJ171" s="59">
        <f t="shared" si="146"/>
        <v>147.24433901219732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1">
        <f t="shared" si="140"/>
        <v>32.585419727488741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67">
        <f t="shared" si="110"/>
        <v>565.89758269204208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-5.1431925385259092E-13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180.68512008344129</v>
      </c>
      <c r="T172" s="59">
        <f t="shared" si="142"/>
        <v>125.86231758828899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378.0000000000004</v>
      </c>
      <c r="AJ172" s="13">
        <f>AI172*VLOOKUP('Données projet'!$B$10,Paramètres!$A$1:$I$89,3,0)*VLOOKUP('Données projet'!$B$10,Paramètres!$A$1:$I$89,5,0)</f>
        <v>324.32400000000035</v>
      </c>
      <c r="AK172" s="13">
        <f t="shared" si="164"/>
        <v>76.252341944982831</v>
      </c>
      <c r="AL172" s="20">
        <f t="shared" si="165"/>
        <v>697.67046222084571</v>
      </c>
      <c r="AM172" s="59">
        <f t="shared" si="113"/>
        <v>991.00379555417908</v>
      </c>
      <c r="AN172" s="59">
        <f ca="1">AVERAGE(OFFSET($AM$3,0,0,'Données projet'!$E$10+1,1))-AVERAGE(OFFSET($H$3,0,0,'Données projet'!$E$10+1,1))</f>
        <v>335.81667389179631</v>
      </c>
      <c r="AO172" s="59">
        <f t="shared" si="144"/>
        <v>137.96364450570718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0.12479533613933112</v>
      </c>
      <c r="AW172" s="21">
        <f>EXP(-LN(2)/2)*AW171+(1-EXP(-LN(2)/2))/(LN(2)/2)*AQ172*AT172*VLOOKUP('Données projet'!$B$10,Paramètres!$A$1:$I$89,3,0)*0.475*44/12</f>
        <v>1.0697483109224963E-20</v>
      </c>
      <c r="AX172" s="21">
        <f t="shared" si="166"/>
        <v>0.12479533613933112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-1.72917680174578E-13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217.20784862627357</v>
      </c>
      <c r="BJ172" s="59">
        <f t="shared" si="146"/>
        <v>147.24433901219732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1">
        <f t="shared" si="140"/>
        <v>32.755730870217128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67">
        <f t="shared" si="110"/>
        <v>567.4711979322941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-5.1431925385259092E-13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180.68512008344129</v>
      </c>
      <c r="T173" s="59">
        <f t="shared" si="142"/>
        <v>125.86231758828899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378.0000000000004</v>
      </c>
      <c r="AJ173" s="13">
        <f>AI173*VLOOKUP('Données projet'!$B$10,Paramètres!$A$1:$I$89,3,0)*VLOOKUP('Données projet'!$B$10,Paramètres!$A$1:$I$89,5,0)</f>
        <v>324.32400000000035</v>
      </c>
      <c r="AK173" s="13">
        <f t="shared" si="164"/>
        <v>76.252341944982831</v>
      </c>
      <c r="AL173" s="20">
        <f t="shared" si="165"/>
        <v>697.67046222084571</v>
      </c>
      <c r="AM173" s="59">
        <f t="shared" si="113"/>
        <v>991.00379555417908</v>
      </c>
      <c r="AN173" s="59">
        <f ca="1">AVERAGE(OFFSET($AM$3,0,0,'Données projet'!$E$10+1,1))-AVERAGE(OFFSET($H$3,0,0,'Données projet'!$E$10+1,1))</f>
        <v>335.81667389179631</v>
      </c>
      <c r="AO173" s="59">
        <f t="shared" si="144"/>
        <v>137.96364450570718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0.12138280110989962</v>
      </c>
      <c r="AW173" s="21">
        <f>EXP(-LN(2)/2)*AW172+(1-EXP(-LN(2)/2))/(LN(2)/2)*AQ173*AT173*VLOOKUP('Données projet'!$B$10,Paramètres!$A$1:$I$89,3,0)*0.475*44/12</f>
        <v>7.564262848161524E-21</v>
      </c>
      <c r="AX173" s="21">
        <f t="shared" si="166"/>
        <v>0.12138280110989962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-1.72917680174578E-13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217.20784862627357</v>
      </c>
      <c r="BJ173" s="59">
        <f t="shared" si="146"/>
        <v>147.24433901219732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1">
        <f t="shared" si="140"/>
        <v>32.925925439106763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67">
        <f t="shared" si="110"/>
        <v>569.04461013977686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-5.1431925385259092E-13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180.68512008344129</v>
      </c>
      <c r="T174" s="59">
        <f t="shared" si="142"/>
        <v>125.86231758828899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378.0000000000004</v>
      </c>
      <c r="AJ174" s="13">
        <f>AI174*VLOOKUP('Données projet'!$B$10,Paramètres!$A$1:$I$89,3,0)*VLOOKUP('Données projet'!$B$10,Paramètres!$A$1:$I$89,5,0)</f>
        <v>324.32400000000035</v>
      </c>
      <c r="AK174" s="13">
        <f t="shared" si="164"/>
        <v>76.252341944982831</v>
      </c>
      <c r="AL174" s="20">
        <f t="shared" si="165"/>
        <v>697.67046222084571</v>
      </c>
      <c r="AM174" s="59">
        <f t="shared" si="113"/>
        <v>991.00379555417908</v>
      </c>
      <c r="AN174" s="59">
        <f ca="1">AVERAGE(OFFSET($AM$3,0,0,'Données projet'!$E$10+1,1))-AVERAGE(OFFSET($H$3,0,0,'Données projet'!$E$10+1,1))</f>
        <v>335.81667389179631</v>
      </c>
      <c r="AO174" s="59">
        <f t="shared" si="144"/>
        <v>137.96364450570718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0.11806358203030533</v>
      </c>
      <c r="AW174" s="21">
        <f>EXP(-LN(2)/2)*AW173+(1-EXP(-LN(2)/2))/(LN(2)/2)*AQ174*AT174*VLOOKUP('Données projet'!$B$10,Paramètres!$A$1:$I$89,3,0)*0.475*44/12</f>
        <v>5.3487415546124816E-21</v>
      </c>
      <c r="AX174" s="21">
        <f t="shared" si="166"/>
        <v>0.11806358203030533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-1.72917680174578E-13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217.20784862627357</v>
      </c>
      <c r="BJ174" s="59">
        <f t="shared" si="146"/>
        <v>147.24433901219732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1">
        <f t="shared" si="140"/>
        <v>33.096004194977731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67">
        <f t="shared" si="110"/>
        <v>570.61782063958549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-5.1431925385259092E-13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180.68512008344129</v>
      </c>
      <c r="T175" s="59">
        <f t="shared" si="142"/>
        <v>125.86231758828899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378.0000000000004</v>
      </c>
      <c r="AJ175" s="13">
        <f>AI175*VLOOKUP('Données projet'!$B$10,Paramètres!$A$1:$I$89,3,0)*VLOOKUP('Données projet'!$B$10,Paramètres!$A$1:$I$89,5,0)</f>
        <v>324.32400000000035</v>
      </c>
      <c r="AK175" s="13">
        <f t="shared" si="164"/>
        <v>76.252341944982831</v>
      </c>
      <c r="AL175" s="20">
        <f t="shared" si="165"/>
        <v>697.67046222084571</v>
      </c>
      <c r="AM175" s="59">
        <f t="shared" si="113"/>
        <v>991.00379555417908</v>
      </c>
      <c r="AN175" s="59">
        <f ca="1">AVERAGE(OFFSET($AM$3,0,0,'Données projet'!$E$10+1,1))-AVERAGE(OFFSET($H$3,0,0,'Données projet'!$E$10+1,1))</f>
        <v>335.81667389179631</v>
      </c>
      <c r="AO175" s="59">
        <f t="shared" si="144"/>
        <v>137.96364450570718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0.11483512717099269</v>
      </c>
      <c r="AW175" s="21">
        <f>EXP(-LN(2)/2)*AW174+(1-EXP(-LN(2)/2))/(LN(2)/2)*AQ175*AT175*VLOOKUP('Données projet'!$B$10,Paramètres!$A$1:$I$89,3,0)*0.475*44/12</f>
        <v>3.782131424080762E-21</v>
      </c>
      <c r="AX175" s="21">
        <f t="shared" si="166"/>
        <v>0.11483512717099269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-1.72917680174578E-13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217.20784862627357</v>
      </c>
      <c r="BJ175" s="59">
        <f t="shared" si="146"/>
        <v>147.24433901219732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1">
        <f t="shared" si="140"/>
        <v>33.265967889291609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67">
        <f t="shared" si="110"/>
        <v>572.19083074051537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-5.1431925385259092E-13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180.68512008344129</v>
      </c>
      <c r="T176" s="59">
        <f t="shared" si="142"/>
        <v>125.86231758828899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378.0000000000004</v>
      </c>
      <c r="AJ176" s="13">
        <f>AI176*VLOOKUP('Données projet'!$B$10,Paramètres!$A$1:$I$89,3,0)*VLOOKUP('Données projet'!$B$10,Paramètres!$A$1:$I$89,5,0)</f>
        <v>324.32400000000035</v>
      </c>
      <c r="AK176" s="13">
        <f t="shared" si="164"/>
        <v>76.252341944982831</v>
      </c>
      <c r="AL176" s="20">
        <f t="shared" si="165"/>
        <v>697.67046222084571</v>
      </c>
      <c r="AM176" s="59">
        <f t="shared" si="113"/>
        <v>991.00379555417908</v>
      </c>
      <c r="AN176" s="59">
        <f ca="1">AVERAGE(OFFSET($AM$3,0,0,'Données projet'!$E$10+1,1))-AVERAGE(OFFSET($H$3,0,0,'Données projet'!$E$10+1,1))</f>
        <v>335.81667389179631</v>
      </c>
      <c r="AO176" s="59">
        <f t="shared" si="144"/>
        <v>137.96364450570718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0.11169495457958502</v>
      </c>
      <c r="AW176" s="21">
        <f>EXP(-LN(2)/2)*AW175+(1-EXP(-LN(2)/2))/(LN(2)/2)*AQ176*AT176*VLOOKUP('Données projet'!$B$10,Paramètres!$A$1:$I$89,3,0)*0.475*44/12</f>
        <v>2.6743707773062408E-21</v>
      </c>
      <c r="AX176" s="21">
        <f t="shared" si="166"/>
        <v>0.11169495457958502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-1.72917680174578E-13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217.20784862627357</v>
      </c>
      <c r="BJ176" s="59">
        <f t="shared" si="146"/>
        <v>147.24433901219732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1">
        <f t="shared" si="140"/>
        <v>33.435817264319738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67">
        <f t="shared" si="110"/>
        <v>573.76364173535603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-5.1431925385259092E-13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180.68512008344129</v>
      </c>
      <c r="T177" s="59">
        <f t="shared" si="142"/>
        <v>125.86231758828899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378.0000000000004</v>
      </c>
      <c r="AJ177" s="13">
        <f>AI177*VLOOKUP('Données projet'!$B$10,Paramètres!$A$1:$I$89,3,0)*VLOOKUP('Données projet'!$B$10,Paramètres!$A$1:$I$89,5,0)</f>
        <v>324.32400000000035</v>
      </c>
      <c r="AK177" s="13">
        <f t="shared" si="164"/>
        <v>76.252341944982831</v>
      </c>
      <c r="AL177" s="20">
        <f t="shared" si="165"/>
        <v>697.67046222084571</v>
      </c>
      <c r="AM177" s="59">
        <f t="shared" si="113"/>
        <v>991.00379555417908</v>
      </c>
      <c r="AN177" s="59">
        <f ca="1">AVERAGE(OFFSET($AM$3,0,0,'Données projet'!$E$10+1,1))-AVERAGE(OFFSET($H$3,0,0,'Données projet'!$E$10+1,1))</f>
        <v>335.81667389179631</v>
      </c>
      <c r="AO177" s="59">
        <f t="shared" si="144"/>
        <v>137.96364450570718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0.10864065017282389</v>
      </c>
      <c r="AW177" s="21">
        <f>EXP(-LN(2)/2)*AW176+(1-EXP(-LN(2)/2))/(LN(2)/2)*AQ177*AT177*VLOOKUP('Données projet'!$B$10,Paramètres!$A$1:$I$89,3,0)*0.475*44/12</f>
        <v>1.891065712040381E-21</v>
      </c>
      <c r="AX177" s="21">
        <f t="shared" si="166"/>
        <v>0.10864065017282389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-1.72917680174578E-13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217.20784862627357</v>
      </c>
      <c r="BJ177" s="59">
        <f t="shared" si="146"/>
        <v>147.24433901219732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1">
        <f t="shared" si="140"/>
        <v>33.605553053307958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67">
        <f t="shared" si="110"/>
        <v>575.3362549011772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-5.1431925385259092E-13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180.68512008344129</v>
      </c>
      <c r="T178" s="59">
        <f t="shared" si="142"/>
        <v>125.86231758828899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378.0000000000004</v>
      </c>
      <c r="AJ178" s="13">
        <f>AI178*VLOOKUP('Données projet'!$B$10,Paramètres!$A$1:$I$89,3,0)*VLOOKUP('Données projet'!$B$10,Paramètres!$A$1:$I$89,5,0)</f>
        <v>324.32400000000035</v>
      </c>
      <c r="AK178" s="13">
        <f t="shared" si="164"/>
        <v>76.252341944982831</v>
      </c>
      <c r="AL178" s="20">
        <f t="shared" si="165"/>
        <v>697.67046222084571</v>
      </c>
      <c r="AM178" s="59">
        <f t="shared" si="113"/>
        <v>991.00379555417908</v>
      </c>
      <c r="AN178" s="59">
        <f ca="1">AVERAGE(OFFSET($AM$3,0,0,'Données projet'!$E$10+1,1))-AVERAGE(OFFSET($H$3,0,0,'Données projet'!$E$10+1,1))</f>
        <v>335.81667389179631</v>
      </c>
      <c r="AO178" s="59">
        <f t="shared" si="144"/>
        <v>137.96364450570718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0.10566986588068453</v>
      </c>
      <c r="AW178" s="21">
        <f>EXP(-LN(2)/2)*AW177+(1-EXP(-LN(2)/2))/(LN(2)/2)*AQ178*AT178*VLOOKUP('Données projet'!$B$10,Paramètres!$A$1:$I$89,3,0)*0.475*44/12</f>
        <v>1.3371853886531204E-21</v>
      </c>
      <c r="AX178" s="21">
        <f t="shared" si="166"/>
        <v>0.10566986588068453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-1.72917680174578E-13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217.20784862627357</v>
      </c>
      <c r="BJ178" s="59">
        <f t="shared" si="146"/>
        <v>147.24433901219732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1">
        <f t="shared" si="140"/>
        <v>33.7751759806373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67">
        <f t="shared" si="110"/>
        <v>576.90867149960923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-5.1431925385259092E-13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180.68512008344129</v>
      </c>
      <c r="T179" s="59">
        <f t="shared" si="142"/>
        <v>125.86231758828899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378.0000000000004</v>
      </c>
      <c r="AJ179" s="13">
        <f>AI179*VLOOKUP('Données projet'!$B$10,Paramètres!$A$1:$I$89,3,0)*VLOOKUP('Données projet'!$B$10,Paramètres!$A$1:$I$89,5,0)</f>
        <v>324.32400000000035</v>
      </c>
      <c r="AK179" s="13">
        <f t="shared" si="164"/>
        <v>76.252341944982831</v>
      </c>
      <c r="AL179" s="20">
        <f t="shared" si="165"/>
        <v>697.67046222084571</v>
      </c>
      <c r="AM179" s="59">
        <f t="shared" si="113"/>
        <v>991.00379555417908</v>
      </c>
      <c r="AN179" s="59">
        <f ca="1">AVERAGE(OFFSET($AM$3,0,0,'Données projet'!$E$10+1,1))-AVERAGE(OFFSET($H$3,0,0,'Données projet'!$E$10+1,1))</f>
        <v>335.81667389179631</v>
      </c>
      <c r="AO179" s="59">
        <f t="shared" si="144"/>
        <v>137.96364450570718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0.10278031784124048</v>
      </c>
      <c r="AW179" s="21">
        <f>EXP(-LN(2)/2)*AW178+(1-EXP(-LN(2)/2))/(LN(2)/2)*AQ179*AT179*VLOOKUP('Données projet'!$B$10,Paramètres!$A$1:$I$89,3,0)*0.475*44/12</f>
        <v>9.455328560201905E-22</v>
      </c>
      <c r="AX179" s="21">
        <f t="shared" si="166"/>
        <v>0.10278031784124048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-1.72917680174578E-13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217.20784862627357</v>
      </c>
      <c r="BJ179" s="59">
        <f t="shared" si="146"/>
        <v>147.24433901219732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1">
        <f t="shared" si="140"/>
        <v>33.944686761980805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67">
        <f t="shared" si="110"/>
        <v>578.48089277711574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-5.1431925385259092E-13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180.68512008344129</v>
      </c>
      <c r="T180" s="59">
        <f t="shared" si="142"/>
        <v>125.86231758828899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378.0000000000004</v>
      </c>
      <c r="AJ180" s="13">
        <f>AI180*VLOOKUP('Données projet'!$B$10,Paramètres!$A$1:$I$89,3,0)*VLOOKUP('Données projet'!$B$10,Paramètres!$A$1:$I$89,5,0)</f>
        <v>324.32400000000035</v>
      </c>
      <c r="AK180" s="13">
        <f t="shared" si="164"/>
        <v>76.252341944982831</v>
      </c>
      <c r="AL180" s="20">
        <f t="shared" si="165"/>
        <v>697.67046222084571</v>
      </c>
      <c r="AM180" s="59">
        <f t="shared" si="113"/>
        <v>991.00379555417908</v>
      </c>
      <c r="AN180" s="59">
        <f ca="1">AVERAGE(OFFSET($AM$3,0,0,'Données projet'!$E$10+1,1))-AVERAGE(OFFSET($H$3,0,0,'Données projet'!$E$10+1,1))</f>
        <v>335.81667389179631</v>
      </c>
      <c r="AO180" s="59">
        <f t="shared" si="144"/>
        <v>137.96364450570718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9.9969784644889745E-2</v>
      </c>
      <c r="AW180" s="21">
        <f>EXP(-LN(2)/2)*AW179+(1-EXP(-LN(2)/2))/(LN(2)/2)*AQ180*AT180*VLOOKUP('Données projet'!$B$10,Paramètres!$A$1:$I$89,3,0)*0.475*44/12</f>
        <v>6.6859269432656019E-22</v>
      </c>
      <c r="AX180" s="21">
        <f t="shared" si="166"/>
        <v>9.9969784644889745E-2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-1.72917680174578E-13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217.20784862627357</v>
      </c>
      <c r="BJ180" s="59">
        <f t="shared" si="146"/>
        <v>147.24433901219732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1">
        <f t="shared" si="140"/>
        <v>34.114086104456895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67">
        <f t="shared" si="110"/>
        <v>580.05291996526171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-5.1431925385259092E-13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180.68512008344129</v>
      </c>
      <c r="T181" s="59">
        <f t="shared" si="142"/>
        <v>125.86231758828899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378.0000000000004</v>
      </c>
      <c r="AJ181" s="13">
        <f>AI181*VLOOKUP('Données projet'!$B$10,Paramètres!$A$1:$I$89,3,0)*VLOOKUP('Données projet'!$B$10,Paramètres!$A$1:$I$89,5,0)</f>
        <v>324.32400000000035</v>
      </c>
      <c r="AK181" s="13">
        <f t="shared" si="164"/>
        <v>76.252341944982831</v>
      </c>
      <c r="AL181" s="20">
        <f t="shared" si="165"/>
        <v>697.67046222084571</v>
      </c>
      <c r="AM181" s="59">
        <f t="shared" si="113"/>
        <v>991.00379555417908</v>
      </c>
      <c r="AN181" s="59">
        <f ca="1">AVERAGE(OFFSET($AM$3,0,0,'Données projet'!$E$10+1,1))-AVERAGE(OFFSET($H$3,0,0,'Données projet'!$E$10+1,1))</f>
        <v>335.81667389179631</v>
      </c>
      <c r="AO181" s="59">
        <f t="shared" si="144"/>
        <v>137.96364450570718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9.7236105626592739E-2</v>
      </c>
      <c r="AW181" s="21">
        <f>EXP(-LN(2)/2)*AW180+(1-EXP(-LN(2)/2))/(LN(2)/2)*AQ181*AT181*VLOOKUP('Données projet'!$B$10,Paramètres!$A$1:$I$89,3,0)*0.475*44/12</f>
        <v>4.7276642801009525E-22</v>
      </c>
      <c r="AX181" s="21">
        <f t="shared" si="166"/>
        <v>9.7236105626592739E-2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-1.72917680174578E-13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217.20784862627357</v>
      </c>
      <c r="BJ181" s="59">
        <f t="shared" si="146"/>
        <v>147.24433901219732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1">
        <f t="shared" si="140"/>
        <v>34.283374706778957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67">
        <f t="shared" si="110"/>
        <v>581.62475428097252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-5.1431925385259092E-13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180.68512008344129</v>
      </c>
      <c r="T182" s="59">
        <f t="shared" si="142"/>
        <v>125.86231758828899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378.0000000000004</v>
      </c>
      <c r="AJ182" s="13">
        <f>AI182*VLOOKUP('Données projet'!$B$10,Paramètres!$A$1:$I$89,3,0)*VLOOKUP('Données projet'!$B$10,Paramètres!$A$1:$I$89,5,0)</f>
        <v>324.32400000000035</v>
      </c>
      <c r="AK182" s="13">
        <f t="shared" si="164"/>
        <v>76.252341944982831</v>
      </c>
      <c r="AL182" s="20">
        <f t="shared" si="165"/>
        <v>697.67046222084571</v>
      </c>
      <c r="AM182" s="59">
        <f t="shared" si="113"/>
        <v>991.00379555417908</v>
      </c>
      <c r="AN182" s="59">
        <f ca="1">AVERAGE(OFFSET($AM$3,0,0,'Données projet'!$E$10+1,1))-AVERAGE(OFFSET($H$3,0,0,'Données projet'!$E$10+1,1))</f>
        <v>335.81667389179631</v>
      </c>
      <c r="AO182" s="59">
        <f t="shared" si="144"/>
        <v>137.96364450570718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9.4577179204809E-2</v>
      </c>
      <c r="AW182" s="21">
        <f>EXP(-LN(2)/2)*AW181+(1-EXP(-LN(2)/2))/(LN(2)/2)*AQ182*AT182*VLOOKUP('Données projet'!$B$10,Paramètres!$A$1:$I$89,3,0)*0.475*44/12</f>
        <v>3.342963471632801E-22</v>
      </c>
      <c r="AX182" s="21">
        <f t="shared" si="166"/>
        <v>9.4577179204809E-2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-1.72917680174578E-13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217.20784862627357</v>
      </c>
      <c r="BJ182" s="59">
        <f t="shared" si="146"/>
        <v>147.24433901219732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1">
        <f t="shared" si="140"/>
        <v>34.452553259401881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67">
        <f t="shared" si="110"/>
        <v>583.19639692679084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-5.1431925385259092E-13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180.68512008344129</v>
      </c>
      <c r="T183" s="59">
        <f t="shared" si="142"/>
        <v>125.86231758828899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378.0000000000004</v>
      </c>
      <c r="AJ183" s="13">
        <f>AI183*VLOOKUP('Données projet'!$B$10,Paramètres!$A$1:$I$89,3,0)*VLOOKUP('Données projet'!$B$10,Paramètres!$A$1:$I$89,5,0)</f>
        <v>324.32400000000035</v>
      </c>
      <c r="AK183" s="13">
        <f t="shared" si="164"/>
        <v>76.252341944982831</v>
      </c>
      <c r="AL183" s="20">
        <f t="shared" si="165"/>
        <v>697.67046222084571</v>
      </c>
      <c r="AM183" s="59">
        <f t="shared" si="113"/>
        <v>991.00379555417908</v>
      </c>
      <c r="AN183" s="59">
        <f ca="1">AVERAGE(OFFSET($AM$3,0,0,'Données projet'!$E$10+1,1))-AVERAGE(OFFSET($H$3,0,0,'Données projet'!$E$10+1,1))</f>
        <v>335.81667389179631</v>
      </c>
      <c r="AO183" s="59">
        <f t="shared" si="144"/>
        <v>137.96364450570718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9.1990961265855806E-2</v>
      </c>
      <c r="AW183" s="21">
        <f>EXP(-LN(2)/2)*AW182+(1-EXP(-LN(2)/2))/(LN(2)/2)*AQ183*AT183*VLOOKUP('Données projet'!$B$10,Paramètres!$A$1:$I$89,3,0)*0.475*44/12</f>
        <v>2.3638321400504763E-22</v>
      </c>
      <c r="AX183" s="21">
        <f t="shared" si="166"/>
        <v>9.1990961265855806E-2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-1.72917680174578E-13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217.20784862627357</v>
      </c>
      <c r="BJ183" s="59">
        <f t="shared" si="146"/>
        <v>147.24433901219732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1">
        <f t="shared" si="140"/>
        <v>34.621622444664645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67">
        <f t="shared" si="110"/>
        <v>584.76784909112348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-5.1431925385259092E-13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180.68512008344129</v>
      </c>
      <c r="T184" s="59">
        <f t="shared" si="142"/>
        <v>125.86231758828899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378.0000000000004</v>
      </c>
      <c r="AJ184" s="13">
        <f>AI184*VLOOKUP('Données projet'!$B$10,Paramètres!$A$1:$I$89,3,0)*VLOOKUP('Données projet'!$B$10,Paramètres!$A$1:$I$89,5,0)</f>
        <v>324.32400000000035</v>
      </c>
      <c r="AK184" s="13">
        <f t="shared" si="164"/>
        <v>76.252341944982831</v>
      </c>
      <c r="AL184" s="20">
        <f t="shared" si="165"/>
        <v>697.67046222084571</v>
      </c>
      <c r="AM184" s="59">
        <f t="shared" si="113"/>
        <v>991.00379555417908</v>
      </c>
      <c r="AN184" s="59">
        <f ca="1">AVERAGE(OFFSET($AM$3,0,0,'Données projet'!$E$10+1,1))-AVERAGE(OFFSET($H$3,0,0,'Données projet'!$E$10+1,1))</f>
        <v>335.81667389179631</v>
      </c>
      <c r="AO184" s="59">
        <f t="shared" si="144"/>
        <v>137.96364450570718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8.9475463592446569E-2</v>
      </c>
      <c r="AW184" s="21">
        <f>EXP(-LN(2)/2)*AW183+(1-EXP(-LN(2)/2))/(LN(2)/2)*AQ184*AT184*VLOOKUP('Données projet'!$B$10,Paramètres!$A$1:$I$89,3,0)*0.475*44/12</f>
        <v>1.6714817358164005E-22</v>
      </c>
      <c r="AX184" s="21">
        <f t="shared" si="166"/>
        <v>8.9475463592446569E-2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-1.72917680174578E-13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217.20784862627357</v>
      </c>
      <c r="BJ184" s="59">
        <f t="shared" si="146"/>
        <v>147.24433901219732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1">
        <f t="shared" si="140"/>
        <v>34.790582936930399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67">
        <f t="shared" si="110"/>
        <v>586.33911194848645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-5.1431925385259092E-13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180.68512008344129</v>
      </c>
      <c r="T185" s="59">
        <f t="shared" si="142"/>
        <v>125.86231758828899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378.0000000000004</v>
      </c>
      <c r="AJ185" s="13">
        <f>AI185*VLOOKUP('Données projet'!$B$10,Paramètres!$A$1:$I$89,3,0)*VLOOKUP('Données projet'!$B$10,Paramètres!$A$1:$I$89,5,0)</f>
        <v>324.32400000000035</v>
      </c>
      <c r="AK185" s="13">
        <f t="shared" si="164"/>
        <v>76.252341944982831</v>
      </c>
      <c r="AL185" s="20">
        <f t="shared" si="165"/>
        <v>697.67046222084571</v>
      </c>
      <c r="AM185" s="59">
        <f t="shared" si="113"/>
        <v>991.00379555417908</v>
      </c>
      <c r="AN185" s="59">
        <f ca="1">AVERAGE(OFFSET($AM$3,0,0,'Données projet'!$E$10+1,1))-AVERAGE(OFFSET($H$3,0,0,'Données projet'!$E$10+1,1))</f>
        <v>335.81667389179631</v>
      </c>
      <c r="AO185" s="59">
        <f t="shared" si="144"/>
        <v>137.96364450570718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8.7028752335200993E-2</v>
      </c>
      <c r="AW185" s="21">
        <f>EXP(-LN(2)/2)*AW184+(1-EXP(-LN(2)/2))/(LN(2)/2)*AQ185*AT185*VLOOKUP('Données projet'!$B$10,Paramètres!$A$1:$I$89,3,0)*0.475*44/12</f>
        <v>1.1819160700252381E-22</v>
      </c>
      <c r="AX185" s="21">
        <f t="shared" si="166"/>
        <v>8.7028752335200993E-2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-1.72917680174578E-13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217.20784862627357</v>
      </c>
      <c r="BJ185" s="59">
        <f t="shared" si="146"/>
        <v>147.24433901219732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1">
        <f t="shared" si="140"/>
        <v>34.959435402722669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67">
        <f t="shared" si="110"/>
        <v>587.91018665974138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-5.1431925385259092E-13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180.68512008344129</v>
      </c>
      <c r="T186" s="59">
        <f t="shared" si="142"/>
        <v>125.86231758828899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378.0000000000004</v>
      </c>
      <c r="AJ186" s="13">
        <f>AI186*VLOOKUP('Données projet'!$B$10,Paramètres!$A$1:$I$89,3,0)*VLOOKUP('Données projet'!$B$10,Paramètres!$A$1:$I$89,5,0)</f>
        <v>324.32400000000035</v>
      </c>
      <c r="AK186" s="13">
        <f t="shared" si="164"/>
        <v>76.252341944982831</v>
      </c>
      <c r="AL186" s="20">
        <f t="shared" si="165"/>
        <v>697.67046222084571</v>
      </c>
      <c r="AM186" s="59">
        <f t="shared" si="113"/>
        <v>991.00379555417908</v>
      </c>
      <c r="AN186" s="59">
        <f ca="1">AVERAGE(OFFSET($AM$3,0,0,'Données projet'!$E$10+1,1))-AVERAGE(OFFSET($H$3,0,0,'Données projet'!$E$10+1,1))</f>
        <v>335.81667389179631</v>
      </c>
      <c r="AO186" s="59">
        <f t="shared" si="144"/>
        <v>137.96364450570718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8.4648946525951743E-2</v>
      </c>
      <c r="AW186" s="21">
        <f>EXP(-LN(2)/2)*AW185+(1-EXP(-LN(2)/2))/(LN(2)/2)*AQ186*AT186*VLOOKUP('Données projet'!$B$10,Paramètres!$A$1:$I$89,3,0)*0.475*44/12</f>
        <v>8.3574086790820024E-23</v>
      </c>
      <c r="AX186" s="21">
        <f t="shared" si="166"/>
        <v>8.4648946525951743E-2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-1.72917680174578E-13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217.20784862627357</v>
      </c>
      <c r="BJ186" s="59">
        <f t="shared" si="146"/>
        <v>147.24433901219732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1">
        <f t="shared" si="140"/>
        <v>35.12818050085901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67">
        <f t="shared" si="110"/>
        <v>589.48107437232875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-5.1431925385259092E-13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180.68512008344129</v>
      </c>
      <c r="T187" s="59">
        <f t="shared" si="142"/>
        <v>125.86231758828899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378.0000000000004</v>
      </c>
      <c r="AJ187" s="13">
        <f>AI187*VLOOKUP('Données projet'!$B$10,Paramètres!$A$1:$I$89,3,0)*VLOOKUP('Données projet'!$B$10,Paramètres!$A$1:$I$89,5,0)</f>
        <v>324.32400000000035</v>
      </c>
      <c r="AK187" s="13">
        <f t="shared" si="164"/>
        <v>76.252341944982831</v>
      </c>
      <c r="AL187" s="20">
        <f t="shared" si="165"/>
        <v>697.67046222084571</v>
      </c>
      <c r="AM187" s="59">
        <f t="shared" si="113"/>
        <v>991.00379555417908</v>
      </c>
      <c r="AN187" s="59">
        <f ca="1">AVERAGE(OFFSET($AM$3,0,0,'Données projet'!$E$10+1,1))-AVERAGE(OFFSET($H$3,0,0,'Données projet'!$E$10+1,1))</f>
        <v>335.81667389179631</v>
      </c>
      <c r="AO187" s="59">
        <f t="shared" si="144"/>
        <v>137.96364450570718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8.2334216631704968E-2</v>
      </c>
      <c r="AW187" s="21">
        <f>EXP(-LN(2)/2)*AW186+(1-EXP(-LN(2)/2))/(LN(2)/2)*AQ187*AT187*VLOOKUP('Données projet'!$B$10,Paramètres!$A$1:$I$89,3,0)*0.475*44/12</f>
        <v>5.9095803501261906E-23</v>
      </c>
      <c r="AX187" s="21">
        <f t="shared" si="166"/>
        <v>8.2334216631704968E-2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-1.72917680174578E-13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217.20784862627357</v>
      </c>
      <c r="BJ187" s="59">
        <f t="shared" si="146"/>
        <v>147.24433901219732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1">
        <f t="shared" si="140"/>
        <v>35.296818882581405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67">
        <f t="shared" si="110"/>
        <v>591.0517762204953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-5.1431925385259092E-13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180.68512008344129</v>
      </c>
      <c r="T188" s="59">
        <f t="shared" si="142"/>
        <v>125.86231758828899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378.0000000000004</v>
      </c>
      <c r="AJ188" s="13">
        <f>AI188*VLOOKUP('Données projet'!$B$10,Paramètres!$A$1:$I$89,3,0)*VLOOKUP('Données projet'!$B$10,Paramètres!$A$1:$I$89,5,0)</f>
        <v>324.32400000000035</v>
      </c>
      <c r="AK188" s="13">
        <f t="shared" si="164"/>
        <v>76.252341944982831</v>
      </c>
      <c r="AL188" s="20">
        <f t="shared" si="165"/>
        <v>697.67046222084571</v>
      </c>
      <c r="AM188" s="59">
        <f t="shared" si="113"/>
        <v>991.00379555417908</v>
      </c>
      <c r="AN188" s="59">
        <f ca="1">AVERAGE(OFFSET($AM$3,0,0,'Données projet'!$E$10+1,1))-AVERAGE(OFFSET($H$3,0,0,'Données projet'!$E$10+1,1))</f>
        <v>335.81667389179631</v>
      </c>
      <c r="AO188" s="59">
        <f t="shared" si="144"/>
        <v>137.96364450570718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8.0082783148142725E-2</v>
      </c>
      <c r="AW188" s="21">
        <f>EXP(-LN(2)/2)*AW187+(1-EXP(-LN(2)/2))/(LN(2)/2)*AQ188*AT188*VLOOKUP('Données projet'!$B$10,Paramètres!$A$1:$I$89,3,0)*0.475*44/12</f>
        <v>4.1787043395410012E-23</v>
      </c>
      <c r="AX188" s="21">
        <f t="shared" si="166"/>
        <v>8.0082783148142725E-2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-1.72917680174578E-13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217.20784862627357</v>
      </c>
      <c r="BJ188" s="59">
        <f t="shared" si="146"/>
        <v>147.24433901219732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1">
        <f t="shared" si="140"/>
        <v>35.465351191683915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67">
        <f t="shared" si="110"/>
        <v>592.62229332551556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-5.1431925385259092E-13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180.68512008344129</v>
      </c>
      <c r="T189" s="59">
        <f t="shared" si="142"/>
        <v>125.86231758828899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378.0000000000004</v>
      </c>
      <c r="AJ189" s="13">
        <f>AI189*VLOOKUP('Données projet'!$B$10,Paramètres!$A$1:$I$89,3,0)*VLOOKUP('Données projet'!$B$10,Paramètres!$A$1:$I$89,5,0)</f>
        <v>324.32400000000035</v>
      </c>
      <c r="AK189" s="13">
        <f t="shared" si="164"/>
        <v>76.252341944982831</v>
      </c>
      <c r="AL189" s="20">
        <f t="shared" si="165"/>
        <v>697.67046222084571</v>
      </c>
      <c r="AM189" s="59">
        <f t="shared" si="113"/>
        <v>991.00379555417908</v>
      </c>
      <c r="AN189" s="59">
        <f ca="1">AVERAGE(OFFSET($AM$3,0,0,'Données projet'!$E$10+1,1))-AVERAGE(OFFSET($H$3,0,0,'Données projet'!$E$10+1,1))</f>
        <v>335.81667389179631</v>
      </c>
      <c r="AO189" s="59">
        <f t="shared" si="144"/>
        <v>137.96364450570718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7.7892915231586229E-2</v>
      </c>
      <c r="AW189" s="21">
        <f>EXP(-LN(2)/2)*AW188+(1-EXP(-LN(2)/2))/(LN(2)/2)*AQ189*AT189*VLOOKUP('Données projet'!$B$10,Paramètres!$A$1:$I$89,3,0)*0.475*44/12</f>
        <v>2.9547901750630953E-23</v>
      </c>
      <c r="AX189" s="21">
        <f t="shared" si="166"/>
        <v>7.7892915231586229E-2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-1.72917680174578E-13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217.20784862627357</v>
      </c>
      <c r="BJ189" s="59">
        <f t="shared" si="146"/>
        <v>147.24433901219732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1">
        <f t="shared" si="140"/>
        <v>35.633778064637305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67">
        <f t="shared" si="110"/>
        <v>594.1926267959094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-5.1431925385259092E-13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180.68512008344129</v>
      </c>
      <c r="T190" s="59">
        <f t="shared" si="142"/>
        <v>125.86231758828899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378.0000000000004</v>
      </c>
      <c r="AJ190" s="13">
        <f>AI190*VLOOKUP('Données projet'!$B$10,Paramètres!$A$1:$I$89,3,0)*VLOOKUP('Données projet'!$B$10,Paramètres!$A$1:$I$89,5,0)</f>
        <v>324.32400000000035</v>
      </c>
      <c r="AK190" s="13">
        <f t="shared" si="164"/>
        <v>76.252341944982831</v>
      </c>
      <c r="AL190" s="20">
        <f t="shared" si="165"/>
        <v>697.67046222084571</v>
      </c>
      <c r="AM190" s="59">
        <f t="shared" si="113"/>
        <v>991.00379555417908</v>
      </c>
      <c r="AN190" s="59">
        <f ca="1">AVERAGE(OFFSET($AM$3,0,0,'Données projet'!$E$10+1,1))-AVERAGE(OFFSET($H$3,0,0,'Données projet'!$E$10+1,1))</f>
        <v>335.81667389179631</v>
      </c>
      <c r="AO190" s="59">
        <f t="shared" si="144"/>
        <v>137.96364450570718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7.576292936836812E-2</v>
      </c>
      <c r="AW190" s="21">
        <f>EXP(-LN(2)/2)*AW189+(1-EXP(-LN(2)/2))/(LN(2)/2)*AQ190*AT190*VLOOKUP('Données projet'!$B$10,Paramètres!$A$1:$I$89,3,0)*0.475*44/12</f>
        <v>2.0893521697705006E-23</v>
      </c>
      <c r="AX190" s="21">
        <f t="shared" si="166"/>
        <v>7.576292936836812E-2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-1.72917680174578E-13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217.20784862627357</v>
      </c>
      <c r="BJ190" s="59">
        <f t="shared" si="146"/>
        <v>147.24433901219732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1">
        <f t="shared" si="140"/>
        <v>35.802100130711267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67">
        <f t="shared" si="110"/>
        <v>595.76277772765491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-5.1431925385259092E-13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180.68512008344129</v>
      </c>
      <c r="T191" s="59">
        <f t="shared" si="142"/>
        <v>125.86231758828899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378.0000000000004</v>
      </c>
      <c r="AJ191" s="13">
        <f>AI191*VLOOKUP('Données projet'!$B$10,Paramètres!$A$1:$I$89,3,0)*VLOOKUP('Données projet'!$B$10,Paramètres!$A$1:$I$89,5,0)</f>
        <v>324.32400000000035</v>
      </c>
      <c r="AK191" s="13">
        <f t="shared" si="164"/>
        <v>76.252341944982831</v>
      </c>
      <c r="AL191" s="20">
        <f t="shared" si="165"/>
        <v>697.67046222084571</v>
      </c>
      <c r="AM191" s="59">
        <f t="shared" si="113"/>
        <v>991.00379555417908</v>
      </c>
      <c r="AN191" s="59">
        <f ca="1">AVERAGE(OFFSET($AM$3,0,0,'Données projet'!$E$10+1,1))-AVERAGE(OFFSET($H$3,0,0,'Données projet'!$E$10+1,1))</f>
        <v>335.81667389179631</v>
      </c>
      <c r="AO191" s="59">
        <f t="shared" si="144"/>
        <v>137.96364450570718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7.3691188080590803E-2</v>
      </c>
      <c r="AW191" s="21">
        <f>EXP(-LN(2)/2)*AW190+(1-EXP(-LN(2)/2))/(LN(2)/2)*AQ191*AT191*VLOOKUP('Données projet'!$B$10,Paramètres!$A$1:$I$89,3,0)*0.475*44/12</f>
        <v>1.4773950875315477E-23</v>
      </c>
      <c r="AX191" s="21">
        <f t="shared" si="166"/>
        <v>7.3691188080590803E-2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-1.72917680174578E-13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217.20784862627357</v>
      </c>
      <c r="BJ191" s="59">
        <f t="shared" si="146"/>
        <v>147.24433901219732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1">
        <f t="shared" si="140"/>
        <v>35.970318012093358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67">
        <f t="shared" si="110"/>
        <v>597.33274720439533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-5.1431925385259092E-13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180.68512008344129</v>
      </c>
      <c r="T192" s="59">
        <f t="shared" si="142"/>
        <v>125.86231758828899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378.0000000000004</v>
      </c>
      <c r="AJ192" s="13">
        <f>AI192*VLOOKUP('Données projet'!$B$10,Paramètres!$A$1:$I$89,3,0)*VLOOKUP('Données projet'!$B$10,Paramètres!$A$1:$I$89,5,0)</f>
        <v>324.32400000000035</v>
      </c>
      <c r="AK192" s="13">
        <f t="shared" si="164"/>
        <v>76.252341944982831</v>
      </c>
      <c r="AL192" s="20">
        <f t="shared" si="165"/>
        <v>697.67046222084571</v>
      </c>
      <c r="AM192" s="59">
        <f t="shared" si="113"/>
        <v>991.00379555417908</v>
      </c>
      <c r="AN192" s="59">
        <f ca="1">AVERAGE(OFFSET($AM$3,0,0,'Données projet'!$E$10+1,1))-AVERAGE(OFFSET($H$3,0,0,'Données projet'!$E$10+1,1))</f>
        <v>335.81667389179631</v>
      </c>
      <c r="AO192" s="59">
        <f t="shared" si="144"/>
        <v>137.96364450570718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7.1676098667275895E-2</v>
      </c>
      <c r="AW192" s="21">
        <f>EXP(-LN(2)/2)*AW191+(1-EXP(-LN(2)/2))/(LN(2)/2)*AQ192*AT192*VLOOKUP('Données projet'!$B$10,Paramètres!$A$1:$I$89,3,0)*0.475*44/12</f>
        <v>1.0446760848852503E-23</v>
      </c>
      <c r="AX192" s="21">
        <f t="shared" si="166"/>
        <v>7.1676098667275895E-2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-1.72917680174578E-13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217.20784862627357</v>
      </c>
      <c r="BJ192" s="59">
        <f t="shared" si="146"/>
        <v>147.24433901219732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1">
        <f t="shared" si="140"/>
        <v>36.138432324006331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67">
        <f t="shared" si="110"/>
        <v>598.90253629764379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-5.1431925385259092E-13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180.68512008344129</v>
      </c>
      <c r="T193" s="59">
        <f t="shared" si="142"/>
        <v>125.86231758828899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378.0000000000004</v>
      </c>
      <c r="AJ193" s="13">
        <f>AI193*VLOOKUP('Données projet'!$B$10,Paramètres!$A$1:$I$89,3,0)*VLOOKUP('Données projet'!$B$10,Paramètres!$A$1:$I$89,5,0)</f>
        <v>324.32400000000035</v>
      </c>
      <c r="AK193" s="13">
        <f t="shared" si="164"/>
        <v>76.252341944982831</v>
      </c>
      <c r="AL193" s="20">
        <f t="shared" si="165"/>
        <v>697.67046222084571</v>
      </c>
      <c r="AM193" s="59">
        <f t="shared" si="113"/>
        <v>991.00379555417908</v>
      </c>
      <c r="AN193" s="59">
        <f ca="1">AVERAGE(OFFSET($AM$3,0,0,'Données projet'!$E$10+1,1))-AVERAGE(OFFSET($H$3,0,0,'Données projet'!$E$10+1,1))</f>
        <v>335.81667389179631</v>
      </c>
      <c r="AO193" s="59">
        <f t="shared" si="144"/>
        <v>137.96364450570718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6.9716111979937018E-2</v>
      </c>
      <c r="AW193" s="21">
        <f>EXP(-LN(2)/2)*AW192+(1-EXP(-LN(2)/2))/(LN(2)/2)*AQ193*AT193*VLOOKUP('Données projet'!$B$10,Paramètres!$A$1:$I$89,3,0)*0.475*44/12</f>
        <v>7.3869754376577383E-24</v>
      </c>
      <c r="AX193" s="21">
        <f t="shared" si="166"/>
        <v>6.9716111979937018E-2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-1.72917680174578E-13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217.20784862627357</v>
      </c>
      <c r="BJ193" s="59">
        <f t="shared" si="146"/>
        <v>147.24433901219732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1">
        <f t="shared" si="140"/>
        <v>36.306443674821708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67">
        <f t="shared" si="110"/>
        <v>600.4721460669806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-5.1431925385259092E-13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180.68512008344129</v>
      </c>
      <c r="T194" s="59">
        <f t="shared" si="142"/>
        <v>125.86231758828899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378.0000000000004</v>
      </c>
      <c r="AJ194" s="13">
        <f>AI194*VLOOKUP('Données projet'!$B$10,Paramètres!$A$1:$I$89,3,0)*VLOOKUP('Données projet'!$B$10,Paramètres!$A$1:$I$89,5,0)</f>
        <v>324.32400000000035</v>
      </c>
      <c r="AK194" s="13">
        <f t="shared" si="164"/>
        <v>76.252341944982831</v>
      </c>
      <c r="AL194" s="20">
        <f t="shared" si="165"/>
        <v>697.67046222084571</v>
      </c>
      <c r="AM194" s="59">
        <f t="shared" si="113"/>
        <v>991.00379555417908</v>
      </c>
      <c r="AN194" s="59">
        <f ca="1">AVERAGE(OFFSET($AM$3,0,0,'Données projet'!$E$10+1,1))-AVERAGE(OFFSET($H$3,0,0,'Données projet'!$E$10+1,1))</f>
        <v>335.81667389179631</v>
      </c>
      <c r="AO194" s="59">
        <f t="shared" si="144"/>
        <v>137.96364450570718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6.7809721231634645E-2</v>
      </c>
      <c r="AW194" s="21">
        <f>EXP(-LN(2)/2)*AW193+(1-EXP(-LN(2)/2))/(LN(2)/2)*AQ194*AT194*VLOOKUP('Données projet'!$B$10,Paramètres!$A$1:$I$89,3,0)*0.475*44/12</f>
        <v>5.2233804244262515E-24</v>
      </c>
      <c r="AX194" s="21">
        <f t="shared" si="166"/>
        <v>6.7809721231634645E-2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-1.72917680174578E-13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217.20784862627357</v>
      </c>
      <c r="BJ194" s="59">
        <f t="shared" si="146"/>
        <v>147.24433901219732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1">
        <f t="shared" si="140"/>
        <v>36.474352666172038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67">
        <f t="shared" si="110"/>
        <v>602.04157756024915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-5.1431925385259092E-13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180.68512008344129</v>
      </c>
      <c r="T195" s="59">
        <f t="shared" si="142"/>
        <v>125.86231758828899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378.0000000000004</v>
      </c>
      <c r="AJ195" s="13">
        <f>AI195*VLOOKUP('Données projet'!$B$10,Paramètres!$A$1:$I$89,3,0)*VLOOKUP('Données projet'!$B$10,Paramètres!$A$1:$I$89,5,0)</f>
        <v>324.32400000000035</v>
      </c>
      <c r="AK195" s="13">
        <f t="shared" si="164"/>
        <v>76.252341944982831</v>
      </c>
      <c r="AL195" s="20">
        <f t="shared" si="165"/>
        <v>697.67046222084571</v>
      </c>
      <c r="AM195" s="59">
        <f t="shared" si="113"/>
        <v>991.00379555417908</v>
      </c>
      <c r="AN195" s="59">
        <f ca="1">AVERAGE(OFFSET($AM$3,0,0,'Données projet'!$E$10+1,1))-AVERAGE(OFFSET($H$3,0,0,'Données projet'!$E$10+1,1))</f>
        <v>335.81667389179631</v>
      </c>
      <c r="AO195" s="59">
        <f t="shared" si="144"/>
        <v>137.96364450570718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6.5955460838597338E-2</v>
      </c>
      <c r="AW195" s="21">
        <f>EXP(-LN(2)/2)*AW194+(1-EXP(-LN(2)/2))/(LN(2)/2)*AQ195*AT195*VLOOKUP('Données projet'!$B$10,Paramètres!$A$1:$I$89,3,0)*0.475*44/12</f>
        <v>3.6934877188288692E-24</v>
      </c>
      <c r="AX195" s="21">
        <f t="shared" si="166"/>
        <v>6.5955460838597338E-2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-1.72917680174578E-13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217.20784862627357</v>
      </c>
      <c r="BJ195" s="59">
        <f t="shared" si="146"/>
        <v>147.24433901219732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1">
        <f t="shared" si="140"/>
        <v>36.642159893059954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67">
        <f t="shared" ref="H196:H203" si="192">(B196+E196+F196)*44/12+(C196+D196)*0.475*44/12</f>
        <v>603.61083181374556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-5.1431925385259092E-13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180.68512008344129</v>
      </c>
      <c r="T196" s="59">
        <f t="shared" si="142"/>
        <v>125.86231758828899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378.0000000000004</v>
      </c>
      <c r="AJ196" s="13">
        <f>AI196*VLOOKUP('Données projet'!$B$10,Paramètres!$A$1:$I$89,3,0)*VLOOKUP('Données projet'!$B$10,Paramètres!$A$1:$I$89,5,0)</f>
        <v>324.32400000000035</v>
      </c>
      <c r="AK196" s="13">
        <f t="shared" si="164"/>
        <v>76.252341944982831</v>
      </c>
      <c r="AL196" s="20">
        <f t="shared" si="165"/>
        <v>697.67046222084571</v>
      </c>
      <c r="AM196" s="59">
        <f t="shared" ref="AM196:AM203" si="193">AL196+(AD196+AE196)*44/12</f>
        <v>991.00379555417908</v>
      </c>
      <c r="AN196" s="59">
        <f ca="1">AVERAGE(OFFSET($AM$3,0,0,'Données projet'!$E$10+1,1))-AVERAGE(OFFSET($H$3,0,0,'Données projet'!$E$10+1,1))</f>
        <v>335.81667389179631</v>
      </c>
      <c r="AO196" s="59">
        <f t="shared" si="144"/>
        <v>137.96364450570718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6.4151905293518954E-2</v>
      </c>
      <c r="AW196" s="21">
        <f>EXP(-LN(2)/2)*AW195+(1-EXP(-LN(2)/2))/(LN(2)/2)*AQ196*AT196*VLOOKUP('Données projet'!$B$10,Paramètres!$A$1:$I$89,3,0)*0.475*44/12</f>
        <v>2.6116902122131258E-24</v>
      </c>
      <c r="AX196" s="21">
        <f t="shared" si="166"/>
        <v>6.4151905293518954E-2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-1.72917680174578E-13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217.20784862627357</v>
      </c>
      <c r="BJ196" s="59">
        <f t="shared" si="146"/>
        <v>147.24433901219732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1">
        <f t="shared" ref="D197:D203" si="202">IFERROR(EXP(-1.0587+0.8836*LN(C197)+0.284),0)</f>
        <v>36.80986594396532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67">
        <f t="shared" si="192"/>
        <v>605.17990985240579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-5.1431925385259092E-13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180.68512008344129</v>
      </c>
      <c r="T197" s="59">
        <f t="shared" ref="T197:T203" si="204">$T$3</f>
        <v>125.86231758828899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378.0000000000004</v>
      </c>
      <c r="AJ197" s="13">
        <f>AI197*VLOOKUP('Données projet'!$B$10,Paramètres!$A$1:$I$89,3,0)*VLOOKUP('Données projet'!$B$10,Paramètres!$A$1:$I$89,5,0)</f>
        <v>324.32400000000035</v>
      </c>
      <c r="AK197" s="13">
        <f t="shared" si="164"/>
        <v>76.252341944982831</v>
      </c>
      <c r="AL197" s="20">
        <f t="shared" si="165"/>
        <v>697.67046222084571</v>
      </c>
      <c r="AM197" s="59">
        <f t="shared" si="193"/>
        <v>991.00379555417908</v>
      </c>
      <c r="AN197" s="59">
        <f ca="1">AVERAGE(OFFSET($AM$3,0,0,'Données projet'!$E$10+1,1))-AVERAGE(OFFSET($H$3,0,0,'Données projet'!$E$10+1,1))</f>
        <v>335.81667389179631</v>
      </c>
      <c r="AO197" s="59">
        <f t="shared" ref="AO197:AO203" si="205">$AO$3</f>
        <v>137.96364450570718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6.2397668069665603E-2</v>
      </c>
      <c r="AW197" s="21">
        <f>EXP(-LN(2)/2)*AW196+(1-EXP(-LN(2)/2))/(LN(2)/2)*AQ197*AT197*VLOOKUP('Données projet'!$B$10,Paramètres!$A$1:$I$89,3,0)*0.475*44/12</f>
        <v>1.8467438594144346E-24</v>
      </c>
      <c r="AX197" s="21">
        <f t="shared" si="166"/>
        <v>6.2397668069665603E-2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-1.72917680174578E-13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217.20784862627357</v>
      </c>
      <c r="BJ197" s="59">
        <f t="shared" ref="BJ197:BJ203" si="206">$BJ$3</f>
        <v>147.24433901219732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1">
        <f t="shared" si="202"/>
        <v>36.977471400949966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67">
        <f t="shared" si="192"/>
        <v>606.7488126899874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-5.1431925385259092E-13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180.68512008344129</v>
      </c>
      <c r="T198" s="59">
        <f t="shared" si="204"/>
        <v>125.86231758828899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378.0000000000004</v>
      </c>
      <c r="AJ198" s="13">
        <f>AI198*VLOOKUP('Données projet'!$B$10,Paramètres!$A$1:$I$89,3,0)*VLOOKUP('Données projet'!$B$10,Paramètres!$A$1:$I$89,5,0)</f>
        <v>324.32400000000035</v>
      </c>
      <c r="AK198" s="13">
        <f t="shared" si="164"/>
        <v>76.252341944982831</v>
      </c>
      <c r="AL198" s="20">
        <f t="shared" si="165"/>
        <v>697.67046222084571</v>
      </c>
      <c r="AM198" s="59">
        <f t="shared" si="193"/>
        <v>991.00379555417908</v>
      </c>
      <c r="AN198" s="59">
        <f ca="1">AVERAGE(OFFSET($AM$3,0,0,'Données projet'!$E$10+1,1))-AVERAGE(OFFSET($H$3,0,0,'Données projet'!$E$10+1,1))</f>
        <v>335.81667389179631</v>
      </c>
      <c r="AO198" s="59">
        <f t="shared" si="205"/>
        <v>137.96364450570718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6.0691400554949843E-2</v>
      </c>
      <c r="AW198" s="21">
        <f>EXP(-LN(2)/2)*AW197+(1-EXP(-LN(2)/2))/(LN(2)/2)*AQ198*AT198*VLOOKUP('Données projet'!$B$10,Paramètres!$A$1:$I$89,3,0)*0.475*44/12</f>
        <v>1.3058451061065629E-24</v>
      </c>
      <c r="AX198" s="21">
        <f t="shared" si="166"/>
        <v>6.0691400554949843E-2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-1.72917680174578E-13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217.20784862627357</v>
      </c>
      <c r="BJ198" s="59">
        <f t="shared" si="206"/>
        <v>147.24433901219732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1">
        <f t="shared" si="202"/>
        <v>37.144976839760147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67">
        <f t="shared" si="192"/>
        <v>608.31754132924857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-5.1431925385259092E-13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180.68512008344129</v>
      </c>
      <c r="T199" s="59">
        <f t="shared" si="204"/>
        <v>125.86231758828899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378.0000000000004</v>
      </c>
      <c r="AJ199" s="13">
        <f>AI199*VLOOKUP('Données projet'!$B$10,Paramètres!$A$1:$I$89,3,0)*VLOOKUP('Données projet'!$B$10,Paramètres!$A$1:$I$89,5,0)</f>
        <v>324.32400000000035</v>
      </c>
      <c r="AK199" s="13">
        <f t="shared" si="164"/>
        <v>76.252341944982831</v>
      </c>
      <c r="AL199" s="20">
        <f t="shared" si="165"/>
        <v>697.67046222084571</v>
      </c>
      <c r="AM199" s="59">
        <f t="shared" si="193"/>
        <v>991.00379555417908</v>
      </c>
      <c r="AN199" s="59">
        <f ca="1">AVERAGE(OFFSET($AM$3,0,0,'Données projet'!$E$10+1,1))-AVERAGE(OFFSET($H$3,0,0,'Données projet'!$E$10+1,1))</f>
        <v>335.81667389179631</v>
      </c>
      <c r="AO199" s="59">
        <f t="shared" si="205"/>
        <v>137.96364450570718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5.9031791015152699E-2</v>
      </c>
      <c r="AW199" s="21">
        <f>EXP(-LN(2)/2)*AW198+(1-EXP(-LN(2)/2))/(LN(2)/2)*AQ199*AT199*VLOOKUP('Données projet'!$B$10,Paramètres!$A$1:$I$89,3,0)*0.475*44/12</f>
        <v>9.2337192970721729E-25</v>
      </c>
      <c r="AX199" s="21">
        <f t="shared" si="166"/>
        <v>5.9031791015152699E-2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-1.72917680174578E-13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217.20784862627357</v>
      </c>
      <c r="BJ199" s="59">
        <f t="shared" si="206"/>
        <v>147.24433901219732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1">
        <f t="shared" si="202"/>
        <v>37.312382829927017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67">
        <f t="shared" si="192"/>
        <v>609.88609676212241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-5.1431925385259092E-13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180.68512008344129</v>
      </c>
      <c r="T200" s="59">
        <f t="shared" si="204"/>
        <v>125.86231758828899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378.0000000000004</v>
      </c>
      <c r="AJ200" s="13">
        <f>AI200*VLOOKUP('Données projet'!$B$10,Paramètres!$A$1:$I$89,3,0)*VLOOKUP('Données projet'!$B$10,Paramètres!$A$1:$I$89,5,0)</f>
        <v>324.32400000000035</v>
      </c>
      <c r="AK200" s="13">
        <f t="shared" si="164"/>
        <v>76.252341944982831</v>
      </c>
      <c r="AL200" s="20">
        <f t="shared" si="165"/>
        <v>697.67046222084571</v>
      </c>
      <c r="AM200" s="59">
        <f t="shared" si="193"/>
        <v>991.00379555417908</v>
      </c>
      <c r="AN200" s="59">
        <f ca="1">AVERAGE(OFFSET($AM$3,0,0,'Données projet'!$E$10+1,1))-AVERAGE(OFFSET($H$3,0,0,'Données projet'!$E$10+1,1))</f>
        <v>335.81667389179631</v>
      </c>
      <c r="AO200" s="59">
        <f t="shared" si="205"/>
        <v>137.96364450570718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5.7417563585496378E-2</v>
      </c>
      <c r="AW200" s="21">
        <f>EXP(-LN(2)/2)*AW199+(1-EXP(-LN(2)/2))/(LN(2)/2)*AQ200*AT200*VLOOKUP('Données projet'!$B$10,Paramètres!$A$1:$I$89,3,0)*0.475*44/12</f>
        <v>6.5292255305328144E-25</v>
      </c>
      <c r="AX200" s="21">
        <f t="shared" si="166"/>
        <v>5.7417563585496378E-2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-1.72917680174578E-13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217.20784862627357</v>
      </c>
      <c r="BJ200" s="59">
        <f t="shared" si="206"/>
        <v>147.24433901219732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1">
        <f t="shared" si="202"/>
        <v>37.479689934865021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67">
        <f t="shared" si="192"/>
        <v>611.45447996988946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-5.1431925385259092E-13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180.68512008344129</v>
      </c>
      <c r="T201" s="59">
        <f t="shared" si="204"/>
        <v>125.86231758828899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378.0000000000004</v>
      </c>
      <c r="AJ201" s="13">
        <f>AI201*VLOOKUP('Données projet'!$B$10,Paramètres!$A$1:$I$89,3,0)*VLOOKUP('Données projet'!$B$10,Paramètres!$A$1:$I$89,5,0)</f>
        <v>324.32400000000035</v>
      </c>
      <c r="AK201" s="13">
        <f t="shared" si="164"/>
        <v>76.252341944982831</v>
      </c>
      <c r="AL201" s="20">
        <f t="shared" si="165"/>
        <v>697.67046222084571</v>
      </c>
      <c r="AM201" s="59">
        <f t="shared" si="193"/>
        <v>991.00379555417908</v>
      </c>
      <c r="AN201" s="59">
        <f ca="1">AVERAGE(OFFSET($AM$3,0,0,'Données projet'!$E$10+1,1))-AVERAGE(OFFSET($H$3,0,0,'Données projet'!$E$10+1,1))</f>
        <v>335.81667389179631</v>
      </c>
      <c r="AO201" s="59">
        <f t="shared" si="205"/>
        <v>137.96364450570718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5.5847477289792544E-2</v>
      </c>
      <c r="AW201" s="21">
        <f>EXP(-LN(2)/2)*AW200+(1-EXP(-LN(2)/2))/(LN(2)/2)*AQ201*AT201*VLOOKUP('Données projet'!$B$10,Paramètres!$A$1:$I$89,3,0)*0.475*44/12</f>
        <v>4.6168596485360864E-25</v>
      </c>
      <c r="AX201" s="21">
        <f t="shared" si="166"/>
        <v>5.5847477289792544E-2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-1.72917680174578E-13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217.20784862627357</v>
      </c>
      <c r="BJ201" s="59">
        <f t="shared" si="206"/>
        <v>147.24433901219732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1">
        <f t="shared" si="202"/>
        <v>37.646898711967857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67">
        <f t="shared" si="192"/>
        <v>613.0226919233437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-5.1431925385259092E-13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180.68512008344129</v>
      </c>
      <c r="T202" s="59">
        <f t="shared" si="204"/>
        <v>125.86231758828899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378.0000000000004</v>
      </c>
      <c r="AJ202" s="13">
        <f>AI202*VLOOKUP('Données projet'!$B$10,Paramètres!$A$1:$I$89,3,0)*VLOOKUP('Données projet'!$B$10,Paramètres!$A$1:$I$89,5,0)</f>
        <v>324.32400000000035</v>
      </c>
      <c r="AK202" s="13">
        <f t="shared" si="164"/>
        <v>76.252341944982831</v>
      </c>
      <c r="AL202" s="20">
        <f t="shared" si="165"/>
        <v>697.67046222084571</v>
      </c>
      <c r="AM202" s="59">
        <f t="shared" si="193"/>
        <v>991.00379555417908</v>
      </c>
      <c r="AN202" s="59">
        <f ca="1">AVERAGE(OFFSET($AM$3,0,0,'Données projet'!$E$10+1,1))-AVERAGE(OFFSET($H$3,0,0,'Données projet'!$E$10+1,1))</f>
        <v>335.81667389179631</v>
      </c>
      <c r="AO202" s="59">
        <f t="shared" si="205"/>
        <v>137.96364450570718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5.4320325086411977E-2</v>
      </c>
      <c r="AW202" s="21">
        <f>EXP(-LN(2)/2)*AW201+(1-EXP(-LN(2)/2))/(LN(2)/2)*AQ202*AT202*VLOOKUP('Données projet'!$B$10,Paramètres!$A$1:$I$89,3,0)*0.475*44/12</f>
        <v>3.2646127652664072E-25</v>
      </c>
      <c r="AX202" s="21">
        <f t="shared" si="166"/>
        <v>5.4320325086411977E-2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-1.72917680174578E-13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217.20784862627357</v>
      </c>
      <c r="BJ202" s="59">
        <f t="shared" si="206"/>
        <v>147.24433901219732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1">
        <f t="shared" si="202"/>
        <v>37.81400971270299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67">
        <f t="shared" si="192"/>
        <v>614.59073358295734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-5.1431925385259092E-13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180.68512008344129</v>
      </c>
      <c r="T203" s="59">
        <f t="shared" si="204"/>
        <v>125.86231758828899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378.0000000000004</v>
      </c>
      <c r="AJ203" s="13">
        <f>AI203*VLOOKUP('Données projet'!$B$10,Paramètres!$A$1:$I$89,3,0)*VLOOKUP('Données projet'!$B$10,Paramètres!$A$1:$I$89,5,0)</f>
        <v>324.32400000000035</v>
      </c>
      <c r="AK203" s="13">
        <f t="shared" si="164"/>
        <v>76.252341944982831</v>
      </c>
      <c r="AL203" s="20">
        <f t="shared" si="165"/>
        <v>697.67046222084571</v>
      </c>
      <c r="AM203" s="59">
        <f t="shared" si="193"/>
        <v>991.00379555417908</v>
      </c>
      <c r="AN203" s="59">
        <f ca="1">AVERAGE(OFFSET($AM$3,0,0,'Données projet'!$E$10+1,1))-AVERAGE(OFFSET($H$3,0,0,'Données projet'!$E$10+1,1))</f>
        <v>335.81667389179631</v>
      </c>
      <c r="AO203" s="59">
        <f t="shared" si="205"/>
        <v>137.96364450570718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5.2834932940342298E-2</v>
      </c>
      <c r="AW203" s="21">
        <f>EXP(-LN(2)/2)*AW202+(1-EXP(-LN(2)/2))/(LN(2)/2)*AQ203*AT203*VLOOKUP('Données projet'!$B$10,Paramètres!$A$1:$I$89,3,0)*0.475*44/12</f>
        <v>2.3084298242680432E-25</v>
      </c>
      <c r="AX203" s="21">
        <f t="shared" si="166"/>
        <v>5.2834932940342298E-2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-1.72917680174578E-13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217.20784862627357</v>
      </c>
      <c r="BJ203" s="59">
        <f t="shared" si="206"/>
        <v>147.24433901219732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1.1608269964373037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1.2025496037968351</v>
      </c>
      <c r="BA205" s="82">
        <f>EXP(LN('Données projet'!B88)/'Données projet'!A88)</f>
        <v>1.1609568786681319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>
      <c r="A93" s="122" t="s">
        <v>208</v>
      </c>
    </row>
    <row r="94" spans="1:14">
      <c r="A94" s="122" t="s">
        <v>209</v>
      </c>
    </row>
    <row r="95" spans="1:1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C8" sqref="C8"/>
    </sheetView>
  </sheetViews>
  <sheetFormatPr baseColWidth="10" defaultColWidth="11.44140625" defaultRowHeight="14.4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Chêne sessile</v>
      </c>
      <c r="B6" s="146">
        <f>'Données projet'!D9</f>
        <v>2.7680000000000002</v>
      </c>
      <c r="C6" s="147">
        <f ca="1">IF(OR('Données projet'!B9="",'Données projet'!C9="",'Données projet'!C9=0%),0,Calculateur!S3)</f>
        <v>180.68512008344129</v>
      </c>
      <c r="D6" s="147">
        <f>IF(OR('Données projet'!B9="",'Données projet'!C9="",'Données projet'!C9=0%),0,Calculateur!T3)</f>
        <v>125.86231758828899</v>
      </c>
      <c r="E6" s="147">
        <f ca="1">MIN(C6,D6)</f>
        <v>125.86231758828899</v>
      </c>
      <c r="F6" s="147">
        <f ca="1">E6*B6</f>
        <v>348.38689508438392</v>
      </c>
      <c r="G6" s="147">
        <f ca="1">F6*(100%-'Données projet'!$C$24)*(100%-'Données projet'!$C$25)*(100%-'Données projet'!$C$26)*(100%-'Données projet'!$C$27)</f>
        <v>297.87079529714822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297.87079529714822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Hêtre</v>
      </c>
      <c r="B7" s="154">
        <f>'Données projet'!D10</f>
        <v>0.34600000000000003</v>
      </c>
      <c r="C7" s="147">
        <f ca="1">IF(OR('Données projet'!B10="",'Données projet'!C10="",'Données projet'!C10=0%),0,Calculateur!AN3)</f>
        <v>335.81667389179631</v>
      </c>
      <c r="D7" s="147">
        <f>IF(OR('Données projet'!B10="",'Données projet'!C10="",'Données projet'!C10=0%),0,Calculateur!AO3)</f>
        <v>137.96364450570718</v>
      </c>
      <c r="E7" s="147">
        <f t="shared" ref="E7:E15" ca="1" si="0">MIN(C7,D7)</f>
        <v>137.96364450570718</v>
      </c>
      <c r="F7" s="147">
        <f t="shared" ref="F7:F15" ca="1" si="1">E7*B7</f>
        <v>47.735420998974689</v>
      </c>
      <c r="G7" s="147">
        <f ca="1">F7*(100%-'Données projet'!$C$24)*(100%-'Données projet'!$C$25)*(100%-'Données projet'!$C$26)*(100%-'Données projet'!$C$27)</f>
        <v>40.813784954123356</v>
      </c>
      <c r="H7" s="155">
        <f>IF(OR('Données projet'!B10="",'Données projet'!C10="",'Données projet'!C10=0%),0,AVERAGE(Calculateur!$AX$3:$AX$33)*B7)</f>
        <v>0.24475856223764114</v>
      </c>
      <c r="I7" s="149">
        <f>H7*(100%-'Données projet'!$C$24)*(100%-'Données projet'!$C$25)*(100%-'Données projet'!$C$26)*(100%-'Données projet'!$C$27)</f>
        <v>0.20926857071318317</v>
      </c>
      <c r="J7" s="150">
        <f>IF(OR('Données projet'!B10="",'Données projet'!C10="",'Données projet'!C10=0%),0,SUM(Calculateur!$AQ$3:$AQ$33)*VLOOKUP('Données projet'!$B$10,Paramètres!$A$1:$I$89,9,0)*B7)</f>
        <v>2.2490000000000001</v>
      </c>
      <c r="K7" s="151">
        <f>J7*(100%-'Données projet'!$C$24)*(100%-'Données projet'!$C$25)*(100%-'Données projet'!$C$26)*(100%-'Données projet'!$C$27)</f>
        <v>1.922895</v>
      </c>
      <c r="L7" s="152">
        <f t="shared" ref="L7:L15" ca="1" si="2">G7+I7+K7</f>
        <v>42.945948524836538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>Chêne pubescent</v>
      </c>
      <c r="B8" s="154">
        <f>'Données projet'!D11</f>
        <v>0.34600000000000003</v>
      </c>
      <c r="C8" s="147">
        <f ca="1">IF(OR('Données projet'!B11="",'Données projet'!C11="",'Données projet'!C11=0%),0,Calculateur!BI3)</f>
        <v>217.20784862627357</v>
      </c>
      <c r="D8" s="147">
        <f>IF(OR('Données projet'!B11="",'Données projet'!C11="",'Données projet'!C11=0%),0,Calculateur!BJ3)</f>
        <v>147.24433901219732</v>
      </c>
      <c r="E8" s="147">
        <f t="shared" ca="1" si="0"/>
        <v>147.24433901219732</v>
      </c>
      <c r="F8" s="147">
        <f t="shared" ca="1" si="1"/>
        <v>50.946541298220275</v>
      </c>
      <c r="G8" s="147">
        <f ca="1">F8*(100%-'Données projet'!$C$24)*(100%-'Données projet'!$C$25)*(100%-'Données projet'!$C$26)*(100%-'Données projet'!$C$27)</f>
        <v>43.559292809978338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43.559292809978338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447.06885738157888</v>
      </c>
      <c r="G16" s="166">
        <f t="shared" ca="1" si="3"/>
        <v>382.24387306124993</v>
      </c>
      <c r="H16" s="167">
        <f t="shared" si="3"/>
        <v>0.24475856223764114</v>
      </c>
      <c r="I16" s="167">
        <f t="shared" si="3"/>
        <v>0.20926857071318317</v>
      </c>
      <c r="J16" s="168">
        <f t="shared" si="3"/>
        <v>2.2490000000000001</v>
      </c>
      <c r="K16" s="168">
        <f t="shared" si="3"/>
        <v>1.922895</v>
      </c>
      <c r="L16" s="169">
        <f t="shared" ca="1" si="3"/>
        <v>384.37603663196307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R1" zoomScale="80" zoomScaleNormal="80" workbookViewId="0">
      <selection activeCell="X1" sqref="X1"/>
    </sheetView>
  </sheetViews>
  <sheetFormatPr baseColWidth="10" defaultColWidth="11.44140625" defaultRowHeight="14.4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-1191.3587391691799</v>
      </c>
      <c r="U10" s="178">
        <f>'Données projet'!D9</f>
        <v>2.7680000000000002</v>
      </c>
      <c r="V10" s="177">
        <f>U10*T10</f>
        <v>-3297.6809900202902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Hêtre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685.42171141892277</v>
      </c>
      <c r="U11" s="178">
        <f>'Données projet'!D10</f>
        <v>0.34600000000000003</v>
      </c>
      <c r="V11" s="177">
        <f t="shared" ref="V11" si="0">U11*T11</f>
        <v>237.1559121509473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477.0005814172178</v>
      </c>
      <c r="U12" s="178">
        <f>'Données projet'!D11</f>
        <v>0.34600000000000003</v>
      </c>
      <c r="V12" s="177">
        <f t="shared" ref="V12:V19" si="1">U12*T12</f>
        <v>165.04220117035737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1942</v>
      </c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59.999999999999922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1799.9999999999977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0</v>
      </c>
      <c r="I20" s="191">
        <v>6579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370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425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4</v>
      </c>
      <c r="I23" s="191">
        <v>500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-29681.186664744742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44</v>
      </c>
      <c r="B24" s="181">
        <f>'Données projet'!D37</f>
        <v>64.416666666666657</v>
      </c>
      <c r="C24" s="193">
        <v>20</v>
      </c>
      <c r="D24" s="182">
        <f t="shared" ref="D24:D42" si="2">B24*C24</f>
        <v>1288.333333333333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443.98794357244719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51</v>
      </c>
      <c r="B25" s="181">
        <f>'Données projet'!D38</f>
        <v>37.685897435897431</v>
      </c>
      <c r="C25" s="193">
        <v>20</v>
      </c>
      <c r="D25" s="182">
        <f t="shared" si="2"/>
        <v>753.71794871794862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-30125.174608317189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59</v>
      </c>
      <c r="B26" s="181">
        <f>'Données projet'!D39</f>
        <v>38.942307692307693</v>
      </c>
      <c r="C26" s="193">
        <v>20</v>
      </c>
      <c r="D26" s="182">
        <f t="shared" si="2"/>
        <v>778.84615384615381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67</v>
      </c>
      <c r="B27" s="181">
        <f>'Données projet'!D40</f>
        <v>31.993589743589741</v>
      </c>
      <c r="C27" s="193">
        <v>30</v>
      </c>
      <c r="D27" s="182">
        <f t="shared" si="2"/>
        <v>959.80769230769226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75</v>
      </c>
      <c r="B28" s="181">
        <f>'Données projet'!D41</f>
        <v>30.916666666666664</v>
      </c>
      <c r="C28" s="193">
        <v>45</v>
      </c>
      <c r="D28" s="182">
        <f t="shared" si="2"/>
        <v>1391.25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84</v>
      </c>
      <c r="B29" s="181">
        <f>'Données projet'!D42</f>
        <v>35.083333333333329</v>
      </c>
      <c r="C29" s="193">
        <v>70</v>
      </c>
      <c r="D29" s="182">
        <f t="shared" si="2"/>
        <v>2455.833333333333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93</v>
      </c>
      <c r="B30" s="181">
        <f>'Données projet'!D43</f>
        <v>30.083333333333332</v>
      </c>
      <c r="C30" s="193">
        <v>100</v>
      </c>
      <c r="D30" s="182">
        <f t="shared" si="2"/>
        <v>3008.333333333333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103</v>
      </c>
      <c r="B31" s="181">
        <f>'Données projet'!D44</f>
        <v>39.512820512820511</v>
      </c>
      <c r="C31" s="193">
        <v>120</v>
      </c>
      <c r="D31" s="182">
        <f t="shared" si="2"/>
        <v>4741.538461538461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113</v>
      </c>
      <c r="B32" s="181">
        <f>'Données projet'!D45</f>
        <v>31.602564102564099</v>
      </c>
      <c r="C32" s="193">
        <v>140</v>
      </c>
      <c r="D32" s="182">
        <f t="shared" si="2"/>
        <v>4424.3589743589737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125</v>
      </c>
      <c r="B33" s="181">
        <f>'Données projet'!D46</f>
        <v>48.160256410256409</v>
      </c>
      <c r="C33" s="193">
        <v>160</v>
      </c>
      <c r="D33" s="182">
        <f t="shared" si="2"/>
        <v>7705.6410256410254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137</v>
      </c>
      <c r="B34" s="181">
        <f>'Données projet'!D47</f>
        <v>51.160256410256409</v>
      </c>
      <c r="C34" s="193">
        <v>180</v>
      </c>
      <c r="D34" s="182">
        <f t="shared" si="2"/>
        <v>9208.8461538461543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149</v>
      </c>
      <c r="B35" s="181">
        <f>'Données projet'!D48</f>
        <v>120.50641025641026</v>
      </c>
      <c r="C35" s="193">
        <v>200</v>
      </c>
      <c r="D35" s="182">
        <f t="shared" si="2"/>
        <v>24101.282051282051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153</v>
      </c>
      <c r="B36" s="181">
        <f>'Données projet'!D49</f>
        <v>70.115384615384613</v>
      </c>
      <c r="C36" s="193">
        <v>220</v>
      </c>
      <c r="D36" s="182">
        <f t="shared" si="2"/>
        <v>15425.384615384615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157</v>
      </c>
      <c r="B37" s="181">
        <f>'Données projet'!D50</f>
        <v>45.71153846153846</v>
      </c>
      <c r="C37" s="193">
        <v>220</v>
      </c>
      <c r="D37" s="182">
        <f t="shared" si="2"/>
        <v>10056.538461538461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161</v>
      </c>
      <c r="B38" s="181">
        <f>'Données projet'!D51</f>
        <v>91.365384615384613</v>
      </c>
      <c r="C38" s="193">
        <v>220</v>
      </c>
      <c r="D38" s="182">
        <f t="shared" si="2"/>
        <v>20100.384615384613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166</v>
      </c>
      <c r="B45" s="174" t="str">
        <f>IF('Données projet'!$B$10="","",'Données projet'!$B$10)</f>
        <v>Hêtre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132</v>
      </c>
      <c r="C48" s="198" t="s">
        <v>132</v>
      </c>
      <c r="D48" s="197" t="s">
        <v>132</v>
      </c>
      <c r="E48" s="193">
        <f>238.44*1.12</f>
        <v>267.05280000000005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20</v>
      </c>
      <c r="B54" s="181">
        <f>'Données projet'!D62</f>
        <v>4</v>
      </c>
      <c r="C54" s="191">
        <v>20</v>
      </c>
      <c r="D54" s="179">
        <f>B54*C54</f>
        <v>80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30</v>
      </c>
      <c r="B55" s="181">
        <f>'Données projet'!D63</f>
        <v>22</v>
      </c>
      <c r="C55" s="191">
        <v>20</v>
      </c>
      <c r="D55" s="179">
        <f t="shared" ref="D55:D73" si="4">B55*C55</f>
        <v>440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40</v>
      </c>
      <c r="B56" s="181">
        <f>'Données projet'!D64</f>
        <v>51</v>
      </c>
      <c r="C56" s="191">
        <v>20</v>
      </c>
      <c r="D56" s="179">
        <f t="shared" si="4"/>
        <v>1020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50</v>
      </c>
      <c r="B57" s="181">
        <f>'Données projet'!D65</f>
        <v>64</v>
      </c>
      <c r="C57" s="191">
        <v>20</v>
      </c>
      <c r="D57" s="179">
        <f t="shared" si="4"/>
        <v>1280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60</v>
      </c>
      <c r="B58" s="181">
        <f>'Données projet'!D66</f>
        <v>69</v>
      </c>
      <c r="C58" s="191">
        <v>30</v>
      </c>
      <c r="D58" s="179">
        <f t="shared" si="4"/>
        <v>2070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70</v>
      </c>
      <c r="B59" s="181">
        <f>'Données projet'!D67</f>
        <v>72</v>
      </c>
      <c r="C59" s="191">
        <v>40</v>
      </c>
      <c r="D59" s="179">
        <f t="shared" si="4"/>
        <v>2880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80</v>
      </c>
      <c r="B60" s="181">
        <f>'Données projet'!D68</f>
        <v>69</v>
      </c>
      <c r="C60" s="191">
        <v>50</v>
      </c>
      <c r="D60" s="179">
        <f t="shared" si="4"/>
        <v>3450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90</v>
      </c>
      <c r="B61" s="181">
        <f>'Données projet'!D69</f>
        <v>67</v>
      </c>
      <c r="C61" s="191">
        <v>60</v>
      </c>
      <c r="D61" s="179">
        <f t="shared" si="4"/>
        <v>4020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100</v>
      </c>
      <c r="B62" s="181">
        <f>'Données projet'!D70</f>
        <v>63</v>
      </c>
      <c r="C62" s="191">
        <v>70</v>
      </c>
      <c r="D62" s="179">
        <f t="shared" si="4"/>
        <v>4410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110</v>
      </c>
      <c r="B63" s="181">
        <f>'Données projet'!D71</f>
        <v>58</v>
      </c>
      <c r="C63" s="191">
        <v>80</v>
      </c>
      <c r="D63" s="179">
        <f t="shared" si="4"/>
        <v>4640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120</v>
      </c>
      <c r="B64" s="181">
        <f>'Données projet'!D72</f>
        <v>53</v>
      </c>
      <c r="C64" s="191">
        <v>90</v>
      </c>
      <c r="D64" s="179">
        <f t="shared" si="4"/>
        <v>4770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130</v>
      </c>
      <c r="B65" s="181">
        <f>'Données projet'!D73</f>
        <v>47</v>
      </c>
      <c r="C65" s="191">
        <v>100</v>
      </c>
      <c r="D65" s="179">
        <f t="shared" si="4"/>
        <v>4700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140</v>
      </c>
      <c r="B66" s="181">
        <f>'Données projet'!D74</f>
        <v>41</v>
      </c>
      <c r="C66" s="191">
        <v>100</v>
      </c>
      <c r="D66" s="179">
        <f t="shared" si="4"/>
        <v>4100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150</v>
      </c>
      <c r="B67" s="181">
        <f>'Données projet'!D75</f>
        <v>37</v>
      </c>
      <c r="C67" s="191">
        <v>100</v>
      </c>
      <c r="D67" s="179">
        <f t="shared" si="4"/>
        <v>3700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274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44</v>
      </c>
      <c r="B86" s="181">
        <f>'Données projet'!D89</f>
        <v>64</v>
      </c>
      <c r="C86" s="191">
        <v>20</v>
      </c>
      <c r="D86" s="179">
        <f t="shared" ref="D86:D104" si="6">B86*C86</f>
        <v>1280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51</v>
      </c>
      <c r="B87" s="181">
        <f>'Données projet'!D90</f>
        <v>38</v>
      </c>
      <c r="C87" s="191">
        <v>20</v>
      </c>
      <c r="D87" s="179">
        <f t="shared" si="6"/>
        <v>760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59</v>
      </c>
      <c r="B88" s="181">
        <f>'Données projet'!D91</f>
        <v>39</v>
      </c>
      <c r="C88" s="191">
        <v>20</v>
      </c>
      <c r="D88" s="179">
        <f t="shared" si="6"/>
        <v>780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67</v>
      </c>
      <c r="B89" s="181">
        <f>'Données projet'!D92</f>
        <v>32</v>
      </c>
      <c r="C89" s="191">
        <v>30</v>
      </c>
      <c r="D89" s="179">
        <f t="shared" si="6"/>
        <v>960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75</v>
      </c>
      <c r="B90" s="181">
        <f>'Données projet'!D93</f>
        <v>31</v>
      </c>
      <c r="C90" s="191">
        <v>45</v>
      </c>
      <c r="D90" s="179">
        <f t="shared" si="6"/>
        <v>1395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84</v>
      </c>
      <c r="B91" s="181">
        <f>'Données projet'!D94</f>
        <v>35</v>
      </c>
      <c r="C91" s="191">
        <v>70</v>
      </c>
      <c r="D91" s="179">
        <f t="shared" si="6"/>
        <v>2450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93</v>
      </c>
      <c r="B92" s="181">
        <f>'Données projet'!D95</f>
        <v>30</v>
      </c>
      <c r="C92" s="191">
        <v>100</v>
      </c>
      <c r="D92" s="179">
        <f t="shared" si="6"/>
        <v>3000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103</v>
      </c>
      <c r="B93" s="181">
        <f>'Données projet'!D96</f>
        <v>40</v>
      </c>
      <c r="C93" s="191">
        <v>120</v>
      </c>
      <c r="D93" s="179">
        <f t="shared" si="6"/>
        <v>4800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113</v>
      </c>
      <c r="B94" s="181">
        <f>'Données projet'!D97</f>
        <v>32</v>
      </c>
      <c r="C94" s="191">
        <v>140</v>
      </c>
      <c r="D94" s="179">
        <f t="shared" si="6"/>
        <v>4480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125</v>
      </c>
      <c r="B95" s="181">
        <f>'Données projet'!D98</f>
        <v>48</v>
      </c>
      <c r="C95" s="191">
        <v>160</v>
      </c>
      <c r="D95" s="179">
        <f t="shared" si="6"/>
        <v>7680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137</v>
      </c>
      <c r="B96" s="181">
        <f>'Données projet'!D99</f>
        <v>51</v>
      </c>
      <c r="C96" s="191">
        <v>180</v>
      </c>
      <c r="D96" s="179">
        <f t="shared" si="6"/>
        <v>9180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149</v>
      </c>
      <c r="B97" s="181">
        <f>'Données projet'!D100</f>
        <v>121</v>
      </c>
      <c r="C97" s="191">
        <v>200</v>
      </c>
      <c r="D97" s="179">
        <f t="shared" si="6"/>
        <v>24200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153</v>
      </c>
      <c r="B98" s="181">
        <f>'Données projet'!D101</f>
        <v>70</v>
      </c>
      <c r="C98" s="191">
        <v>220</v>
      </c>
      <c r="D98" s="179">
        <f t="shared" si="6"/>
        <v>15400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157</v>
      </c>
      <c r="B99" s="181">
        <f>'Données projet'!D102</f>
        <v>46</v>
      </c>
      <c r="C99" s="191">
        <v>220</v>
      </c>
      <c r="D99" s="179">
        <f t="shared" si="6"/>
        <v>10120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161</v>
      </c>
      <c r="B100" s="181">
        <f>'Données projet'!D103</f>
        <v>91</v>
      </c>
      <c r="C100" s="191">
        <v>220</v>
      </c>
      <c r="D100" s="179">
        <f t="shared" si="6"/>
        <v>20020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Jean de LA TULLAYE</cp:lastModifiedBy>
  <dcterms:created xsi:type="dcterms:W3CDTF">2021-02-01T08:22:39Z</dcterms:created>
  <dcterms:modified xsi:type="dcterms:W3CDTF">2024-09-18T09:48:30Z</dcterms:modified>
</cp:coreProperties>
</file>